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omments4.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filterPrivacy="1"/>
  <xr:revisionPtr revIDLastSave="0" documentId="13_ncr:1_{6D7A535B-A7A7-42A3-B415-E2B3644A6A7D}" xr6:coauthVersionLast="45" xr6:coauthVersionMax="45" xr10:uidLastSave="{00000000-0000-0000-0000-000000000000}"/>
  <bookViews>
    <workbookView xWindow="-120" yWindow="-120" windowWidth="29040" windowHeight="15840" tabRatio="819" firstSheet="3" activeTab="13" xr2:uid="{00000000-000D-0000-FFFF-FFFF00000000}"/>
  </bookViews>
  <sheets>
    <sheet name="Display" sheetId="48" state="hidden" r:id="rId1"/>
    <sheet name="Guide" sheetId="39" r:id="rId2"/>
    <sheet name="Sources" sheetId="40" r:id="rId3"/>
    <sheet name="Statistics NZ" sheetId="32" r:id="rId4"/>
    <sheet name="Population Treasury" sheetId="66" r:id="rId5"/>
    <sheet name="Labour Force Treasury" sheetId="67" r:id="rId6"/>
    <sheet name="Exogenous" sheetId="3" r:id="rId7"/>
    <sheet name="NZSF Adjuster" sheetId="25" r:id="rId8"/>
    <sheet name="Fiscal Forecast Adjuster" sheetId="26" r:id="rId9"/>
    <sheet name="Fiscal Outturns" sheetId="17" r:id="rId10"/>
    <sheet name="Economic Forecasts" sheetId="62" r:id="rId11"/>
    <sheet name="Fiscal Forecasts" sheetId="65" r:id="rId12"/>
    <sheet name="Assumptions" sheetId="60" r:id="rId13"/>
    <sheet name="2021 BEFU FSM" sheetId="64" r:id="rId14"/>
    <sheet name="Scenario" sheetId="68"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92" i="65" l="1"/>
  <c r="F192" i="65"/>
  <c r="G192" i="65"/>
  <c r="H192" i="65"/>
  <c r="I192" i="65"/>
  <c r="J192" i="65"/>
  <c r="D192" i="65"/>
  <c r="Q9" i="66" l="1"/>
  <c r="B414" i="64" l="1"/>
  <c r="B414" i="68"/>
  <c r="F59" i="3" l="1"/>
  <c r="D58" i="3"/>
  <c r="E58" i="3" s="1"/>
  <c r="Q52" i="3"/>
  <c r="J52" i="3"/>
  <c r="C52" i="3"/>
  <c r="O62" i="17" l="1"/>
  <c r="O9" i="17" l="1"/>
  <c r="G384" i="68"/>
  <c r="H384" i="68"/>
  <c r="I384" i="68"/>
  <c r="J384" i="68"/>
  <c r="F384" i="68"/>
  <c r="G477" i="68"/>
  <c r="H477" i="68"/>
  <c r="I477" i="68"/>
  <c r="J477" i="68"/>
  <c r="F477" i="68"/>
  <c r="R20" i="25"/>
  <c r="G380" i="68" s="1"/>
  <c r="S20" i="25"/>
  <c r="H380" i="68" s="1"/>
  <c r="T20" i="25"/>
  <c r="U20" i="25"/>
  <c r="R22" i="25"/>
  <c r="S22" i="25"/>
  <c r="T22" i="25"/>
  <c r="U22" i="25"/>
  <c r="R25" i="25"/>
  <c r="S25" i="25"/>
  <c r="T25" i="25"/>
  <c r="U25" i="25"/>
  <c r="R26" i="25"/>
  <c r="S26" i="25"/>
  <c r="T26" i="25"/>
  <c r="U26" i="25"/>
  <c r="L380" i="68"/>
  <c r="M380" i="68"/>
  <c r="N380" i="68"/>
  <c r="O380" i="68"/>
  <c r="P380" i="68"/>
  <c r="Q380" i="68"/>
  <c r="R380" i="68"/>
  <c r="S380" i="68"/>
  <c r="T380" i="68"/>
  <c r="K380" i="68"/>
  <c r="L376" i="68"/>
  <c r="M376" i="68"/>
  <c r="N376" i="68"/>
  <c r="O376" i="68"/>
  <c r="P376" i="68"/>
  <c r="Q376" i="68"/>
  <c r="R376" i="68"/>
  <c r="S376" i="68"/>
  <c r="T376" i="68"/>
  <c r="K376" i="68"/>
  <c r="I375" i="68"/>
  <c r="G376" i="68"/>
  <c r="H376" i="68"/>
  <c r="I376" i="68"/>
  <c r="H377" i="68"/>
  <c r="I377" i="68"/>
  <c r="H378" i="68"/>
  <c r="I378" i="68"/>
  <c r="I380" i="68"/>
  <c r="G381" i="68"/>
  <c r="H381" i="68"/>
  <c r="I381" i="68"/>
  <c r="F381" i="68"/>
  <c r="F380" i="68"/>
  <c r="F378" i="68"/>
  <c r="F377" i="68"/>
  <c r="F376" i="68"/>
  <c r="F375" i="68"/>
  <c r="O63" i="17" l="1"/>
  <c r="O42" i="17"/>
  <c r="O18" i="17"/>
  <c r="O26" i="17"/>
  <c r="O36" i="17"/>
  <c r="O44" i="17"/>
  <c r="O20" i="17"/>
  <c r="O38" i="17"/>
  <c r="O14" i="17"/>
  <c r="O22" i="17"/>
  <c r="O30" i="17"/>
  <c r="O28" i="17"/>
  <c r="O40" i="17"/>
  <c r="O16" i="17"/>
  <c r="O24" i="17"/>
  <c r="O32" i="17"/>
  <c r="O34" i="17"/>
  <c r="G377" i="68"/>
  <c r="I379" i="68"/>
  <c r="E178" i="68"/>
  <c r="E177" i="68"/>
  <c r="G177" i="68"/>
  <c r="H177" i="68"/>
  <c r="I177" i="68"/>
  <c r="J177" i="68"/>
  <c r="G178" i="68"/>
  <c r="H178" i="68"/>
  <c r="I178" i="68"/>
  <c r="J178" i="68"/>
  <c r="F177" i="68"/>
  <c r="D177" i="68"/>
  <c r="G177" i="64"/>
  <c r="H177" i="64"/>
  <c r="I177" i="64"/>
  <c r="J177" i="64"/>
  <c r="F177" i="64"/>
  <c r="E177" i="64"/>
  <c r="D177" i="64"/>
  <c r="B235" i="65"/>
  <c r="F178" i="68"/>
  <c r="G440" i="68"/>
  <c r="H440" i="68"/>
  <c r="I440" i="68"/>
  <c r="J440" i="68"/>
  <c r="F440" i="68"/>
  <c r="G481" i="68"/>
  <c r="H481" i="68"/>
  <c r="I481" i="68"/>
  <c r="J481" i="68"/>
  <c r="F481" i="68"/>
  <c r="G298" i="68"/>
  <c r="H298" i="68"/>
  <c r="I298" i="68"/>
  <c r="J298" i="68"/>
  <c r="F298" i="68"/>
  <c r="G246" i="68"/>
  <c r="H246" i="68"/>
  <c r="I246" i="68"/>
  <c r="J246" i="68"/>
  <c r="F246" i="68"/>
  <c r="G187" i="68"/>
  <c r="H187" i="68"/>
  <c r="I187" i="68"/>
  <c r="J187" i="68"/>
  <c r="G184" i="68"/>
  <c r="H184" i="68"/>
  <c r="I184" i="68"/>
  <c r="J184" i="68"/>
  <c r="G185" i="68"/>
  <c r="H185" i="68"/>
  <c r="I185" i="68"/>
  <c r="J185" i="68"/>
  <c r="F187" i="68"/>
  <c r="F184" i="68"/>
  <c r="G182" i="68"/>
  <c r="H182" i="68"/>
  <c r="I182" i="68"/>
  <c r="J182" i="68"/>
  <c r="F182" i="68"/>
  <c r="G175" i="68"/>
  <c r="H175" i="68"/>
  <c r="I175" i="68"/>
  <c r="J175" i="68"/>
  <c r="G176" i="68"/>
  <c r="H176" i="68"/>
  <c r="I176" i="68"/>
  <c r="J176" i="68"/>
  <c r="G179" i="68"/>
  <c r="H179" i="68"/>
  <c r="I179" i="68"/>
  <c r="J179" i="68"/>
  <c r="G180" i="68"/>
  <c r="H180" i="68"/>
  <c r="I180" i="68"/>
  <c r="J180" i="68"/>
  <c r="F180" i="68"/>
  <c r="F179" i="68"/>
  <c r="F176" i="68"/>
  <c r="F175" i="68"/>
  <c r="F128" i="68"/>
  <c r="G128" i="68"/>
  <c r="H128" i="68"/>
  <c r="I128" i="68"/>
  <c r="J128" i="68"/>
  <c r="G129" i="68"/>
  <c r="H129" i="68"/>
  <c r="I129" i="68"/>
  <c r="J129" i="68"/>
  <c r="G130" i="68"/>
  <c r="H130" i="68"/>
  <c r="I130" i="68"/>
  <c r="J130" i="68"/>
  <c r="G131" i="68"/>
  <c r="H131" i="68"/>
  <c r="I131" i="68"/>
  <c r="J131" i="68"/>
  <c r="G132" i="68"/>
  <c r="H132" i="68"/>
  <c r="I132" i="68"/>
  <c r="J132" i="68"/>
  <c r="F132" i="68"/>
  <c r="F131" i="68"/>
  <c r="F130" i="68"/>
  <c r="F129" i="68"/>
  <c r="G88" i="68"/>
  <c r="H88" i="68"/>
  <c r="I88" i="68"/>
  <c r="J88" i="68"/>
  <c r="F88" i="68"/>
  <c r="F82" i="68"/>
  <c r="G82" i="68"/>
  <c r="H82" i="68"/>
  <c r="I82" i="68"/>
  <c r="J82" i="68"/>
  <c r="D6" i="26"/>
  <c r="E6" i="26"/>
  <c r="F6" i="26"/>
  <c r="G6" i="26"/>
  <c r="C6" i="26"/>
  <c r="AE20" i="25" l="1"/>
  <c r="AE22" i="25"/>
  <c r="AE25" i="25"/>
  <c r="AE26" i="25"/>
  <c r="R17" i="25"/>
  <c r="S17" i="25"/>
  <c r="T17" i="25"/>
  <c r="U17" i="25"/>
  <c r="P27" i="25"/>
  <c r="U23" i="25" l="1"/>
  <c r="U24" i="25"/>
  <c r="U21" i="25"/>
  <c r="T23" i="25"/>
  <c r="T24" i="25"/>
  <c r="T21" i="25"/>
  <c r="S21" i="25"/>
  <c r="S24" i="25"/>
  <c r="S23" i="25"/>
  <c r="R23" i="25"/>
  <c r="R24" i="25"/>
  <c r="G378" i="68" s="1"/>
  <c r="G331" i="68" s="1"/>
  <c r="R21" i="25"/>
  <c r="G375" i="68" s="1"/>
  <c r="G379" i="68" s="1"/>
  <c r="AD26" i="25"/>
  <c r="AC26" i="25"/>
  <c r="AB26" i="25"/>
  <c r="AA26" i="25"/>
  <c r="Z26" i="25"/>
  <c r="Y26" i="25"/>
  <c r="X26" i="25"/>
  <c r="W26" i="25"/>
  <c r="V26" i="25"/>
  <c r="Q26" i="25"/>
  <c r="AD25" i="25"/>
  <c r="AC25" i="25"/>
  <c r="AB25" i="25"/>
  <c r="AA25" i="25"/>
  <c r="Z25" i="25"/>
  <c r="Y25" i="25"/>
  <c r="X25" i="25"/>
  <c r="W25" i="25"/>
  <c r="V25" i="25"/>
  <c r="J381" i="68"/>
  <c r="Q25" i="25"/>
  <c r="AD22" i="25"/>
  <c r="AC22" i="25"/>
  <c r="AB22" i="25"/>
  <c r="AA22" i="25"/>
  <c r="Z22" i="25"/>
  <c r="Y22" i="25"/>
  <c r="X22" i="25"/>
  <c r="W22" i="25"/>
  <c r="V22" i="25"/>
  <c r="J376" i="68"/>
  <c r="Q22" i="25"/>
  <c r="AD20" i="25"/>
  <c r="AC20" i="25"/>
  <c r="AB20" i="25"/>
  <c r="AA20" i="25"/>
  <c r="Z20" i="25"/>
  <c r="Y20" i="25"/>
  <c r="X20" i="25"/>
  <c r="W20" i="25"/>
  <c r="V20" i="25"/>
  <c r="J380" i="68"/>
  <c r="J489" i="68" s="1"/>
  <c r="Q20" i="25"/>
  <c r="Q6" i="25"/>
  <c r="R6" i="25"/>
  <c r="S6" i="25"/>
  <c r="T6" i="25"/>
  <c r="U6" i="25"/>
  <c r="B525" i="68"/>
  <c r="B502" i="68"/>
  <c r="J498" i="68"/>
  <c r="I498" i="68"/>
  <c r="H498" i="68"/>
  <c r="G498" i="68"/>
  <c r="F498" i="68"/>
  <c r="E498" i="68"/>
  <c r="D498" i="68"/>
  <c r="B498" i="68"/>
  <c r="J496" i="68"/>
  <c r="I496" i="68"/>
  <c r="H496" i="68"/>
  <c r="G496" i="68"/>
  <c r="F496" i="68"/>
  <c r="E496" i="68"/>
  <c r="D496" i="68"/>
  <c r="B496" i="68"/>
  <c r="E495" i="68"/>
  <c r="D495" i="68"/>
  <c r="B495" i="68"/>
  <c r="B493" i="68"/>
  <c r="J488" i="68"/>
  <c r="I488" i="68"/>
  <c r="H488" i="68"/>
  <c r="G488" i="68"/>
  <c r="F488" i="68"/>
  <c r="E488" i="68"/>
  <c r="D488" i="68"/>
  <c r="B488" i="68"/>
  <c r="J487" i="68"/>
  <c r="I487" i="68"/>
  <c r="H487" i="68"/>
  <c r="G487" i="68"/>
  <c r="F487" i="68"/>
  <c r="E487" i="68"/>
  <c r="D487" i="68"/>
  <c r="B487" i="68"/>
  <c r="J486" i="68"/>
  <c r="I486" i="68"/>
  <c r="H486" i="68"/>
  <c r="G486" i="68"/>
  <c r="F486" i="68"/>
  <c r="E486" i="68"/>
  <c r="D486" i="68"/>
  <c r="B486" i="68"/>
  <c r="E483" i="68"/>
  <c r="D483" i="68"/>
  <c r="B483" i="68"/>
  <c r="E482" i="68"/>
  <c r="D482" i="68"/>
  <c r="B482" i="68"/>
  <c r="E481" i="68"/>
  <c r="D481" i="68"/>
  <c r="B481" i="68"/>
  <c r="J480" i="68"/>
  <c r="I480" i="68"/>
  <c r="H480" i="68"/>
  <c r="G480" i="68"/>
  <c r="F480" i="68"/>
  <c r="E480" i="68"/>
  <c r="D480" i="68"/>
  <c r="B480" i="68"/>
  <c r="J479" i="68"/>
  <c r="I479" i="68"/>
  <c r="H479" i="68"/>
  <c r="G479" i="68"/>
  <c r="F479" i="68"/>
  <c r="E479" i="68"/>
  <c r="D479" i="68"/>
  <c r="B479" i="68"/>
  <c r="J478" i="68"/>
  <c r="I478" i="68"/>
  <c r="H478" i="68"/>
  <c r="G478" i="68"/>
  <c r="F478" i="68"/>
  <c r="E478" i="68"/>
  <c r="D478" i="68"/>
  <c r="B478" i="68"/>
  <c r="E477" i="68"/>
  <c r="D477" i="68"/>
  <c r="B477" i="68"/>
  <c r="J474" i="68"/>
  <c r="I474" i="68"/>
  <c r="H474" i="68"/>
  <c r="G474" i="68"/>
  <c r="F474" i="68"/>
  <c r="E474" i="68"/>
  <c r="D474" i="68"/>
  <c r="B474" i="68"/>
  <c r="B472" i="68"/>
  <c r="J471" i="68"/>
  <c r="J472" i="68" s="1"/>
  <c r="I471" i="68"/>
  <c r="I472" i="68" s="1"/>
  <c r="H471" i="68"/>
  <c r="H472" i="68" s="1"/>
  <c r="G471" i="68"/>
  <c r="G472" i="68" s="1"/>
  <c r="G473" i="68" s="1"/>
  <c r="F471" i="68"/>
  <c r="E471" i="68"/>
  <c r="E472" i="68" s="1"/>
  <c r="D471" i="68"/>
  <c r="D472" i="68" s="1"/>
  <c r="B471" i="68"/>
  <c r="B467" i="68"/>
  <c r="J466" i="68"/>
  <c r="J467" i="68" s="1"/>
  <c r="I466" i="68"/>
  <c r="I467" i="68" s="1"/>
  <c r="H466" i="68"/>
  <c r="G466" i="68"/>
  <c r="F466" i="68"/>
  <c r="F467" i="68" s="1"/>
  <c r="E466" i="68"/>
  <c r="E467" i="68" s="1"/>
  <c r="D466" i="68"/>
  <c r="B466" i="68"/>
  <c r="B462" i="68"/>
  <c r="J461" i="68"/>
  <c r="K461" i="68" s="1"/>
  <c r="L461" i="68" s="1"/>
  <c r="M461" i="68" s="1"/>
  <c r="N461" i="68" s="1"/>
  <c r="O461" i="68" s="1"/>
  <c r="P461" i="68" s="1"/>
  <c r="Q461" i="68" s="1"/>
  <c r="R461" i="68" s="1"/>
  <c r="S461" i="68" s="1"/>
  <c r="T461" i="68" s="1"/>
  <c r="I461" i="68"/>
  <c r="H461" i="68"/>
  <c r="G461" i="68"/>
  <c r="F461" i="68"/>
  <c r="E461" i="68"/>
  <c r="D461" i="68"/>
  <c r="B461" i="68"/>
  <c r="J460" i="68"/>
  <c r="I460" i="68"/>
  <c r="H460" i="68"/>
  <c r="H462" i="68" s="1"/>
  <c r="G460" i="68"/>
  <c r="F460" i="68"/>
  <c r="E460" i="68"/>
  <c r="D460" i="68"/>
  <c r="D462" i="68" s="1"/>
  <c r="B460" i="68"/>
  <c r="J457" i="68"/>
  <c r="I457" i="68"/>
  <c r="H457" i="68"/>
  <c r="G457" i="68"/>
  <c r="F457" i="68"/>
  <c r="E457" i="68"/>
  <c r="D457" i="68"/>
  <c r="B457" i="68"/>
  <c r="J456" i="68"/>
  <c r="I456" i="68"/>
  <c r="H456" i="68"/>
  <c r="G456" i="68"/>
  <c r="F456" i="68"/>
  <c r="E456" i="68"/>
  <c r="D456" i="68"/>
  <c r="B456" i="68"/>
  <c r="J453" i="68"/>
  <c r="I453" i="68"/>
  <c r="H453" i="68"/>
  <c r="G453" i="68"/>
  <c r="F453" i="68"/>
  <c r="E453" i="68"/>
  <c r="D453" i="68"/>
  <c r="B453" i="68"/>
  <c r="B451" i="68"/>
  <c r="J450" i="68"/>
  <c r="I450" i="68"/>
  <c r="H450" i="68"/>
  <c r="G450" i="68"/>
  <c r="F450" i="68"/>
  <c r="E450" i="68"/>
  <c r="D450" i="68"/>
  <c r="B450" i="68"/>
  <c r="J446" i="68"/>
  <c r="I446" i="68"/>
  <c r="H446" i="68"/>
  <c r="G446" i="68"/>
  <c r="F446" i="68"/>
  <c r="E446" i="68"/>
  <c r="D446" i="68"/>
  <c r="B446" i="68"/>
  <c r="J443" i="68"/>
  <c r="I443" i="68"/>
  <c r="H443" i="68"/>
  <c r="G443" i="68"/>
  <c r="F443" i="68"/>
  <c r="E443" i="68"/>
  <c r="D443" i="68"/>
  <c r="B443" i="68"/>
  <c r="E442" i="68"/>
  <c r="D442" i="68"/>
  <c r="B442" i="68"/>
  <c r="E440" i="68"/>
  <c r="D440" i="68"/>
  <c r="B440" i="68"/>
  <c r="J439" i="68"/>
  <c r="I439" i="68"/>
  <c r="H439" i="68"/>
  <c r="G439" i="68"/>
  <c r="F439" i="68"/>
  <c r="F441" i="68" s="1"/>
  <c r="E439" i="68"/>
  <c r="E441" i="68" s="1"/>
  <c r="D439" i="68"/>
  <c r="D441" i="68" s="1"/>
  <c r="B439" i="68"/>
  <c r="J435" i="68"/>
  <c r="I435" i="68"/>
  <c r="H435" i="68"/>
  <c r="G435" i="68"/>
  <c r="F435" i="68"/>
  <c r="E435" i="68"/>
  <c r="D435" i="68"/>
  <c r="B435" i="68"/>
  <c r="J434" i="68"/>
  <c r="I434" i="68"/>
  <c r="H434" i="68"/>
  <c r="G434" i="68"/>
  <c r="F434" i="68"/>
  <c r="E434" i="68"/>
  <c r="D434" i="68"/>
  <c r="B434" i="68"/>
  <c r="J433" i="68"/>
  <c r="J436" i="68" s="1"/>
  <c r="I433" i="68"/>
  <c r="H433" i="68"/>
  <c r="H436" i="68" s="1"/>
  <c r="G433" i="68"/>
  <c r="G436" i="68" s="1"/>
  <c r="F433" i="68"/>
  <c r="F436" i="68" s="1"/>
  <c r="E433" i="68"/>
  <c r="D433" i="68"/>
  <c r="D436" i="68" s="1"/>
  <c r="B433" i="68"/>
  <c r="J430" i="68"/>
  <c r="I430" i="68"/>
  <c r="H430" i="68"/>
  <c r="G430" i="68"/>
  <c r="F430" i="68"/>
  <c r="E430" i="68"/>
  <c r="D430" i="68"/>
  <c r="B430" i="68"/>
  <c r="J429" i="68"/>
  <c r="I429" i="68"/>
  <c r="H429" i="68"/>
  <c r="G429" i="68"/>
  <c r="F429" i="68"/>
  <c r="E429" i="68"/>
  <c r="D429" i="68"/>
  <c r="B429" i="68"/>
  <c r="B426" i="68"/>
  <c r="B425" i="68"/>
  <c r="J420" i="68"/>
  <c r="I420" i="68"/>
  <c r="H420" i="68"/>
  <c r="G420" i="68"/>
  <c r="F420" i="68"/>
  <c r="E420" i="68"/>
  <c r="D420" i="68"/>
  <c r="B420" i="68"/>
  <c r="J419" i="68"/>
  <c r="I419" i="68"/>
  <c r="H419" i="68"/>
  <c r="G419" i="68"/>
  <c r="F419" i="68"/>
  <c r="E419" i="68"/>
  <c r="D419" i="68"/>
  <c r="B419" i="68"/>
  <c r="J418" i="68"/>
  <c r="J421" i="68" s="1"/>
  <c r="I418" i="68"/>
  <c r="H418" i="68"/>
  <c r="G418" i="68"/>
  <c r="F418" i="68"/>
  <c r="F421" i="68" s="1"/>
  <c r="E418" i="68"/>
  <c r="D418" i="68"/>
  <c r="C418" i="68"/>
  <c r="B418" i="68"/>
  <c r="J415" i="68"/>
  <c r="I415" i="68"/>
  <c r="H415" i="68"/>
  <c r="G415" i="68"/>
  <c r="F415" i="68"/>
  <c r="E415" i="68"/>
  <c r="D415" i="68"/>
  <c r="B415" i="68"/>
  <c r="J411" i="68"/>
  <c r="I411" i="68"/>
  <c r="H411" i="68"/>
  <c r="G411" i="68"/>
  <c r="F411" i="68"/>
  <c r="E411" i="68"/>
  <c r="E410" i="68" s="1"/>
  <c r="E414" i="68" s="1"/>
  <c r="D411" i="68"/>
  <c r="B411" i="68"/>
  <c r="B410" i="68"/>
  <c r="C407" i="68"/>
  <c r="T406" i="68"/>
  <c r="S406" i="68"/>
  <c r="R406" i="68"/>
  <c r="Q406" i="68"/>
  <c r="P406" i="68"/>
  <c r="O406" i="68"/>
  <c r="N406" i="68"/>
  <c r="M406" i="68"/>
  <c r="L406" i="68"/>
  <c r="K406" i="68"/>
  <c r="J406" i="68"/>
  <c r="I406" i="68"/>
  <c r="H406" i="68"/>
  <c r="G406" i="68"/>
  <c r="F406" i="68"/>
  <c r="E406" i="68"/>
  <c r="D406" i="68"/>
  <c r="B406" i="68"/>
  <c r="T405" i="68"/>
  <c r="T151" i="68" s="1"/>
  <c r="S405" i="68"/>
  <c r="S151" i="68" s="1"/>
  <c r="R405" i="68"/>
  <c r="R151" i="68" s="1"/>
  <c r="Q405" i="68"/>
  <c r="Q151" i="68" s="1"/>
  <c r="P405" i="68"/>
  <c r="P151" i="68" s="1"/>
  <c r="O405" i="68"/>
  <c r="O151" i="68" s="1"/>
  <c r="N405" i="68"/>
  <c r="N151" i="68" s="1"/>
  <c r="M405" i="68"/>
  <c r="M151" i="68" s="1"/>
  <c r="L405" i="68"/>
  <c r="L151" i="68" s="1"/>
  <c r="K405" i="68"/>
  <c r="K151" i="68" s="1"/>
  <c r="J405" i="68"/>
  <c r="J151" i="68" s="1"/>
  <c r="I405" i="68"/>
  <c r="I151" i="68" s="1"/>
  <c r="H405" i="68"/>
  <c r="H151" i="68" s="1"/>
  <c r="G405" i="68"/>
  <c r="F405" i="68"/>
  <c r="F151" i="68" s="1"/>
  <c r="E405" i="68"/>
  <c r="E151" i="68" s="1"/>
  <c r="D405" i="68"/>
  <c r="D151" i="68" s="1"/>
  <c r="B405" i="68"/>
  <c r="T404" i="68"/>
  <c r="S404" i="68"/>
  <c r="R404" i="68"/>
  <c r="Q404" i="68"/>
  <c r="P404" i="68"/>
  <c r="O404" i="68"/>
  <c r="N404" i="68"/>
  <c r="M404" i="68"/>
  <c r="L404" i="68"/>
  <c r="K404" i="68"/>
  <c r="J404" i="68"/>
  <c r="I404" i="68"/>
  <c r="H404" i="68"/>
  <c r="G404" i="68"/>
  <c r="F404" i="68"/>
  <c r="E404" i="68"/>
  <c r="D404" i="68"/>
  <c r="B404" i="68"/>
  <c r="T403" i="68"/>
  <c r="T263" i="68" s="1"/>
  <c r="T512" i="68" s="1"/>
  <c r="S403" i="68"/>
  <c r="R403" i="68"/>
  <c r="R263" i="68" s="1"/>
  <c r="Q403" i="68"/>
  <c r="Q263" i="68" s="1"/>
  <c r="Q512" i="68" s="1"/>
  <c r="P403" i="68"/>
  <c r="P263" i="68" s="1"/>
  <c r="O403" i="68"/>
  <c r="O263" i="68" s="1"/>
  <c r="N403" i="68"/>
  <c r="N263" i="68" s="1"/>
  <c r="M403" i="68"/>
  <c r="M263" i="68" s="1"/>
  <c r="M512" i="68" s="1"/>
  <c r="L403" i="68"/>
  <c r="L263" i="68" s="1"/>
  <c r="L512" i="68" s="1"/>
  <c r="K403" i="68"/>
  <c r="K263" i="68" s="1"/>
  <c r="J403" i="68"/>
  <c r="J263" i="68" s="1"/>
  <c r="I403" i="68"/>
  <c r="I263" i="68" s="1"/>
  <c r="H403" i="68"/>
  <c r="H263" i="68" s="1"/>
  <c r="G403" i="68"/>
  <c r="F403" i="68"/>
  <c r="F263" i="68" s="1"/>
  <c r="E403" i="68"/>
  <c r="E263" i="68" s="1"/>
  <c r="D403" i="68"/>
  <c r="B403" i="68"/>
  <c r="T402" i="68"/>
  <c r="S402" i="68"/>
  <c r="R402" i="68"/>
  <c r="Q402" i="68"/>
  <c r="P402" i="68"/>
  <c r="O402" i="68"/>
  <c r="N402" i="68"/>
  <c r="M402" i="68"/>
  <c r="L402" i="68"/>
  <c r="K402" i="68"/>
  <c r="J402" i="68"/>
  <c r="I402" i="68"/>
  <c r="H402" i="68"/>
  <c r="G402" i="68"/>
  <c r="F402" i="68"/>
  <c r="E402" i="68"/>
  <c r="D402" i="68"/>
  <c r="B402" i="68"/>
  <c r="T401" i="68"/>
  <c r="S401" i="68"/>
  <c r="R401" i="68"/>
  <c r="Q401" i="68"/>
  <c r="P401" i="68"/>
  <c r="O401" i="68"/>
  <c r="N401" i="68"/>
  <c r="M401" i="68"/>
  <c r="L401" i="68"/>
  <c r="K401" i="68"/>
  <c r="J401" i="68"/>
  <c r="I401" i="68"/>
  <c r="H401" i="68"/>
  <c r="G401" i="68"/>
  <c r="F401" i="68"/>
  <c r="E401" i="68"/>
  <c r="D401" i="68"/>
  <c r="B401" i="68"/>
  <c r="B397" i="68"/>
  <c r="J396" i="68"/>
  <c r="I396" i="68"/>
  <c r="H396" i="68"/>
  <c r="G396" i="68"/>
  <c r="F396" i="68"/>
  <c r="E396" i="68"/>
  <c r="D396" i="68"/>
  <c r="B396" i="68"/>
  <c r="B391" i="68"/>
  <c r="J388" i="68"/>
  <c r="I388" i="68"/>
  <c r="H388" i="68"/>
  <c r="G388" i="68"/>
  <c r="F388" i="68"/>
  <c r="E388" i="68"/>
  <c r="D388" i="68"/>
  <c r="B388" i="68"/>
  <c r="J386" i="68"/>
  <c r="I386" i="68"/>
  <c r="H386" i="68"/>
  <c r="G386" i="68"/>
  <c r="F386" i="68"/>
  <c r="E386" i="68"/>
  <c r="D386" i="68"/>
  <c r="B386" i="68"/>
  <c r="J385" i="68"/>
  <c r="I385" i="68"/>
  <c r="H385" i="68"/>
  <c r="G385" i="68"/>
  <c r="F385" i="68"/>
  <c r="E385" i="68"/>
  <c r="D385" i="68"/>
  <c r="B385" i="68"/>
  <c r="E384" i="68"/>
  <c r="D384" i="68"/>
  <c r="B384" i="68"/>
  <c r="C382" i="68"/>
  <c r="E381" i="68"/>
  <c r="D381" i="68"/>
  <c r="B381" i="68"/>
  <c r="T489" i="68"/>
  <c r="S489" i="68"/>
  <c r="R489" i="68"/>
  <c r="Q489" i="68"/>
  <c r="P489" i="68"/>
  <c r="O489" i="68"/>
  <c r="N489" i="68"/>
  <c r="M489" i="68"/>
  <c r="L489" i="68"/>
  <c r="K489" i="68"/>
  <c r="I489" i="68"/>
  <c r="H489" i="68"/>
  <c r="G489" i="68"/>
  <c r="F489" i="68"/>
  <c r="E380" i="68"/>
  <c r="E489" i="68" s="1"/>
  <c r="D380" i="68"/>
  <c r="D489" i="68" s="1"/>
  <c r="B380" i="68"/>
  <c r="I331" i="68"/>
  <c r="H331" i="68"/>
  <c r="F331" i="68"/>
  <c r="E378" i="68"/>
  <c r="E331" i="68" s="1"/>
  <c r="D378" i="68"/>
  <c r="D331" i="68" s="1"/>
  <c r="B378" i="68"/>
  <c r="I276" i="68"/>
  <c r="F271" i="68"/>
  <c r="E377" i="68"/>
  <c r="E276" i="68" s="1"/>
  <c r="D377" i="68"/>
  <c r="B377" i="68"/>
  <c r="E376" i="68"/>
  <c r="D376" i="68"/>
  <c r="B376" i="68"/>
  <c r="E375" i="68"/>
  <c r="D375" i="68"/>
  <c r="B375" i="68"/>
  <c r="B371" i="68"/>
  <c r="J370" i="68"/>
  <c r="I370" i="68"/>
  <c r="H370" i="68"/>
  <c r="G370" i="68"/>
  <c r="F370" i="68"/>
  <c r="E370" i="68"/>
  <c r="D370" i="68"/>
  <c r="B370" i="68"/>
  <c r="J369" i="68"/>
  <c r="K369" i="68" s="1"/>
  <c r="L369" i="68" s="1"/>
  <c r="M369" i="68" s="1"/>
  <c r="N369" i="68" s="1"/>
  <c r="O369" i="68" s="1"/>
  <c r="P369" i="68" s="1"/>
  <c r="Q369" i="68" s="1"/>
  <c r="R369" i="68" s="1"/>
  <c r="S369" i="68" s="1"/>
  <c r="T369" i="68" s="1"/>
  <c r="I369" i="68"/>
  <c r="H369" i="68"/>
  <c r="G369" i="68"/>
  <c r="F369" i="68"/>
  <c r="E369" i="68"/>
  <c r="D369" i="68"/>
  <c r="B369" i="68"/>
  <c r="B367" i="68"/>
  <c r="B362" i="68"/>
  <c r="J361" i="68"/>
  <c r="I361" i="68"/>
  <c r="H361" i="68"/>
  <c r="G361" i="68"/>
  <c r="F361" i="68"/>
  <c r="E361" i="68"/>
  <c r="D361" i="68"/>
  <c r="B361" i="68"/>
  <c r="J360" i="68"/>
  <c r="K360" i="68" s="1"/>
  <c r="L360" i="68" s="1"/>
  <c r="M360" i="68" s="1"/>
  <c r="N360" i="68" s="1"/>
  <c r="O360" i="68" s="1"/>
  <c r="P360" i="68" s="1"/>
  <c r="Q360" i="68" s="1"/>
  <c r="R360" i="68" s="1"/>
  <c r="S360" i="68" s="1"/>
  <c r="T360" i="68" s="1"/>
  <c r="I360" i="68"/>
  <c r="H360" i="68"/>
  <c r="G360" i="68"/>
  <c r="F360" i="68"/>
  <c r="E360" i="68"/>
  <c r="D360" i="68"/>
  <c r="B360" i="68"/>
  <c r="B358" i="68"/>
  <c r="J354" i="68"/>
  <c r="I354" i="68"/>
  <c r="H354" i="68"/>
  <c r="G354" i="68"/>
  <c r="F354" i="68"/>
  <c r="E354" i="68"/>
  <c r="D354" i="68"/>
  <c r="B354" i="68"/>
  <c r="B352" i="68"/>
  <c r="J351" i="68"/>
  <c r="I351" i="68"/>
  <c r="H351" i="68"/>
  <c r="G351" i="68"/>
  <c r="F351" i="68"/>
  <c r="E351" i="68"/>
  <c r="D351" i="68"/>
  <c r="B351" i="68"/>
  <c r="J347" i="68"/>
  <c r="I347" i="68"/>
  <c r="H347" i="68"/>
  <c r="G347" i="68"/>
  <c r="F347" i="68"/>
  <c r="E347" i="68"/>
  <c r="D347" i="68"/>
  <c r="B347" i="68"/>
  <c r="B345" i="68"/>
  <c r="J341" i="68"/>
  <c r="I341" i="68"/>
  <c r="I38" i="68" s="1"/>
  <c r="H341" i="68"/>
  <c r="H38" i="68" s="1"/>
  <c r="G341" i="68"/>
  <c r="G38" i="68" s="1"/>
  <c r="F341" i="68"/>
  <c r="F38" i="68" s="1"/>
  <c r="E341" i="68"/>
  <c r="E38" i="68" s="1"/>
  <c r="D341" i="68"/>
  <c r="B341" i="68"/>
  <c r="B340" i="68"/>
  <c r="B336" i="68"/>
  <c r="J335" i="68"/>
  <c r="I335" i="68"/>
  <c r="H335" i="68"/>
  <c r="G335" i="68"/>
  <c r="F335" i="68"/>
  <c r="E335" i="68"/>
  <c r="D335" i="68"/>
  <c r="B335" i="68"/>
  <c r="J334" i="68"/>
  <c r="I334" i="68"/>
  <c r="H334" i="68"/>
  <c r="G334" i="68"/>
  <c r="F334" i="68"/>
  <c r="E334" i="68"/>
  <c r="D334" i="68"/>
  <c r="B334" i="68"/>
  <c r="J332" i="68"/>
  <c r="I332" i="68"/>
  <c r="H332" i="68"/>
  <c r="G332" i="68"/>
  <c r="F332" i="68"/>
  <c r="E332" i="68"/>
  <c r="D332" i="68"/>
  <c r="D336" i="68" s="1"/>
  <c r="B332" i="68"/>
  <c r="J328" i="68"/>
  <c r="I328" i="68"/>
  <c r="H328" i="68"/>
  <c r="G328" i="68"/>
  <c r="F328" i="68"/>
  <c r="E328" i="68"/>
  <c r="D328" i="68"/>
  <c r="B328" i="68"/>
  <c r="J327" i="68"/>
  <c r="I327" i="68"/>
  <c r="H327" i="68"/>
  <c r="G327" i="68"/>
  <c r="F327" i="68"/>
  <c r="E327" i="68"/>
  <c r="D327" i="68"/>
  <c r="B327" i="68"/>
  <c r="J326" i="68"/>
  <c r="I326" i="68"/>
  <c r="H326" i="68"/>
  <c r="G326" i="68"/>
  <c r="F326" i="68"/>
  <c r="E326" i="68"/>
  <c r="D326" i="68"/>
  <c r="B326" i="68"/>
  <c r="J320" i="68"/>
  <c r="I320" i="68"/>
  <c r="H320" i="68"/>
  <c r="G320" i="68"/>
  <c r="F320" i="68"/>
  <c r="E320" i="68"/>
  <c r="D320" i="68"/>
  <c r="B320" i="68"/>
  <c r="J319" i="68"/>
  <c r="I319" i="68"/>
  <c r="H319" i="68"/>
  <c r="G319" i="68"/>
  <c r="F319" i="68"/>
  <c r="E319" i="68"/>
  <c r="D319" i="68"/>
  <c r="B319" i="68"/>
  <c r="J316" i="68"/>
  <c r="I316" i="68"/>
  <c r="H316" i="68"/>
  <c r="G316" i="68"/>
  <c r="F316" i="68"/>
  <c r="E316" i="68"/>
  <c r="D316" i="68"/>
  <c r="B316" i="68"/>
  <c r="B314" i="68"/>
  <c r="J313" i="68"/>
  <c r="J314" i="68" s="1"/>
  <c r="I313" i="68"/>
  <c r="I314" i="68" s="1"/>
  <c r="I315" i="68" s="1"/>
  <c r="H313" i="68"/>
  <c r="G313" i="68"/>
  <c r="F313" i="68"/>
  <c r="F314" i="68" s="1"/>
  <c r="E313" i="68"/>
  <c r="E314" i="68" s="1"/>
  <c r="D313" i="68"/>
  <c r="B313" i="68"/>
  <c r="J310" i="68"/>
  <c r="I310" i="68"/>
  <c r="H310" i="68"/>
  <c r="G310" i="68"/>
  <c r="F310" i="68"/>
  <c r="E310" i="68"/>
  <c r="D310" i="68"/>
  <c r="B310" i="68"/>
  <c r="J309" i="68"/>
  <c r="K309" i="68" s="1"/>
  <c r="L309" i="68" s="1"/>
  <c r="M309" i="68" s="1"/>
  <c r="N309" i="68" s="1"/>
  <c r="O309" i="68" s="1"/>
  <c r="P309" i="68" s="1"/>
  <c r="Q309" i="68" s="1"/>
  <c r="R309" i="68" s="1"/>
  <c r="S309" i="68" s="1"/>
  <c r="T309" i="68" s="1"/>
  <c r="I309" i="68"/>
  <c r="H309" i="68"/>
  <c r="G309" i="68"/>
  <c r="F309" i="68"/>
  <c r="E309" i="68"/>
  <c r="D309" i="68"/>
  <c r="B309" i="68"/>
  <c r="J306" i="68"/>
  <c r="I306" i="68"/>
  <c r="H306" i="68"/>
  <c r="G306" i="68"/>
  <c r="F306" i="68"/>
  <c r="E306" i="68"/>
  <c r="D306" i="68"/>
  <c r="B306" i="68"/>
  <c r="J305" i="68"/>
  <c r="K305" i="68" s="1"/>
  <c r="L305" i="68" s="1"/>
  <c r="M305" i="68" s="1"/>
  <c r="N305" i="68" s="1"/>
  <c r="O305" i="68" s="1"/>
  <c r="P305" i="68" s="1"/>
  <c r="Q305" i="68" s="1"/>
  <c r="R305" i="68" s="1"/>
  <c r="S305" i="68" s="1"/>
  <c r="T305" i="68" s="1"/>
  <c r="I305" i="68"/>
  <c r="H305" i="68"/>
  <c r="G305" i="68"/>
  <c r="F305" i="68"/>
  <c r="E305" i="68"/>
  <c r="D305" i="68"/>
  <c r="B305" i="68"/>
  <c r="J302" i="68"/>
  <c r="I302" i="68"/>
  <c r="H302" i="68"/>
  <c r="G302" i="68"/>
  <c r="F302" i="68"/>
  <c r="E302" i="68"/>
  <c r="D302" i="68"/>
  <c r="B302" i="68"/>
  <c r="J301" i="68"/>
  <c r="K301" i="68" s="1"/>
  <c r="L301" i="68" s="1"/>
  <c r="M301" i="68" s="1"/>
  <c r="N301" i="68" s="1"/>
  <c r="O301" i="68" s="1"/>
  <c r="P301" i="68" s="1"/>
  <c r="Q301" i="68" s="1"/>
  <c r="R301" i="68" s="1"/>
  <c r="S301" i="68" s="1"/>
  <c r="T301" i="68" s="1"/>
  <c r="I301" i="68"/>
  <c r="H301" i="68"/>
  <c r="G301" i="68"/>
  <c r="F301" i="68"/>
  <c r="E301" i="68"/>
  <c r="D301" i="68"/>
  <c r="B301" i="68"/>
  <c r="E298" i="68"/>
  <c r="D298" i="68"/>
  <c r="B298" i="68"/>
  <c r="B296" i="68"/>
  <c r="B290" i="68"/>
  <c r="J289" i="68"/>
  <c r="I289" i="68"/>
  <c r="H289" i="68"/>
  <c r="G289" i="68"/>
  <c r="F289" i="68"/>
  <c r="E289" i="68"/>
  <c r="D289" i="68"/>
  <c r="B289" i="68"/>
  <c r="J288" i="68"/>
  <c r="I288" i="68"/>
  <c r="H288" i="68"/>
  <c r="G288" i="68"/>
  <c r="F288" i="68"/>
  <c r="E288" i="68"/>
  <c r="D288" i="68"/>
  <c r="B288" i="68"/>
  <c r="E287" i="68"/>
  <c r="D287" i="68"/>
  <c r="B287" i="68"/>
  <c r="J284" i="68"/>
  <c r="I284" i="68"/>
  <c r="H284" i="68"/>
  <c r="G284" i="68"/>
  <c r="F284" i="68"/>
  <c r="E284" i="68"/>
  <c r="D284" i="68"/>
  <c r="B284" i="68"/>
  <c r="J283" i="68"/>
  <c r="K283" i="68" s="1"/>
  <c r="K284" i="68" s="1"/>
  <c r="I283" i="68"/>
  <c r="H283" i="68"/>
  <c r="G283" i="68"/>
  <c r="F283" i="68"/>
  <c r="E283" i="68"/>
  <c r="D283" i="68"/>
  <c r="B283" i="68"/>
  <c r="J280" i="68"/>
  <c r="I280" i="68"/>
  <c r="H280" i="68"/>
  <c r="G280" i="68"/>
  <c r="F280" i="68"/>
  <c r="E280" i="68"/>
  <c r="D280" i="68"/>
  <c r="B280" i="68"/>
  <c r="J279" i="68"/>
  <c r="K279" i="68" s="1"/>
  <c r="L279" i="68" s="1"/>
  <c r="I279" i="68"/>
  <c r="H279" i="68"/>
  <c r="G279" i="68"/>
  <c r="F279" i="68"/>
  <c r="E279" i="68"/>
  <c r="D279" i="68"/>
  <c r="B279" i="68"/>
  <c r="H276" i="68"/>
  <c r="G276" i="68"/>
  <c r="D276" i="68"/>
  <c r="B276" i="68"/>
  <c r="B274" i="68"/>
  <c r="J273" i="68"/>
  <c r="I273" i="68"/>
  <c r="H273" i="68"/>
  <c r="G273" i="68"/>
  <c r="F273" i="68"/>
  <c r="E273" i="68"/>
  <c r="D273" i="68"/>
  <c r="G272" i="68"/>
  <c r="H271" i="68"/>
  <c r="G271" i="68"/>
  <c r="D271" i="68"/>
  <c r="B267" i="68"/>
  <c r="J266" i="68"/>
  <c r="I266" i="68"/>
  <c r="H266" i="68"/>
  <c r="G266" i="68"/>
  <c r="F266" i="68"/>
  <c r="E266" i="68"/>
  <c r="D266" i="68"/>
  <c r="B266" i="68"/>
  <c r="B264" i="68"/>
  <c r="S263" i="68"/>
  <c r="S512" i="68" s="1"/>
  <c r="G263" i="68"/>
  <c r="D263" i="68"/>
  <c r="B258" i="68"/>
  <c r="J257" i="68"/>
  <c r="I257" i="68"/>
  <c r="H257" i="68"/>
  <c r="G257" i="68"/>
  <c r="F257" i="68"/>
  <c r="E257" i="68"/>
  <c r="D257" i="68"/>
  <c r="B257" i="68"/>
  <c r="J256" i="68"/>
  <c r="K256" i="68" s="1"/>
  <c r="L256" i="68" s="1"/>
  <c r="I256" i="68"/>
  <c r="I258" i="68" s="1"/>
  <c r="H256" i="68"/>
  <c r="G256" i="68"/>
  <c r="F256" i="68"/>
  <c r="E256" i="68"/>
  <c r="D256" i="68"/>
  <c r="B256" i="68"/>
  <c r="J253" i="68"/>
  <c r="K253" i="68" s="1"/>
  <c r="L253" i="68" s="1"/>
  <c r="I253" i="68"/>
  <c r="H253" i="68"/>
  <c r="G253" i="68"/>
  <c r="F253" i="68"/>
  <c r="E253" i="68"/>
  <c r="D253" i="68"/>
  <c r="B253" i="68"/>
  <c r="J252" i="68"/>
  <c r="K252" i="68" s="1"/>
  <c r="L252" i="68" s="1"/>
  <c r="M252" i="68" s="1"/>
  <c r="N252" i="68" s="1"/>
  <c r="O252" i="68" s="1"/>
  <c r="P252" i="68" s="1"/>
  <c r="Q252" i="68" s="1"/>
  <c r="R252" i="68" s="1"/>
  <c r="S252" i="68" s="1"/>
  <c r="T252" i="68" s="1"/>
  <c r="I252" i="68"/>
  <c r="H252" i="68"/>
  <c r="G252" i="68"/>
  <c r="F252" i="68"/>
  <c r="E252" i="68"/>
  <c r="D252" i="68"/>
  <c r="B252" i="68"/>
  <c r="J249" i="68"/>
  <c r="I249" i="68"/>
  <c r="H249" i="68"/>
  <c r="G249" i="68"/>
  <c r="F249" i="68"/>
  <c r="E249" i="68"/>
  <c r="D249" i="68"/>
  <c r="D248" i="68" s="1"/>
  <c r="B249" i="68"/>
  <c r="J247" i="68"/>
  <c r="I247" i="68"/>
  <c r="H247" i="68"/>
  <c r="G247" i="68"/>
  <c r="F247" i="68"/>
  <c r="E247" i="68"/>
  <c r="D247" i="68"/>
  <c r="B247" i="68"/>
  <c r="E246" i="68"/>
  <c r="D246" i="68"/>
  <c r="B246" i="68"/>
  <c r="J242" i="68"/>
  <c r="I242" i="68"/>
  <c r="H242" i="68"/>
  <c r="G242" i="68"/>
  <c r="F242" i="68"/>
  <c r="E242" i="68"/>
  <c r="D242" i="68"/>
  <c r="B242" i="68"/>
  <c r="J241" i="68"/>
  <c r="K241" i="68" s="1"/>
  <c r="L241" i="68" s="1"/>
  <c r="M241" i="68" s="1"/>
  <c r="N241" i="68" s="1"/>
  <c r="O241" i="68" s="1"/>
  <c r="P241" i="68" s="1"/>
  <c r="Q241" i="68" s="1"/>
  <c r="R241" i="68" s="1"/>
  <c r="S241" i="68" s="1"/>
  <c r="T241" i="68" s="1"/>
  <c r="I241" i="68"/>
  <c r="H241" i="68"/>
  <c r="G241" i="68"/>
  <c r="F241" i="68"/>
  <c r="E241" i="68"/>
  <c r="D241" i="68"/>
  <c r="B241" i="68"/>
  <c r="J239" i="68"/>
  <c r="I239" i="68"/>
  <c r="H239" i="68"/>
  <c r="G239" i="68"/>
  <c r="F239" i="68"/>
  <c r="E239" i="68"/>
  <c r="D239" i="68"/>
  <c r="B239" i="68"/>
  <c r="J238" i="68"/>
  <c r="I238" i="68"/>
  <c r="H238" i="68"/>
  <c r="G238" i="68"/>
  <c r="F238" i="68"/>
  <c r="E238" i="68"/>
  <c r="D238" i="68"/>
  <c r="B238" i="68"/>
  <c r="J237" i="68"/>
  <c r="J294" i="68" s="1"/>
  <c r="I237" i="68"/>
  <c r="I294" i="68" s="1"/>
  <c r="H237" i="68"/>
  <c r="G237" i="68"/>
  <c r="G294" i="68" s="1"/>
  <c r="F237" i="68"/>
  <c r="F294" i="68" s="1"/>
  <c r="E237" i="68"/>
  <c r="E294" i="68" s="1"/>
  <c r="D237" i="68"/>
  <c r="B237" i="68"/>
  <c r="J232" i="68"/>
  <c r="I232" i="68"/>
  <c r="H232" i="68"/>
  <c r="G232" i="68"/>
  <c r="F232" i="68"/>
  <c r="E232" i="68"/>
  <c r="D232" i="68"/>
  <c r="B232" i="68"/>
  <c r="J231" i="68"/>
  <c r="I231" i="68"/>
  <c r="H231" i="68"/>
  <c r="G231" i="68"/>
  <c r="F231" i="68"/>
  <c r="E231" i="68"/>
  <c r="D231" i="68"/>
  <c r="B231" i="68"/>
  <c r="J230" i="68"/>
  <c r="I230" i="68"/>
  <c r="H230" i="68"/>
  <c r="G230" i="68"/>
  <c r="F230" i="68"/>
  <c r="E230" i="68"/>
  <c r="D230" i="68"/>
  <c r="B230" i="68"/>
  <c r="E229" i="68"/>
  <c r="D229" i="68"/>
  <c r="B229" i="68"/>
  <c r="J225" i="68"/>
  <c r="I225" i="68"/>
  <c r="H225" i="68"/>
  <c r="G225" i="68"/>
  <c r="F225" i="68"/>
  <c r="E225" i="68"/>
  <c r="D225" i="68"/>
  <c r="B225" i="68"/>
  <c r="J224" i="68"/>
  <c r="I224" i="68"/>
  <c r="H224" i="68"/>
  <c r="G224" i="68"/>
  <c r="F224" i="68"/>
  <c r="E224" i="68"/>
  <c r="D224" i="68"/>
  <c r="B224" i="68"/>
  <c r="J223" i="68"/>
  <c r="I223" i="68"/>
  <c r="H223" i="68"/>
  <c r="G223" i="68"/>
  <c r="F223" i="68"/>
  <c r="E223" i="68"/>
  <c r="D223" i="68"/>
  <c r="B223" i="68"/>
  <c r="E222" i="68"/>
  <c r="D222" i="68"/>
  <c r="B222" i="68"/>
  <c r="J219" i="68"/>
  <c r="I219" i="68"/>
  <c r="I109" i="68" s="1"/>
  <c r="H219" i="68"/>
  <c r="H109" i="68" s="1"/>
  <c r="G219" i="68"/>
  <c r="F219" i="68"/>
  <c r="E219" i="68"/>
  <c r="E109" i="68" s="1"/>
  <c r="D219" i="68"/>
  <c r="D109" i="68" s="1"/>
  <c r="B219" i="68"/>
  <c r="J218" i="68"/>
  <c r="I218" i="68"/>
  <c r="H218" i="68"/>
  <c r="G218" i="68"/>
  <c r="F218" i="68"/>
  <c r="E218" i="68"/>
  <c r="D218" i="68"/>
  <c r="B218" i="68"/>
  <c r="J214" i="68"/>
  <c r="I214" i="68"/>
  <c r="H214" i="68"/>
  <c r="G214" i="68"/>
  <c r="F214" i="68"/>
  <c r="E214" i="68"/>
  <c r="D214" i="68"/>
  <c r="B214" i="68"/>
  <c r="J213" i="68"/>
  <c r="I213" i="68"/>
  <c r="H213" i="68"/>
  <c r="G213" i="68"/>
  <c r="F213" i="68"/>
  <c r="E213" i="68"/>
  <c r="D213" i="68"/>
  <c r="B213" i="68"/>
  <c r="J212" i="68"/>
  <c r="J423" i="68" s="1"/>
  <c r="J426" i="68" s="1"/>
  <c r="I212" i="68"/>
  <c r="H212" i="68"/>
  <c r="G212" i="68"/>
  <c r="G423" i="68" s="1"/>
  <c r="G426" i="68" s="1"/>
  <c r="F212" i="68"/>
  <c r="F423" i="68" s="1"/>
  <c r="F426" i="68" s="1"/>
  <c r="E212" i="68"/>
  <c r="D212" i="68"/>
  <c r="B212" i="68"/>
  <c r="J208" i="68"/>
  <c r="I208" i="68"/>
  <c r="H208" i="68"/>
  <c r="G208" i="68"/>
  <c r="F208" i="68"/>
  <c r="E208" i="68"/>
  <c r="D208" i="68"/>
  <c r="B208" i="68"/>
  <c r="J207" i="68"/>
  <c r="I207" i="68"/>
  <c r="H207" i="68"/>
  <c r="G207" i="68"/>
  <c r="F207" i="68"/>
  <c r="E207" i="68"/>
  <c r="D207" i="68"/>
  <c r="B207" i="68"/>
  <c r="J206" i="68"/>
  <c r="I206" i="68"/>
  <c r="H206" i="68"/>
  <c r="G206" i="68"/>
  <c r="F206" i="68"/>
  <c r="E206" i="68"/>
  <c r="D206" i="68"/>
  <c r="B206" i="68"/>
  <c r="J205" i="68"/>
  <c r="J209" i="68" s="1"/>
  <c r="I205" i="68"/>
  <c r="I209" i="68" s="1"/>
  <c r="H205" i="68"/>
  <c r="G205" i="68"/>
  <c r="F205" i="68"/>
  <c r="F209" i="68" s="1"/>
  <c r="E205" i="68"/>
  <c r="E209" i="68" s="1"/>
  <c r="D205" i="68"/>
  <c r="B205" i="68"/>
  <c r="J202" i="68"/>
  <c r="I202" i="68"/>
  <c r="H202" i="68"/>
  <c r="G202" i="68"/>
  <c r="F202" i="68"/>
  <c r="E202" i="68"/>
  <c r="D202" i="68"/>
  <c r="B202" i="68"/>
  <c r="J201" i="68"/>
  <c r="I201" i="68"/>
  <c r="H201" i="68"/>
  <c r="G201" i="68"/>
  <c r="F201" i="68"/>
  <c r="E201" i="68"/>
  <c r="D201" i="68"/>
  <c r="B201" i="68"/>
  <c r="J200" i="68"/>
  <c r="I200" i="68"/>
  <c r="H200" i="68"/>
  <c r="G200" i="68"/>
  <c r="F200" i="68"/>
  <c r="E200" i="68"/>
  <c r="D200" i="68"/>
  <c r="B200" i="68"/>
  <c r="J199" i="68"/>
  <c r="I199" i="68"/>
  <c r="H199" i="68"/>
  <c r="G199" i="68"/>
  <c r="F199" i="68"/>
  <c r="E199" i="68"/>
  <c r="D199" i="68"/>
  <c r="B199" i="68"/>
  <c r="J198" i="68"/>
  <c r="I198" i="68"/>
  <c r="H198" i="68"/>
  <c r="G198" i="68"/>
  <c r="F198" i="68"/>
  <c r="E198" i="68"/>
  <c r="D198" i="68"/>
  <c r="B198" i="68"/>
  <c r="J197" i="68"/>
  <c r="I197" i="68"/>
  <c r="H197" i="68"/>
  <c r="G197" i="68"/>
  <c r="F197" i="68"/>
  <c r="E197" i="68"/>
  <c r="D197" i="68"/>
  <c r="B197" i="68"/>
  <c r="J196" i="68"/>
  <c r="I196" i="68"/>
  <c r="H196" i="68"/>
  <c r="G196" i="68"/>
  <c r="F196" i="68"/>
  <c r="E196" i="68"/>
  <c r="D196" i="68"/>
  <c r="B196" i="68"/>
  <c r="J195" i="68"/>
  <c r="I195" i="68"/>
  <c r="H195" i="68"/>
  <c r="G195" i="68"/>
  <c r="F195" i="68"/>
  <c r="E195" i="68"/>
  <c r="D195" i="68"/>
  <c r="B195" i="68"/>
  <c r="J194" i="68"/>
  <c r="I194" i="68"/>
  <c r="H194" i="68"/>
  <c r="G194" i="68"/>
  <c r="F194" i="68"/>
  <c r="E194" i="68"/>
  <c r="D194" i="68"/>
  <c r="B194" i="68"/>
  <c r="B191" i="68"/>
  <c r="J190" i="68"/>
  <c r="K190" i="68" s="1"/>
  <c r="L190" i="68" s="1"/>
  <c r="M190" i="68" s="1"/>
  <c r="N190" i="68" s="1"/>
  <c r="O190" i="68" s="1"/>
  <c r="P190" i="68" s="1"/>
  <c r="Q190" i="68" s="1"/>
  <c r="R190" i="68" s="1"/>
  <c r="S190" i="68" s="1"/>
  <c r="T190" i="68" s="1"/>
  <c r="I190" i="68"/>
  <c r="H190" i="68"/>
  <c r="G190" i="68"/>
  <c r="F190" i="68"/>
  <c r="E190" i="68"/>
  <c r="D190" i="68"/>
  <c r="B190" i="68"/>
  <c r="B188" i="68"/>
  <c r="E187" i="68"/>
  <c r="D187" i="68"/>
  <c r="B187" i="68"/>
  <c r="J272" i="68"/>
  <c r="I272" i="68"/>
  <c r="H272" i="68"/>
  <c r="F185" i="68"/>
  <c r="F272" i="68" s="1"/>
  <c r="E185" i="68"/>
  <c r="E272" i="68" s="1"/>
  <c r="D185" i="68"/>
  <c r="D272" i="68" s="1"/>
  <c r="B185" i="68"/>
  <c r="J295" i="68"/>
  <c r="I295" i="68"/>
  <c r="H295" i="68"/>
  <c r="G295" i="68"/>
  <c r="F295" i="68"/>
  <c r="E184" i="68"/>
  <c r="E295" i="68" s="1"/>
  <c r="D184" i="68"/>
  <c r="D295" i="68" s="1"/>
  <c r="B184" i="68"/>
  <c r="J262" i="68"/>
  <c r="I262" i="68"/>
  <c r="H262" i="68"/>
  <c r="G262" i="68"/>
  <c r="F262" i="68"/>
  <c r="E182" i="68"/>
  <c r="E262" i="68" s="1"/>
  <c r="D182" i="68"/>
  <c r="D262" i="68" s="1"/>
  <c r="B182" i="68"/>
  <c r="E180" i="68"/>
  <c r="D180" i="68"/>
  <c r="B180" i="68"/>
  <c r="E179" i="68"/>
  <c r="D179" i="68"/>
  <c r="B179" i="68"/>
  <c r="D178" i="68"/>
  <c r="B178" i="68"/>
  <c r="G181" i="68"/>
  <c r="G188" i="68" s="1"/>
  <c r="B177" i="68"/>
  <c r="H181" i="68"/>
  <c r="H188" i="68" s="1"/>
  <c r="E176" i="68"/>
  <c r="D176" i="68"/>
  <c r="B176" i="68"/>
  <c r="J181" i="68"/>
  <c r="J188" i="68" s="1"/>
  <c r="I181" i="68"/>
  <c r="I188" i="68" s="1"/>
  <c r="F181" i="68"/>
  <c r="F188" i="68" s="1"/>
  <c r="E175" i="68"/>
  <c r="D175" i="68"/>
  <c r="B175" i="68"/>
  <c r="B172" i="68"/>
  <c r="B170" i="68"/>
  <c r="J165" i="68"/>
  <c r="I165" i="68"/>
  <c r="H165" i="68"/>
  <c r="G165" i="68"/>
  <c r="F165" i="68"/>
  <c r="E165" i="68"/>
  <c r="D165" i="68"/>
  <c r="B165" i="68"/>
  <c r="J164" i="68"/>
  <c r="K164" i="68" s="1"/>
  <c r="L164" i="68" s="1"/>
  <c r="M164" i="68" s="1"/>
  <c r="N164" i="68" s="1"/>
  <c r="O164" i="68" s="1"/>
  <c r="P164" i="68" s="1"/>
  <c r="Q164" i="68" s="1"/>
  <c r="R164" i="68" s="1"/>
  <c r="S164" i="68" s="1"/>
  <c r="I164" i="68"/>
  <c r="H164" i="68"/>
  <c r="G164" i="68"/>
  <c r="F164" i="68"/>
  <c r="E164" i="68"/>
  <c r="D164" i="68"/>
  <c r="B164" i="68"/>
  <c r="B162" i="68"/>
  <c r="J157" i="68"/>
  <c r="I157" i="68"/>
  <c r="H157" i="68"/>
  <c r="G157" i="68"/>
  <c r="F157" i="68"/>
  <c r="E157" i="68"/>
  <c r="D157" i="68"/>
  <c r="B157" i="68"/>
  <c r="J156" i="68"/>
  <c r="I156" i="68"/>
  <c r="H156" i="68"/>
  <c r="G156" i="68"/>
  <c r="F156" i="68"/>
  <c r="E156" i="68"/>
  <c r="D156" i="68"/>
  <c r="B156" i="68"/>
  <c r="J155" i="68"/>
  <c r="K155" i="68" s="1"/>
  <c r="L155" i="68" s="1"/>
  <c r="M155" i="68" s="1"/>
  <c r="N155" i="68" s="1"/>
  <c r="O155" i="68" s="1"/>
  <c r="P155" i="68" s="1"/>
  <c r="Q155" i="68" s="1"/>
  <c r="R155" i="68" s="1"/>
  <c r="S155" i="68" s="1"/>
  <c r="T155" i="68" s="1"/>
  <c r="I155" i="68"/>
  <c r="H155" i="68"/>
  <c r="G155" i="68"/>
  <c r="F155" i="68"/>
  <c r="E155" i="68"/>
  <c r="D155" i="68"/>
  <c r="B155" i="68"/>
  <c r="B153" i="68"/>
  <c r="G151" i="68"/>
  <c r="J148" i="68"/>
  <c r="I148" i="68"/>
  <c r="H148" i="68"/>
  <c r="G148" i="68"/>
  <c r="F148" i="68"/>
  <c r="E148" i="68"/>
  <c r="D148" i="68"/>
  <c r="B148" i="68"/>
  <c r="J147" i="68"/>
  <c r="I147" i="68"/>
  <c r="H147" i="68"/>
  <c r="G147" i="68"/>
  <c r="F147" i="68"/>
  <c r="E147" i="68"/>
  <c r="D147" i="68"/>
  <c r="B147" i="68"/>
  <c r="J144" i="68"/>
  <c r="I144" i="68"/>
  <c r="H144" i="68"/>
  <c r="G144" i="68"/>
  <c r="F144" i="68"/>
  <c r="E144" i="68"/>
  <c r="D144" i="68"/>
  <c r="B142" i="68"/>
  <c r="J141" i="68"/>
  <c r="K141" i="68" s="1"/>
  <c r="L141" i="68" s="1"/>
  <c r="M141" i="68" s="1"/>
  <c r="N141" i="68" s="1"/>
  <c r="O141" i="68" s="1"/>
  <c r="P141" i="68" s="1"/>
  <c r="Q141" i="68" s="1"/>
  <c r="R141" i="68" s="1"/>
  <c r="S141" i="68" s="1"/>
  <c r="T141" i="68" s="1"/>
  <c r="I141" i="68"/>
  <c r="H141" i="68"/>
  <c r="G141" i="68"/>
  <c r="F141" i="68"/>
  <c r="E141" i="68"/>
  <c r="D141" i="68"/>
  <c r="B141" i="68"/>
  <c r="B139" i="68"/>
  <c r="J138" i="68"/>
  <c r="I138" i="68"/>
  <c r="I139" i="68" s="1"/>
  <c r="H138" i="68"/>
  <c r="G138" i="68"/>
  <c r="F138" i="68"/>
  <c r="F139" i="68" s="1"/>
  <c r="F140" i="68" s="1"/>
  <c r="E138" i="68"/>
  <c r="E139" i="68" s="1"/>
  <c r="D138" i="68"/>
  <c r="B138" i="68"/>
  <c r="B134" i="68"/>
  <c r="E132" i="68"/>
  <c r="D132" i="68"/>
  <c r="B132" i="68"/>
  <c r="E131" i="68"/>
  <c r="E424" i="68" s="1"/>
  <c r="D131" i="68"/>
  <c r="B131" i="68"/>
  <c r="E130" i="68"/>
  <c r="D130" i="68"/>
  <c r="B130" i="68"/>
  <c r="H133" i="68"/>
  <c r="H134" i="68" s="1"/>
  <c r="E129" i="68"/>
  <c r="D129" i="68"/>
  <c r="B129" i="68"/>
  <c r="I133" i="68"/>
  <c r="I134" i="68" s="1"/>
  <c r="F133" i="68"/>
  <c r="F134" i="68" s="1"/>
  <c r="E128" i="68"/>
  <c r="D128" i="68"/>
  <c r="B128" i="68"/>
  <c r="J121" i="68"/>
  <c r="I121" i="68"/>
  <c r="H121" i="68"/>
  <c r="G121" i="68"/>
  <c r="F121" i="68"/>
  <c r="E121" i="68"/>
  <c r="D121" i="68"/>
  <c r="B121" i="68"/>
  <c r="J120" i="68"/>
  <c r="I120" i="68"/>
  <c r="H120" i="68"/>
  <c r="G120" i="68"/>
  <c r="F120" i="68"/>
  <c r="E120" i="68"/>
  <c r="D120" i="68"/>
  <c r="B120" i="68"/>
  <c r="J119" i="68"/>
  <c r="I119" i="68"/>
  <c r="H119" i="68"/>
  <c r="G119" i="68"/>
  <c r="F119" i="68"/>
  <c r="E119" i="68"/>
  <c r="D119" i="68"/>
  <c r="B119" i="68"/>
  <c r="J118" i="68"/>
  <c r="I118" i="68"/>
  <c r="H118" i="68"/>
  <c r="G118" i="68"/>
  <c r="F118" i="68"/>
  <c r="E118" i="68"/>
  <c r="D118" i="68"/>
  <c r="B118" i="68"/>
  <c r="J117" i="68"/>
  <c r="I117" i="68"/>
  <c r="H117" i="68"/>
  <c r="G117" i="68"/>
  <c r="F117" i="68"/>
  <c r="E117" i="68"/>
  <c r="D117" i="68"/>
  <c r="B117" i="68"/>
  <c r="J116" i="68"/>
  <c r="I116" i="68"/>
  <c r="H116" i="68"/>
  <c r="G116" i="68"/>
  <c r="F116" i="68"/>
  <c r="E116" i="68"/>
  <c r="D116" i="68"/>
  <c r="B116" i="68"/>
  <c r="J115" i="68"/>
  <c r="I115" i="68"/>
  <c r="H115" i="68"/>
  <c r="G115" i="68"/>
  <c r="F115" i="68"/>
  <c r="E115" i="68"/>
  <c r="D115" i="68"/>
  <c r="B115" i="68"/>
  <c r="J113" i="68"/>
  <c r="I113" i="68"/>
  <c r="H113" i="68"/>
  <c r="G113" i="68"/>
  <c r="F113" i="68"/>
  <c r="E113" i="68"/>
  <c r="D113" i="68"/>
  <c r="B113" i="68"/>
  <c r="J112" i="68"/>
  <c r="I112" i="68"/>
  <c r="H112" i="68"/>
  <c r="G112" i="68"/>
  <c r="F112" i="68"/>
  <c r="E112" i="68"/>
  <c r="D112" i="68"/>
  <c r="B112" i="68"/>
  <c r="J111" i="68"/>
  <c r="I111" i="68"/>
  <c r="H111" i="68"/>
  <c r="G111" i="68"/>
  <c r="F111" i="68"/>
  <c r="E111" i="68"/>
  <c r="D111" i="68"/>
  <c r="B111" i="68"/>
  <c r="J110" i="68"/>
  <c r="I110" i="68"/>
  <c r="H110" i="68"/>
  <c r="G110" i="68"/>
  <c r="F110" i="68"/>
  <c r="E110" i="68"/>
  <c r="D110" i="68"/>
  <c r="B110" i="68"/>
  <c r="J109" i="68"/>
  <c r="G109" i="68"/>
  <c r="F109" i="68"/>
  <c r="J103" i="68"/>
  <c r="I103" i="68"/>
  <c r="H103" i="68"/>
  <c r="G103" i="68"/>
  <c r="F103" i="68"/>
  <c r="E103" i="68"/>
  <c r="D103" i="68"/>
  <c r="B103" i="68"/>
  <c r="E102" i="68"/>
  <c r="D102" i="68"/>
  <c r="B102" i="68"/>
  <c r="J101" i="68"/>
  <c r="J497" i="68" s="1"/>
  <c r="I101" i="68"/>
  <c r="I497" i="68" s="1"/>
  <c r="H101" i="68"/>
  <c r="H497" i="68" s="1"/>
  <c r="G101" i="68"/>
  <c r="F101" i="68"/>
  <c r="F497" i="68" s="1"/>
  <c r="E101" i="68"/>
  <c r="E497" i="68" s="1"/>
  <c r="D101" i="68"/>
  <c r="D497" i="68" s="1"/>
  <c r="B101" i="68"/>
  <c r="J98" i="68"/>
  <c r="I98" i="68"/>
  <c r="H98" i="68"/>
  <c r="G98" i="68"/>
  <c r="F98" i="68"/>
  <c r="E98" i="68"/>
  <c r="D98" i="68"/>
  <c r="B98" i="68"/>
  <c r="J97" i="68"/>
  <c r="I97" i="68"/>
  <c r="H97" i="68"/>
  <c r="G97" i="68"/>
  <c r="F97" i="68"/>
  <c r="E97" i="68"/>
  <c r="D97" i="68"/>
  <c r="B97" i="68"/>
  <c r="J96" i="68"/>
  <c r="I96" i="68"/>
  <c r="H96" i="68"/>
  <c r="G96" i="68"/>
  <c r="F96" i="68"/>
  <c r="E96" i="68"/>
  <c r="D96" i="68"/>
  <c r="B96" i="68"/>
  <c r="J95" i="68"/>
  <c r="I95" i="68"/>
  <c r="H95" i="68"/>
  <c r="G95" i="68"/>
  <c r="F95" i="68"/>
  <c r="E95" i="68"/>
  <c r="D95" i="68"/>
  <c r="B95" i="68"/>
  <c r="J94" i="68"/>
  <c r="I94" i="68"/>
  <c r="H94" i="68"/>
  <c r="G94" i="68"/>
  <c r="F94" i="68"/>
  <c r="E94" i="68"/>
  <c r="D94" i="68"/>
  <c r="B94" i="68"/>
  <c r="E90" i="68"/>
  <c r="D90" i="68"/>
  <c r="B90" i="68"/>
  <c r="E89" i="68"/>
  <c r="D89" i="68"/>
  <c r="B89" i="68"/>
  <c r="E88" i="68"/>
  <c r="D88" i="68"/>
  <c r="B88" i="68"/>
  <c r="E86" i="68"/>
  <c r="D86" i="68"/>
  <c r="B86" i="68"/>
  <c r="E85" i="68"/>
  <c r="D85" i="68"/>
  <c r="B85" i="68"/>
  <c r="J84" i="68"/>
  <c r="I84" i="68"/>
  <c r="H84" i="68"/>
  <c r="G84" i="68"/>
  <c r="F84" i="68"/>
  <c r="E84" i="68"/>
  <c r="D84" i="68"/>
  <c r="B84" i="68"/>
  <c r="J83" i="68"/>
  <c r="I83" i="68"/>
  <c r="H83" i="68"/>
  <c r="G83" i="68"/>
  <c r="F83" i="68"/>
  <c r="E83" i="68"/>
  <c r="D83" i="68"/>
  <c r="B83" i="68"/>
  <c r="E82" i="68"/>
  <c r="D82" i="68"/>
  <c r="B82" i="68"/>
  <c r="B79" i="68"/>
  <c r="J77" i="68"/>
  <c r="I77" i="68"/>
  <c r="H77" i="68"/>
  <c r="G77" i="68"/>
  <c r="F77" i="68"/>
  <c r="E77" i="68"/>
  <c r="D77" i="68"/>
  <c r="B77" i="68"/>
  <c r="J76" i="68"/>
  <c r="I76" i="68"/>
  <c r="H76" i="68"/>
  <c r="G76" i="68"/>
  <c r="F76" i="68"/>
  <c r="E76" i="68"/>
  <c r="D76" i="68"/>
  <c r="B76" i="68"/>
  <c r="J75" i="68"/>
  <c r="J350" i="68" s="1"/>
  <c r="I75" i="68"/>
  <c r="I350" i="68" s="1"/>
  <c r="H75" i="68"/>
  <c r="H350" i="68" s="1"/>
  <c r="G75" i="68"/>
  <c r="G350" i="68" s="1"/>
  <c r="F75" i="68"/>
  <c r="F350" i="68" s="1"/>
  <c r="E75" i="68"/>
  <c r="E350" i="68" s="1"/>
  <c r="D75" i="68"/>
  <c r="D350" i="68" s="1"/>
  <c r="B75" i="68"/>
  <c r="J73" i="68"/>
  <c r="I73" i="68"/>
  <c r="H73" i="68"/>
  <c r="G73" i="68"/>
  <c r="F73" i="68"/>
  <c r="E73" i="68"/>
  <c r="D73" i="68"/>
  <c r="B73" i="68"/>
  <c r="J71" i="68"/>
  <c r="I71" i="68"/>
  <c r="H71" i="68"/>
  <c r="G71" i="68"/>
  <c r="F71" i="68"/>
  <c r="E71" i="68"/>
  <c r="D71" i="68"/>
  <c r="B71" i="68"/>
  <c r="E70" i="68"/>
  <c r="D70" i="68"/>
  <c r="B70" i="68"/>
  <c r="E69" i="68"/>
  <c r="D69" i="68"/>
  <c r="B69" i="68"/>
  <c r="B66" i="68"/>
  <c r="B65" i="68"/>
  <c r="E62" i="68"/>
  <c r="D62" i="68"/>
  <c r="B62" i="68"/>
  <c r="B59" i="68"/>
  <c r="J57" i="68"/>
  <c r="I57" i="68"/>
  <c r="H57" i="68"/>
  <c r="G57" i="68"/>
  <c r="F57" i="68"/>
  <c r="E57" i="68"/>
  <c r="D57" i="68"/>
  <c r="B57" i="68"/>
  <c r="B50" i="68"/>
  <c r="J41" i="68"/>
  <c r="I41" i="68"/>
  <c r="H41" i="68"/>
  <c r="G41" i="68"/>
  <c r="F41" i="68"/>
  <c r="E41" i="68"/>
  <c r="D41" i="68"/>
  <c r="B41" i="68"/>
  <c r="J39" i="68"/>
  <c r="I39" i="68"/>
  <c r="H39" i="68"/>
  <c r="G39" i="68"/>
  <c r="F39" i="68"/>
  <c r="E39" i="68"/>
  <c r="D39" i="68"/>
  <c r="J38" i="68"/>
  <c r="D38" i="68"/>
  <c r="J31" i="68"/>
  <c r="I31" i="68"/>
  <c r="H31" i="68"/>
  <c r="G31" i="68"/>
  <c r="F31" i="68"/>
  <c r="E31" i="68"/>
  <c r="D31" i="68"/>
  <c r="B31" i="68"/>
  <c r="A30" i="68"/>
  <c r="J29" i="68"/>
  <c r="I29" i="68"/>
  <c r="H29" i="68"/>
  <c r="G29" i="68"/>
  <c r="F29" i="68"/>
  <c r="E29" i="68"/>
  <c r="D29" i="68"/>
  <c r="B29" i="68"/>
  <c r="J27" i="68"/>
  <c r="I27" i="68"/>
  <c r="H27" i="68"/>
  <c r="G27" i="68"/>
  <c r="F27" i="68"/>
  <c r="E27" i="68"/>
  <c r="D27" i="68"/>
  <c r="B27" i="68"/>
  <c r="J26" i="68"/>
  <c r="I26" i="68"/>
  <c r="H26" i="68"/>
  <c r="G26" i="68"/>
  <c r="F26" i="68"/>
  <c r="E26" i="68"/>
  <c r="D26" i="68"/>
  <c r="B26" i="68"/>
  <c r="J25" i="68"/>
  <c r="I25" i="68"/>
  <c r="H25" i="68"/>
  <c r="G25" i="68"/>
  <c r="F25" i="68"/>
  <c r="E25" i="68"/>
  <c r="D25" i="68"/>
  <c r="B25" i="68"/>
  <c r="J24" i="68"/>
  <c r="I24" i="68"/>
  <c r="H24" i="68"/>
  <c r="G24" i="68"/>
  <c r="F24" i="68"/>
  <c r="E24" i="68"/>
  <c r="D24" i="68"/>
  <c r="B24" i="68"/>
  <c r="A23" i="68"/>
  <c r="J22" i="68"/>
  <c r="I22" i="68"/>
  <c r="H22" i="68"/>
  <c r="G22" i="68"/>
  <c r="F22" i="68"/>
  <c r="E22" i="68"/>
  <c r="D22" i="68"/>
  <c r="B22" i="68"/>
  <c r="A20" i="68"/>
  <c r="J19" i="68"/>
  <c r="I19" i="68"/>
  <c r="H19" i="68"/>
  <c r="G19" i="68"/>
  <c r="F19" i="68"/>
  <c r="E19" i="68"/>
  <c r="D19" i="68"/>
  <c r="B19" i="68"/>
  <c r="A18" i="68"/>
  <c r="J17" i="68"/>
  <c r="I17" i="68"/>
  <c r="H17" i="68"/>
  <c r="G17" i="68"/>
  <c r="H18" i="68" s="1"/>
  <c r="F17" i="68"/>
  <c r="E17" i="68"/>
  <c r="D17" i="68"/>
  <c r="B17" i="68"/>
  <c r="A14" i="68"/>
  <c r="J13" i="68"/>
  <c r="I13" i="68"/>
  <c r="H13" i="68"/>
  <c r="H15" i="68" s="1"/>
  <c r="G13" i="68"/>
  <c r="G15" i="68" s="1"/>
  <c r="F13" i="68"/>
  <c r="F15" i="68" s="1"/>
  <c r="E13" i="68"/>
  <c r="D13" i="68"/>
  <c r="D15" i="68" s="1"/>
  <c r="B13" i="68"/>
  <c r="J11" i="68"/>
  <c r="I11" i="68"/>
  <c r="H11" i="68"/>
  <c r="G11" i="68"/>
  <c r="F11" i="68"/>
  <c r="E11" i="68"/>
  <c r="D11" i="68"/>
  <c r="C1" i="68"/>
  <c r="B41" i="64"/>
  <c r="J20" i="68" l="1"/>
  <c r="I86" i="68"/>
  <c r="F86" i="68"/>
  <c r="F85" i="68"/>
  <c r="F87" i="68" s="1"/>
  <c r="I85" i="68"/>
  <c r="I87" i="68" s="1"/>
  <c r="G85" i="68"/>
  <c r="H86" i="68"/>
  <c r="G86" i="68"/>
  <c r="H85" i="68"/>
  <c r="F20" i="68"/>
  <c r="D264" i="68"/>
  <c r="E271" i="68"/>
  <c r="R27" i="25"/>
  <c r="T27" i="25"/>
  <c r="D21" i="68"/>
  <c r="F30" i="68"/>
  <c r="J30" i="68"/>
  <c r="N439" i="68"/>
  <c r="R439" i="68"/>
  <c r="O439" i="68"/>
  <c r="S439" i="68"/>
  <c r="L439" i="68"/>
  <c r="P439" i="68"/>
  <c r="T439" i="68"/>
  <c r="M439" i="68"/>
  <c r="Q439" i="68"/>
  <c r="K439" i="68"/>
  <c r="G30" i="68"/>
  <c r="E296" i="68"/>
  <c r="E290" i="68"/>
  <c r="E291" i="68" s="1"/>
  <c r="D424" i="68"/>
  <c r="D72" i="68"/>
  <c r="G333" i="68"/>
  <c r="J139" i="68"/>
  <c r="J140" i="68" s="1"/>
  <c r="D99" i="68"/>
  <c r="U27" i="25"/>
  <c r="H375" i="68"/>
  <c r="H379" i="68" s="1"/>
  <c r="S27" i="25"/>
  <c r="S110" i="68"/>
  <c r="T110" i="68"/>
  <c r="H274" i="68"/>
  <c r="H275" i="68" s="1"/>
  <c r="D324" i="68"/>
  <c r="D274" i="68"/>
  <c r="D275" i="68" s="1"/>
  <c r="L110" i="68"/>
  <c r="O512" i="68"/>
  <c r="O110" i="68"/>
  <c r="P512" i="68"/>
  <c r="P110" i="68"/>
  <c r="K512" i="68"/>
  <c r="K110" i="68"/>
  <c r="Q110" i="68"/>
  <c r="I336" i="68"/>
  <c r="F333" i="68"/>
  <c r="F340" i="68" s="1"/>
  <c r="J245" i="68"/>
  <c r="G410" i="68"/>
  <c r="G414" i="68" s="1"/>
  <c r="J410" i="68"/>
  <c r="J414" i="68" s="1"/>
  <c r="J14" i="68"/>
  <c r="F23" i="68"/>
  <c r="J23" i="68"/>
  <c r="I23" i="68"/>
  <c r="G12" i="68"/>
  <c r="H12" i="68"/>
  <c r="H14" i="68"/>
  <c r="E12" i="68"/>
  <c r="I12" i="68"/>
  <c r="H21" i="68"/>
  <c r="E23" i="68"/>
  <c r="E20" i="68"/>
  <c r="F12" i="68"/>
  <c r="J12" i="68"/>
  <c r="E104" i="68"/>
  <c r="M110" i="68"/>
  <c r="D133" i="68"/>
  <c r="D134" i="68" s="1"/>
  <c r="D135" i="68" s="1"/>
  <c r="D490" i="68"/>
  <c r="H264" i="68"/>
  <c r="I274" i="68"/>
  <c r="E258" i="68"/>
  <c r="E259" i="68" s="1"/>
  <c r="I333" i="68"/>
  <c r="I340" i="68" s="1"/>
  <c r="E490" i="68"/>
  <c r="G18" i="68"/>
  <c r="G21" i="68"/>
  <c r="I20" i="68"/>
  <c r="H23" i="68"/>
  <c r="E30" i="68"/>
  <c r="I30" i="68"/>
  <c r="E274" i="68"/>
  <c r="E275" i="68" s="1"/>
  <c r="E245" i="68"/>
  <c r="H333" i="68"/>
  <c r="H340" i="68" s="1"/>
  <c r="E87" i="68"/>
  <c r="F264" i="68"/>
  <c r="J264" i="68"/>
  <c r="K264" i="68" s="1"/>
  <c r="G215" i="68"/>
  <c r="G108" i="68" s="1"/>
  <c r="G114" i="68" s="1"/>
  <c r="E248" i="68"/>
  <c r="I271" i="68"/>
  <c r="D410" i="68"/>
  <c r="D414" i="68" s="1"/>
  <c r="H410" i="68"/>
  <c r="H414" i="68" s="1"/>
  <c r="E99" i="68"/>
  <c r="E100" i="68" s="1"/>
  <c r="I122" i="68"/>
  <c r="E133" i="68"/>
  <c r="E134" i="68" s="1"/>
  <c r="E135" i="68" s="1"/>
  <c r="E181" i="68"/>
  <c r="E188" i="68" s="1"/>
  <c r="F276" i="68"/>
  <c r="F410" i="68"/>
  <c r="F414" i="68" s="1"/>
  <c r="J215" i="68"/>
  <c r="J108" i="68" s="1"/>
  <c r="J114" i="68" s="1"/>
  <c r="E72" i="68"/>
  <c r="E74" i="68" s="1"/>
  <c r="E78" i="68" s="1"/>
  <c r="E79" i="68" s="1"/>
  <c r="D87" i="68"/>
  <c r="F122" i="68"/>
  <c r="J122" i="68"/>
  <c r="D181" i="68"/>
  <c r="D188" i="68" s="1"/>
  <c r="D189" i="68" s="1"/>
  <c r="G264" i="68"/>
  <c r="G265" i="68" s="1"/>
  <c r="G267" i="68" s="1"/>
  <c r="G209" i="68"/>
  <c r="F215" i="68"/>
  <c r="F108" i="68" s="1"/>
  <c r="F114" i="68" s="1"/>
  <c r="E226" i="68"/>
  <c r="D233" i="68"/>
  <c r="E233" i="68"/>
  <c r="I296" i="68"/>
  <c r="I297" i="68" s="1"/>
  <c r="E240" i="68"/>
  <c r="I240" i="68"/>
  <c r="D290" i="68"/>
  <c r="F315" i="68"/>
  <c r="E336" i="68"/>
  <c r="F336" i="68"/>
  <c r="F468" i="68"/>
  <c r="E122" i="68"/>
  <c r="F296" i="68"/>
  <c r="F297" i="68" s="1"/>
  <c r="J296" i="68"/>
  <c r="F240" i="68"/>
  <c r="F245" i="68"/>
  <c r="D258" i="68"/>
  <c r="D259" i="68" s="1"/>
  <c r="E333" i="68"/>
  <c r="E340" i="68" s="1"/>
  <c r="F379" i="68"/>
  <c r="I410" i="68"/>
  <c r="I414" i="68" s="1"/>
  <c r="K249" i="68"/>
  <c r="L249" i="68" s="1"/>
  <c r="L248" i="68" s="1"/>
  <c r="D104" i="68"/>
  <c r="I264" i="68"/>
  <c r="I265" i="68" s="1"/>
  <c r="I267" i="68" s="1"/>
  <c r="G296" i="68"/>
  <c r="G297" i="68" s="1"/>
  <c r="G240" i="68"/>
  <c r="D333" i="68"/>
  <c r="D340" i="68" s="1"/>
  <c r="D421" i="68"/>
  <c r="H421" i="68"/>
  <c r="J468" i="68"/>
  <c r="I473" i="68"/>
  <c r="T7" i="25"/>
  <c r="S7" i="25"/>
  <c r="R7" i="25"/>
  <c r="U7" i="25"/>
  <c r="K2" i="68"/>
  <c r="N2" i="68"/>
  <c r="K26" i="68"/>
  <c r="L26" i="68" s="1"/>
  <c r="K111" i="68"/>
  <c r="I152" i="68"/>
  <c r="O2" i="68"/>
  <c r="Q111" i="68"/>
  <c r="H162" i="68"/>
  <c r="H170" i="68" s="1"/>
  <c r="R2" i="68"/>
  <c r="S2" i="68"/>
  <c r="K24" i="68"/>
  <c r="L24" i="68" s="1"/>
  <c r="K29" i="68"/>
  <c r="K30" i="68" s="1"/>
  <c r="K76" i="68"/>
  <c r="K393" i="68" s="1"/>
  <c r="K165" i="68"/>
  <c r="L165" i="68" s="1"/>
  <c r="M165" i="68" s="1"/>
  <c r="N165" i="68" s="1"/>
  <c r="O165" i="68" s="1"/>
  <c r="P165" i="68" s="1"/>
  <c r="Q165" i="68" s="1"/>
  <c r="R165" i="68" s="1"/>
  <c r="S165" i="68" s="1"/>
  <c r="H135" i="68"/>
  <c r="H183" i="68"/>
  <c r="H186" i="68" s="1"/>
  <c r="H189" i="68"/>
  <c r="H191" i="68" s="1"/>
  <c r="G497" i="68"/>
  <c r="G499" i="68" s="1"/>
  <c r="I135" i="68"/>
  <c r="D74" i="68"/>
  <c r="D78" i="68" s="1"/>
  <c r="D79" i="68" s="1"/>
  <c r="E352" i="68"/>
  <c r="E353" i="68" s="1"/>
  <c r="I352" i="68"/>
  <c r="I353" i="68" s="1"/>
  <c r="G393" i="68"/>
  <c r="G391" i="68"/>
  <c r="D100" i="68"/>
  <c r="G122" i="68"/>
  <c r="F135" i="68"/>
  <c r="J142" i="68"/>
  <c r="J143" i="68" s="1"/>
  <c r="E21" i="68"/>
  <c r="E18" i="68"/>
  <c r="F142" i="68"/>
  <c r="F143" i="68" s="1"/>
  <c r="E15" i="68"/>
  <c r="E14" i="68"/>
  <c r="I14" i="68"/>
  <c r="I15" i="68"/>
  <c r="D122" i="68"/>
  <c r="H122" i="68"/>
  <c r="T164" i="68"/>
  <c r="G183" i="68"/>
  <c r="G186" i="68" s="1"/>
  <c r="G189" i="68"/>
  <c r="G191" i="68" s="1"/>
  <c r="I18" i="68"/>
  <c r="I21" i="68"/>
  <c r="J133" i="68"/>
  <c r="J134" i="68" s="1"/>
  <c r="I140" i="68"/>
  <c r="G153" i="68"/>
  <c r="D314" i="68"/>
  <c r="D315" i="68" s="1"/>
  <c r="F352" i="68"/>
  <c r="F353" i="68" s="1"/>
  <c r="H393" i="68"/>
  <c r="H391" i="68"/>
  <c r="M111" i="68"/>
  <c r="H153" i="68"/>
  <c r="F183" i="68"/>
  <c r="F186" i="68" s="1"/>
  <c r="D423" i="68"/>
  <c r="D426" i="68" s="1"/>
  <c r="D215" i="68"/>
  <c r="D108" i="68" s="1"/>
  <c r="D114" i="68" s="1"/>
  <c r="D291" i="68"/>
  <c r="F265" i="68"/>
  <c r="F267" i="68" s="1"/>
  <c r="I183" i="68"/>
  <c r="I186" i="68" s="1"/>
  <c r="M279" i="68"/>
  <c r="J352" i="68"/>
  <c r="J353" i="68" s="1"/>
  <c r="D391" i="68"/>
  <c r="D393" i="68"/>
  <c r="R111" i="68"/>
  <c r="F161" i="68"/>
  <c r="I162" i="68"/>
  <c r="I170" i="68" s="1"/>
  <c r="J183" i="68"/>
  <c r="J186" i="68" s="1"/>
  <c r="H423" i="68"/>
  <c r="H426" i="68" s="1"/>
  <c r="H215" i="68"/>
  <c r="H108" i="68" s="1"/>
  <c r="H114" i="68" s="1"/>
  <c r="L2" i="68"/>
  <c r="P2" i="68"/>
  <c r="T2" i="68"/>
  <c r="F14" i="68"/>
  <c r="F18" i="68"/>
  <c r="J18" i="68"/>
  <c r="G20" i="68"/>
  <c r="F21" i="68"/>
  <c r="J21" i="68"/>
  <c r="G23" i="68"/>
  <c r="K25" i="68"/>
  <c r="L25" i="68" s="1"/>
  <c r="M25" i="68" s="1"/>
  <c r="N25" i="68" s="1"/>
  <c r="O25" i="68" s="1"/>
  <c r="P25" i="68" s="1"/>
  <c r="Q25" i="68" s="1"/>
  <c r="R25" i="68" s="1"/>
  <c r="S25" i="68" s="1"/>
  <c r="T25" i="68" s="1"/>
  <c r="H30" i="68"/>
  <c r="G352" i="68"/>
  <c r="G353" i="68" s="1"/>
  <c r="E391" i="68"/>
  <c r="E393" i="68"/>
  <c r="I391" i="68"/>
  <c r="I393" i="68"/>
  <c r="N111" i="68"/>
  <c r="S111" i="68"/>
  <c r="G133" i="68"/>
  <c r="G134" i="68" s="1"/>
  <c r="E140" i="68"/>
  <c r="E152" i="68"/>
  <c r="G161" i="68"/>
  <c r="D162" i="68"/>
  <c r="D170" i="68" s="1"/>
  <c r="K184" i="68"/>
  <c r="H248" i="68"/>
  <c r="N512" i="68"/>
  <c r="N110" i="68"/>
  <c r="R512" i="68"/>
  <c r="R110" i="68"/>
  <c r="H314" i="68"/>
  <c r="H315" i="68" s="1"/>
  <c r="K467" i="68"/>
  <c r="L467" i="68" s="1"/>
  <c r="M467" i="68" s="1"/>
  <c r="N467" i="68" s="1"/>
  <c r="O467" i="68" s="1"/>
  <c r="P467" i="68" s="1"/>
  <c r="Q467" i="68" s="1"/>
  <c r="R467" i="68" s="1"/>
  <c r="S467" i="68" s="1"/>
  <c r="T467" i="68" s="1"/>
  <c r="K440" i="68"/>
  <c r="L440" i="68" s="1"/>
  <c r="M440" i="68" s="1"/>
  <c r="N440" i="68" s="1"/>
  <c r="O440" i="68" s="1"/>
  <c r="P440" i="68" s="1"/>
  <c r="Q440" i="68" s="1"/>
  <c r="R440" i="68" s="1"/>
  <c r="S440" i="68" s="1"/>
  <c r="T440" i="68" s="1"/>
  <c r="I358" i="68"/>
  <c r="I362" i="68" s="1"/>
  <c r="E358" i="68"/>
  <c r="E362" i="68" s="1"/>
  <c r="H358" i="68"/>
  <c r="H362" i="68" s="1"/>
  <c r="D358" i="68"/>
  <c r="D362" i="68" s="1"/>
  <c r="K426" i="68"/>
  <c r="K214" i="68" s="1"/>
  <c r="K381" i="68"/>
  <c r="L381" i="68" s="1"/>
  <c r="M381" i="68" s="1"/>
  <c r="N381" i="68" s="1"/>
  <c r="O381" i="68" s="1"/>
  <c r="P381" i="68" s="1"/>
  <c r="Q381" i="68" s="1"/>
  <c r="R381" i="68" s="1"/>
  <c r="S381" i="68" s="1"/>
  <c r="T381" i="68" s="1"/>
  <c r="J358" i="68"/>
  <c r="J362" i="68" s="1"/>
  <c r="D357" i="68"/>
  <c r="J344" i="68"/>
  <c r="F344" i="68"/>
  <c r="G358" i="68"/>
  <c r="G362" i="68" s="1"/>
  <c r="I344" i="68"/>
  <c r="E344" i="68"/>
  <c r="K319" i="68"/>
  <c r="L319" i="68" s="1"/>
  <c r="M319" i="68" s="1"/>
  <c r="N319" i="68" s="1"/>
  <c r="O319" i="68" s="1"/>
  <c r="P319" i="68" s="1"/>
  <c r="Q319" i="68" s="1"/>
  <c r="R319" i="68" s="1"/>
  <c r="S319" i="68" s="1"/>
  <c r="T319" i="68" s="1"/>
  <c r="G344" i="68"/>
  <c r="D344" i="68"/>
  <c r="K247" i="68"/>
  <c r="L247" i="68" s="1"/>
  <c r="M247" i="68" s="1"/>
  <c r="N247" i="68" s="1"/>
  <c r="O247" i="68" s="1"/>
  <c r="P247" i="68" s="1"/>
  <c r="Q247" i="68" s="1"/>
  <c r="R247" i="68" s="1"/>
  <c r="S247" i="68" s="1"/>
  <c r="T247" i="68" s="1"/>
  <c r="K237" i="68"/>
  <c r="G162" i="68"/>
  <c r="G170" i="68" s="1"/>
  <c r="I161" i="68"/>
  <c r="E161" i="68"/>
  <c r="J153" i="68"/>
  <c r="F153" i="68"/>
  <c r="D152" i="68"/>
  <c r="K443" i="68"/>
  <c r="L443" i="68" s="1"/>
  <c r="M443" i="68" s="1"/>
  <c r="N443" i="68" s="1"/>
  <c r="O443" i="68" s="1"/>
  <c r="P443" i="68" s="1"/>
  <c r="Q443" i="68" s="1"/>
  <c r="R443" i="68" s="1"/>
  <c r="S443" i="68" s="1"/>
  <c r="T443" i="68" s="1"/>
  <c r="K386" i="68"/>
  <c r="L386" i="68" s="1"/>
  <c r="M386" i="68" s="1"/>
  <c r="N386" i="68" s="1"/>
  <c r="O386" i="68" s="1"/>
  <c r="P386" i="68" s="1"/>
  <c r="Q386" i="68" s="1"/>
  <c r="R386" i="68" s="1"/>
  <c r="S386" i="68" s="1"/>
  <c r="T386" i="68" s="1"/>
  <c r="E357" i="68"/>
  <c r="K320" i="68"/>
  <c r="L320" i="68" s="1"/>
  <c r="M320" i="68" s="1"/>
  <c r="N320" i="68" s="1"/>
  <c r="O320" i="68" s="1"/>
  <c r="P320" i="68" s="1"/>
  <c r="Q320" i="68" s="1"/>
  <c r="R320" i="68" s="1"/>
  <c r="S320" i="68" s="1"/>
  <c r="T320" i="68" s="1"/>
  <c r="J162" i="68"/>
  <c r="J170" i="68" s="1"/>
  <c r="F162" i="68"/>
  <c r="F170" i="68" s="1"/>
  <c r="D161" i="68"/>
  <c r="I153" i="68"/>
  <c r="E153" i="68"/>
  <c r="G152" i="68"/>
  <c r="T111" i="68"/>
  <c r="P111" i="68"/>
  <c r="L111" i="68"/>
  <c r="F358" i="68"/>
  <c r="F362" i="68" s="1"/>
  <c r="H344" i="68"/>
  <c r="K246" i="68"/>
  <c r="L246" i="68" s="1"/>
  <c r="M2" i="68"/>
  <c r="Q2" i="68"/>
  <c r="G14" i="68"/>
  <c r="J15" i="68"/>
  <c r="H20" i="68"/>
  <c r="K31" i="68"/>
  <c r="E234" i="68"/>
  <c r="D352" i="68"/>
  <c r="D353" i="68" s="1"/>
  <c r="H352" i="68"/>
  <c r="H353" i="68" s="1"/>
  <c r="F393" i="68"/>
  <c r="F391" i="68"/>
  <c r="J391" i="68"/>
  <c r="J393" i="68"/>
  <c r="O111" i="68"/>
  <c r="K113" i="68"/>
  <c r="L113" i="68" s="1"/>
  <c r="M113" i="68" s="1"/>
  <c r="N113" i="68" s="1"/>
  <c r="O113" i="68" s="1"/>
  <c r="P113" i="68" s="1"/>
  <c r="Q113" i="68" s="1"/>
  <c r="R113" i="68" s="1"/>
  <c r="S113" i="68" s="1"/>
  <c r="T113" i="68" s="1"/>
  <c r="D139" i="68"/>
  <c r="D140" i="68" s="1"/>
  <c r="H139" i="68"/>
  <c r="H140" i="68" s="1"/>
  <c r="G139" i="68"/>
  <c r="G140" i="68" s="1"/>
  <c r="F152" i="68"/>
  <c r="D153" i="68"/>
  <c r="E162" i="68"/>
  <c r="E170" i="68" s="1"/>
  <c r="E264" i="68"/>
  <c r="E265" i="68" s="1"/>
  <c r="F189" i="68"/>
  <c r="F191" i="68" s="1"/>
  <c r="D240" i="68"/>
  <c r="D294" i="68"/>
  <c r="H240" i="68"/>
  <c r="H294" i="68"/>
  <c r="H296" i="68" s="1"/>
  <c r="G274" i="68"/>
  <c r="G275" i="68" s="1"/>
  <c r="G340" i="68"/>
  <c r="K334" i="68"/>
  <c r="L334" i="68" s="1"/>
  <c r="M334" i="68" s="1"/>
  <c r="N334" i="68" s="1"/>
  <c r="O334" i="68" s="1"/>
  <c r="P334" i="68" s="1"/>
  <c r="Q334" i="68" s="1"/>
  <c r="R334" i="68" s="1"/>
  <c r="S334" i="68" s="1"/>
  <c r="T334" i="68" s="1"/>
  <c r="J336" i="68"/>
  <c r="E423" i="68"/>
  <c r="E215" i="68"/>
  <c r="E108" i="68" s="1"/>
  <c r="E114" i="68" s="1"/>
  <c r="I423" i="68"/>
  <c r="I215" i="68"/>
  <c r="I108" i="68" s="1"/>
  <c r="I114" i="68" s="1"/>
  <c r="E297" i="68"/>
  <c r="E315" i="68"/>
  <c r="F274" i="68"/>
  <c r="F275" i="68" s="1"/>
  <c r="J274" i="68"/>
  <c r="K274" i="68" s="1"/>
  <c r="L274" i="68" s="1"/>
  <c r="M274" i="68" s="1"/>
  <c r="N274" i="68" s="1"/>
  <c r="O274" i="68" s="1"/>
  <c r="P274" i="68" s="1"/>
  <c r="Q274" i="68" s="1"/>
  <c r="R274" i="68" s="1"/>
  <c r="S274" i="68" s="1"/>
  <c r="T274" i="68" s="1"/>
  <c r="D209" i="68"/>
  <c r="H209" i="68"/>
  <c r="J240" i="68"/>
  <c r="H245" i="68"/>
  <c r="D245" i="68"/>
  <c r="D46" i="68" s="1"/>
  <c r="G245" i="68"/>
  <c r="I248" i="68"/>
  <c r="I259" i="68"/>
  <c r="M256" i="68"/>
  <c r="K257" i="68"/>
  <c r="H258" i="68"/>
  <c r="H259" i="68" s="1"/>
  <c r="L283" i="68"/>
  <c r="G336" i="68"/>
  <c r="G337" i="68" s="1"/>
  <c r="D337" i="68"/>
  <c r="D449" i="68"/>
  <c r="H449" i="68"/>
  <c r="D265" i="68"/>
  <c r="H265" i="68"/>
  <c r="H267" i="68" s="1"/>
  <c r="D226" i="68"/>
  <c r="I245" i="68"/>
  <c r="G248" i="68"/>
  <c r="M253" i="68"/>
  <c r="K280" i="68"/>
  <c r="L280" i="68" s="1"/>
  <c r="G314" i="68"/>
  <c r="G315" i="68" s="1"/>
  <c r="J315" i="68"/>
  <c r="K314" i="68"/>
  <c r="L314" i="68" s="1"/>
  <c r="M314" i="68" s="1"/>
  <c r="N314" i="68" s="1"/>
  <c r="O314" i="68" s="1"/>
  <c r="P314" i="68" s="1"/>
  <c r="Q314" i="68" s="1"/>
  <c r="R314" i="68" s="1"/>
  <c r="S314" i="68" s="1"/>
  <c r="T314" i="68" s="1"/>
  <c r="E449" i="68"/>
  <c r="I449" i="68"/>
  <c r="F248" i="68"/>
  <c r="J248" i="68"/>
  <c r="F258" i="68"/>
  <c r="F259" i="68" s="1"/>
  <c r="J258" i="68"/>
  <c r="K258" i="68" s="1"/>
  <c r="L258" i="68" s="1"/>
  <c r="H336" i="68"/>
  <c r="G258" i="68"/>
  <c r="G259" i="68" s="1"/>
  <c r="D379" i="68"/>
  <c r="D382" i="68" s="1"/>
  <c r="F422" i="68"/>
  <c r="J422" i="68"/>
  <c r="E379" i="68"/>
  <c r="D407" i="68"/>
  <c r="G422" i="68"/>
  <c r="G421" i="68"/>
  <c r="F449" i="68"/>
  <c r="J449" i="68"/>
  <c r="G449" i="68"/>
  <c r="E421" i="68"/>
  <c r="I421" i="68"/>
  <c r="E436" i="68"/>
  <c r="I436" i="68"/>
  <c r="F462" i="68"/>
  <c r="F463" i="68" s="1"/>
  <c r="J462" i="68"/>
  <c r="D463" i="68"/>
  <c r="H463" i="68"/>
  <c r="G462" i="68"/>
  <c r="G463" i="68" s="1"/>
  <c r="J473" i="68"/>
  <c r="D467" i="68"/>
  <c r="D468" i="68" s="1"/>
  <c r="H467" i="68"/>
  <c r="H468" i="68" s="1"/>
  <c r="E462" i="68"/>
  <c r="E463" i="68" s="1"/>
  <c r="I462" i="68"/>
  <c r="I463" i="68" s="1"/>
  <c r="D491" i="68"/>
  <c r="E468" i="68"/>
  <c r="I468" i="68"/>
  <c r="G467" i="68"/>
  <c r="G468" i="68" s="1"/>
  <c r="D473" i="68"/>
  <c r="H473" i="68"/>
  <c r="F472" i="68"/>
  <c r="F473" i="68" s="1"/>
  <c r="E473" i="68"/>
  <c r="F499" i="68"/>
  <c r="J499" i="68"/>
  <c r="K466" i="68"/>
  <c r="E491" i="68"/>
  <c r="D499" i="68"/>
  <c r="H499" i="68"/>
  <c r="E499" i="68"/>
  <c r="I499" i="68"/>
  <c r="D249" i="64"/>
  <c r="D247" i="64"/>
  <c r="D246" i="64"/>
  <c r="C382" i="64"/>
  <c r="C407" i="64"/>
  <c r="C418" i="64"/>
  <c r="E144" i="64"/>
  <c r="F144" i="64"/>
  <c r="G144" i="64"/>
  <c r="H144" i="64"/>
  <c r="I144" i="64"/>
  <c r="J144" i="64"/>
  <c r="H87" i="68" l="1"/>
  <c r="G87" i="68"/>
  <c r="K144" i="68"/>
  <c r="K313" i="68"/>
  <c r="E46" i="68"/>
  <c r="H161" i="68"/>
  <c r="H163" i="68" s="1"/>
  <c r="H166" i="68" s="1"/>
  <c r="H172" i="68" s="1"/>
  <c r="H152" i="68"/>
  <c r="H154" i="68" s="1"/>
  <c r="H158" i="68" s="1"/>
  <c r="M24" i="68"/>
  <c r="N24" i="68" s="1"/>
  <c r="O24" i="68" s="1"/>
  <c r="P24" i="68" s="1"/>
  <c r="Q24" i="68" s="1"/>
  <c r="R24" i="68" s="1"/>
  <c r="S24" i="68" s="1"/>
  <c r="T24" i="68" s="1"/>
  <c r="I337" i="68"/>
  <c r="I107" i="68" s="1"/>
  <c r="F337" i="68"/>
  <c r="F37" i="68" s="1"/>
  <c r="H337" i="68"/>
  <c r="H37" i="68" s="1"/>
  <c r="H422" i="68"/>
  <c r="G367" i="68"/>
  <c r="E484" i="68"/>
  <c r="E485" i="68" s="1"/>
  <c r="I275" i="68"/>
  <c r="D183" i="68"/>
  <c r="D186" i="68" s="1"/>
  <c r="E91" i="68"/>
  <c r="E92" i="68" s="1"/>
  <c r="E93" i="68" s="1"/>
  <c r="E105" i="68" s="1"/>
  <c r="E183" i="68"/>
  <c r="E186" i="68" s="1"/>
  <c r="E36" i="68" s="1"/>
  <c r="D422" i="68"/>
  <c r="D425" i="68" s="1"/>
  <c r="F91" i="68"/>
  <c r="L29" i="68"/>
  <c r="L30" i="68" s="1"/>
  <c r="K248" i="68"/>
  <c r="F484" i="68"/>
  <c r="E55" i="68"/>
  <c r="K259" i="68"/>
  <c r="E324" i="68"/>
  <c r="J259" i="68"/>
  <c r="E337" i="68"/>
  <c r="E382" i="68"/>
  <c r="F382" i="68" s="1"/>
  <c r="G382" i="68" s="1"/>
  <c r="H382" i="68" s="1"/>
  <c r="I382" i="68" s="1"/>
  <c r="F107" i="68"/>
  <c r="I154" i="68"/>
  <c r="I158" i="68" s="1"/>
  <c r="E359" i="68"/>
  <c r="E363" i="68" s="1"/>
  <c r="L76" i="68"/>
  <c r="L393" i="68" s="1"/>
  <c r="K27" i="68"/>
  <c r="K194" i="68" s="1"/>
  <c r="L245" i="68"/>
  <c r="L484" i="68" s="1"/>
  <c r="K213" i="68"/>
  <c r="L441" i="68"/>
  <c r="K362" i="68"/>
  <c r="L362" i="68" s="1"/>
  <c r="M362" i="68" s="1"/>
  <c r="N362" i="68" s="1"/>
  <c r="O362" i="68" s="1"/>
  <c r="P362" i="68" s="1"/>
  <c r="Q362" i="68" s="1"/>
  <c r="R362" i="68" s="1"/>
  <c r="S362" i="68" s="1"/>
  <c r="T362" i="68" s="1"/>
  <c r="K441" i="68"/>
  <c r="K245" i="68"/>
  <c r="D359" i="68"/>
  <c r="D363" i="68" s="1"/>
  <c r="E169" i="68"/>
  <c r="E171" i="68" s="1"/>
  <c r="D163" i="68"/>
  <c r="D166" i="68" s="1"/>
  <c r="D172" i="68" s="1"/>
  <c r="E267" i="68"/>
  <c r="E268" i="68" s="1"/>
  <c r="I426" i="68"/>
  <c r="I422" i="68"/>
  <c r="I163" i="68"/>
  <c r="I166" i="68" s="1"/>
  <c r="I172" i="68" s="1"/>
  <c r="I169" i="68"/>
  <c r="I171" i="68" s="1"/>
  <c r="G268" i="68"/>
  <c r="F345" i="68"/>
  <c r="F346" i="68" s="1"/>
  <c r="F367" i="68"/>
  <c r="D55" i="68"/>
  <c r="I484" i="68"/>
  <c r="I91" i="68"/>
  <c r="H451" i="68"/>
  <c r="H452" i="68" s="1"/>
  <c r="H63" i="68" s="1"/>
  <c r="H297" i="68"/>
  <c r="H345" i="68"/>
  <c r="H346" i="68" s="1"/>
  <c r="H367" i="68"/>
  <c r="G169" i="68"/>
  <c r="G171" i="68" s="1"/>
  <c r="G154" i="68"/>
  <c r="G158" i="68" s="1"/>
  <c r="M249" i="68"/>
  <c r="N249" i="68" s="1"/>
  <c r="N248" i="68" s="1"/>
  <c r="E345" i="68"/>
  <c r="E346" i="68" s="1"/>
  <c r="E366" i="68"/>
  <c r="E367" i="68"/>
  <c r="J345" i="68"/>
  <c r="J367" i="68"/>
  <c r="O441" i="68"/>
  <c r="D392" i="68"/>
  <c r="D394" i="68"/>
  <c r="H484" i="68"/>
  <c r="H91" i="68"/>
  <c r="D296" i="68"/>
  <c r="D297" i="68" s="1"/>
  <c r="D51" i="68" s="1"/>
  <c r="D366" i="68"/>
  <c r="D345" i="68"/>
  <c r="D346" i="68" s="1"/>
  <c r="D367" i="68"/>
  <c r="N441" i="68"/>
  <c r="H192" i="68"/>
  <c r="J451" i="68"/>
  <c r="E451" i="68"/>
  <c r="E452" i="68" s="1"/>
  <c r="E63" i="68" s="1"/>
  <c r="H268" i="68"/>
  <c r="D37" i="68"/>
  <c r="D107" i="68"/>
  <c r="N256" i="68"/>
  <c r="K296" i="68"/>
  <c r="L296" i="68" s="1"/>
  <c r="M296" i="68" s="1"/>
  <c r="N296" i="68" s="1"/>
  <c r="O296" i="68" s="1"/>
  <c r="P296" i="68" s="1"/>
  <c r="Q296" i="68" s="1"/>
  <c r="R296" i="68" s="1"/>
  <c r="S296" i="68" s="1"/>
  <c r="T296" i="68" s="1"/>
  <c r="J297" i="68"/>
  <c r="G37" i="68"/>
  <c r="G107" i="68"/>
  <c r="F192" i="68"/>
  <c r="H142" i="68"/>
  <c r="H143" i="68" s="1"/>
  <c r="L31" i="68"/>
  <c r="M31" i="68" s="1"/>
  <c r="N31" i="68" s="1"/>
  <c r="O31" i="68" s="1"/>
  <c r="P31" i="68" s="1"/>
  <c r="Q31" i="68" s="1"/>
  <c r="R31" i="68" s="1"/>
  <c r="S31" i="68" s="1"/>
  <c r="T31" i="68" s="1"/>
  <c r="M246" i="68"/>
  <c r="M245" i="68" s="1"/>
  <c r="N253" i="68"/>
  <c r="D267" i="68"/>
  <c r="D268" i="68" s="1"/>
  <c r="L284" i="68"/>
  <c r="M283" i="68"/>
  <c r="L257" i="68"/>
  <c r="L259" i="68" s="1"/>
  <c r="D142" i="68"/>
  <c r="D143" i="68" s="1"/>
  <c r="E492" i="68"/>
  <c r="J463" i="68"/>
  <c r="G451" i="68"/>
  <c r="G452" i="68" s="1"/>
  <c r="G63" i="68" s="1"/>
  <c r="J91" i="68"/>
  <c r="J484" i="68"/>
  <c r="E407" i="68"/>
  <c r="I345" i="68"/>
  <c r="I346" i="68" s="1"/>
  <c r="I367" i="68"/>
  <c r="M441" i="68"/>
  <c r="T165" i="68"/>
  <c r="R441" i="68"/>
  <c r="S441" i="68"/>
  <c r="Q441" i="68"/>
  <c r="G142" i="68"/>
  <c r="G143" i="68" s="1"/>
  <c r="J323" i="68"/>
  <c r="K188" i="68"/>
  <c r="E323" i="68"/>
  <c r="F323" i="68"/>
  <c r="G192" i="68"/>
  <c r="K266" i="68"/>
  <c r="L264" i="68"/>
  <c r="D191" i="68"/>
  <c r="D192" i="68" s="1"/>
  <c r="K522" i="68"/>
  <c r="L466" i="68"/>
  <c r="K468" i="68"/>
  <c r="K121" i="68" s="1"/>
  <c r="F451" i="68"/>
  <c r="F452" i="68" s="1"/>
  <c r="F63" i="68" s="1"/>
  <c r="M258" i="68"/>
  <c r="I451" i="68"/>
  <c r="I452" i="68" s="1"/>
  <c r="I63" i="68" s="1"/>
  <c r="D451" i="68"/>
  <c r="D452" i="68" s="1"/>
  <c r="D63" i="68" s="1"/>
  <c r="G484" i="68"/>
  <c r="G91" i="68"/>
  <c r="D484" i="68"/>
  <c r="D485" i="68" s="1"/>
  <c r="D492" i="68" s="1"/>
  <c r="D91" i="68"/>
  <c r="D92" i="68" s="1"/>
  <c r="D93" i="68" s="1"/>
  <c r="E426" i="68"/>
  <c r="E422" i="68"/>
  <c r="E425" i="68" s="1"/>
  <c r="F169" i="68"/>
  <c r="F171" i="68" s="1"/>
  <c r="F154" i="68"/>
  <c r="F158" i="68" s="1"/>
  <c r="P441" i="68"/>
  <c r="L184" i="68"/>
  <c r="K295" i="68"/>
  <c r="E189" i="68"/>
  <c r="I142" i="68"/>
  <c r="I143" i="68" s="1"/>
  <c r="G323" i="68"/>
  <c r="J189" i="68"/>
  <c r="J191" i="68" s="1"/>
  <c r="I268" i="68"/>
  <c r="D169" i="68"/>
  <c r="D171" i="68" s="1"/>
  <c r="E163" i="68"/>
  <c r="E166" i="68" s="1"/>
  <c r="E172" i="68" s="1"/>
  <c r="K294" i="68"/>
  <c r="G345" i="68"/>
  <c r="G346" i="68" s="1"/>
  <c r="T441" i="68"/>
  <c r="L237" i="68"/>
  <c r="E154" i="68"/>
  <c r="E158" i="68" s="1"/>
  <c r="E142" i="68"/>
  <c r="E143" i="68" s="1"/>
  <c r="F163" i="68"/>
  <c r="F166" i="68" s="1"/>
  <c r="F172" i="68" s="1"/>
  <c r="N279" i="68"/>
  <c r="M280" i="68"/>
  <c r="F268" i="68"/>
  <c r="I323" i="68"/>
  <c r="D36" i="68"/>
  <c r="G163" i="68"/>
  <c r="G166" i="68" s="1"/>
  <c r="G172" i="68" s="1"/>
  <c r="G135" i="68"/>
  <c r="M26" i="68"/>
  <c r="D154" i="68"/>
  <c r="D158" i="68" s="1"/>
  <c r="I189" i="68"/>
  <c r="I191" i="68" s="1"/>
  <c r="J265" i="68"/>
  <c r="J267" i="68" s="1"/>
  <c r="H323" i="68"/>
  <c r="B215" i="65"/>
  <c r="B214" i="65"/>
  <c r="B213" i="65"/>
  <c r="B212" i="65"/>
  <c r="B211" i="65"/>
  <c r="D87" i="65"/>
  <c r="D336" i="65"/>
  <c r="D330" i="65"/>
  <c r="D318" i="65"/>
  <c r="D350" i="65"/>
  <c r="D382" i="65"/>
  <c r="B387" i="65"/>
  <c r="B386" i="65"/>
  <c r="B385" i="65"/>
  <c r="B381" i="65"/>
  <c r="B380" i="65"/>
  <c r="B379" i="65"/>
  <c r="B377" i="65"/>
  <c r="B376" i="65"/>
  <c r="B375" i="65"/>
  <c r="B374" i="65"/>
  <c r="B373" i="65"/>
  <c r="B372" i="65"/>
  <c r="B371" i="65"/>
  <c r="B367" i="65"/>
  <c r="B366" i="65"/>
  <c r="B365" i="65"/>
  <c r="B363" i="65"/>
  <c r="B362" i="65"/>
  <c r="B360" i="65"/>
  <c r="B357" i="65"/>
  <c r="B353" i="65"/>
  <c r="B352" i="65"/>
  <c r="B351" i="65"/>
  <c r="B349" i="65"/>
  <c r="B348" i="65"/>
  <c r="B347" i="65"/>
  <c r="B346" i="65"/>
  <c r="B345" i="65"/>
  <c r="B344" i="65"/>
  <c r="B341" i="65"/>
  <c r="B340" i="65"/>
  <c r="B339" i="65"/>
  <c r="B335" i="65"/>
  <c r="B334" i="65"/>
  <c r="B333" i="65"/>
  <c r="B332" i="65"/>
  <c r="B331" i="65"/>
  <c r="B329" i="65"/>
  <c r="B328" i="65"/>
  <c r="B327" i="65"/>
  <c r="B326" i="65"/>
  <c r="B323" i="65"/>
  <c r="B322" i="65"/>
  <c r="B321" i="65"/>
  <c r="B317" i="65"/>
  <c r="B316" i="65"/>
  <c r="B315" i="65"/>
  <c r="B314" i="65"/>
  <c r="B313" i="65"/>
  <c r="B312" i="65"/>
  <c r="B310" i="65"/>
  <c r="B305" i="65"/>
  <c r="B295" i="65"/>
  <c r="B294" i="65"/>
  <c r="B289" i="65"/>
  <c r="B288" i="65"/>
  <c r="B284" i="65"/>
  <c r="B283" i="65"/>
  <c r="B272" i="65"/>
  <c r="B271" i="65"/>
  <c r="B270" i="65"/>
  <c r="B267" i="65"/>
  <c r="B266" i="65"/>
  <c r="B265" i="65"/>
  <c r="B262" i="65"/>
  <c r="B261" i="65"/>
  <c r="B260" i="65"/>
  <c r="B259" i="65"/>
  <c r="B254" i="65"/>
  <c r="B251" i="65"/>
  <c r="B250" i="65"/>
  <c r="B249" i="65"/>
  <c r="B246" i="65"/>
  <c r="B245" i="65"/>
  <c r="B244" i="65"/>
  <c r="B241" i="65"/>
  <c r="B240" i="65"/>
  <c r="B239" i="65"/>
  <c r="B238" i="65"/>
  <c r="B237" i="65"/>
  <c r="B236" i="65"/>
  <c r="B234" i="65"/>
  <c r="B233" i="65"/>
  <c r="B230" i="65"/>
  <c r="B229" i="65"/>
  <c r="B228" i="65"/>
  <c r="B225" i="65"/>
  <c r="B224" i="65"/>
  <c r="B223" i="65"/>
  <c r="B220" i="65"/>
  <c r="B219" i="65"/>
  <c r="B218" i="65"/>
  <c r="B198" i="65"/>
  <c r="B199" i="65"/>
  <c r="B200" i="65"/>
  <c r="B201" i="65"/>
  <c r="B202" i="65"/>
  <c r="B203" i="65"/>
  <c r="B204" i="65"/>
  <c r="B205" i="65"/>
  <c r="B206" i="65"/>
  <c r="B207" i="65"/>
  <c r="B208" i="65"/>
  <c r="B197" i="65"/>
  <c r="B195" i="65"/>
  <c r="B194" i="65"/>
  <c r="B191" i="65"/>
  <c r="B184" i="65"/>
  <c r="B185" i="65"/>
  <c r="B186" i="65"/>
  <c r="B187" i="65"/>
  <c r="B188" i="65"/>
  <c r="B183" i="65"/>
  <c r="B180" i="65"/>
  <c r="B179" i="65"/>
  <c r="B178" i="65"/>
  <c r="B177" i="65"/>
  <c r="B176" i="65"/>
  <c r="B174" i="65"/>
  <c r="B173" i="65"/>
  <c r="B172" i="65"/>
  <c r="B171" i="65"/>
  <c r="B165" i="65"/>
  <c r="B164" i="65"/>
  <c r="B162" i="65"/>
  <c r="B161" i="65"/>
  <c r="B158" i="65"/>
  <c r="B157" i="65"/>
  <c r="B156" i="65"/>
  <c r="B155" i="65"/>
  <c r="B151" i="65"/>
  <c r="B136" i="65"/>
  <c r="B148" i="65"/>
  <c r="B149" i="65"/>
  <c r="B147" i="65"/>
  <c r="B145" i="65"/>
  <c r="B143" i="65"/>
  <c r="B142" i="65"/>
  <c r="B140" i="65"/>
  <c r="B133" i="65"/>
  <c r="B135" i="65"/>
  <c r="B132" i="65"/>
  <c r="B131" i="65"/>
  <c r="B130" i="65"/>
  <c r="B125" i="65"/>
  <c r="B123" i="65"/>
  <c r="B122" i="65"/>
  <c r="B121" i="65"/>
  <c r="B120" i="65"/>
  <c r="B119" i="65"/>
  <c r="B118" i="65"/>
  <c r="B117" i="65"/>
  <c r="B116" i="65"/>
  <c r="B93" i="65"/>
  <c r="B92" i="65"/>
  <c r="B91" i="65"/>
  <c r="B90" i="65"/>
  <c r="B89" i="65"/>
  <c r="B86" i="65"/>
  <c r="B85" i="65"/>
  <c r="B84" i="65"/>
  <c r="B83" i="65"/>
  <c r="B82" i="65"/>
  <c r="B79" i="65"/>
  <c r="B78" i="65"/>
  <c r="B77" i="65"/>
  <c r="B75" i="65"/>
  <c r="B74" i="65"/>
  <c r="B73" i="65"/>
  <c r="B72" i="65"/>
  <c r="B71" i="65"/>
  <c r="B67" i="65"/>
  <c r="B66" i="65"/>
  <c r="B65" i="65"/>
  <c r="B64" i="65"/>
  <c r="B63" i="65"/>
  <c r="B62" i="65"/>
  <c r="B61" i="65"/>
  <c r="B60" i="65"/>
  <c r="B59" i="65"/>
  <c r="B58" i="65"/>
  <c r="B57" i="65"/>
  <c r="B56" i="65"/>
  <c r="B55" i="65"/>
  <c r="B54" i="65"/>
  <c r="B154" i="65"/>
  <c r="D144" i="64"/>
  <c r="L144" i="68" l="1"/>
  <c r="L313" i="68"/>
  <c r="H169" i="68"/>
  <c r="H171" i="68" s="1"/>
  <c r="H45" i="68" s="1"/>
  <c r="I37" i="68"/>
  <c r="H107" i="68"/>
  <c r="D323" i="68"/>
  <c r="K484" i="68"/>
  <c r="N258" i="68"/>
  <c r="M257" i="68"/>
  <c r="M259" i="68" s="1"/>
  <c r="D395" i="68"/>
  <c r="E37" i="68"/>
  <c r="E107" i="68"/>
  <c r="E123" i="68" s="1"/>
  <c r="M76" i="68"/>
  <c r="M393" i="68" s="1"/>
  <c r="K195" i="68"/>
  <c r="K197" i="68" s="1"/>
  <c r="K196" i="68" s="1"/>
  <c r="L91" i="68"/>
  <c r="K297" i="68"/>
  <c r="M248" i="68"/>
  <c r="M91" i="68" s="1"/>
  <c r="K91" i="68"/>
  <c r="H35" i="68"/>
  <c r="I35" i="68"/>
  <c r="I45" i="68"/>
  <c r="F45" i="68"/>
  <c r="E368" i="68"/>
  <c r="E371" i="68" s="1"/>
  <c r="E372" i="68" s="1"/>
  <c r="G45" i="68"/>
  <c r="D45" i="68"/>
  <c r="D48" i="68" s="1"/>
  <c r="G35" i="68"/>
  <c r="D35" i="68"/>
  <c r="D40" i="68" s="1"/>
  <c r="D397" i="68"/>
  <c r="D398" i="68" s="1"/>
  <c r="J135" i="68"/>
  <c r="N280" i="68"/>
  <c r="O279" i="68"/>
  <c r="K267" i="68"/>
  <c r="L267" i="68" s="1"/>
  <c r="N26" i="68"/>
  <c r="D44" i="68"/>
  <c r="D105" i="68"/>
  <c r="D123" i="68"/>
  <c r="L188" i="68"/>
  <c r="E500" i="68"/>
  <c r="E49" i="68"/>
  <c r="O253" i="68"/>
  <c r="N246" i="68"/>
  <c r="O249" i="68"/>
  <c r="O248" i="68" s="1"/>
  <c r="J346" i="68"/>
  <c r="E45" i="68"/>
  <c r="M29" i="68"/>
  <c r="L294" i="68"/>
  <c r="M237" i="68"/>
  <c r="D500" i="68"/>
  <c r="D49" i="68"/>
  <c r="L522" i="68"/>
  <c r="L468" i="68"/>
  <c r="L121" i="68" s="1"/>
  <c r="M466" i="68"/>
  <c r="E392" i="68"/>
  <c r="E394" i="68"/>
  <c r="F407" i="68"/>
  <c r="O256" i="68"/>
  <c r="J452" i="68"/>
  <c r="J63" i="68" s="1"/>
  <c r="M264" i="68"/>
  <c r="L266" i="68"/>
  <c r="N283" i="68"/>
  <c r="M284" i="68"/>
  <c r="D368" i="68"/>
  <c r="I192" i="68"/>
  <c r="E35" i="68"/>
  <c r="E42" i="68" s="1"/>
  <c r="E43" i="68" s="1"/>
  <c r="K191" i="68"/>
  <c r="E191" i="68"/>
  <c r="E192" i="68" s="1"/>
  <c r="E44" i="68" s="1"/>
  <c r="E51" i="68"/>
  <c r="L295" i="68"/>
  <c r="M184" i="68"/>
  <c r="F35" i="68"/>
  <c r="L27" i="68"/>
  <c r="G332" i="64"/>
  <c r="H332" i="64"/>
  <c r="I332" i="64"/>
  <c r="J332" i="64"/>
  <c r="F332" i="64"/>
  <c r="E332" i="64"/>
  <c r="D332" i="64"/>
  <c r="N257" i="68" l="1"/>
  <c r="N259" i="68" s="1"/>
  <c r="O258" i="68"/>
  <c r="M267" i="68"/>
  <c r="J192" i="68"/>
  <c r="N76" i="68"/>
  <c r="M484" i="68"/>
  <c r="D47" i="68"/>
  <c r="D50" i="68" s="1"/>
  <c r="E40" i="68"/>
  <c r="E124" i="68" s="1"/>
  <c r="L297" i="68"/>
  <c r="P249" i="68"/>
  <c r="Q249" i="68" s="1"/>
  <c r="D42" i="68"/>
  <c r="D43" i="68" s="1"/>
  <c r="L194" i="68"/>
  <c r="L195" i="68"/>
  <c r="D371" i="68"/>
  <c r="D372" i="68" s="1"/>
  <c r="D54" i="68" s="1"/>
  <c r="D56" i="68" s="1"/>
  <c r="M522" i="68"/>
  <c r="M468" i="68"/>
  <c r="M121" i="68" s="1"/>
  <c r="N466" i="68"/>
  <c r="M30" i="68"/>
  <c r="M144" i="68" s="1"/>
  <c r="N264" i="68"/>
  <c r="N267" i="68" s="1"/>
  <c r="M266" i="68"/>
  <c r="E395" i="68"/>
  <c r="E48" i="68"/>
  <c r="E47" i="68"/>
  <c r="E50" i="68" s="1"/>
  <c r="J268" i="68"/>
  <c r="D61" i="68"/>
  <c r="D64" i="68" s="1"/>
  <c r="M295" i="68"/>
  <c r="N184" i="68"/>
  <c r="O283" i="68"/>
  <c r="N284" i="68"/>
  <c r="O26" i="68"/>
  <c r="L191" i="68"/>
  <c r="M191" i="68" s="1"/>
  <c r="N191" i="68" s="1"/>
  <c r="O191" i="68" s="1"/>
  <c r="P191" i="68" s="1"/>
  <c r="Q191" i="68" s="1"/>
  <c r="R191" i="68" s="1"/>
  <c r="S191" i="68" s="1"/>
  <c r="T191" i="68" s="1"/>
  <c r="M188" i="68"/>
  <c r="P256" i="68"/>
  <c r="O257" i="68"/>
  <c r="O259" i="68" s="1"/>
  <c r="F392" i="68"/>
  <c r="F394" i="68"/>
  <c r="G407" i="68"/>
  <c r="M294" i="68"/>
  <c r="N237" i="68"/>
  <c r="O246" i="68"/>
  <c r="O245" i="68" s="1"/>
  <c r="N245" i="68"/>
  <c r="P253" i="68"/>
  <c r="D124" i="68"/>
  <c r="O280" i="68"/>
  <c r="P279" i="68"/>
  <c r="T376" i="64"/>
  <c r="T380" i="64"/>
  <c r="T489" i="64" s="1"/>
  <c r="T401" i="64"/>
  <c r="T402" i="64"/>
  <c r="T403" i="64"/>
  <c r="T263" i="64" s="1"/>
  <c r="T404" i="64"/>
  <c r="T405" i="64"/>
  <c r="T151" i="64" s="1"/>
  <c r="T406" i="64"/>
  <c r="M313" i="68" l="1"/>
  <c r="N393" i="68"/>
  <c r="O76" i="68"/>
  <c r="P248" i="68"/>
  <c r="M297" i="68"/>
  <c r="O484" i="68"/>
  <c r="O91" i="68"/>
  <c r="P280" i="68"/>
  <c r="Q279" i="68"/>
  <c r="O284" i="68"/>
  <c r="P283" i="68"/>
  <c r="M27" i="68"/>
  <c r="M194" i="68" s="1"/>
  <c r="D59" i="68"/>
  <c r="D58" i="68"/>
  <c r="Q253" i="68"/>
  <c r="Q248" i="68"/>
  <c r="F395" i="68"/>
  <c r="P257" i="68"/>
  <c r="Q256" i="68"/>
  <c r="N188" i="68"/>
  <c r="P26" i="68"/>
  <c r="N522" i="68"/>
  <c r="O466" i="68"/>
  <c r="N468" i="68"/>
  <c r="N121" i="68" s="1"/>
  <c r="L197" i="68"/>
  <c r="L196" i="68" s="1"/>
  <c r="N484" i="68"/>
  <c r="N91" i="68"/>
  <c r="N295" i="68"/>
  <c r="O184" i="68"/>
  <c r="E397" i="68"/>
  <c r="E398" i="68" s="1"/>
  <c r="E54" i="68" s="1"/>
  <c r="E56" i="68" s="1"/>
  <c r="E61" i="68"/>
  <c r="E64" i="68" s="1"/>
  <c r="R249" i="68"/>
  <c r="P246" i="68"/>
  <c r="N294" i="68"/>
  <c r="O237" i="68"/>
  <c r="G392" i="68"/>
  <c r="G394" i="68"/>
  <c r="H407" i="68"/>
  <c r="N266" i="68"/>
  <c r="O264" i="68"/>
  <c r="N29" i="68"/>
  <c r="P258" i="68"/>
  <c r="Q258" i="68" s="1"/>
  <c r="T110" i="64"/>
  <c r="T512" i="64"/>
  <c r="O393" i="68" l="1"/>
  <c r="P76" i="68"/>
  <c r="N297" i="68"/>
  <c r="O266" i="68"/>
  <c r="P264" i="68"/>
  <c r="Q246" i="68"/>
  <c r="R246" i="68" s="1"/>
  <c r="S246" i="68" s="1"/>
  <c r="T246" i="68" s="1"/>
  <c r="S249" i="68"/>
  <c r="S248" i="68" s="1"/>
  <c r="O267" i="68"/>
  <c r="O522" i="68"/>
  <c r="O468" i="68"/>
  <c r="O121" i="68" s="1"/>
  <c r="P466" i="68"/>
  <c r="Q257" i="68"/>
  <c r="Q259" i="68" s="1"/>
  <c r="R256" i="68"/>
  <c r="R258" i="68" s="1"/>
  <c r="O295" i="68"/>
  <c r="P184" i="68"/>
  <c r="R248" i="68"/>
  <c r="O188" i="68"/>
  <c r="R253" i="68"/>
  <c r="N30" i="68"/>
  <c r="N144" i="68" s="1"/>
  <c r="O294" i="68"/>
  <c r="P237" i="68"/>
  <c r="E59" i="68"/>
  <c r="E58" i="68"/>
  <c r="F397" i="68"/>
  <c r="F398" i="68" s="1"/>
  <c r="H392" i="68"/>
  <c r="H394" i="68"/>
  <c r="I407" i="68"/>
  <c r="P259" i="68"/>
  <c r="M195" i="68"/>
  <c r="G395" i="68"/>
  <c r="P245" i="68"/>
  <c r="Q26" i="68"/>
  <c r="P284" i="68"/>
  <c r="Q283" i="68"/>
  <c r="R279" i="68"/>
  <c r="Q280" i="68"/>
  <c r="J11" i="64"/>
  <c r="J13" i="64"/>
  <c r="J15" i="64" s="1"/>
  <c r="J17" i="64"/>
  <c r="J19" i="64"/>
  <c r="J22" i="64"/>
  <c r="J24" i="64"/>
  <c r="J25" i="64"/>
  <c r="J26" i="64"/>
  <c r="J27" i="64"/>
  <c r="J29" i="64"/>
  <c r="J31" i="64"/>
  <c r="J39" i="64"/>
  <c r="J41" i="64"/>
  <c r="J57" i="64"/>
  <c r="J62" i="64"/>
  <c r="J69" i="64"/>
  <c r="J70" i="64"/>
  <c r="J71" i="64"/>
  <c r="J73" i="64"/>
  <c r="J75" i="64"/>
  <c r="J350" i="64" s="1"/>
  <c r="J76" i="64"/>
  <c r="J77" i="64"/>
  <c r="J82" i="64"/>
  <c r="J83" i="64"/>
  <c r="J84" i="64"/>
  <c r="J85" i="64"/>
  <c r="J86" i="64"/>
  <c r="J88" i="64"/>
  <c r="J89" i="64"/>
  <c r="J90" i="64"/>
  <c r="J94" i="64"/>
  <c r="J95" i="64"/>
  <c r="J96" i="64"/>
  <c r="J97" i="64"/>
  <c r="J98" i="64"/>
  <c r="J101" i="64"/>
  <c r="J497" i="64" s="1"/>
  <c r="J102" i="64"/>
  <c r="J103" i="64"/>
  <c r="J110" i="64"/>
  <c r="J111" i="64"/>
  <c r="J112" i="64"/>
  <c r="J113" i="64"/>
  <c r="J115" i="64"/>
  <c r="J116" i="64"/>
  <c r="J117" i="64"/>
  <c r="J118" i="64"/>
  <c r="J119" i="64"/>
  <c r="J120" i="64"/>
  <c r="J121" i="64"/>
  <c r="J128" i="64"/>
  <c r="J129" i="64"/>
  <c r="J130" i="64"/>
  <c r="J131" i="64"/>
  <c r="J132" i="64"/>
  <c r="J138" i="64"/>
  <c r="J141" i="64"/>
  <c r="J147" i="64"/>
  <c r="J148" i="64"/>
  <c r="J155" i="64"/>
  <c r="J156" i="64"/>
  <c r="J157" i="64"/>
  <c r="J164" i="64"/>
  <c r="J165" i="64"/>
  <c r="J175" i="64"/>
  <c r="J176" i="64"/>
  <c r="J178" i="64"/>
  <c r="J179" i="64"/>
  <c r="J180" i="64"/>
  <c r="J182" i="64"/>
  <c r="J262" i="64" s="1"/>
  <c r="J184" i="64"/>
  <c r="J295" i="64" s="1"/>
  <c r="J185" i="64"/>
  <c r="J272" i="64" s="1"/>
  <c r="J187" i="64"/>
  <c r="J190" i="64"/>
  <c r="J194" i="64"/>
  <c r="J195" i="64"/>
  <c r="J196" i="64"/>
  <c r="J197" i="64"/>
  <c r="J198" i="64"/>
  <c r="J199" i="64"/>
  <c r="J200" i="64"/>
  <c r="J201" i="64"/>
  <c r="J202" i="64"/>
  <c r="J205" i="64"/>
  <c r="J206" i="64"/>
  <c r="J207" i="64"/>
  <c r="J208" i="64"/>
  <c r="J212" i="64"/>
  <c r="J423" i="64" s="1"/>
  <c r="J213" i="64"/>
  <c r="J214" i="64"/>
  <c r="J218" i="64"/>
  <c r="J219" i="64"/>
  <c r="J109" i="64" s="1"/>
  <c r="J222" i="64"/>
  <c r="J223" i="64"/>
  <c r="J224" i="64"/>
  <c r="J225" i="64"/>
  <c r="J229" i="64"/>
  <c r="J230" i="64"/>
  <c r="J231" i="64"/>
  <c r="J232" i="64"/>
  <c r="J237" i="64"/>
  <c r="J294" i="64" s="1"/>
  <c r="J238" i="64"/>
  <c r="J239" i="64"/>
  <c r="J241" i="64"/>
  <c r="J242" i="64"/>
  <c r="J246" i="64"/>
  <c r="J247" i="64"/>
  <c r="J249" i="64"/>
  <c r="J252" i="64"/>
  <c r="J253" i="64"/>
  <c r="J256" i="64"/>
  <c r="J257" i="64"/>
  <c r="J266" i="64"/>
  <c r="J273" i="64"/>
  <c r="J279" i="64"/>
  <c r="J280" i="64"/>
  <c r="J283" i="64"/>
  <c r="J284" i="64"/>
  <c r="J287" i="64"/>
  <c r="J288" i="64"/>
  <c r="J289" i="64"/>
  <c r="J298" i="64"/>
  <c r="J301" i="64"/>
  <c r="J302" i="64"/>
  <c r="J305" i="64"/>
  <c r="J306" i="64"/>
  <c r="J309" i="64"/>
  <c r="J310" i="64"/>
  <c r="J313" i="64"/>
  <c r="J314" i="64" s="1"/>
  <c r="J316" i="64"/>
  <c r="J319" i="64"/>
  <c r="J320" i="64"/>
  <c r="J326" i="64"/>
  <c r="J327" i="64"/>
  <c r="J328" i="64"/>
  <c r="J334" i="64"/>
  <c r="J335" i="64"/>
  <c r="J341" i="64"/>
  <c r="J38" i="64" s="1"/>
  <c r="J347" i="64"/>
  <c r="J351" i="64"/>
  <c r="J354" i="64"/>
  <c r="J360" i="64"/>
  <c r="J361" i="64"/>
  <c r="J369" i="64"/>
  <c r="J370" i="64"/>
  <c r="J375" i="64"/>
  <c r="J376" i="64"/>
  <c r="J377" i="64"/>
  <c r="J271" i="64" s="1"/>
  <c r="J378" i="64"/>
  <c r="J331" i="64" s="1"/>
  <c r="J380" i="64"/>
  <c r="J489" i="64" s="1"/>
  <c r="J381" i="64"/>
  <c r="J384" i="64"/>
  <c r="J385" i="64"/>
  <c r="J386" i="64"/>
  <c r="J388" i="64"/>
  <c r="J396" i="64"/>
  <c r="J401" i="64"/>
  <c r="J402" i="64"/>
  <c r="J403" i="64"/>
  <c r="J263" i="64" s="1"/>
  <c r="J404" i="64"/>
  <c r="J405" i="64"/>
  <c r="J151" i="64" s="1"/>
  <c r="J406" i="64"/>
  <c r="J411" i="64"/>
  <c r="J415" i="64"/>
  <c r="J418" i="64"/>
  <c r="J419" i="64"/>
  <c r="J420" i="64"/>
  <c r="J429" i="64"/>
  <c r="J430" i="64"/>
  <c r="J433" i="64"/>
  <c r="J434" i="64"/>
  <c r="J435" i="64"/>
  <c r="J439" i="64"/>
  <c r="J440" i="64"/>
  <c r="J442" i="64"/>
  <c r="J443" i="64"/>
  <c r="J446" i="64"/>
  <c r="J450" i="64"/>
  <c r="J453" i="64"/>
  <c r="J456" i="64"/>
  <c r="J457" i="64"/>
  <c r="J460" i="64"/>
  <c r="J462" i="64" s="1"/>
  <c r="J461" i="64"/>
  <c r="J466" i="64"/>
  <c r="J467" i="64" s="1"/>
  <c r="J471" i="64"/>
  <c r="J472" i="64" s="1"/>
  <c r="J473" i="64" s="1"/>
  <c r="J474" i="64"/>
  <c r="J477" i="64"/>
  <c r="J478" i="64"/>
  <c r="J479" i="64"/>
  <c r="J480" i="64"/>
  <c r="J481" i="64"/>
  <c r="J482" i="64"/>
  <c r="J483" i="64"/>
  <c r="J486" i="64"/>
  <c r="J487" i="64"/>
  <c r="J488" i="64"/>
  <c r="J495" i="64"/>
  <c r="J496" i="64"/>
  <c r="J498" i="64"/>
  <c r="E138" i="64"/>
  <c r="E141" i="64"/>
  <c r="E147" i="64"/>
  <c r="E148" i="64"/>
  <c r="E155" i="64"/>
  <c r="E156" i="64"/>
  <c r="E157" i="64"/>
  <c r="E164" i="64"/>
  <c r="E165" i="64"/>
  <c r="E175" i="64"/>
  <c r="E176" i="64"/>
  <c r="E178" i="64"/>
  <c r="E179" i="64"/>
  <c r="E180" i="64"/>
  <c r="E182" i="64"/>
  <c r="E262" i="64" s="1"/>
  <c r="E184" i="64"/>
  <c r="E295" i="64" s="1"/>
  <c r="E185" i="64"/>
  <c r="E272" i="64" s="1"/>
  <c r="E187" i="64"/>
  <c r="E190" i="64"/>
  <c r="E194" i="64"/>
  <c r="E195" i="64"/>
  <c r="E196" i="64"/>
  <c r="E197" i="64"/>
  <c r="E198" i="64"/>
  <c r="E199" i="64"/>
  <c r="E200" i="64"/>
  <c r="E201" i="64"/>
  <c r="E202" i="64"/>
  <c r="E205" i="64"/>
  <c r="E206" i="64"/>
  <c r="E207" i="64"/>
  <c r="E208" i="64"/>
  <c r="E212" i="64"/>
  <c r="E213" i="64"/>
  <c r="E214" i="64"/>
  <c r="E218" i="64"/>
  <c r="E219" i="64"/>
  <c r="E222" i="64"/>
  <c r="E223" i="64"/>
  <c r="E224" i="64"/>
  <c r="E225" i="64"/>
  <c r="E229" i="64"/>
  <c r="E230" i="64"/>
  <c r="E231" i="64"/>
  <c r="E232" i="64"/>
  <c r="E237" i="64"/>
  <c r="E294" i="64" s="1"/>
  <c r="E238" i="64"/>
  <c r="E239" i="64"/>
  <c r="E241" i="64"/>
  <c r="E242" i="64"/>
  <c r="E246" i="64"/>
  <c r="E247" i="64"/>
  <c r="E249" i="64"/>
  <c r="E252" i="64"/>
  <c r="E253" i="64"/>
  <c r="E256" i="64"/>
  <c r="E257" i="64"/>
  <c r="E266" i="64"/>
  <c r="E273" i="64"/>
  <c r="E279" i="64"/>
  <c r="E280" i="64"/>
  <c r="E283" i="64"/>
  <c r="E284" i="64"/>
  <c r="E287" i="64"/>
  <c r="E288" i="64"/>
  <c r="E289" i="64"/>
  <c r="E298" i="64"/>
  <c r="E301" i="64"/>
  <c r="E302" i="64"/>
  <c r="E305" i="64"/>
  <c r="E306" i="64"/>
  <c r="E309" i="64"/>
  <c r="E310" i="64"/>
  <c r="E313" i="64"/>
  <c r="E314" i="64" s="1"/>
  <c r="E316" i="64"/>
  <c r="E319" i="64"/>
  <c r="E320" i="64"/>
  <c r="E326" i="64"/>
  <c r="E327" i="64"/>
  <c r="E328" i="64"/>
  <c r="E334" i="64"/>
  <c r="E335" i="64"/>
  <c r="E341" i="64"/>
  <c r="E347" i="64"/>
  <c r="E351" i="64"/>
  <c r="E354" i="64"/>
  <c r="E360" i="64"/>
  <c r="E361" i="64"/>
  <c r="E369" i="64"/>
  <c r="E370" i="64"/>
  <c r="E375" i="64"/>
  <c r="E376" i="64"/>
  <c r="E377" i="64"/>
  <c r="E271" i="64" s="1"/>
  <c r="E378" i="64"/>
  <c r="E331" i="64" s="1"/>
  <c r="E380" i="64"/>
  <c r="E489" i="64" s="1"/>
  <c r="E381" i="64"/>
  <c r="E384" i="64"/>
  <c r="E385" i="64"/>
  <c r="E386" i="64"/>
  <c r="E388" i="64"/>
  <c r="E396" i="64"/>
  <c r="E401" i="64"/>
  <c r="E402" i="64"/>
  <c r="E403" i="64"/>
  <c r="E263" i="64" s="1"/>
  <c r="E404" i="64"/>
  <c r="E405" i="64"/>
  <c r="E151" i="64" s="1"/>
  <c r="E406" i="64"/>
  <c r="E411" i="64"/>
  <c r="E415" i="64"/>
  <c r="E418" i="64"/>
  <c r="E419" i="64"/>
  <c r="E420" i="64"/>
  <c r="E429" i="64"/>
  <c r="E430" i="64"/>
  <c r="E433" i="64"/>
  <c r="E434" i="64"/>
  <c r="E435" i="64"/>
  <c r="E439" i="64"/>
  <c r="E440" i="64"/>
  <c r="E442" i="64"/>
  <c r="E443" i="64"/>
  <c r="E446" i="64"/>
  <c r="E450" i="64"/>
  <c r="E453" i="64"/>
  <c r="E456" i="64"/>
  <c r="E457" i="64"/>
  <c r="E460" i="64"/>
  <c r="E462" i="64" s="1"/>
  <c r="E461" i="64"/>
  <c r="E466" i="64"/>
  <c r="E467" i="64" s="1"/>
  <c r="E468" i="64" s="1"/>
  <c r="E471" i="64"/>
  <c r="E472" i="64" s="1"/>
  <c r="E473" i="64" s="1"/>
  <c r="E474" i="64"/>
  <c r="E477" i="64"/>
  <c r="E478" i="64"/>
  <c r="E479" i="64"/>
  <c r="E480" i="64"/>
  <c r="E481" i="64"/>
  <c r="E482" i="64"/>
  <c r="E483" i="64"/>
  <c r="E486" i="64"/>
  <c r="E487" i="64"/>
  <c r="E488" i="64"/>
  <c r="E495" i="64"/>
  <c r="E496" i="64"/>
  <c r="E498" i="64"/>
  <c r="G401" i="64"/>
  <c r="H401" i="64"/>
  <c r="I401" i="64"/>
  <c r="G402" i="64"/>
  <c r="H402" i="64"/>
  <c r="I402" i="64"/>
  <c r="G403" i="64"/>
  <c r="H403" i="64"/>
  <c r="I403" i="64"/>
  <c r="G404" i="64"/>
  <c r="H404" i="64"/>
  <c r="I404" i="64"/>
  <c r="G405" i="64"/>
  <c r="H405" i="64"/>
  <c r="I405" i="64"/>
  <c r="G406" i="64"/>
  <c r="H406" i="64"/>
  <c r="I406" i="64"/>
  <c r="G369" i="64"/>
  <c r="H369" i="64"/>
  <c r="I369" i="64"/>
  <c r="G370" i="64"/>
  <c r="H370" i="64"/>
  <c r="I370" i="64"/>
  <c r="G384" i="64"/>
  <c r="H384" i="64"/>
  <c r="I384" i="64"/>
  <c r="G385" i="64"/>
  <c r="H385" i="64"/>
  <c r="I385" i="64"/>
  <c r="G386" i="64"/>
  <c r="H386" i="64"/>
  <c r="I386" i="64"/>
  <c r="G375" i="64"/>
  <c r="H375" i="64"/>
  <c r="I375" i="64"/>
  <c r="G376" i="64"/>
  <c r="H376" i="64"/>
  <c r="I376" i="64"/>
  <c r="G377" i="64"/>
  <c r="H377" i="64"/>
  <c r="I377" i="64"/>
  <c r="G378" i="64"/>
  <c r="H378" i="64"/>
  <c r="I378" i="64"/>
  <c r="G380" i="64"/>
  <c r="H380" i="64"/>
  <c r="I380" i="64"/>
  <c r="G381" i="64"/>
  <c r="H381" i="64"/>
  <c r="I381" i="64"/>
  <c r="G128" i="64"/>
  <c r="H128" i="64"/>
  <c r="I128" i="64"/>
  <c r="G129" i="64"/>
  <c r="H129" i="64"/>
  <c r="I129" i="64"/>
  <c r="G130" i="64"/>
  <c r="H130" i="64"/>
  <c r="I130" i="64"/>
  <c r="G131" i="64"/>
  <c r="H131" i="64"/>
  <c r="I131" i="64"/>
  <c r="G132" i="64"/>
  <c r="H132" i="64"/>
  <c r="I132" i="64"/>
  <c r="E128" i="64"/>
  <c r="F128" i="64"/>
  <c r="E129" i="64"/>
  <c r="F129" i="64"/>
  <c r="E130" i="64"/>
  <c r="F130" i="64"/>
  <c r="E131" i="64"/>
  <c r="F131" i="64"/>
  <c r="E132" i="64"/>
  <c r="F132" i="64"/>
  <c r="G115" i="64"/>
  <c r="H115" i="64"/>
  <c r="I115" i="64"/>
  <c r="G116" i="64"/>
  <c r="H116" i="64"/>
  <c r="I116" i="64"/>
  <c r="G117" i="64"/>
  <c r="H117" i="64"/>
  <c r="I117" i="64"/>
  <c r="G118" i="64"/>
  <c r="H118" i="64"/>
  <c r="I118" i="64"/>
  <c r="G119" i="64"/>
  <c r="H119" i="64"/>
  <c r="I119" i="64"/>
  <c r="G120" i="64"/>
  <c r="H120" i="64"/>
  <c r="I120" i="64"/>
  <c r="G121" i="64"/>
  <c r="H121" i="64"/>
  <c r="I121" i="64"/>
  <c r="E115" i="64"/>
  <c r="E116" i="64"/>
  <c r="E117" i="64"/>
  <c r="E118" i="64"/>
  <c r="E119" i="64"/>
  <c r="E120" i="64"/>
  <c r="E121" i="64"/>
  <c r="B111" i="65"/>
  <c r="B112" i="65"/>
  <c r="B110" i="65"/>
  <c r="B109" i="65"/>
  <c r="B108" i="65"/>
  <c r="B107" i="65"/>
  <c r="B106" i="65"/>
  <c r="G110" i="64"/>
  <c r="H110" i="64"/>
  <c r="I110" i="64"/>
  <c r="G111" i="64"/>
  <c r="H111" i="64"/>
  <c r="I111" i="64"/>
  <c r="G112" i="64"/>
  <c r="H112" i="64"/>
  <c r="I112" i="64"/>
  <c r="G113" i="64"/>
  <c r="H113" i="64"/>
  <c r="I113" i="64"/>
  <c r="E110" i="64"/>
  <c r="E111" i="64"/>
  <c r="E112" i="64"/>
  <c r="E113" i="64"/>
  <c r="B100" i="65"/>
  <c r="B102" i="65"/>
  <c r="B103" i="65"/>
  <c r="B104" i="65"/>
  <c r="B101" i="65"/>
  <c r="G101" i="64"/>
  <c r="H101" i="64"/>
  <c r="I101" i="64"/>
  <c r="G102" i="64"/>
  <c r="H102" i="64"/>
  <c r="I102" i="64"/>
  <c r="G103" i="64"/>
  <c r="H103" i="64"/>
  <c r="I103" i="64"/>
  <c r="E101" i="64"/>
  <c r="E102" i="64"/>
  <c r="E103" i="64"/>
  <c r="G94" i="64"/>
  <c r="H94" i="64"/>
  <c r="I94" i="64"/>
  <c r="G95" i="64"/>
  <c r="H95" i="64"/>
  <c r="I95" i="64"/>
  <c r="G96" i="64"/>
  <c r="H96" i="64"/>
  <c r="I96" i="64"/>
  <c r="G97" i="64"/>
  <c r="H97" i="64"/>
  <c r="I97" i="64"/>
  <c r="G98" i="64"/>
  <c r="H98" i="64"/>
  <c r="I98" i="64"/>
  <c r="E94" i="64"/>
  <c r="E95" i="64"/>
  <c r="E96" i="64"/>
  <c r="E97" i="64"/>
  <c r="E98" i="64"/>
  <c r="E88" i="64"/>
  <c r="E89" i="64"/>
  <c r="E90" i="64"/>
  <c r="E82" i="64"/>
  <c r="E83" i="64"/>
  <c r="E84" i="64"/>
  <c r="E85" i="64"/>
  <c r="E86" i="64"/>
  <c r="B38" i="65"/>
  <c r="B39" i="65"/>
  <c r="B40" i="65"/>
  <c r="B41" i="65"/>
  <c r="B42" i="65"/>
  <c r="B43" i="65"/>
  <c r="B44" i="65"/>
  <c r="B45" i="65"/>
  <c r="B46" i="65"/>
  <c r="B47" i="65"/>
  <c r="B48" i="65"/>
  <c r="B49" i="65"/>
  <c r="B50" i="65"/>
  <c r="B37" i="65"/>
  <c r="B34" i="65"/>
  <c r="B33" i="65"/>
  <c r="B29" i="65"/>
  <c r="B28" i="65"/>
  <c r="B25" i="65"/>
  <c r="B26" i="65"/>
  <c r="B24" i="65"/>
  <c r="B22" i="65"/>
  <c r="B21" i="65"/>
  <c r="B13" i="65"/>
  <c r="B11" i="65"/>
  <c r="N313" i="68" l="1"/>
  <c r="T245" i="68"/>
  <c r="J449" i="64"/>
  <c r="J451" i="64" s="1"/>
  <c r="J452" i="64" s="1"/>
  <c r="J63" i="64" s="1"/>
  <c r="J72" i="64"/>
  <c r="P267" i="68"/>
  <c r="P393" i="68"/>
  <c r="Q76" i="68"/>
  <c r="R245" i="68"/>
  <c r="R484" i="68" s="1"/>
  <c r="S279" i="68"/>
  <c r="R280" i="68"/>
  <c r="M197" i="68"/>
  <c r="M196" i="68" s="1"/>
  <c r="S253" i="68"/>
  <c r="G397" i="68"/>
  <c r="G398" i="68" s="1"/>
  <c r="P294" i="68"/>
  <c r="Q237" i="68"/>
  <c r="N27" i="68"/>
  <c r="N194" i="68" s="1"/>
  <c r="H395" i="68"/>
  <c r="O29" i="68"/>
  <c r="S256" i="68"/>
  <c r="S258" i="68" s="1"/>
  <c r="R257" i="68"/>
  <c r="R259" i="68" s="1"/>
  <c r="O297" i="68"/>
  <c r="P188" i="68"/>
  <c r="Q245" i="68"/>
  <c r="Q264" i="68"/>
  <c r="P266" i="68"/>
  <c r="P522" i="68"/>
  <c r="Q466" i="68"/>
  <c r="P468" i="68"/>
  <c r="P121" i="68" s="1"/>
  <c r="R283" i="68"/>
  <c r="Q284" i="68"/>
  <c r="R26" i="68"/>
  <c r="P484" i="68"/>
  <c r="P91" i="68"/>
  <c r="I392" i="68"/>
  <c r="I394" i="68"/>
  <c r="J407" i="68"/>
  <c r="P295" i="68"/>
  <c r="Q184" i="68"/>
  <c r="T249" i="68"/>
  <c r="S245" i="68"/>
  <c r="G104" i="64"/>
  <c r="G379" i="64"/>
  <c r="E133" i="64"/>
  <c r="E134" i="64" s="1"/>
  <c r="E135" i="64" s="1"/>
  <c r="E410" i="64"/>
  <c r="E414" i="64" s="1"/>
  <c r="I133" i="64"/>
  <c r="I134" i="64" s="1"/>
  <c r="I135" i="64" s="1"/>
  <c r="H379" i="64"/>
  <c r="E421" i="64"/>
  <c r="E215" i="64"/>
  <c r="E274" i="64"/>
  <c r="E275" i="64" s="1"/>
  <c r="E181" i="64"/>
  <c r="E188" i="64" s="1"/>
  <c r="J274" i="64"/>
  <c r="J275" i="64" s="1"/>
  <c r="I104" i="64"/>
  <c r="E122" i="64"/>
  <c r="J258" i="64"/>
  <c r="J259" i="64" s="1"/>
  <c r="J336" i="64"/>
  <c r="H133" i="64"/>
  <c r="H134" i="64" s="1"/>
  <c r="H135" i="64" s="1"/>
  <c r="I122" i="64"/>
  <c r="H122" i="64"/>
  <c r="G122" i="64"/>
  <c r="E441" i="64"/>
  <c r="E296" i="64"/>
  <c r="E297" i="64" s="1"/>
  <c r="E258" i="64"/>
  <c r="E259" i="64" s="1"/>
  <c r="E240" i="64"/>
  <c r="J233" i="64"/>
  <c r="J226" i="64"/>
  <c r="J122" i="64"/>
  <c r="J87" i="64"/>
  <c r="F133" i="64"/>
  <c r="F134" i="64" s="1"/>
  <c r="F135" i="64" s="1"/>
  <c r="H104" i="64"/>
  <c r="J436" i="64"/>
  <c r="E424" i="64"/>
  <c r="G133" i="64"/>
  <c r="G134" i="64" s="1"/>
  <c r="G135" i="64" s="1"/>
  <c r="I379" i="64"/>
  <c r="J441" i="64"/>
  <c r="J410" i="64"/>
  <c r="J414" i="64" s="1"/>
  <c r="J391" i="64"/>
  <c r="J333" i="64"/>
  <c r="J340" i="64" s="1"/>
  <c r="E87" i="64"/>
  <c r="E104" i="64"/>
  <c r="E333" i="64"/>
  <c r="E340" i="64" s="1"/>
  <c r="E336" i="64"/>
  <c r="J499" i="64"/>
  <c r="J421" i="64"/>
  <c r="J393" i="64"/>
  <c r="J240" i="64"/>
  <c r="J209" i="64"/>
  <c r="J104" i="64"/>
  <c r="E436" i="64"/>
  <c r="E423" i="64"/>
  <c r="E290" i="64"/>
  <c r="E291" i="64" s="1"/>
  <c r="E233" i="64"/>
  <c r="E226" i="64"/>
  <c r="J379" i="64"/>
  <c r="J315" i="64"/>
  <c r="J290" i="64"/>
  <c r="J291" i="64" s="1"/>
  <c r="J215" i="64"/>
  <c r="J108" i="64" s="1"/>
  <c r="J114" i="64" s="1"/>
  <c r="J181" i="64"/>
  <c r="J188" i="64" s="1"/>
  <c r="J139" i="64"/>
  <c r="J424" i="64"/>
  <c r="J74" i="64"/>
  <c r="J78" i="64" s="1"/>
  <c r="J79" i="64" s="1"/>
  <c r="E497" i="64"/>
  <c r="E499" i="64" s="1"/>
  <c r="E463" i="64"/>
  <c r="E315" i="64"/>
  <c r="E209" i="64"/>
  <c r="J468" i="64"/>
  <c r="J133" i="64"/>
  <c r="J134" i="64" s="1"/>
  <c r="J135" i="64" s="1"/>
  <c r="J264" i="64"/>
  <c r="J324" i="64" s="1"/>
  <c r="J426" i="64"/>
  <c r="J463" i="64"/>
  <c r="J296" i="64"/>
  <c r="J297" i="64" s="1"/>
  <c r="J276" i="64"/>
  <c r="J21" i="64"/>
  <c r="E264" i="64"/>
  <c r="E324" i="64" s="1"/>
  <c r="E139" i="64"/>
  <c r="E140" i="64" s="1"/>
  <c r="E379" i="64"/>
  <c r="E276" i="64"/>
  <c r="T248" i="68" l="1"/>
  <c r="I395" i="68"/>
  <c r="I397" i="68" s="1"/>
  <c r="I398" i="68" s="1"/>
  <c r="Q393" i="68"/>
  <c r="R76" i="68"/>
  <c r="R91" i="68"/>
  <c r="P297" i="68"/>
  <c r="Q295" i="68"/>
  <c r="R184" i="68"/>
  <c r="R284" i="68"/>
  <c r="S283" i="68"/>
  <c r="Q522" i="68"/>
  <c r="Q468" i="68"/>
  <c r="Q121" i="68" s="1"/>
  <c r="R466" i="68"/>
  <c r="R264" i="68"/>
  <c r="Q266" i="68"/>
  <c r="S484" i="68"/>
  <c r="S91" i="68"/>
  <c r="S26" i="68"/>
  <c r="Q484" i="68"/>
  <c r="Q91" i="68"/>
  <c r="O30" i="68"/>
  <c r="O144" i="68" s="1"/>
  <c r="J392" i="68"/>
  <c r="J394" i="68"/>
  <c r="K407" i="68"/>
  <c r="Q267" i="68"/>
  <c r="S257" i="68"/>
  <c r="S259" i="68" s="1"/>
  <c r="T256" i="68"/>
  <c r="T258" i="68" s="1"/>
  <c r="H397" i="68"/>
  <c r="H398" i="68" s="1"/>
  <c r="T253" i="68"/>
  <c r="Q188" i="68"/>
  <c r="Q294" i="68"/>
  <c r="R237" i="68"/>
  <c r="N195" i="68"/>
  <c r="S280" i="68"/>
  <c r="T279" i="68"/>
  <c r="E189" i="64"/>
  <c r="E191" i="64" s="1"/>
  <c r="E192" i="64" s="1"/>
  <c r="E183" i="64"/>
  <c r="E186" i="64" s="1"/>
  <c r="J140" i="64"/>
  <c r="J142" i="64" s="1"/>
  <c r="J143" i="64" s="1"/>
  <c r="J337" i="64"/>
  <c r="J107" i="64" s="1"/>
  <c r="E337" i="64"/>
  <c r="J183" i="64"/>
  <c r="J186" i="64" s="1"/>
  <c r="J189" i="64"/>
  <c r="J191" i="64" s="1"/>
  <c r="J192" i="64" s="1"/>
  <c r="J55" i="64"/>
  <c r="E426" i="64"/>
  <c r="E265" i="64"/>
  <c r="E267" i="64" s="1"/>
  <c r="E268" i="64" s="1"/>
  <c r="J352" i="64"/>
  <c r="J265" i="64"/>
  <c r="J323" i="64"/>
  <c r="E142" i="64"/>
  <c r="E143" i="64" s="1"/>
  <c r="E323" i="64"/>
  <c r="O313" i="68" l="1"/>
  <c r="T280" i="68"/>
  <c r="T484" i="68"/>
  <c r="T91" i="68"/>
  <c r="R267" i="68"/>
  <c r="R393" i="68"/>
  <c r="S76" i="68"/>
  <c r="R188" i="68"/>
  <c r="K392" i="68"/>
  <c r="L407" i="68"/>
  <c r="T26" i="68"/>
  <c r="R294" i="68"/>
  <c r="S237" i="68"/>
  <c r="R266" i="68"/>
  <c r="S264" i="68"/>
  <c r="T257" i="68"/>
  <c r="T259" i="68" s="1"/>
  <c r="J395" i="68"/>
  <c r="P29" i="68"/>
  <c r="N197" i="68"/>
  <c r="N196" i="68" s="1"/>
  <c r="Q297" i="68"/>
  <c r="O27" i="68"/>
  <c r="O194" i="68" s="1"/>
  <c r="R522" i="68"/>
  <c r="S466" i="68"/>
  <c r="R468" i="68"/>
  <c r="R121" i="68" s="1"/>
  <c r="S284" i="68"/>
  <c r="T283" i="68"/>
  <c r="T284" i="68" s="1"/>
  <c r="R295" i="68"/>
  <c r="S184" i="68"/>
  <c r="J37" i="64"/>
  <c r="J353" i="64"/>
  <c r="J267" i="64"/>
  <c r="J268" i="64" s="1"/>
  <c r="S393" i="68" l="1"/>
  <c r="T76" i="68"/>
  <c r="P30" i="68"/>
  <c r="P313" i="68" s="1"/>
  <c r="R297" i="68"/>
  <c r="T184" i="68"/>
  <c r="S295" i="68"/>
  <c r="O195" i="68"/>
  <c r="S266" i="68"/>
  <c r="T264" i="68"/>
  <c r="L392" i="68"/>
  <c r="M407" i="68"/>
  <c r="S188" i="68"/>
  <c r="S522" i="68"/>
  <c r="S468" i="68"/>
  <c r="S121" i="68" s="1"/>
  <c r="T466" i="68"/>
  <c r="J397" i="68"/>
  <c r="J398" i="68" s="1"/>
  <c r="S267" i="68"/>
  <c r="S294" i="68"/>
  <c r="T237" i="68"/>
  <c r="G396" i="64"/>
  <c r="H396" i="64"/>
  <c r="I396" i="64"/>
  <c r="F396" i="64"/>
  <c r="G75" i="64"/>
  <c r="G350" i="64" s="1"/>
  <c r="H75" i="64"/>
  <c r="H350" i="64" s="1"/>
  <c r="I75" i="64"/>
  <c r="I350" i="64" s="1"/>
  <c r="G76" i="64"/>
  <c r="H76" i="64"/>
  <c r="I76" i="64"/>
  <c r="G77" i="64"/>
  <c r="H77" i="64"/>
  <c r="I77" i="64"/>
  <c r="E75" i="64"/>
  <c r="E350" i="64" s="1"/>
  <c r="F75" i="64"/>
  <c r="F350" i="64" s="1"/>
  <c r="E76" i="64"/>
  <c r="F76" i="64"/>
  <c r="E77" i="64"/>
  <c r="F77" i="64"/>
  <c r="D77" i="64"/>
  <c r="D76" i="64"/>
  <c r="D393" i="64" s="1"/>
  <c r="D75" i="64"/>
  <c r="D350" i="64" s="1"/>
  <c r="B76" i="64"/>
  <c r="G69" i="64"/>
  <c r="H69" i="64"/>
  <c r="I69" i="64"/>
  <c r="G70" i="64"/>
  <c r="H70" i="64"/>
  <c r="I70" i="64"/>
  <c r="J234" i="64" s="1"/>
  <c r="G71" i="64"/>
  <c r="H71" i="64"/>
  <c r="I71" i="64"/>
  <c r="G73" i="64"/>
  <c r="H73" i="64"/>
  <c r="I73" i="64"/>
  <c r="E69" i="64"/>
  <c r="E70" i="64"/>
  <c r="E71" i="64"/>
  <c r="E449" i="64" s="1"/>
  <c r="E73" i="64"/>
  <c r="E62" i="64"/>
  <c r="B59" i="64"/>
  <c r="E57" i="64"/>
  <c r="B50" i="64"/>
  <c r="B79" i="64"/>
  <c r="B65" i="64"/>
  <c r="G41" i="64"/>
  <c r="H41" i="64"/>
  <c r="I41" i="64"/>
  <c r="E41" i="64"/>
  <c r="F41" i="64"/>
  <c r="D41" i="64"/>
  <c r="E39" i="64"/>
  <c r="F39" i="64"/>
  <c r="G39" i="64"/>
  <c r="H39" i="64"/>
  <c r="I39" i="64"/>
  <c r="D39" i="64"/>
  <c r="G341" i="64"/>
  <c r="G38" i="64" s="1"/>
  <c r="H341" i="64"/>
  <c r="H38" i="64" s="1"/>
  <c r="I341" i="64"/>
  <c r="I38" i="64" s="1"/>
  <c r="F341" i="64"/>
  <c r="F38" i="64" s="1"/>
  <c r="E38" i="64"/>
  <c r="D341" i="64"/>
  <c r="D38" i="64" s="1"/>
  <c r="B498" i="64"/>
  <c r="B496" i="64"/>
  <c r="B495" i="64"/>
  <c r="B488" i="64"/>
  <c r="B487" i="64"/>
  <c r="B486" i="64"/>
  <c r="B483" i="64"/>
  <c r="B482" i="64"/>
  <c r="B481" i="64"/>
  <c r="B480" i="64"/>
  <c r="B479" i="64"/>
  <c r="B478" i="64"/>
  <c r="B477" i="64"/>
  <c r="B474" i="64"/>
  <c r="B472" i="64"/>
  <c r="B471" i="64"/>
  <c r="B467" i="64"/>
  <c r="B466" i="64"/>
  <c r="B462" i="64"/>
  <c r="B461" i="64"/>
  <c r="B460" i="64"/>
  <c r="B457" i="64"/>
  <c r="B456" i="64"/>
  <c r="B453" i="64"/>
  <c r="B451" i="64"/>
  <c r="B450" i="64"/>
  <c r="B446" i="64"/>
  <c r="B443" i="64"/>
  <c r="B442" i="64"/>
  <c r="B440" i="64"/>
  <c r="B439" i="64"/>
  <c r="B435" i="64"/>
  <c r="B434" i="64"/>
  <c r="B433" i="64"/>
  <c r="B430" i="64"/>
  <c r="B429" i="64"/>
  <c r="B426" i="64"/>
  <c r="B425" i="64"/>
  <c r="B420" i="64"/>
  <c r="B419" i="64"/>
  <c r="B418" i="64"/>
  <c r="B415" i="64"/>
  <c r="B411" i="64"/>
  <c r="B410" i="64"/>
  <c r="B406" i="64"/>
  <c r="B405" i="64"/>
  <c r="B404" i="64"/>
  <c r="B403" i="64"/>
  <c r="B402" i="64"/>
  <c r="B401" i="64"/>
  <c r="B397" i="64"/>
  <c r="B396" i="64"/>
  <c r="B391" i="64"/>
  <c r="B388" i="64"/>
  <c r="B386" i="64"/>
  <c r="B385" i="64"/>
  <c r="B384" i="64"/>
  <c r="B381" i="64"/>
  <c r="B380" i="64"/>
  <c r="B378" i="64"/>
  <c r="B377" i="64"/>
  <c r="B376" i="64"/>
  <c r="B375" i="64"/>
  <c r="B371" i="64"/>
  <c r="B370" i="64"/>
  <c r="B369" i="64"/>
  <c r="B367" i="64"/>
  <c r="B362" i="64"/>
  <c r="B361" i="64"/>
  <c r="B360" i="64"/>
  <c r="B358" i="64"/>
  <c r="B354" i="64"/>
  <c r="B352" i="64"/>
  <c r="B351" i="64"/>
  <c r="B347" i="64"/>
  <c r="B345" i="64"/>
  <c r="B341" i="64"/>
  <c r="B340" i="64"/>
  <c r="B336" i="64"/>
  <c r="B335" i="64"/>
  <c r="B334" i="64"/>
  <c r="B332" i="64"/>
  <c r="B328" i="64"/>
  <c r="B327" i="64"/>
  <c r="B326" i="64"/>
  <c r="B320" i="64"/>
  <c r="B319" i="64"/>
  <c r="B316" i="64"/>
  <c r="B314" i="64"/>
  <c r="B313" i="64"/>
  <c r="B310" i="64"/>
  <c r="B309" i="64"/>
  <c r="B306" i="64"/>
  <c r="B305" i="64"/>
  <c r="B302" i="64"/>
  <c r="B301" i="64"/>
  <c r="B298" i="64"/>
  <c r="B296" i="64"/>
  <c r="B290" i="64"/>
  <c r="B289" i="64"/>
  <c r="B288" i="64"/>
  <c r="B287" i="64"/>
  <c r="B284" i="64"/>
  <c r="B283" i="64"/>
  <c r="B280" i="64"/>
  <c r="B279" i="64"/>
  <c r="B276" i="64"/>
  <c r="B274" i="64"/>
  <c r="B267" i="64"/>
  <c r="B266" i="64"/>
  <c r="B264" i="64"/>
  <c r="B258" i="64"/>
  <c r="B257" i="64"/>
  <c r="B256" i="64"/>
  <c r="B253" i="64"/>
  <c r="B252" i="64"/>
  <c r="B249" i="64"/>
  <c r="B247" i="64"/>
  <c r="B246" i="64"/>
  <c r="B242" i="64"/>
  <c r="B241" i="64"/>
  <c r="B239" i="64"/>
  <c r="B238" i="64"/>
  <c r="B237" i="64"/>
  <c r="B232" i="64"/>
  <c r="B231" i="64"/>
  <c r="B230" i="64"/>
  <c r="B229" i="64"/>
  <c r="B225" i="64"/>
  <c r="B224" i="64"/>
  <c r="B223" i="64"/>
  <c r="B222" i="64"/>
  <c r="B219" i="64"/>
  <c r="B218" i="64"/>
  <c r="B214" i="64"/>
  <c r="B213" i="64"/>
  <c r="B212" i="64"/>
  <c r="B208" i="64"/>
  <c r="B207" i="64"/>
  <c r="B206" i="64"/>
  <c r="B205" i="64"/>
  <c r="B191" i="64"/>
  <c r="B190" i="64"/>
  <c r="B188" i="64"/>
  <c r="B187" i="64"/>
  <c r="B185" i="64"/>
  <c r="B184" i="64"/>
  <c r="B182" i="64"/>
  <c r="B180" i="64"/>
  <c r="B179" i="64"/>
  <c r="B178" i="64"/>
  <c r="B177" i="64"/>
  <c r="B176" i="64"/>
  <c r="B175" i="64"/>
  <c r="B172" i="64"/>
  <c r="B170" i="64"/>
  <c r="B165" i="64"/>
  <c r="B164" i="64"/>
  <c r="B162" i="64"/>
  <c r="B157" i="64"/>
  <c r="B156" i="64"/>
  <c r="B155" i="64"/>
  <c r="B153" i="64"/>
  <c r="B148" i="64"/>
  <c r="B147" i="64"/>
  <c r="B142" i="64"/>
  <c r="B141" i="64"/>
  <c r="B139" i="64"/>
  <c r="B138" i="64"/>
  <c r="B134" i="64"/>
  <c r="B132" i="64"/>
  <c r="B131" i="64"/>
  <c r="B130" i="64"/>
  <c r="B129" i="64"/>
  <c r="B128" i="64"/>
  <c r="B121" i="64"/>
  <c r="B120" i="64"/>
  <c r="B119" i="64"/>
  <c r="B118" i="64"/>
  <c r="B117" i="64"/>
  <c r="B116" i="64"/>
  <c r="B115" i="64"/>
  <c r="B113" i="64"/>
  <c r="B112" i="64"/>
  <c r="B111" i="64"/>
  <c r="B110" i="64"/>
  <c r="B103" i="64"/>
  <c r="B102" i="64"/>
  <c r="B101" i="64"/>
  <c r="B98" i="64"/>
  <c r="B97" i="64"/>
  <c r="B96" i="64"/>
  <c r="B95" i="64"/>
  <c r="B94" i="64"/>
  <c r="B90" i="64"/>
  <c r="B89" i="64"/>
  <c r="B88" i="64"/>
  <c r="B86" i="64"/>
  <c r="B85" i="64"/>
  <c r="B84" i="64"/>
  <c r="B83" i="64"/>
  <c r="B82" i="64"/>
  <c r="B77" i="64"/>
  <c r="B75" i="64"/>
  <c r="B73" i="64"/>
  <c r="B71" i="64"/>
  <c r="B70" i="64"/>
  <c r="B69" i="64"/>
  <c r="B62" i="64"/>
  <c r="B57" i="64"/>
  <c r="D368" i="65"/>
  <c r="E368" i="65"/>
  <c r="F368" i="65"/>
  <c r="G368" i="65"/>
  <c r="H368" i="65"/>
  <c r="I368" i="65"/>
  <c r="D319" i="65"/>
  <c r="F403" i="64"/>
  <c r="F404" i="64"/>
  <c r="D404" i="64"/>
  <c r="D403" i="64"/>
  <c r="G303" i="65"/>
  <c r="H303" i="65"/>
  <c r="I303" i="65"/>
  <c r="J303" i="65"/>
  <c r="E303" i="65"/>
  <c r="F303" i="65"/>
  <c r="D303" i="65"/>
  <c r="E285" i="65"/>
  <c r="E281" i="65"/>
  <c r="E257" i="65"/>
  <c r="P144" i="68" l="1"/>
  <c r="T295" i="68"/>
  <c r="T393" i="68"/>
  <c r="I72" i="64"/>
  <c r="I74" i="64" s="1"/>
  <c r="I78" i="64" s="1"/>
  <c r="I79" i="64" s="1"/>
  <c r="T267" i="68"/>
  <c r="S297" i="68"/>
  <c r="T522" i="68"/>
  <c r="T468" i="68"/>
  <c r="M392" i="68"/>
  <c r="N407" i="68"/>
  <c r="O197" i="68"/>
  <c r="O196" i="68" s="1"/>
  <c r="T294" i="68"/>
  <c r="P27" i="68"/>
  <c r="P194" i="68" s="1"/>
  <c r="T188" i="68"/>
  <c r="T266" i="68"/>
  <c r="Q29" i="68"/>
  <c r="H72" i="64"/>
  <c r="H74" i="64" s="1"/>
  <c r="H78" i="64" s="1"/>
  <c r="H79" i="64" s="1"/>
  <c r="G72" i="64"/>
  <c r="E391" i="64"/>
  <c r="E393" i="64"/>
  <c r="E352" i="64"/>
  <c r="E353" i="64" s="1"/>
  <c r="E451" i="64"/>
  <c r="E452" i="64" s="1"/>
  <c r="G391" i="64"/>
  <c r="E318" i="65"/>
  <c r="F391" i="64"/>
  <c r="I391" i="64"/>
  <c r="H391" i="64"/>
  <c r="F393" i="64"/>
  <c r="I393" i="64"/>
  <c r="H393" i="64"/>
  <c r="G393" i="64"/>
  <c r="D391" i="64"/>
  <c r="G74" i="64"/>
  <c r="G78" i="64" s="1"/>
  <c r="G79" i="64" s="1"/>
  <c r="E72" i="64"/>
  <c r="E74" i="64" s="1"/>
  <c r="E78" i="64" s="1"/>
  <c r="E79" i="64" s="1"/>
  <c r="E216" i="65"/>
  <c r="E196" i="65"/>
  <c r="G170" i="65"/>
  <c r="H170" i="65"/>
  <c r="I170" i="65"/>
  <c r="J170" i="65"/>
  <c r="E170" i="65"/>
  <c r="F170" i="65"/>
  <c r="D170" i="65"/>
  <c r="E167" i="65"/>
  <c r="E150" i="65"/>
  <c r="F150" i="65"/>
  <c r="G150" i="65"/>
  <c r="H150" i="65"/>
  <c r="I150" i="65"/>
  <c r="J150" i="65"/>
  <c r="D150" i="65"/>
  <c r="E129" i="65"/>
  <c r="D121" i="64"/>
  <c r="F121" i="64"/>
  <c r="G113" i="65"/>
  <c r="H113" i="65"/>
  <c r="I113" i="65"/>
  <c r="J113" i="65"/>
  <c r="E113" i="65"/>
  <c r="F113" i="65"/>
  <c r="D113" i="65"/>
  <c r="B30" i="65"/>
  <c r="E27" i="65"/>
  <c r="E35" i="65" s="1"/>
  <c r="F27" i="65"/>
  <c r="F35" i="65" s="1"/>
  <c r="G27" i="65"/>
  <c r="G35" i="65" s="1"/>
  <c r="H27" i="65"/>
  <c r="H35" i="65" s="1"/>
  <c r="I27" i="65"/>
  <c r="I35" i="65" s="1"/>
  <c r="J27" i="65"/>
  <c r="J35" i="65" s="1"/>
  <c r="D27" i="65"/>
  <c r="D35" i="65" s="1"/>
  <c r="J388" i="65"/>
  <c r="J389" i="65" s="1"/>
  <c r="J382" i="65"/>
  <c r="J378" i="65"/>
  <c r="J368" i="65"/>
  <c r="J358" i="65"/>
  <c r="J342" i="65"/>
  <c r="J324" i="65"/>
  <c r="J307" i="65"/>
  <c r="J297" i="65"/>
  <c r="J291" i="65"/>
  <c r="J285" i="65"/>
  <c r="J281" i="65"/>
  <c r="J273" i="65"/>
  <c r="J268" i="65"/>
  <c r="J263" i="65"/>
  <c r="J257" i="65"/>
  <c r="J252" i="65"/>
  <c r="J247" i="65"/>
  <c r="J242" i="65"/>
  <c r="J231" i="65"/>
  <c r="J226" i="65"/>
  <c r="J221" i="65"/>
  <c r="J216" i="65"/>
  <c r="J196" i="65"/>
  <c r="J191" i="65"/>
  <c r="J190" i="65"/>
  <c r="J182" i="65"/>
  <c r="J167" i="65"/>
  <c r="J160" i="65"/>
  <c r="J144" i="65"/>
  <c r="J146" i="65" s="1"/>
  <c r="J137" i="65"/>
  <c r="J129" i="65"/>
  <c r="J105" i="65"/>
  <c r="J94" i="65"/>
  <c r="J87" i="65"/>
  <c r="J80" i="65"/>
  <c r="J76" i="65"/>
  <c r="J69" i="65"/>
  <c r="J52" i="65"/>
  <c r="J23" i="65"/>
  <c r="J14" i="65"/>
  <c r="T121" i="68" l="1"/>
  <c r="T297" i="68"/>
  <c r="P195" i="68"/>
  <c r="P197" i="68" s="1"/>
  <c r="P196" i="68" s="1"/>
  <c r="Q30" i="68"/>
  <c r="N392" i="68"/>
  <c r="O407" i="68"/>
  <c r="E319" i="65"/>
  <c r="F318" i="65"/>
  <c r="J152" i="65"/>
  <c r="J32" i="65"/>
  <c r="J384" i="65"/>
  <c r="J31" i="65"/>
  <c r="J81" i="65"/>
  <c r="J99" i="65" s="1"/>
  <c r="J114" i="65" s="1"/>
  <c r="J139" i="65"/>
  <c r="Q144" i="68" l="1"/>
  <c r="Q313" i="68"/>
  <c r="R29" i="68"/>
  <c r="R30" i="68" s="1"/>
  <c r="R27" i="68" s="1"/>
  <c r="O392" i="68"/>
  <c r="P407" i="68"/>
  <c r="Q27" i="68"/>
  <c r="G318" i="65"/>
  <c r="F319" i="65"/>
  <c r="J88" i="65"/>
  <c r="J95" i="65" s="1"/>
  <c r="J97" i="65" s="1"/>
  <c r="R313" i="68" l="1"/>
  <c r="R144" i="68"/>
  <c r="S29" i="68"/>
  <c r="S30" i="68" s="1"/>
  <c r="S27" i="68" s="1"/>
  <c r="Q195" i="68"/>
  <c r="Q194" i="68"/>
  <c r="R194" i="68" s="1"/>
  <c r="P392" i="68"/>
  <c r="Q407" i="68"/>
  <c r="H318" i="65"/>
  <c r="G319" i="65"/>
  <c r="S313" i="68" l="1"/>
  <c r="S144" i="68"/>
  <c r="T29" i="68"/>
  <c r="S194" i="68"/>
  <c r="Q392" i="68"/>
  <c r="R407" i="68"/>
  <c r="Q197" i="68"/>
  <c r="Q196" i="68" s="1"/>
  <c r="R195" i="68"/>
  <c r="I318" i="65"/>
  <c r="H319" i="65"/>
  <c r="D90" i="64"/>
  <c r="F90" i="64"/>
  <c r="G90" i="64"/>
  <c r="H90" i="64"/>
  <c r="I90" i="64"/>
  <c r="D69" i="64"/>
  <c r="F69" i="64"/>
  <c r="D73" i="64"/>
  <c r="F73" i="64"/>
  <c r="D483" i="64"/>
  <c r="F483" i="64"/>
  <c r="G483" i="64"/>
  <c r="H483" i="64"/>
  <c r="I483" i="64"/>
  <c r="F70" i="64"/>
  <c r="D70" i="64"/>
  <c r="E234" i="64" s="1"/>
  <c r="T30" i="68" l="1"/>
  <c r="S195" i="68"/>
  <c r="R197" i="68"/>
  <c r="R196" i="68" s="1"/>
  <c r="R392" i="68"/>
  <c r="S407" i="68"/>
  <c r="J318" i="65"/>
  <c r="J319" i="65" s="1"/>
  <c r="I319" i="65"/>
  <c r="P17" i="66"/>
  <c r="P18" i="66"/>
  <c r="P19" i="66"/>
  <c r="P20" i="66"/>
  <c r="P21" i="66"/>
  <c r="P22" i="66"/>
  <c r="P23" i="66"/>
  <c r="P24" i="66"/>
  <c r="P25" i="66"/>
  <c r="P26" i="66"/>
  <c r="P27" i="66"/>
  <c r="P28" i="66"/>
  <c r="P29" i="66"/>
  <c r="P30" i="66"/>
  <c r="P31" i="66"/>
  <c r="P32" i="66"/>
  <c r="P33" i="66"/>
  <c r="P34" i="66"/>
  <c r="P35" i="66"/>
  <c r="P36" i="66"/>
  <c r="P37" i="66"/>
  <c r="P38" i="66"/>
  <c r="P39" i="66"/>
  <c r="P40" i="66"/>
  <c r="P41" i="66"/>
  <c r="P42" i="66"/>
  <c r="P43" i="66"/>
  <c r="P44" i="66"/>
  <c r="P45" i="66"/>
  <c r="P46" i="66"/>
  <c r="P47" i="66"/>
  <c r="P48" i="66"/>
  <c r="P49" i="66"/>
  <c r="P50" i="66"/>
  <c r="P51" i="66"/>
  <c r="P52" i="66"/>
  <c r="P53" i="66"/>
  <c r="P54" i="66"/>
  <c r="P55" i="66"/>
  <c r="P56" i="66"/>
  <c r="P57" i="66"/>
  <c r="P58" i="66"/>
  <c r="P59" i="66"/>
  <c r="P60" i="66"/>
  <c r="P61" i="66"/>
  <c r="P62" i="66"/>
  <c r="P63" i="66"/>
  <c r="P64" i="66"/>
  <c r="P65" i="66"/>
  <c r="P66" i="66"/>
  <c r="P67" i="66"/>
  <c r="P68" i="66"/>
  <c r="P69" i="66"/>
  <c r="P70" i="66"/>
  <c r="P71" i="66"/>
  <c r="P72" i="66"/>
  <c r="P73" i="66"/>
  <c r="P74" i="66"/>
  <c r="P75" i="66"/>
  <c r="P76" i="66"/>
  <c r="P77" i="66"/>
  <c r="P78" i="66"/>
  <c r="P79" i="66"/>
  <c r="P80" i="66"/>
  <c r="P81" i="66"/>
  <c r="P82" i="66"/>
  <c r="P83" i="66"/>
  <c r="P84" i="66"/>
  <c r="P85" i="66"/>
  <c r="P86" i="66"/>
  <c r="P87" i="66"/>
  <c r="P88" i="66"/>
  <c r="P89" i="66"/>
  <c r="P90" i="66"/>
  <c r="P91" i="66"/>
  <c r="P92" i="66"/>
  <c r="P93" i="66"/>
  <c r="P94" i="66"/>
  <c r="P95" i="66"/>
  <c r="P96" i="66"/>
  <c r="P97" i="66"/>
  <c r="P98" i="66"/>
  <c r="P99" i="66"/>
  <c r="P100" i="66"/>
  <c r="P101" i="66"/>
  <c r="P102" i="66"/>
  <c r="P103" i="66"/>
  <c r="P104" i="66"/>
  <c r="P105" i="66"/>
  <c r="P106" i="66"/>
  <c r="P107" i="66"/>
  <c r="P110" i="66"/>
  <c r="P111" i="66"/>
  <c r="P112" i="66"/>
  <c r="P113" i="66"/>
  <c r="P114" i="66"/>
  <c r="P115" i="66"/>
  <c r="P116" i="66"/>
  <c r="P117" i="66"/>
  <c r="P118" i="66"/>
  <c r="P119" i="66"/>
  <c r="P120" i="66"/>
  <c r="P121" i="66"/>
  <c r="P122" i="66"/>
  <c r="P123" i="66"/>
  <c r="P124" i="66"/>
  <c r="P125" i="66"/>
  <c r="P126" i="66"/>
  <c r="P127" i="66"/>
  <c r="P128" i="66"/>
  <c r="P129" i="66"/>
  <c r="P130" i="66"/>
  <c r="P131" i="66"/>
  <c r="P132" i="66"/>
  <c r="P133" i="66"/>
  <c r="P134" i="66"/>
  <c r="P135" i="66"/>
  <c r="P136" i="66"/>
  <c r="P137" i="66"/>
  <c r="P138" i="66"/>
  <c r="P139" i="66"/>
  <c r="P140" i="66"/>
  <c r="P141" i="66"/>
  <c r="P142" i="66"/>
  <c r="P143" i="66"/>
  <c r="P144" i="66"/>
  <c r="P145" i="66"/>
  <c r="P146" i="66"/>
  <c r="P147" i="66"/>
  <c r="P148" i="66"/>
  <c r="P149" i="66"/>
  <c r="P150" i="66"/>
  <c r="P151" i="66"/>
  <c r="P152" i="66"/>
  <c r="P153" i="66"/>
  <c r="P154" i="66"/>
  <c r="P155" i="66"/>
  <c r="P156" i="66"/>
  <c r="P157" i="66"/>
  <c r="P158" i="66"/>
  <c r="P159" i="66"/>
  <c r="P160" i="66"/>
  <c r="P161" i="66"/>
  <c r="P162" i="66"/>
  <c r="P163" i="66"/>
  <c r="P164" i="66"/>
  <c r="P165" i="66"/>
  <c r="P166" i="66"/>
  <c r="P167" i="66"/>
  <c r="P168" i="66"/>
  <c r="P169" i="66"/>
  <c r="P170" i="66"/>
  <c r="P171" i="66"/>
  <c r="P172" i="66"/>
  <c r="P173" i="66"/>
  <c r="P174" i="66"/>
  <c r="P175" i="66"/>
  <c r="P176" i="66"/>
  <c r="P177" i="66"/>
  <c r="P178" i="66"/>
  <c r="P179" i="66"/>
  <c r="P180" i="66"/>
  <c r="P181" i="66"/>
  <c r="P182" i="66"/>
  <c r="P183" i="66"/>
  <c r="P184" i="66"/>
  <c r="P185" i="66"/>
  <c r="P186" i="66"/>
  <c r="P187" i="66"/>
  <c r="P188" i="66"/>
  <c r="P189" i="66"/>
  <c r="P190" i="66"/>
  <c r="P191" i="66"/>
  <c r="P192" i="66"/>
  <c r="P193" i="66"/>
  <c r="P194" i="66"/>
  <c r="P195" i="66"/>
  <c r="P196" i="66"/>
  <c r="P197" i="66"/>
  <c r="P198" i="66"/>
  <c r="P199" i="66"/>
  <c r="P200" i="66"/>
  <c r="U9" i="66"/>
  <c r="U63" i="66" s="1"/>
  <c r="J110" i="66"/>
  <c r="K110" i="66"/>
  <c r="L110" i="66"/>
  <c r="M110" i="66"/>
  <c r="N110" i="66"/>
  <c r="O110" i="66"/>
  <c r="J111" i="66"/>
  <c r="K111" i="66"/>
  <c r="L111" i="66"/>
  <c r="M111" i="66"/>
  <c r="N111" i="66"/>
  <c r="O111" i="66"/>
  <c r="J112" i="66"/>
  <c r="K112" i="66"/>
  <c r="L112" i="66"/>
  <c r="M112" i="66"/>
  <c r="N112" i="66"/>
  <c r="O112" i="66"/>
  <c r="J113" i="66"/>
  <c r="K113" i="66"/>
  <c r="L113" i="66"/>
  <c r="M113" i="66"/>
  <c r="N113" i="66"/>
  <c r="O113" i="66"/>
  <c r="J114" i="66"/>
  <c r="K114" i="66"/>
  <c r="L114" i="66"/>
  <c r="M114" i="66"/>
  <c r="N114" i="66"/>
  <c r="O114" i="66"/>
  <c r="J115" i="66"/>
  <c r="K115" i="66"/>
  <c r="L115" i="66"/>
  <c r="M115" i="66"/>
  <c r="N115" i="66"/>
  <c r="O115" i="66"/>
  <c r="J116" i="66"/>
  <c r="K116" i="66"/>
  <c r="L116" i="66"/>
  <c r="M116" i="66"/>
  <c r="N116" i="66"/>
  <c r="O116" i="66"/>
  <c r="J117" i="66"/>
  <c r="K117" i="66"/>
  <c r="L117" i="66"/>
  <c r="M117" i="66"/>
  <c r="N117" i="66"/>
  <c r="O117" i="66"/>
  <c r="J118" i="66"/>
  <c r="K118" i="66"/>
  <c r="L118" i="66"/>
  <c r="M118" i="66"/>
  <c r="N118" i="66"/>
  <c r="O118" i="66"/>
  <c r="J119" i="66"/>
  <c r="K119" i="66"/>
  <c r="L119" i="66"/>
  <c r="M119" i="66"/>
  <c r="N119" i="66"/>
  <c r="O119" i="66"/>
  <c r="J120" i="66"/>
  <c r="K120" i="66"/>
  <c r="L120" i="66"/>
  <c r="M120" i="66"/>
  <c r="N120" i="66"/>
  <c r="O120" i="66"/>
  <c r="J121" i="66"/>
  <c r="K121" i="66"/>
  <c r="L121" i="66"/>
  <c r="M121" i="66"/>
  <c r="N121" i="66"/>
  <c r="O121" i="66"/>
  <c r="J122" i="66"/>
  <c r="K122" i="66"/>
  <c r="L122" i="66"/>
  <c r="M122" i="66"/>
  <c r="N122" i="66"/>
  <c r="O122" i="66"/>
  <c r="J123" i="66"/>
  <c r="K123" i="66"/>
  <c r="L123" i="66"/>
  <c r="M123" i="66"/>
  <c r="N123" i="66"/>
  <c r="O123" i="66"/>
  <c r="J124" i="66"/>
  <c r="K124" i="66"/>
  <c r="L124" i="66"/>
  <c r="M124" i="66"/>
  <c r="N124" i="66"/>
  <c r="O124" i="66"/>
  <c r="J125" i="66"/>
  <c r="K125" i="66"/>
  <c r="L125" i="66"/>
  <c r="M125" i="66"/>
  <c r="N125" i="66"/>
  <c r="O125" i="66"/>
  <c r="J126" i="66"/>
  <c r="K126" i="66"/>
  <c r="L126" i="66"/>
  <c r="M126" i="66"/>
  <c r="N126" i="66"/>
  <c r="O126" i="66"/>
  <c r="J127" i="66"/>
  <c r="K127" i="66"/>
  <c r="L127" i="66"/>
  <c r="M127" i="66"/>
  <c r="N127" i="66"/>
  <c r="O127" i="66"/>
  <c r="J128" i="66"/>
  <c r="K128" i="66"/>
  <c r="L128" i="66"/>
  <c r="M128" i="66"/>
  <c r="N128" i="66"/>
  <c r="O128" i="66"/>
  <c r="J129" i="66"/>
  <c r="K129" i="66"/>
  <c r="L129" i="66"/>
  <c r="M129" i="66"/>
  <c r="N129" i="66"/>
  <c r="O129" i="66"/>
  <c r="J130" i="66"/>
  <c r="K130" i="66"/>
  <c r="L130" i="66"/>
  <c r="M130" i="66"/>
  <c r="N130" i="66"/>
  <c r="O130" i="66"/>
  <c r="J131" i="66"/>
  <c r="K131" i="66"/>
  <c r="L131" i="66"/>
  <c r="M131" i="66"/>
  <c r="N131" i="66"/>
  <c r="O131" i="66"/>
  <c r="J132" i="66"/>
  <c r="K132" i="66"/>
  <c r="L132" i="66"/>
  <c r="M132" i="66"/>
  <c r="N132" i="66"/>
  <c r="O132" i="66"/>
  <c r="J133" i="66"/>
  <c r="K133" i="66"/>
  <c r="L133" i="66"/>
  <c r="M133" i="66"/>
  <c r="N133" i="66"/>
  <c r="O133" i="66"/>
  <c r="J134" i="66"/>
  <c r="K134" i="66"/>
  <c r="L134" i="66"/>
  <c r="M134" i="66"/>
  <c r="N134" i="66"/>
  <c r="O134" i="66"/>
  <c r="J135" i="66"/>
  <c r="K135" i="66"/>
  <c r="L135" i="66"/>
  <c r="M135" i="66"/>
  <c r="N135" i="66"/>
  <c r="O135" i="66"/>
  <c r="J136" i="66"/>
  <c r="K136" i="66"/>
  <c r="L136" i="66"/>
  <c r="M136" i="66"/>
  <c r="N136" i="66"/>
  <c r="O136" i="66"/>
  <c r="J137" i="66"/>
  <c r="K137" i="66"/>
  <c r="L137" i="66"/>
  <c r="M137" i="66"/>
  <c r="N137" i="66"/>
  <c r="O137" i="66"/>
  <c r="J138" i="66"/>
  <c r="K138" i="66"/>
  <c r="L138" i="66"/>
  <c r="M138" i="66"/>
  <c r="N138" i="66"/>
  <c r="O138" i="66"/>
  <c r="J139" i="66"/>
  <c r="K139" i="66"/>
  <c r="L139" i="66"/>
  <c r="M139" i="66"/>
  <c r="N139" i="66"/>
  <c r="O139" i="66"/>
  <c r="J140" i="66"/>
  <c r="K140" i="66"/>
  <c r="L140" i="66"/>
  <c r="M140" i="66"/>
  <c r="N140" i="66"/>
  <c r="O140" i="66"/>
  <c r="J141" i="66"/>
  <c r="K141" i="66"/>
  <c r="L141" i="66"/>
  <c r="M141" i="66"/>
  <c r="N141" i="66"/>
  <c r="O141" i="66"/>
  <c r="J142" i="66"/>
  <c r="K142" i="66"/>
  <c r="L142" i="66"/>
  <c r="M142" i="66"/>
  <c r="N142" i="66"/>
  <c r="O142" i="66"/>
  <c r="J143" i="66"/>
  <c r="K143" i="66"/>
  <c r="L143" i="66"/>
  <c r="M143" i="66"/>
  <c r="N143" i="66"/>
  <c r="O143" i="66"/>
  <c r="J144" i="66"/>
  <c r="K144" i="66"/>
  <c r="L144" i="66"/>
  <c r="M144" i="66"/>
  <c r="N144" i="66"/>
  <c r="O144" i="66"/>
  <c r="J145" i="66"/>
  <c r="K145" i="66"/>
  <c r="L145" i="66"/>
  <c r="M145" i="66"/>
  <c r="N145" i="66"/>
  <c r="O145" i="66"/>
  <c r="J146" i="66"/>
  <c r="K146" i="66"/>
  <c r="L146" i="66"/>
  <c r="M146" i="66"/>
  <c r="N146" i="66"/>
  <c r="O146" i="66"/>
  <c r="J147" i="66"/>
  <c r="K147" i="66"/>
  <c r="L147" i="66"/>
  <c r="M147" i="66"/>
  <c r="N147" i="66"/>
  <c r="O147" i="66"/>
  <c r="J148" i="66"/>
  <c r="K148" i="66"/>
  <c r="L148" i="66"/>
  <c r="M148" i="66"/>
  <c r="N148" i="66"/>
  <c r="O148" i="66"/>
  <c r="J149" i="66"/>
  <c r="K149" i="66"/>
  <c r="L149" i="66"/>
  <c r="M149" i="66"/>
  <c r="N149" i="66"/>
  <c r="O149" i="66"/>
  <c r="J150" i="66"/>
  <c r="K150" i="66"/>
  <c r="L150" i="66"/>
  <c r="M150" i="66"/>
  <c r="N150" i="66"/>
  <c r="O150" i="66"/>
  <c r="J151" i="66"/>
  <c r="K151" i="66"/>
  <c r="L151" i="66"/>
  <c r="M151" i="66"/>
  <c r="N151" i="66"/>
  <c r="O151" i="66"/>
  <c r="J152" i="66"/>
  <c r="K152" i="66"/>
  <c r="L152" i="66"/>
  <c r="M152" i="66"/>
  <c r="N152" i="66"/>
  <c r="O152" i="66"/>
  <c r="J153" i="66"/>
  <c r="K153" i="66"/>
  <c r="L153" i="66"/>
  <c r="M153" i="66"/>
  <c r="N153" i="66"/>
  <c r="O153" i="66"/>
  <c r="J154" i="66"/>
  <c r="K154" i="66"/>
  <c r="L154" i="66"/>
  <c r="M154" i="66"/>
  <c r="N154" i="66"/>
  <c r="O154" i="66"/>
  <c r="J155" i="66"/>
  <c r="K155" i="66"/>
  <c r="L155" i="66"/>
  <c r="M155" i="66"/>
  <c r="N155" i="66"/>
  <c r="O155" i="66"/>
  <c r="J156" i="66"/>
  <c r="K156" i="66"/>
  <c r="L156" i="66"/>
  <c r="M156" i="66"/>
  <c r="N156" i="66"/>
  <c r="O156" i="66"/>
  <c r="J157" i="66"/>
  <c r="K157" i="66"/>
  <c r="L157" i="66"/>
  <c r="M157" i="66"/>
  <c r="N157" i="66"/>
  <c r="O157" i="66"/>
  <c r="J158" i="66"/>
  <c r="K158" i="66"/>
  <c r="L158" i="66"/>
  <c r="M158" i="66"/>
  <c r="N158" i="66"/>
  <c r="O158" i="66"/>
  <c r="J159" i="66"/>
  <c r="K159" i="66"/>
  <c r="L159" i="66"/>
  <c r="M159" i="66"/>
  <c r="N159" i="66"/>
  <c r="O159" i="66"/>
  <c r="J160" i="66"/>
  <c r="K160" i="66"/>
  <c r="L160" i="66"/>
  <c r="M160" i="66"/>
  <c r="N160" i="66"/>
  <c r="O160" i="66"/>
  <c r="J161" i="66"/>
  <c r="K161" i="66"/>
  <c r="L161" i="66"/>
  <c r="M161" i="66"/>
  <c r="N161" i="66"/>
  <c r="O161" i="66"/>
  <c r="J162" i="66"/>
  <c r="K162" i="66"/>
  <c r="L162" i="66"/>
  <c r="M162" i="66"/>
  <c r="N162" i="66"/>
  <c r="O162" i="66"/>
  <c r="J163" i="66"/>
  <c r="K163" i="66"/>
  <c r="L163" i="66"/>
  <c r="M163" i="66"/>
  <c r="N163" i="66"/>
  <c r="O163" i="66"/>
  <c r="J164" i="66"/>
  <c r="K164" i="66"/>
  <c r="L164" i="66"/>
  <c r="M164" i="66"/>
  <c r="N164" i="66"/>
  <c r="O164" i="66"/>
  <c r="J165" i="66"/>
  <c r="K165" i="66"/>
  <c r="L165" i="66"/>
  <c r="M165" i="66"/>
  <c r="N165" i="66"/>
  <c r="O165" i="66"/>
  <c r="J166" i="66"/>
  <c r="K166" i="66"/>
  <c r="L166" i="66"/>
  <c r="M166" i="66"/>
  <c r="N166" i="66"/>
  <c r="O166" i="66"/>
  <c r="J167" i="66"/>
  <c r="K167" i="66"/>
  <c r="L167" i="66"/>
  <c r="M167" i="66"/>
  <c r="N167" i="66"/>
  <c r="O167" i="66"/>
  <c r="J168" i="66"/>
  <c r="K168" i="66"/>
  <c r="L168" i="66"/>
  <c r="M168" i="66"/>
  <c r="N168" i="66"/>
  <c r="O168" i="66"/>
  <c r="J169" i="66"/>
  <c r="K169" i="66"/>
  <c r="L169" i="66"/>
  <c r="M169" i="66"/>
  <c r="N169" i="66"/>
  <c r="O169" i="66"/>
  <c r="J170" i="66"/>
  <c r="K170" i="66"/>
  <c r="L170" i="66"/>
  <c r="M170" i="66"/>
  <c r="N170" i="66"/>
  <c r="O170" i="66"/>
  <c r="J171" i="66"/>
  <c r="K171" i="66"/>
  <c r="L171" i="66"/>
  <c r="M171" i="66"/>
  <c r="N171" i="66"/>
  <c r="O171" i="66"/>
  <c r="J172" i="66"/>
  <c r="K172" i="66"/>
  <c r="L172" i="66"/>
  <c r="M172" i="66"/>
  <c r="N172" i="66"/>
  <c r="O172" i="66"/>
  <c r="J173" i="66"/>
  <c r="K173" i="66"/>
  <c r="L173" i="66"/>
  <c r="M173" i="66"/>
  <c r="N173" i="66"/>
  <c r="O173" i="66"/>
  <c r="J174" i="66"/>
  <c r="K174" i="66"/>
  <c r="L174" i="66"/>
  <c r="M174" i="66"/>
  <c r="N174" i="66"/>
  <c r="O174" i="66"/>
  <c r="J175" i="66"/>
  <c r="K175" i="66"/>
  <c r="L175" i="66"/>
  <c r="M175" i="66"/>
  <c r="N175" i="66"/>
  <c r="O175" i="66"/>
  <c r="J176" i="66"/>
  <c r="K176" i="66"/>
  <c r="L176" i="66"/>
  <c r="M176" i="66"/>
  <c r="N176" i="66"/>
  <c r="O176" i="66"/>
  <c r="J177" i="66"/>
  <c r="K177" i="66"/>
  <c r="L177" i="66"/>
  <c r="M177" i="66"/>
  <c r="N177" i="66"/>
  <c r="O177" i="66"/>
  <c r="J178" i="66"/>
  <c r="K178" i="66"/>
  <c r="L178" i="66"/>
  <c r="M178" i="66"/>
  <c r="N178" i="66"/>
  <c r="O178" i="66"/>
  <c r="J179" i="66"/>
  <c r="K179" i="66"/>
  <c r="L179" i="66"/>
  <c r="M179" i="66"/>
  <c r="N179" i="66"/>
  <c r="O179" i="66"/>
  <c r="J180" i="66"/>
  <c r="K180" i="66"/>
  <c r="L180" i="66"/>
  <c r="M180" i="66"/>
  <c r="N180" i="66"/>
  <c r="O180" i="66"/>
  <c r="J181" i="66"/>
  <c r="K181" i="66"/>
  <c r="L181" i="66"/>
  <c r="M181" i="66"/>
  <c r="N181" i="66"/>
  <c r="O181" i="66"/>
  <c r="J182" i="66"/>
  <c r="K182" i="66"/>
  <c r="L182" i="66"/>
  <c r="M182" i="66"/>
  <c r="N182" i="66"/>
  <c r="O182" i="66"/>
  <c r="J183" i="66"/>
  <c r="K183" i="66"/>
  <c r="L183" i="66"/>
  <c r="M183" i="66"/>
  <c r="N183" i="66"/>
  <c r="O183" i="66"/>
  <c r="J184" i="66"/>
  <c r="K184" i="66"/>
  <c r="L184" i="66"/>
  <c r="M184" i="66"/>
  <c r="N184" i="66"/>
  <c r="O184" i="66"/>
  <c r="J185" i="66"/>
  <c r="K185" i="66"/>
  <c r="L185" i="66"/>
  <c r="M185" i="66"/>
  <c r="N185" i="66"/>
  <c r="O185" i="66"/>
  <c r="J186" i="66"/>
  <c r="K186" i="66"/>
  <c r="L186" i="66"/>
  <c r="M186" i="66"/>
  <c r="N186" i="66"/>
  <c r="O186" i="66"/>
  <c r="J187" i="66"/>
  <c r="K187" i="66"/>
  <c r="L187" i="66"/>
  <c r="M187" i="66"/>
  <c r="N187" i="66"/>
  <c r="O187" i="66"/>
  <c r="J188" i="66"/>
  <c r="K188" i="66"/>
  <c r="L188" i="66"/>
  <c r="M188" i="66"/>
  <c r="N188" i="66"/>
  <c r="O188" i="66"/>
  <c r="J189" i="66"/>
  <c r="K189" i="66"/>
  <c r="L189" i="66"/>
  <c r="M189" i="66"/>
  <c r="N189" i="66"/>
  <c r="O189" i="66"/>
  <c r="J190" i="66"/>
  <c r="K190" i="66"/>
  <c r="L190" i="66"/>
  <c r="M190" i="66"/>
  <c r="N190" i="66"/>
  <c r="O190" i="66"/>
  <c r="J191" i="66"/>
  <c r="K191" i="66"/>
  <c r="L191" i="66"/>
  <c r="M191" i="66"/>
  <c r="N191" i="66"/>
  <c r="O191" i="66"/>
  <c r="J192" i="66"/>
  <c r="K192" i="66"/>
  <c r="L192" i="66"/>
  <c r="M192" i="66"/>
  <c r="N192" i="66"/>
  <c r="O192" i="66"/>
  <c r="J193" i="66"/>
  <c r="K193" i="66"/>
  <c r="L193" i="66"/>
  <c r="M193" i="66"/>
  <c r="N193" i="66"/>
  <c r="O193" i="66"/>
  <c r="J194" i="66"/>
  <c r="K194" i="66"/>
  <c r="L194" i="66"/>
  <c r="M194" i="66"/>
  <c r="N194" i="66"/>
  <c r="O194" i="66"/>
  <c r="J195" i="66"/>
  <c r="K195" i="66"/>
  <c r="L195" i="66"/>
  <c r="M195" i="66"/>
  <c r="N195" i="66"/>
  <c r="O195" i="66"/>
  <c r="J196" i="66"/>
  <c r="K196" i="66"/>
  <c r="L196" i="66"/>
  <c r="M196" i="66"/>
  <c r="N196" i="66"/>
  <c r="O196" i="66"/>
  <c r="J197" i="66"/>
  <c r="K197" i="66"/>
  <c r="L197" i="66"/>
  <c r="M197" i="66"/>
  <c r="N197" i="66"/>
  <c r="O197" i="66"/>
  <c r="J198" i="66"/>
  <c r="K198" i="66"/>
  <c r="L198" i="66"/>
  <c r="M198" i="66"/>
  <c r="N198" i="66"/>
  <c r="O198" i="66"/>
  <c r="J199" i="66"/>
  <c r="K199" i="66"/>
  <c r="L199" i="66"/>
  <c r="M199" i="66"/>
  <c r="N199" i="66"/>
  <c r="O199" i="66"/>
  <c r="J200" i="66"/>
  <c r="K200" i="66"/>
  <c r="L200" i="66"/>
  <c r="M200" i="66"/>
  <c r="N200" i="66"/>
  <c r="O200" i="66"/>
  <c r="J17" i="66"/>
  <c r="K17" i="66"/>
  <c r="L17" i="66"/>
  <c r="M17" i="66"/>
  <c r="N17" i="66"/>
  <c r="O17" i="66"/>
  <c r="J18" i="66"/>
  <c r="K18" i="66"/>
  <c r="L18" i="66"/>
  <c r="M18" i="66"/>
  <c r="N18" i="66"/>
  <c r="O18" i="66"/>
  <c r="J19" i="66"/>
  <c r="K19" i="66"/>
  <c r="L19" i="66"/>
  <c r="M19" i="66"/>
  <c r="N19" i="66"/>
  <c r="O19" i="66"/>
  <c r="J20" i="66"/>
  <c r="K20" i="66"/>
  <c r="L20" i="66"/>
  <c r="M20" i="66"/>
  <c r="N20" i="66"/>
  <c r="O20" i="66"/>
  <c r="J21" i="66"/>
  <c r="K21" i="66"/>
  <c r="L21" i="66"/>
  <c r="M21" i="66"/>
  <c r="N21" i="66"/>
  <c r="O21" i="66"/>
  <c r="J22" i="66"/>
  <c r="K22" i="66"/>
  <c r="L22" i="66"/>
  <c r="M22" i="66"/>
  <c r="N22" i="66"/>
  <c r="O22" i="66"/>
  <c r="J23" i="66"/>
  <c r="K23" i="66"/>
  <c r="L23" i="66"/>
  <c r="M23" i="66"/>
  <c r="N23" i="66"/>
  <c r="O23" i="66"/>
  <c r="J24" i="66"/>
  <c r="K24" i="66"/>
  <c r="L24" i="66"/>
  <c r="M24" i="66"/>
  <c r="N24" i="66"/>
  <c r="O24" i="66"/>
  <c r="J25" i="66"/>
  <c r="K25" i="66"/>
  <c r="L25" i="66"/>
  <c r="M25" i="66"/>
  <c r="N25" i="66"/>
  <c r="O25" i="66"/>
  <c r="J26" i="66"/>
  <c r="K26" i="66"/>
  <c r="L26" i="66"/>
  <c r="M26" i="66"/>
  <c r="N26" i="66"/>
  <c r="O26" i="66"/>
  <c r="J27" i="66"/>
  <c r="K27" i="66"/>
  <c r="L27" i="66"/>
  <c r="M27" i="66"/>
  <c r="N27" i="66"/>
  <c r="O27" i="66"/>
  <c r="J28" i="66"/>
  <c r="K28" i="66"/>
  <c r="L28" i="66"/>
  <c r="M28" i="66"/>
  <c r="N28" i="66"/>
  <c r="O28" i="66"/>
  <c r="J29" i="66"/>
  <c r="K29" i="66"/>
  <c r="L29" i="66"/>
  <c r="M29" i="66"/>
  <c r="N29" i="66"/>
  <c r="O29" i="66"/>
  <c r="J30" i="66"/>
  <c r="K30" i="66"/>
  <c r="L30" i="66"/>
  <c r="M30" i="66"/>
  <c r="N30" i="66"/>
  <c r="O30" i="66"/>
  <c r="J31" i="66"/>
  <c r="K31" i="66"/>
  <c r="L31" i="66"/>
  <c r="M31" i="66"/>
  <c r="N31" i="66"/>
  <c r="O31" i="66"/>
  <c r="J32" i="66"/>
  <c r="K32" i="66"/>
  <c r="L32" i="66"/>
  <c r="M32" i="66"/>
  <c r="N32" i="66"/>
  <c r="O32" i="66"/>
  <c r="J33" i="66"/>
  <c r="K33" i="66"/>
  <c r="L33" i="66"/>
  <c r="M33" i="66"/>
  <c r="N33" i="66"/>
  <c r="O33" i="66"/>
  <c r="J34" i="66"/>
  <c r="K34" i="66"/>
  <c r="L34" i="66"/>
  <c r="M34" i="66"/>
  <c r="N34" i="66"/>
  <c r="O34" i="66"/>
  <c r="J35" i="66"/>
  <c r="K35" i="66"/>
  <c r="L35" i="66"/>
  <c r="M35" i="66"/>
  <c r="N35" i="66"/>
  <c r="O35" i="66"/>
  <c r="J36" i="66"/>
  <c r="K36" i="66"/>
  <c r="L36" i="66"/>
  <c r="M36" i="66"/>
  <c r="N36" i="66"/>
  <c r="O36" i="66"/>
  <c r="J37" i="66"/>
  <c r="K37" i="66"/>
  <c r="L37" i="66"/>
  <c r="M37" i="66"/>
  <c r="N37" i="66"/>
  <c r="O37" i="66"/>
  <c r="J38" i="66"/>
  <c r="K38" i="66"/>
  <c r="L38" i="66"/>
  <c r="M38" i="66"/>
  <c r="N38" i="66"/>
  <c r="O38" i="66"/>
  <c r="J39" i="66"/>
  <c r="K39" i="66"/>
  <c r="L39" i="66"/>
  <c r="M39" i="66"/>
  <c r="N39" i="66"/>
  <c r="O39" i="66"/>
  <c r="J40" i="66"/>
  <c r="K40" i="66"/>
  <c r="L40" i="66"/>
  <c r="M40" i="66"/>
  <c r="N40" i="66"/>
  <c r="O40" i="66"/>
  <c r="J41" i="66"/>
  <c r="K41" i="66"/>
  <c r="L41" i="66"/>
  <c r="M41" i="66"/>
  <c r="N41" i="66"/>
  <c r="O41" i="66"/>
  <c r="J42" i="66"/>
  <c r="K42" i="66"/>
  <c r="L42" i="66"/>
  <c r="M42" i="66"/>
  <c r="N42" i="66"/>
  <c r="O42" i="66"/>
  <c r="J43" i="66"/>
  <c r="K43" i="66"/>
  <c r="L43" i="66"/>
  <c r="M43" i="66"/>
  <c r="N43" i="66"/>
  <c r="O43" i="66"/>
  <c r="J44" i="66"/>
  <c r="K44" i="66"/>
  <c r="L44" i="66"/>
  <c r="M44" i="66"/>
  <c r="N44" i="66"/>
  <c r="O44" i="66"/>
  <c r="J45" i="66"/>
  <c r="K45" i="66"/>
  <c r="L45" i="66"/>
  <c r="M45" i="66"/>
  <c r="N45" i="66"/>
  <c r="O45" i="66"/>
  <c r="J46" i="66"/>
  <c r="K46" i="66"/>
  <c r="L46" i="66"/>
  <c r="M46" i="66"/>
  <c r="N46" i="66"/>
  <c r="O46" i="66"/>
  <c r="J47" i="66"/>
  <c r="K47" i="66"/>
  <c r="L47" i="66"/>
  <c r="M47" i="66"/>
  <c r="N47" i="66"/>
  <c r="O47" i="66"/>
  <c r="J48" i="66"/>
  <c r="K48" i="66"/>
  <c r="L48" i="66"/>
  <c r="M48" i="66"/>
  <c r="N48" i="66"/>
  <c r="O48" i="66"/>
  <c r="J49" i="66"/>
  <c r="K49" i="66"/>
  <c r="L49" i="66"/>
  <c r="M49" i="66"/>
  <c r="N49" i="66"/>
  <c r="O49" i="66"/>
  <c r="J50" i="66"/>
  <c r="K50" i="66"/>
  <c r="L50" i="66"/>
  <c r="M50" i="66"/>
  <c r="N50" i="66"/>
  <c r="O50" i="66"/>
  <c r="J51" i="66"/>
  <c r="K51" i="66"/>
  <c r="L51" i="66"/>
  <c r="M51" i="66"/>
  <c r="N51" i="66"/>
  <c r="O51" i="66"/>
  <c r="J52" i="66"/>
  <c r="K52" i="66"/>
  <c r="L52" i="66"/>
  <c r="M52" i="66"/>
  <c r="N52" i="66"/>
  <c r="O52" i="66"/>
  <c r="J53" i="66"/>
  <c r="K53" i="66"/>
  <c r="L53" i="66"/>
  <c r="M53" i="66"/>
  <c r="N53" i="66"/>
  <c r="O53" i="66"/>
  <c r="J54" i="66"/>
  <c r="K54" i="66"/>
  <c r="L54" i="66"/>
  <c r="M54" i="66"/>
  <c r="N54" i="66"/>
  <c r="O54" i="66"/>
  <c r="J55" i="66"/>
  <c r="K55" i="66"/>
  <c r="L55" i="66"/>
  <c r="M55" i="66"/>
  <c r="N55" i="66"/>
  <c r="O55" i="66"/>
  <c r="J56" i="66"/>
  <c r="K56" i="66"/>
  <c r="L56" i="66"/>
  <c r="M56" i="66"/>
  <c r="N56" i="66"/>
  <c r="O56" i="66"/>
  <c r="J57" i="66"/>
  <c r="K57" i="66"/>
  <c r="L57" i="66"/>
  <c r="M57" i="66"/>
  <c r="N57" i="66"/>
  <c r="O57" i="66"/>
  <c r="J58" i="66"/>
  <c r="K58" i="66"/>
  <c r="L58" i="66"/>
  <c r="M58" i="66"/>
  <c r="N58" i="66"/>
  <c r="O58" i="66"/>
  <c r="J59" i="66"/>
  <c r="K59" i="66"/>
  <c r="L59" i="66"/>
  <c r="M59" i="66"/>
  <c r="N59" i="66"/>
  <c r="O59" i="66"/>
  <c r="J60" i="66"/>
  <c r="K60" i="66"/>
  <c r="L60" i="66"/>
  <c r="M60" i="66"/>
  <c r="N60" i="66"/>
  <c r="O60" i="66"/>
  <c r="J61" i="66"/>
  <c r="K61" i="66"/>
  <c r="L61" i="66"/>
  <c r="M61" i="66"/>
  <c r="N61" i="66"/>
  <c r="O61" i="66"/>
  <c r="J62" i="66"/>
  <c r="K62" i="66"/>
  <c r="L62" i="66"/>
  <c r="M62" i="66"/>
  <c r="N62" i="66"/>
  <c r="O62" i="66"/>
  <c r="J63" i="66"/>
  <c r="K63" i="66"/>
  <c r="L63" i="66"/>
  <c r="M63" i="66"/>
  <c r="N63" i="66"/>
  <c r="O63" i="66"/>
  <c r="J64" i="66"/>
  <c r="K64" i="66"/>
  <c r="L64" i="66"/>
  <c r="M64" i="66"/>
  <c r="N64" i="66"/>
  <c r="O64" i="66"/>
  <c r="J65" i="66"/>
  <c r="K65" i="66"/>
  <c r="L65" i="66"/>
  <c r="M65" i="66"/>
  <c r="N65" i="66"/>
  <c r="O65" i="66"/>
  <c r="J66" i="66"/>
  <c r="K66" i="66"/>
  <c r="L66" i="66"/>
  <c r="M66" i="66"/>
  <c r="N66" i="66"/>
  <c r="O66" i="66"/>
  <c r="J67" i="66"/>
  <c r="K67" i="66"/>
  <c r="L67" i="66"/>
  <c r="M67" i="66"/>
  <c r="N67" i="66"/>
  <c r="O67" i="66"/>
  <c r="J68" i="66"/>
  <c r="K68" i="66"/>
  <c r="L68" i="66"/>
  <c r="M68" i="66"/>
  <c r="N68" i="66"/>
  <c r="O68" i="66"/>
  <c r="J69" i="66"/>
  <c r="K69" i="66"/>
  <c r="L69" i="66"/>
  <c r="M69" i="66"/>
  <c r="N69" i="66"/>
  <c r="O69" i="66"/>
  <c r="J70" i="66"/>
  <c r="K70" i="66"/>
  <c r="L70" i="66"/>
  <c r="M70" i="66"/>
  <c r="N70" i="66"/>
  <c r="O70" i="66"/>
  <c r="J71" i="66"/>
  <c r="K71" i="66"/>
  <c r="L71" i="66"/>
  <c r="M71" i="66"/>
  <c r="N71" i="66"/>
  <c r="O71" i="66"/>
  <c r="J72" i="66"/>
  <c r="K72" i="66"/>
  <c r="L72" i="66"/>
  <c r="M72" i="66"/>
  <c r="N72" i="66"/>
  <c r="O72" i="66"/>
  <c r="J73" i="66"/>
  <c r="K73" i="66"/>
  <c r="L73" i="66"/>
  <c r="M73" i="66"/>
  <c r="N73" i="66"/>
  <c r="O73" i="66"/>
  <c r="J74" i="66"/>
  <c r="K74" i="66"/>
  <c r="L74" i="66"/>
  <c r="M74" i="66"/>
  <c r="N74" i="66"/>
  <c r="O74" i="66"/>
  <c r="J75" i="66"/>
  <c r="K75" i="66"/>
  <c r="L75" i="66"/>
  <c r="M75" i="66"/>
  <c r="N75" i="66"/>
  <c r="O75" i="66"/>
  <c r="J76" i="66"/>
  <c r="K76" i="66"/>
  <c r="L76" i="66"/>
  <c r="M76" i="66"/>
  <c r="N76" i="66"/>
  <c r="O76" i="66"/>
  <c r="J77" i="66"/>
  <c r="K77" i="66"/>
  <c r="L77" i="66"/>
  <c r="M77" i="66"/>
  <c r="N77" i="66"/>
  <c r="O77" i="66"/>
  <c r="J78" i="66"/>
  <c r="K78" i="66"/>
  <c r="L78" i="66"/>
  <c r="M78" i="66"/>
  <c r="N78" i="66"/>
  <c r="O78" i="66"/>
  <c r="J79" i="66"/>
  <c r="K79" i="66"/>
  <c r="L79" i="66"/>
  <c r="M79" i="66"/>
  <c r="N79" i="66"/>
  <c r="O79" i="66"/>
  <c r="J80" i="66"/>
  <c r="K80" i="66"/>
  <c r="L80" i="66"/>
  <c r="M80" i="66"/>
  <c r="N80" i="66"/>
  <c r="O80" i="66"/>
  <c r="J81" i="66"/>
  <c r="K81" i="66"/>
  <c r="L81" i="66"/>
  <c r="M81" i="66"/>
  <c r="N81" i="66"/>
  <c r="O81" i="66"/>
  <c r="J82" i="66"/>
  <c r="K82" i="66"/>
  <c r="L82" i="66"/>
  <c r="M82" i="66"/>
  <c r="N82" i="66"/>
  <c r="O82" i="66"/>
  <c r="J83" i="66"/>
  <c r="K83" i="66"/>
  <c r="L83" i="66"/>
  <c r="M83" i="66"/>
  <c r="N83" i="66"/>
  <c r="O83" i="66"/>
  <c r="J84" i="66"/>
  <c r="K84" i="66"/>
  <c r="L84" i="66"/>
  <c r="M84" i="66"/>
  <c r="N84" i="66"/>
  <c r="O84" i="66"/>
  <c r="J85" i="66"/>
  <c r="K85" i="66"/>
  <c r="L85" i="66"/>
  <c r="M85" i="66"/>
  <c r="N85" i="66"/>
  <c r="O85" i="66"/>
  <c r="J86" i="66"/>
  <c r="K86" i="66"/>
  <c r="L86" i="66"/>
  <c r="M86" i="66"/>
  <c r="N86" i="66"/>
  <c r="O86" i="66"/>
  <c r="J87" i="66"/>
  <c r="K87" i="66"/>
  <c r="L87" i="66"/>
  <c r="M87" i="66"/>
  <c r="N87" i="66"/>
  <c r="O87" i="66"/>
  <c r="J88" i="66"/>
  <c r="K88" i="66"/>
  <c r="L88" i="66"/>
  <c r="M88" i="66"/>
  <c r="N88" i="66"/>
  <c r="O88" i="66"/>
  <c r="J89" i="66"/>
  <c r="K89" i="66"/>
  <c r="L89" i="66"/>
  <c r="M89" i="66"/>
  <c r="N89" i="66"/>
  <c r="O89" i="66"/>
  <c r="J90" i="66"/>
  <c r="K90" i="66"/>
  <c r="L90" i="66"/>
  <c r="M90" i="66"/>
  <c r="N90" i="66"/>
  <c r="O90" i="66"/>
  <c r="J91" i="66"/>
  <c r="K91" i="66"/>
  <c r="L91" i="66"/>
  <c r="M91" i="66"/>
  <c r="N91" i="66"/>
  <c r="O91" i="66"/>
  <c r="J92" i="66"/>
  <c r="K92" i="66"/>
  <c r="L92" i="66"/>
  <c r="M92" i="66"/>
  <c r="N92" i="66"/>
  <c r="O92" i="66"/>
  <c r="J93" i="66"/>
  <c r="K93" i="66"/>
  <c r="L93" i="66"/>
  <c r="M93" i="66"/>
  <c r="N93" i="66"/>
  <c r="O93" i="66"/>
  <c r="J94" i="66"/>
  <c r="K94" i="66"/>
  <c r="L94" i="66"/>
  <c r="M94" i="66"/>
  <c r="N94" i="66"/>
  <c r="O94" i="66"/>
  <c r="J95" i="66"/>
  <c r="K95" i="66"/>
  <c r="L95" i="66"/>
  <c r="M95" i="66"/>
  <c r="N95" i="66"/>
  <c r="O95" i="66"/>
  <c r="J96" i="66"/>
  <c r="K96" i="66"/>
  <c r="L96" i="66"/>
  <c r="M96" i="66"/>
  <c r="N96" i="66"/>
  <c r="O96" i="66"/>
  <c r="J97" i="66"/>
  <c r="K97" i="66"/>
  <c r="L97" i="66"/>
  <c r="M97" i="66"/>
  <c r="N97" i="66"/>
  <c r="O97" i="66"/>
  <c r="J98" i="66"/>
  <c r="K98" i="66"/>
  <c r="L98" i="66"/>
  <c r="M98" i="66"/>
  <c r="N98" i="66"/>
  <c r="O98" i="66"/>
  <c r="J99" i="66"/>
  <c r="K99" i="66"/>
  <c r="L99" i="66"/>
  <c r="M99" i="66"/>
  <c r="N99" i="66"/>
  <c r="O99" i="66"/>
  <c r="J100" i="66"/>
  <c r="K100" i="66"/>
  <c r="L100" i="66"/>
  <c r="M100" i="66"/>
  <c r="N100" i="66"/>
  <c r="O100" i="66"/>
  <c r="J101" i="66"/>
  <c r="K101" i="66"/>
  <c r="L101" i="66"/>
  <c r="M101" i="66"/>
  <c r="N101" i="66"/>
  <c r="O101" i="66"/>
  <c r="J102" i="66"/>
  <c r="K102" i="66"/>
  <c r="L102" i="66"/>
  <c r="M102" i="66"/>
  <c r="N102" i="66"/>
  <c r="O102" i="66"/>
  <c r="J103" i="66"/>
  <c r="K103" i="66"/>
  <c r="L103" i="66"/>
  <c r="M103" i="66"/>
  <c r="N103" i="66"/>
  <c r="O103" i="66"/>
  <c r="J104" i="66"/>
  <c r="K104" i="66"/>
  <c r="L104" i="66"/>
  <c r="M104" i="66"/>
  <c r="N104" i="66"/>
  <c r="O104" i="66"/>
  <c r="J105" i="66"/>
  <c r="K105" i="66"/>
  <c r="L105" i="66"/>
  <c r="M105" i="66"/>
  <c r="N105" i="66"/>
  <c r="O105" i="66"/>
  <c r="J106" i="66"/>
  <c r="K106" i="66"/>
  <c r="L106" i="66"/>
  <c r="M106" i="66"/>
  <c r="N106" i="66"/>
  <c r="O106" i="66"/>
  <c r="J107" i="66"/>
  <c r="K107" i="66"/>
  <c r="L107" i="66"/>
  <c r="M107" i="66"/>
  <c r="N107" i="66"/>
  <c r="O107" i="66"/>
  <c r="N203" i="32"/>
  <c r="O203" i="32"/>
  <c r="P203" i="32"/>
  <c r="Q203" i="32"/>
  <c r="R203" i="32"/>
  <c r="S203" i="32"/>
  <c r="T203" i="32"/>
  <c r="U203" i="32"/>
  <c r="V203" i="32"/>
  <c r="W203" i="32"/>
  <c r="X203" i="32"/>
  <c r="Y203" i="32"/>
  <c r="Z203" i="32"/>
  <c r="AA203" i="32"/>
  <c r="AB203" i="32"/>
  <c r="AC203" i="32"/>
  <c r="AD203" i="32"/>
  <c r="AE203" i="32"/>
  <c r="AF203" i="32"/>
  <c r="AG203" i="32"/>
  <c r="AH203" i="32"/>
  <c r="AI203" i="32"/>
  <c r="AJ203" i="32"/>
  <c r="AK203" i="32"/>
  <c r="AL203" i="32"/>
  <c r="AM203" i="32"/>
  <c r="AN203" i="32"/>
  <c r="AO203" i="32"/>
  <c r="AP203" i="32"/>
  <c r="AQ203" i="32"/>
  <c r="AR203" i="32"/>
  <c r="AS203" i="32"/>
  <c r="AT203" i="32"/>
  <c r="AU203" i="32"/>
  <c r="AV203" i="32"/>
  <c r="AW203" i="32"/>
  <c r="AX203" i="32"/>
  <c r="AY203" i="32"/>
  <c r="AZ203" i="32"/>
  <c r="BA203" i="32"/>
  <c r="BB203" i="32"/>
  <c r="BC203" i="32"/>
  <c r="BD203" i="32"/>
  <c r="BE203" i="32"/>
  <c r="BF203" i="32"/>
  <c r="BG203" i="32"/>
  <c r="BH203" i="32"/>
  <c r="BI203" i="32"/>
  <c r="BJ203" i="32"/>
  <c r="BK203" i="32"/>
  <c r="BL203" i="32"/>
  <c r="BM203" i="32"/>
  <c r="BN203" i="32"/>
  <c r="BO203" i="32"/>
  <c r="BP203" i="32"/>
  <c r="BQ203" i="32"/>
  <c r="N204" i="32"/>
  <c r="O204" i="32"/>
  <c r="P204" i="32"/>
  <c r="Q204" i="32"/>
  <c r="R204" i="32"/>
  <c r="S204" i="32"/>
  <c r="T204" i="32"/>
  <c r="U204" i="32"/>
  <c r="V204" i="32"/>
  <c r="W204" i="32"/>
  <c r="X204" i="32"/>
  <c r="Y204" i="32"/>
  <c r="Z204" i="32"/>
  <c r="AA204" i="32"/>
  <c r="AB204" i="32"/>
  <c r="AC204" i="32"/>
  <c r="AD204" i="32"/>
  <c r="AE204" i="32"/>
  <c r="AF204" i="32"/>
  <c r="AG204" i="32"/>
  <c r="AH204" i="32"/>
  <c r="AI204" i="32"/>
  <c r="AJ204" i="32"/>
  <c r="AK204" i="32"/>
  <c r="AL204" i="32"/>
  <c r="AM204" i="32"/>
  <c r="AN204" i="32"/>
  <c r="AO204" i="32"/>
  <c r="AP204" i="32"/>
  <c r="AQ204" i="32"/>
  <c r="AR204" i="32"/>
  <c r="AS204" i="32"/>
  <c r="AT204" i="32"/>
  <c r="AU204" i="32"/>
  <c r="AV204" i="32"/>
  <c r="AW204" i="32"/>
  <c r="AX204" i="32"/>
  <c r="AY204" i="32"/>
  <c r="AZ204" i="32"/>
  <c r="BA204" i="32"/>
  <c r="BB204" i="32"/>
  <c r="BC204" i="32"/>
  <c r="BD204" i="32"/>
  <c r="BE204" i="32"/>
  <c r="BF204" i="32"/>
  <c r="BG204" i="32"/>
  <c r="BH204" i="32"/>
  <c r="BI204" i="32"/>
  <c r="BJ204" i="32"/>
  <c r="BK204" i="32"/>
  <c r="BL204" i="32"/>
  <c r="BM204" i="32"/>
  <c r="BN204" i="32"/>
  <c r="BO204" i="32"/>
  <c r="BP204" i="32"/>
  <c r="BQ204" i="32"/>
  <c r="N205" i="32"/>
  <c r="O205" i="32"/>
  <c r="P205" i="32"/>
  <c r="Q205" i="32"/>
  <c r="R205" i="32"/>
  <c r="S205" i="32"/>
  <c r="T205" i="32"/>
  <c r="U205" i="32"/>
  <c r="V205" i="32"/>
  <c r="W205" i="32"/>
  <c r="X205" i="32"/>
  <c r="Y205" i="32"/>
  <c r="Z205" i="32"/>
  <c r="AA205" i="32"/>
  <c r="AB205" i="32"/>
  <c r="AC205" i="32"/>
  <c r="AD205" i="32"/>
  <c r="AE205" i="32"/>
  <c r="AF205" i="32"/>
  <c r="AG205" i="32"/>
  <c r="AH205" i="32"/>
  <c r="AI205" i="32"/>
  <c r="AJ205" i="32"/>
  <c r="AK205" i="32"/>
  <c r="AL205" i="32"/>
  <c r="AM205" i="32"/>
  <c r="AN205" i="32"/>
  <c r="AO205" i="32"/>
  <c r="AP205" i="32"/>
  <c r="AQ205" i="32"/>
  <c r="AR205" i="32"/>
  <c r="AS205" i="32"/>
  <c r="AT205" i="32"/>
  <c r="AU205" i="32"/>
  <c r="AV205" i="32"/>
  <c r="AW205" i="32"/>
  <c r="AX205" i="32"/>
  <c r="AY205" i="32"/>
  <c r="AZ205" i="32"/>
  <c r="BA205" i="32"/>
  <c r="BB205" i="32"/>
  <c r="BC205" i="32"/>
  <c r="BD205" i="32"/>
  <c r="BE205" i="32"/>
  <c r="BF205" i="32"/>
  <c r="BG205" i="32"/>
  <c r="BH205" i="32"/>
  <c r="BI205" i="32"/>
  <c r="BJ205" i="32"/>
  <c r="BK205" i="32"/>
  <c r="BL205" i="32"/>
  <c r="BM205" i="32"/>
  <c r="BN205" i="32"/>
  <c r="BO205" i="32"/>
  <c r="BP205" i="32"/>
  <c r="BQ205" i="32"/>
  <c r="N206" i="32"/>
  <c r="O206" i="32"/>
  <c r="P206" i="32"/>
  <c r="Q206" i="32"/>
  <c r="R206" i="32"/>
  <c r="S206" i="32"/>
  <c r="T206" i="32"/>
  <c r="U206" i="32"/>
  <c r="V206" i="32"/>
  <c r="W206" i="32"/>
  <c r="X206" i="32"/>
  <c r="Y206" i="32"/>
  <c r="Z206" i="32"/>
  <c r="AA206" i="32"/>
  <c r="AB206" i="32"/>
  <c r="AC206" i="32"/>
  <c r="AD206" i="32"/>
  <c r="AE206" i="32"/>
  <c r="AF206" i="32"/>
  <c r="AG206" i="32"/>
  <c r="AH206" i="32"/>
  <c r="AI206" i="32"/>
  <c r="AJ206" i="32"/>
  <c r="AK206" i="32"/>
  <c r="AL206" i="32"/>
  <c r="AM206" i="32"/>
  <c r="AN206" i="32"/>
  <c r="AO206" i="32"/>
  <c r="AP206" i="32"/>
  <c r="AQ206" i="32"/>
  <c r="AR206" i="32"/>
  <c r="AS206" i="32"/>
  <c r="AT206" i="32"/>
  <c r="AU206" i="32"/>
  <c r="AV206" i="32"/>
  <c r="AW206" i="32"/>
  <c r="AX206" i="32"/>
  <c r="AY206" i="32"/>
  <c r="AZ206" i="32"/>
  <c r="BA206" i="32"/>
  <c r="BB206" i="32"/>
  <c r="BC206" i="32"/>
  <c r="BD206" i="32"/>
  <c r="BE206" i="32"/>
  <c r="BF206" i="32"/>
  <c r="BG206" i="32"/>
  <c r="BH206" i="32"/>
  <c r="BI206" i="32"/>
  <c r="BJ206" i="32"/>
  <c r="BK206" i="32"/>
  <c r="BL206" i="32"/>
  <c r="BM206" i="32"/>
  <c r="BN206" i="32"/>
  <c r="BO206" i="32"/>
  <c r="BP206" i="32"/>
  <c r="BQ206" i="32"/>
  <c r="N207" i="32"/>
  <c r="O207" i="32"/>
  <c r="P207" i="32"/>
  <c r="Q207" i="32"/>
  <c r="R207" i="32"/>
  <c r="S207" i="32"/>
  <c r="T207" i="32"/>
  <c r="U207" i="32"/>
  <c r="V207" i="32"/>
  <c r="W207" i="32"/>
  <c r="X207" i="32"/>
  <c r="Y207" i="32"/>
  <c r="Z207" i="32"/>
  <c r="AA207" i="32"/>
  <c r="AB207" i="32"/>
  <c r="AC207" i="32"/>
  <c r="AD207" i="32"/>
  <c r="AE207" i="32"/>
  <c r="AF207" i="32"/>
  <c r="AG207" i="32"/>
  <c r="AH207" i="32"/>
  <c r="AI207" i="32"/>
  <c r="AJ207" i="32"/>
  <c r="AK207" i="32"/>
  <c r="AL207" i="32"/>
  <c r="AM207" i="32"/>
  <c r="AN207" i="32"/>
  <c r="AO207" i="32"/>
  <c r="AP207" i="32"/>
  <c r="AQ207" i="32"/>
  <c r="AR207" i="32"/>
  <c r="AS207" i="32"/>
  <c r="AT207" i="32"/>
  <c r="AU207" i="32"/>
  <c r="AV207" i="32"/>
  <c r="AW207" i="32"/>
  <c r="AX207" i="32"/>
  <c r="AY207" i="32"/>
  <c r="AZ207" i="32"/>
  <c r="BA207" i="32"/>
  <c r="BB207" i="32"/>
  <c r="BC207" i="32"/>
  <c r="BD207" i="32"/>
  <c r="BE207" i="32"/>
  <c r="BF207" i="32"/>
  <c r="BG207" i="32"/>
  <c r="BH207" i="32"/>
  <c r="BI207" i="32"/>
  <c r="BJ207" i="32"/>
  <c r="BK207" i="32"/>
  <c r="BL207" i="32"/>
  <c r="BM207" i="32"/>
  <c r="BN207" i="32"/>
  <c r="BO207" i="32"/>
  <c r="BP207" i="32"/>
  <c r="BQ207" i="32"/>
  <c r="N208" i="32"/>
  <c r="O208" i="32"/>
  <c r="P208" i="32"/>
  <c r="Q208" i="32"/>
  <c r="R208" i="32"/>
  <c r="S208" i="32"/>
  <c r="T208" i="32"/>
  <c r="U208" i="32"/>
  <c r="V208" i="32"/>
  <c r="W208" i="32"/>
  <c r="X208" i="32"/>
  <c r="Y208" i="32"/>
  <c r="Z208" i="32"/>
  <c r="AA208" i="32"/>
  <c r="AB208" i="32"/>
  <c r="AC208" i="32"/>
  <c r="AD208" i="32"/>
  <c r="AE208" i="32"/>
  <c r="AF208" i="32"/>
  <c r="AG208" i="32"/>
  <c r="AH208" i="32"/>
  <c r="AI208" i="32"/>
  <c r="AJ208" i="32"/>
  <c r="AK208" i="32"/>
  <c r="AL208" i="32"/>
  <c r="AM208" i="32"/>
  <c r="AN208" i="32"/>
  <c r="AO208" i="32"/>
  <c r="AP208" i="32"/>
  <c r="AQ208" i="32"/>
  <c r="AR208" i="32"/>
  <c r="AS208" i="32"/>
  <c r="AT208" i="32"/>
  <c r="AU208" i="32"/>
  <c r="AV208" i="32"/>
  <c r="AW208" i="32"/>
  <c r="AX208" i="32"/>
  <c r="AY208" i="32"/>
  <c r="AZ208" i="32"/>
  <c r="BA208" i="32"/>
  <c r="BB208" i="32"/>
  <c r="BC208" i="32"/>
  <c r="BD208" i="32"/>
  <c r="BE208" i="32"/>
  <c r="BF208" i="32"/>
  <c r="BG208" i="32"/>
  <c r="BH208" i="32"/>
  <c r="BI208" i="32"/>
  <c r="BJ208" i="32"/>
  <c r="BK208" i="32"/>
  <c r="BL208" i="32"/>
  <c r="BM208" i="32"/>
  <c r="BN208" i="32"/>
  <c r="BO208" i="32"/>
  <c r="BP208" i="32"/>
  <c r="BQ208" i="32"/>
  <c r="N209" i="32"/>
  <c r="O209" i="32"/>
  <c r="P209" i="32"/>
  <c r="Q209" i="32"/>
  <c r="R209" i="32"/>
  <c r="S209" i="32"/>
  <c r="T209" i="32"/>
  <c r="U209" i="32"/>
  <c r="V209" i="32"/>
  <c r="W209" i="32"/>
  <c r="X209" i="32"/>
  <c r="Y209" i="32"/>
  <c r="Z209" i="32"/>
  <c r="AA209" i="32"/>
  <c r="AB209" i="32"/>
  <c r="AC209" i="32"/>
  <c r="AD209" i="32"/>
  <c r="AE209" i="32"/>
  <c r="AF209" i="32"/>
  <c r="AG209" i="32"/>
  <c r="AH209" i="32"/>
  <c r="AI209" i="32"/>
  <c r="AJ209" i="32"/>
  <c r="AK209" i="32"/>
  <c r="AL209" i="32"/>
  <c r="AM209" i="32"/>
  <c r="AN209" i="32"/>
  <c r="AO209" i="32"/>
  <c r="AP209" i="32"/>
  <c r="AQ209" i="32"/>
  <c r="AR209" i="32"/>
  <c r="AS209" i="32"/>
  <c r="AT209" i="32"/>
  <c r="AU209" i="32"/>
  <c r="AV209" i="32"/>
  <c r="AW209" i="32"/>
  <c r="AX209" i="32"/>
  <c r="AY209" i="32"/>
  <c r="AZ209" i="32"/>
  <c r="BA209" i="32"/>
  <c r="BB209" i="32"/>
  <c r="BC209" i="32"/>
  <c r="BD209" i="32"/>
  <c r="BE209" i="32"/>
  <c r="BF209" i="32"/>
  <c r="BG209" i="32"/>
  <c r="BH209" i="32"/>
  <c r="BI209" i="32"/>
  <c r="BJ209" i="32"/>
  <c r="BK209" i="32"/>
  <c r="BL209" i="32"/>
  <c r="BM209" i="32"/>
  <c r="BN209" i="32"/>
  <c r="BO209" i="32"/>
  <c r="BP209" i="32"/>
  <c r="BQ209" i="32"/>
  <c r="N210" i="32"/>
  <c r="O210" i="32"/>
  <c r="P210" i="32"/>
  <c r="Q210" i="32"/>
  <c r="R210" i="32"/>
  <c r="S210" i="32"/>
  <c r="T210" i="32"/>
  <c r="U210" i="32"/>
  <c r="V210" i="32"/>
  <c r="W210" i="32"/>
  <c r="X210" i="32"/>
  <c r="Y210" i="32"/>
  <c r="Z210" i="32"/>
  <c r="AA210" i="32"/>
  <c r="AB210" i="32"/>
  <c r="AC210" i="32"/>
  <c r="AD210" i="32"/>
  <c r="AE210" i="32"/>
  <c r="AF210" i="32"/>
  <c r="AG210" i="32"/>
  <c r="AH210" i="32"/>
  <c r="AI210" i="32"/>
  <c r="AJ210" i="32"/>
  <c r="AK210" i="32"/>
  <c r="AL210" i="32"/>
  <c r="AM210" i="32"/>
  <c r="AN210" i="32"/>
  <c r="AO210" i="32"/>
  <c r="AP210" i="32"/>
  <c r="AQ210" i="32"/>
  <c r="AR210" i="32"/>
  <c r="AS210" i="32"/>
  <c r="AT210" i="32"/>
  <c r="AU210" i="32"/>
  <c r="AV210" i="32"/>
  <c r="AW210" i="32"/>
  <c r="AX210" i="32"/>
  <c r="AY210" i="32"/>
  <c r="AZ210" i="32"/>
  <c r="BA210" i="32"/>
  <c r="BB210" i="32"/>
  <c r="BC210" i="32"/>
  <c r="BD210" i="32"/>
  <c r="BE210" i="32"/>
  <c r="BF210" i="32"/>
  <c r="BG210" i="32"/>
  <c r="BH210" i="32"/>
  <c r="BI210" i="32"/>
  <c r="BJ210" i="32"/>
  <c r="BK210" i="32"/>
  <c r="BL210" i="32"/>
  <c r="BM210" i="32"/>
  <c r="BN210" i="32"/>
  <c r="BO210" i="32"/>
  <c r="BP210" i="32"/>
  <c r="BQ210" i="32"/>
  <c r="N211" i="32"/>
  <c r="O211" i="32"/>
  <c r="P211" i="32"/>
  <c r="Q211" i="32"/>
  <c r="R211" i="32"/>
  <c r="S211" i="32"/>
  <c r="T211" i="32"/>
  <c r="U211" i="32"/>
  <c r="V211" i="32"/>
  <c r="W211" i="32"/>
  <c r="X211" i="32"/>
  <c r="Y211" i="32"/>
  <c r="Z211" i="32"/>
  <c r="AA211" i="32"/>
  <c r="AB211" i="32"/>
  <c r="AC211" i="32"/>
  <c r="AD211" i="32"/>
  <c r="AE211" i="32"/>
  <c r="AF211" i="32"/>
  <c r="AG211" i="32"/>
  <c r="AH211" i="32"/>
  <c r="AI211" i="32"/>
  <c r="AJ211" i="32"/>
  <c r="AK211" i="32"/>
  <c r="AL211" i="32"/>
  <c r="AM211" i="32"/>
  <c r="AN211" i="32"/>
  <c r="AO211" i="32"/>
  <c r="AP211" i="32"/>
  <c r="AQ211" i="32"/>
  <c r="AR211" i="32"/>
  <c r="AS211" i="32"/>
  <c r="AT211" i="32"/>
  <c r="AU211" i="32"/>
  <c r="AV211" i="32"/>
  <c r="AW211" i="32"/>
  <c r="AX211" i="32"/>
  <c r="AY211" i="32"/>
  <c r="AZ211" i="32"/>
  <c r="BA211" i="32"/>
  <c r="BB211" i="32"/>
  <c r="BC211" i="32"/>
  <c r="BD211" i="32"/>
  <c r="BE211" i="32"/>
  <c r="BF211" i="32"/>
  <c r="BG211" i="32"/>
  <c r="BH211" i="32"/>
  <c r="BI211" i="32"/>
  <c r="BJ211" i="32"/>
  <c r="BK211" i="32"/>
  <c r="BL211" i="32"/>
  <c r="BM211" i="32"/>
  <c r="BN211" i="32"/>
  <c r="BO211" i="32"/>
  <c r="BP211" i="32"/>
  <c r="BQ211" i="32"/>
  <c r="N212" i="32"/>
  <c r="O212" i="32"/>
  <c r="P212" i="32"/>
  <c r="Q212" i="32"/>
  <c r="R212" i="32"/>
  <c r="S212" i="32"/>
  <c r="T212" i="32"/>
  <c r="U212" i="32"/>
  <c r="V212" i="32"/>
  <c r="W212" i="32"/>
  <c r="X212" i="32"/>
  <c r="Y212" i="32"/>
  <c r="Z212" i="32"/>
  <c r="AA212" i="32"/>
  <c r="AB212" i="32"/>
  <c r="AC212" i="32"/>
  <c r="AD212" i="32"/>
  <c r="AE212" i="32"/>
  <c r="AF212" i="32"/>
  <c r="AG212" i="32"/>
  <c r="AH212" i="32"/>
  <c r="AI212" i="32"/>
  <c r="AJ212" i="32"/>
  <c r="AK212" i="32"/>
  <c r="AL212" i="32"/>
  <c r="AM212" i="32"/>
  <c r="AN212" i="32"/>
  <c r="AO212" i="32"/>
  <c r="AP212" i="32"/>
  <c r="AQ212" i="32"/>
  <c r="AR212" i="32"/>
  <c r="AS212" i="32"/>
  <c r="AT212" i="32"/>
  <c r="AU212" i="32"/>
  <c r="AV212" i="32"/>
  <c r="AW212" i="32"/>
  <c r="AX212" i="32"/>
  <c r="AY212" i="32"/>
  <c r="AZ212" i="32"/>
  <c r="BA212" i="32"/>
  <c r="BB212" i="32"/>
  <c r="BC212" i="32"/>
  <c r="BD212" i="32"/>
  <c r="BE212" i="32"/>
  <c r="BF212" i="32"/>
  <c r="BG212" i="32"/>
  <c r="BH212" i="32"/>
  <c r="BI212" i="32"/>
  <c r="BJ212" i="32"/>
  <c r="BK212" i="32"/>
  <c r="BL212" i="32"/>
  <c r="BM212" i="32"/>
  <c r="BN212" i="32"/>
  <c r="BO212" i="32"/>
  <c r="BP212" i="32"/>
  <c r="BQ212" i="32"/>
  <c r="N213" i="32"/>
  <c r="O213" i="32"/>
  <c r="P213" i="32"/>
  <c r="Q213" i="32"/>
  <c r="R213" i="32"/>
  <c r="S213" i="32"/>
  <c r="T213" i="32"/>
  <c r="U213" i="32"/>
  <c r="V213" i="32"/>
  <c r="W213" i="32"/>
  <c r="X213" i="32"/>
  <c r="Y213" i="32"/>
  <c r="Z213" i="32"/>
  <c r="AA213" i="32"/>
  <c r="AB213" i="32"/>
  <c r="AC213" i="32"/>
  <c r="AD213" i="32"/>
  <c r="AE213" i="32"/>
  <c r="AF213" i="32"/>
  <c r="AG213" i="32"/>
  <c r="AH213" i="32"/>
  <c r="AI213" i="32"/>
  <c r="AJ213" i="32"/>
  <c r="AK213" i="32"/>
  <c r="AL213" i="32"/>
  <c r="AM213" i="32"/>
  <c r="AN213" i="32"/>
  <c r="AO213" i="32"/>
  <c r="AP213" i="32"/>
  <c r="AQ213" i="32"/>
  <c r="AR213" i="32"/>
  <c r="AS213" i="32"/>
  <c r="AT213" i="32"/>
  <c r="AU213" i="32"/>
  <c r="AV213" i="32"/>
  <c r="AW213" i="32"/>
  <c r="AX213" i="32"/>
  <c r="AY213" i="32"/>
  <c r="AZ213" i="32"/>
  <c r="BA213" i="32"/>
  <c r="BB213" i="32"/>
  <c r="BC213" i="32"/>
  <c r="BD213" i="32"/>
  <c r="BE213" i="32"/>
  <c r="BF213" i="32"/>
  <c r="BG213" i="32"/>
  <c r="BH213" i="32"/>
  <c r="BI213" i="32"/>
  <c r="BJ213" i="32"/>
  <c r="BK213" i="32"/>
  <c r="BL213" i="32"/>
  <c r="BM213" i="32"/>
  <c r="BN213" i="32"/>
  <c r="BO213" i="32"/>
  <c r="BP213" i="32"/>
  <c r="BQ213" i="32"/>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N215" i="32"/>
  <c r="O215" i="32"/>
  <c r="P215" i="32"/>
  <c r="Q215" i="32"/>
  <c r="R215" i="32"/>
  <c r="S215" i="32"/>
  <c r="T215" i="32"/>
  <c r="U215" i="32"/>
  <c r="V215" i="32"/>
  <c r="W215" i="32"/>
  <c r="X215" i="32"/>
  <c r="Y215" i="32"/>
  <c r="Z215" i="32"/>
  <c r="AA215" i="32"/>
  <c r="AB215" i="32"/>
  <c r="AC215" i="32"/>
  <c r="AD215" i="32"/>
  <c r="AE215" i="32"/>
  <c r="AF215" i="32"/>
  <c r="AG215" i="32"/>
  <c r="AH215" i="32"/>
  <c r="AI215" i="32"/>
  <c r="AJ215" i="32"/>
  <c r="AK215" i="32"/>
  <c r="AL215" i="32"/>
  <c r="AM215" i="32"/>
  <c r="AN215" i="32"/>
  <c r="AO215" i="32"/>
  <c r="AP215" i="32"/>
  <c r="AQ215" i="32"/>
  <c r="AR215" i="32"/>
  <c r="AS215" i="32"/>
  <c r="AT215" i="32"/>
  <c r="AU215" i="32"/>
  <c r="AV215" i="32"/>
  <c r="AW215" i="32"/>
  <c r="AX215" i="32"/>
  <c r="AY215" i="32"/>
  <c r="AZ215" i="32"/>
  <c r="BA215" i="32"/>
  <c r="BB215" i="32"/>
  <c r="BC215" i="32"/>
  <c r="BD215" i="32"/>
  <c r="BE215" i="32"/>
  <c r="BF215" i="32"/>
  <c r="BG215" i="32"/>
  <c r="BH215" i="32"/>
  <c r="BI215" i="32"/>
  <c r="BJ215" i="32"/>
  <c r="BK215" i="32"/>
  <c r="BL215" i="32"/>
  <c r="BM215" i="32"/>
  <c r="BN215" i="32"/>
  <c r="BO215" i="32"/>
  <c r="BP215" i="32"/>
  <c r="BQ215" i="32"/>
  <c r="N216" i="32"/>
  <c r="O216" i="32"/>
  <c r="P216" i="32"/>
  <c r="Q216" i="32"/>
  <c r="R216" i="32"/>
  <c r="S216" i="32"/>
  <c r="T216" i="32"/>
  <c r="U216" i="32"/>
  <c r="V216" i="32"/>
  <c r="W216" i="32"/>
  <c r="X216" i="32"/>
  <c r="Y216" i="32"/>
  <c r="Z216" i="32"/>
  <c r="AA216" i="32"/>
  <c r="AB216" i="32"/>
  <c r="AC216" i="32"/>
  <c r="AD216" i="32"/>
  <c r="AE216" i="32"/>
  <c r="AF216" i="32"/>
  <c r="AG216" i="32"/>
  <c r="AH216" i="32"/>
  <c r="AI216" i="32"/>
  <c r="AJ216" i="32"/>
  <c r="AK216" i="32"/>
  <c r="AL216" i="32"/>
  <c r="AM216" i="32"/>
  <c r="AN216" i="32"/>
  <c r="AO216" i="32"/>
  <c r="AP216" i="32"/>
  <c r="AQ216" i="32"/>
  <c r="AR216" i="32"/>
  <c r="AS216" i="32"/>
  <c r="AT216" i="32"/>
  <c r="AU216" i="32"/>
  <c r="AV216" i="32"/>
  <c r="AW216" i="32"/>
  <c r="AX216" i="32"/>
  <c r="AY216" i="32"/>
  <c r="AZ216" i="32"/>
  <c r="BA216" i="32"/>
  <c r="BB216" i="32"/>
  <c r="BC216" i="32"/>
  <c r="BD216" i="32"/>
  <c r="BE216" i="32"/>
  <c r="BF216" i="32"/>
  <c r="BG216" i="32"/>
  <c r="BH216" i="32"/>
  <c r="BI216" i="32"/>
  <c r="BJ216" i="32"/>
  <c r="BK216" i="32"/>
  <c r="BL216" i="32"/>
  <c r="BM216" i="32"/>
  <c r="BN216" i="32"/>
  <c r="BO216" i="32"/>
  <c r="BP216" i="32"/>
  <c r="BQ216" i="32"/>
  <c r="N217" i="32"/>
  <c r="O217" i="32"/>
  <c r="P217" i="32"/>
  <c r="Q217" i="32"/>
  <c r="R217" i="32"/>
  <c r="S217" i="32"/>
  <c r="T217" i="32"/>
  <c r="U217" i="32"/>
  <c r="V217" i="32"/>
  <c r="W217" i="32"/>
  <c r="X217" i="32"/>
  <c r="Y217" i="32"/>
  <c r="Z217" i="32"/>
  <c r="AA217" i="32"/>
  <c r="AB217" i="32"/>
  <c r="AC217" i="32"/>
  <c r="AD217" i="32"/>
  <c r="AE217" i="32"/>
  <c r="AF217" i="32"/>
  <c r="AG217" i="32"/>
  <c r="AH217" i="32"/>
  <c r="AI217" i="32"/>
  <c r="AJ217" i="32"/>
  <c r="AK217" i="32"/>
  <c r="AL217" i="32"/>
  <c r="AM217" i="32"/>
  <c r="AN217" i="32"/>
  <c r="AO217" i="32"/>
  <c r="AP217" i="32"/>
  <c r="AQ217" i="32"/>
  <c r="AR217" i="32"/>
  <c r="AS217" i="32"/>
  <c r="AT217" i="32"/>
  <c r="AU217" i="32"/>
  <c r="AV217" i="32"/>
  <c r="AW217" i="32"/>
  <c r="AX217" i="32"/>
  <c r="AY217" i="32"/>
  <c r="AZ217" i="32"/>
  <c r="BA217" i="32"/>
  <c r="BB217" i="32"/>
  <c r="BC217" i="32"/>
  <c r="BD217" i="32"/>
  <c r="BE217" i="32"/>
  <c r="BF217" i="32"/>
  <c r="BG217" i="32"/>
  <c r="BH217" i="32"/>
  <c r="BI217" i="32"/>
  <c r="BJ217" i="32"/>
  <c r="BK217" i="32"/>
  <c r="BL217" i="32"/>
  <c r="BM217" i="32"/>
  <c r="BN217" i="32"/>
  <c r="BO217" i="32"/>
  <c r="BP217" i="32"/>
  <c r="BQ217" i="32"/>
  <c r="N218" i="32"/>
  <c r="O218" i="32"/>
  <c r="P218" i="32"/>
  <c r="Q218" i="32"/>
  <c r="R218" i="32"/>
  <c r="S218" i="32"/>
  <c r="T218" i="32"/>
  <c r="U218" i="32"/>
  <c r="V218" i="32"/>
  <c r="W218" i="32"/>
  <c r="X218" i="32"/>
  <c r="Y218" i="32"/>
  <c r="Z218" i="32"/>
  <c r="AA218" i="32"/>
  <c r="AB218" i="32"/>
  <c r="AC218" i="32"/>
  <c r="AD218" i="32"/>
  <c r="AE218" i="32"/>
  <c r="AF218" i="32"/>
  <c r="AG218" i="32"/>
  <c r="AH218" i="32"/>
  <c r="AI218" i="32"/>
  <c r="AJ218" i="32"/>
  <c r="AK218" i="32"/>
  <c r="AL218" i="32"/>
  <c r="AM218" i="32"/>
  <c r="AN218" i="32"/>
  <c r="AO218" i="32"/>
  <c r="AP218" i="32"/>
  <c r="AQ218" i="32"/>
  <c r="AR218" i="32"/>
  <c r="AS218" i="32"/>
  <c r="AT218" i="32"/>
  <c r="AU218" i="32"/>
  <c r="AV218" i="32"/>
  <c r="AW218" i="32"/>
  <c r="AX218" i="32"/>
  <c r="AY218" i="32"/>
  <c r="AZ218" i="32"/>
  <c r="BA218" i="32"/>
  <c r="BB218" i="32"/>
  <c r="BC218" i="32"/>
  <c r="BD218" i="32"/>
  <c r="BE218" i="32"/>
  <c r="BF218" i="32"/>
  <c r="BG218" i="32"/>
  <c r="BH218" i="32"/>
  <c r="BI218" i="32"/>
  <c r="BJ218" i="32"/>
  <c r="BK218" i="32"/>
  <c r="BL218" i="32"/>
  <c r="BM218" i="32"/>
  <c r="BN218" i="32"/>
  <c r="BO218" i="32"/>
  <c r="BP218" i="32"/>
  <c r="BQ218" i="32"/>
  <c r="N219" i="32"/>
  <c r="O219" i="32"/>
  <c r="P219" i="32"/>
  <c r="Q219" i="32"/>
  <c r="R219" i="32"/>
  <c r="S219" i="32"/>
  <c r="T219" i="32"/>
  <c r="U219" i="32"/>
  <c r="V219" i="32"/>
  <c r="W219" i="32"/>
  <c r="X219" i="32"/>
  <c r="Y219" i="32"/>
  <c r="Z219" i="32"/>
  <c r="AA219" i="32"/>
  <c r="AB219" i="32"/>
  <c r="AC219" i="32"/>
  <c r="AD219" i="32"/>
  <c r="AE219" i="32"/>
  <c r="AF219" i="32"/>
  <c r="AG219" i="32"/>
  <c r="AH219" i="32"/>
  <c r="AI219" i="32"/>
  <c r="AJ219" i="32"/>
  <c r="AK219" i="32"/>
  <c r="AL219" i="32"/>
  <c r="AM219" i="32"/>
  <c r="AN219" i="32"/>
  <c r="AO219" i="32"/>
  <c r="AP219" i="32"/>
  <c r="AQ219" i="32"/>
  <c r="AR219" i="32"/>
  <c r="AS219" i="32"/>
  <c r="AT219" i="32"/>
  <c r="AU219" i="32"/>
  <c r="AV219" i="32"/>
  <c r="AW219" i="32"/>
  <c r="AX219" i="32"/>
  <c r="AY219" i="32"/>
  <c r="AZ219" i="32"/>
  <c r="BA219" i="32"/>
  <c r="BB219" i="32"/>
  <c r="BC219" i="32"/>
  <c r="BD219" i="32"/>
  <c r="BE219" i="32"/>
  <c r="BF219" i="32"/>
  <c r="BG219" i="32"/>
  <c r="BH219" i="32"/>
  <c r="BI219" i="32"/>
  <c r="BJ219" i="32"/>
  <c r="BK219" i="32"/>
  <c r="BL219" i="32"/>
  <c r="BM219" i="32"/>
  <c r="BN219" i="32"/>
  <c r="BO219" i="32"/>
  <c r="BP219" i="32"/>
  <c r="BQ219" i="32"/>
  <c r="N220" i="32"/>
  <c r="O220" i="32"/>
  <c r="P220" i="32"/>
  <c r="Q220" i="32"/>
  <c r="R220" i="32"/>
  <c r="S220" i="32"/>
  <c r="T220" i="32"/>
  <c r="U220" i="32"/>
  <c r="V220" i="32"/>
  <c r="W220" i="32"/>
  <c r="X220" i="32"/>
  <c r="Y220" i="32"/>
  <c r="Z220" i="32"/>
  <c r="AA220" i="32"/>
  <c r="AB220" i="32"/>
  <c r="AC220" i="32"/>
  <c r="AD220" i="32"/>
  <c r="AE220" i="32"/>
  <c r="AF220" i="32"/>
  <c r="AG220" i="32"/>
  <c r="AH220" i="32"/>
  <c r="AI220" i="32"/>
  <c r="AJ220" i="32"/>
  <c r="AK220" i="32"/>
  <c r="AL220" i="32"/>
  <c r="AM220" i="32"/>
  <c r="AN220" i="32"/>
  <c r="AO220" i="32"/>
  <c r="AP220" i="32"/>
  <c r="AQ220" i="32"/>
  <c r="AR220" i="32"/>
  <c r="AS220" i="32"/>
  <c r="AT220" i="32"/>
  <c r="AU220" i="32"/>
  <c r="AV220" i="32"/>
  <c r="AW220" i="32"/>
  <c r="AX220" i="32"/>
  <c r="AY220" i="32"/>
  <c r="AZ220" i="32"/>
  <c r="BA220" i="32"/>
  <c r="BB220" i="32"/>
  <c r="BC220" i="32"/>
  <c r="BD220" i="32"/>
  <c r="BE220" i="32"/>
  <c r="BF220" i="32"/>
  <c r="BG220" i="32"/>
  <c r="BH220" i="32"/>
  <c r="BI220" i="32"/>
  <c r="BJ220" i="32"/>
  <c r="BK220" i="32"/>
  <c r="BL220" i="32"/>
  <c r="BM220" i="32"/>
  <c r="BN220" i="32"/>
  <c r="BO220" i="32"/>
  <c r="BP220" i="32"/>
  <c r="BQ220" i="32"/>
  <c r="N221" i="32"/>
  <c r="O221" i="32"/>
  <c r="P221" i="32"/>
  <c r="Q221" i="32"/>
  <c r="R221" i="32"/>
  <c r="S221" i="32"/>
  <c r="T221" i="32"/>
  <c r="U221" i="32"/>
  <c r="V221" i="32"/>
  <c r="W221" i="32"/>
  <c r="X221" i="32"/>
  <c r="Y221" i="32"/>
  <c r="Z221" i="32"/>
  <c r="AA221" i="32"/>
  <c r="AB221" i="32"/>
  <c r="AC221" i="32"/>
  <c r="AD221" i="32"/>
  <c r="AE221" i="32"/>
  <c r="AF221" i="32"/>
  <c r="AG221" i="32"/>
  <c r="AH221" i="32"/>
  <c r="AI221" i="32"/>
  <c r="AJ221" i="32"/>
  <c r="AK221" i="32"/>
  <c r="AL221" i="32"/>
  <c r="AM221" i="32"/>
  <c r="AN221" i="32"/>
  <c r="AO221" i="32"/>
  <c r="AP221" i="32"/>
  <c r="AQ221" i="32"/>
  <c r="AR221" i="32"/>
  <c r="AS221" i="32"/>
  <c r="AT221" i="32"/>
  <c r="AU221" i="32"/>
  <c r="AV221" i="32"/>
  <c r="AW221" i="32"/>
  <c r="AX221" i="32"/>
  <c r="AY221" i="32"/>
  <c r="AZ221" i="32"/>
  <c r="BA221" i="32"/>
  <c r="BB221" i="32"/>
  <c r="BC221" i="32"/>
  <c r="BD221" i="32"/>
  <c r="BE221" i="32"/>
  <c r="BF221" i="32"/>
  <c r="BG221" i="32"/>
  <c r="BH221" i="32"/>
  <c r="BI221" i="32"/>
  <c r="BJ221" i="32"/>
  <c r="BK221" i="32"/>
  <c r="BL221" i="32"/>
  <c r="BM221" i="32"/>
  <c r="BN221" i="32"/>
  <c r="BO221" i="32"/>
  <c r="BP221" i="32"/>
  <c r="BQ221" i="32"/>
  <c r="N222" i="32"/>
  <c r="O222" i="32"/>
  <c r="P222" i="32"/>
  <c r="Q222" i="32"/>
  <c r="R222" i="32"/>
  <c r="S222" i="32"/>
  <c r="T222" i="32"/>
  <c r="U222" i="32"/>
  <c r="V222" i="32"/>
  <c r="W222" i="32"/>
  <c r="X222" i="32"/>
  <c r="Y222" i="32"/>
  <c r="Z222" i="32"/>
  <c r="AA222" i="32"/>
  <c r="AB222" i="32"/>
  <c r="AC222" i="32"/>
  <c r="AD222" i="32"/>
  <c r="AE222" i="32"/>
  <c r="AF222" i="32"/>
  <c r="AG222" i="32"/>
  <c r="AH222" i="32"/>
  <c r="AI222" i="32"/>
  <c r="AJ222" i="32"/>
  <c r="AK222" i="32"/>
  <c r="AL222" i="32"/>
  <c r="AM222" i="32"/>
  <c r="AN222" i="32"/>
  <c r="AO222" i="32"/>
  <c r="AP222" i="32"/>
  <c r="AQ222" i="32"/>
  <c r="AR222" i="32"/>
  <c r="AS222" i="32"/>
  <c r="AT222" i="32"/>
  <c r="AU222" i="32"/>
  <c r="AV222" i="32"/>
  <c r="AW222" i="32"/>
  <c r="AX222" i="32"/>
  <c r="AY222" i="32"/>
  <c r="AZ222" i="32"/>
  <c r="BA222" i="32"/>
  <c r="BB222" i="32"/>
  <c r="BC222" i="32"/>
  <c r="BD222" i="32"/>
  <c r="BE222" i="32"/>
  <c r="BF222" i="32"/>
  <c r="BG222" i="32"/>
  <c r="BH222" i="32"/>
  <c r="BI222" i="32"/>
  <c r="BJ222" i="32"/>
  <c r="BK222" i="32"/>
  <c r="BL222" i="32"/>
  <c r="BM222" i="32"/>
  <c r="BN222" i="32"/>
  <c r="BO222" i="32"/>
  <c r="BP222" i="32"/>
  <c r="BQ222" i="32"/>
  <c r="N223" i="32"/>
  <c r="O223" i="32"/>
  <c r="P223" i="32"/>
  <c r="Q223" i="32"/>
  <c r="R223" i="32"/>
  <c r="S223" i="32"/>
  <c r="T223" i="32"/>
  <c r="U223" i="32"/>
  <c r="V223" i="32"/>
  <c r="W223" i="32"/>
  <c r="X223" i="32"/>
  <c r="Y223" i="32"/>
  <c r="Z223" i="32"/>
  <c r="AA223" i="32"/>
  <c r="AB223" i="32"/>
  <c r="AC223" i="32"/>
  <c r="AD223" i="32"/>
  <c r="AE223" i="32"/>
  <c r="AF223" i="32"/>
  <c r="AG223" i="32"/>
  <c r="AH223" i="32"/>
  <c r="AI223" i="32"/>
  <c r="AJ223" i="32"/>
  <c r="AK223" i="32"/>
  <c r="AL223" i="32"/>
  <c r="AM223" i="32"/>
  <c r="AN223" i="32"/>
  <c r="AO223" i="32"/>
  <c r="AP223" i="32"/>
  <c r="AQ223" i="32"/>
  <c r="AR223" i="32"/>
  <c r="AS223" i="32"/>
  <c r="AT223" i="32"/>
  <c r="AU223" i="32"/>
  <c r="AV223" i="32"/>
  <c r="AW223" i="32"/>
  <c r="AX223" i="32"/>
  <c r="AY223" i="32"/>
  <c r="AZ223" i="32"/>
  <c r="BA223" i="32"/>
  <c r="BB223" i="32"/>
  <c r="BC223" i="32"/>
  <c r="BD223" i="32"/>
  <c r="BE223" i="32"/>
  <c r="BF223" i="32"/>
  <c r="BG223" i="32"/>
  <c r="BH223" i="32"/>
  <c r="BI223" i="32"/>
  <c r="BJ223" i="32"/>
  <c r="BK223" i="32"/>
  <c r="BL223" i="32"/>
  <c r="BM223" i="32"/>
  <c r="BN223" i="32"/>
  <c r="BO223" i="32"/>
  <c r="BP223" i="32"/>
  <c r="BQ223" i="32"/>
  <c r="N224" i="32"/>
  <c r="O224" i="32"/>
  <c r="P224" i="32"/>
  <c r="Q224" i="32"/>
  <c r="R224" i="32"/>
  <c r="S224" i="32"/>
  <c r="T224" i="32"/>
  <c r="U224" i="32"/>
  <c r="V224" i="32"/>
  <c r="W224" i="32"/>
  <c r="X224" i="32"/>
  <c r="Y224" i="32"/>
  <c r="Z224" i="32"/>
  <c r="AA224" i="32"/>
  <c r="AB224" i="32"/>
  <c r="AC224" i="32"/>
  <c r="AD224" i="32"/>
  <c r="AE224" i="32"/>
  <c r="AF224" i="32"/>
  <c r="AG224" i="32"/>
  <c r="AH224" i="32"/>
  <c r="AI224" i="32"/>
  <c r="AJ224" i="32"/>
  <c r="AK224" i="32"/>
  <c r="AL224" i="32"/>
  <c r="AM224" i="32"/>
  <c r="AN224" i="32"/>
  <c r="AO224" i="32"/>
  <c r="AP224" i="32"/>
  <c r="AQ224" i="32"/>
  <c r="AR224" i="32"/>
  <c r="AS224" i="32"/>
  <c r="AT224" i="32"/>
  <c r="AU224" i="32"/>
  <c r="AV224" i="32"/>
  <c r="AW224" i="32"/>
  <c r="AX224" i="32"/>
  <c r="AY224" i="32"/>
  <c r="AZ224" i="32"/>
  <c r="BA224" i="32"/>
  <c r="BB224" i="32"/>
  <c r="BC224" i="32"/>
  <c r="BD224" i="32"/>
  <c r="BE224" i="32"/>
  <c r="BF224" i="32"/>
  <c r="BG224" i="32"/>
  <c r="BH224" i="32"/>
  <c r="BI224" i="32"/>
  <c r="BJ224" i="32"/>
  <c r="BK224" i="32"/>
  <c r="BL224" i="32"/>
  <c r="BM224" i="32"/>
  <c r="BN224" i="32"/>
  <c r="BO224" i="32"/>
  <c r="BP224" i="32"/>
  <c r="BQ224" i="32"/>
  <c r="N225" i="32"/>
  <c r="O225" i="32"/>
  <c r="P225" i="32"/>
  <c r="Q225" i="32"/>
  <c r="R225" i="32"/>
  <c r="S225" i="32"/>
  <c r="T225" i="32"/>
  <c r="U225" i="32"/>
  <c r="V225" i="32"/>
  <c r="W225" i="32"/>
  <c r="X225" i="32"/>
  <c r="Y225" i="32"/>
  <c r="Z225" i="32"/>
  <c r="AA225" i="32"/>
  <c r="AB225" i="32"/>
  <c r="AC225" i="32"/>
  <c r="AD225" i="32"/>
  <c r="AE225" i="32"/>
  <c r="AF225" i="32"/>
  <c r="AG225" i="32"/>
  <c r="AH225" i="32"/>
  <c r="AI225" i="32"/>
  <c r="AJ225" i="32"/>
  <c r="AK225" i="32"/>
  <c r="AL225" i="32"/>
  <c r="AM225" i="32"/>
  <c r="AN225" i="32"/>
  <c r="AO225" i="32"/>
  <c r="AP225" i="32"/>
  <c r="AQ225" i="32"/>
  <c r="AR225" i="32"/>
  <c r="AS225" i="32"/>
  <c r="AT225" i="32"/>
  <c r="AU225" i="32"/>
  <c r="AV225" i="32"/>
  <c r="AW225" i="32"/>
  <c r="AX225" i="32"/>
  <c r="AY225" i="32"/>
  <c r="AZ225" i="32"/>
  <c r="BA225" i="32"/>
  <c r="BB225" i="32"/>
  <c r="BC225" i="32"/>
  <c r="BD225" i="32"/>
  <c r="BE225" i="32"/>
  <c r="BF225" i="32"/>
  <c r="BG225" i="32"/>
  <c r="BH225" i="32"/>
  <c r="BI225" i="32"/>
  <c r="BJ225" i="32"/>
  <c r="BK225" i="32"/>
  <c r="BL225" i="32"/>
  <c r="BM225" i="32"/>
  <c r="BN225" i="32"/>
  <c r="BO225" i="32"/>
  <c r="BP225" i="32"/>
  <c r="BQ225" i="32"/>
  <c r="N226" i="32"/>
  <c r="O226" i="32"/>
  <c r="P226" i="32"/>
  <c r="Q226" i="32"/>
  <c r="R226" i="32"/>
  <c r="S226" i="32"/>
  <c r="T226" i="32"/>
  <c r="U226" i="32"/>
  <c r="V226" i="32"/>
  <c r="W226" i="32"/>
  <c r="X226" i="32"/>
  <c r="Y226" i="32"/>
  <c r="Z226" i="32"/>
  <c r="AA226" i="32"/>
  <c r="AB226" i="32"/>
  <c r="AC226" i="32"/>
  <c r="AD226" i="32"/>
  <c r="AE226" i="32"/>
  <c r="AF226" i="32"/>
  <c r="AG226" i="32"/>
  <c r="AH226" i="32"/>
  <c r="AI226" i="32"/>
  <c r="AJ226" i="32"/>
  <c r="AK226" i="32"/>
  <c r="AL226" i="32"/>
  <c r="AM226" i="32"/>
  <c r="AN226" i="32"/>
  <c r="AO226" i="32"/>
  <c r="AP226" i="32"/>
  <c r="AQ226" i="32"/>
  <c r="AR226" i="32"/>
  <c r="AS226" i="32"/>
  <c r="AT226" i="32"/>
  <c r="AU226" i="32"/>
  <c r="AV226" i="32"/>
  <c r="AW226" i="32"/>
  <c r="AX226" i="32"/>
  <c r="AY226" i="32"/>
  <c r="AZ226" i="32"/>
  <c r="BA226" i="32"/>
  <c r="BB226" i="32"/>
  <c r="BC226" i="32"/>
  <c r="BD226" i="32"/>
  <c r="BE226" i="32"/>
  <c r="BF226" i="32"/>
  <c r="BG226" i="32"/>
  <c r="BH226" i="32"/>
  <c r="BI226" i="32"/>
  <c r="BJ226" i="32"/>
  <c r="BK226" i="32"/>
  <c r="BL226" i="32"/>
  <c r="BM226" i="32"/>
  <c r="BN226" i="32"/>
  <c r="BO226" i="32"/>
  <c r="BP226" i="32"/>
  <c r="BQ226" i="32"/>
  <c r="N227" i="32"/>
  <c r="O227" i="32"/>
  <c r="P227" i="32"/>
  <c r="Q227" i="32"/>
  <c r="R227" i="32"/>
  <c r="S227" i="32"/>
  <c r="T227" i="32"/>
  <c r="U227" i="32"/>
  <c r="V227" i="32"/>
  <c r="W227" i="32"/>
  <c r="X227" i="32"/>
  <c r="Y227" i="32"/>
  <c r="Z227" i="32"/>
  <c r="AA227" i="32"/>
  <c r="AB227" i="32"/>
  <c r="AC227" i="32"/>
  <c r="AD227" i="32"/>
  <c r="AE227" i="32"/>
  <c r="AF227" i="32"/>
  <c r="AG227" i="32"/>
  <c r="AH227" i="32"/>
  <c r="AI227" i="32"/>
  <c r="AJ227" i="32"/>
  <c r="AK227" i="32"/>
  <c r="AL227" i="32"/>
  <c r="AM227" i="32"/>
  <c r="AN227" i="32"/>
  <c r="AO227" i="32"/>
  <c r="AP227" i="32"/>
  <c r="AQ227" i="32"/>
  <c r="AR227" i="32"/>
  <c r="AS227" i="32"/>
  <c r="AT227" i="32"/>
  <c r="AU227" i="32"/>
  <c r="AV227" i="32"/>
  <c r="AW227" i="32"/>
  <c r="AX227" i="32"/>
  <c r="AY227" i="32"/>
  <c r="AZ227" i="32"/>
  <c r="BA227" i="32"/>
  <c r="BB227" i="32"/>
  <c r="BC227" i="32"/>
  <c r="BD227" i="32"/>
  <c r="BE227" i="32"/>
  <c r="BF227" i="32"/>
  <c r="BG227" i="32"/>
  <c r="BH227" i="32"/>
  <c r="BI227" i="32"/>
  <c r="BJ227" i="32"/>
  <c r="BK227" i="32"/>
  <c r="BL227" i="32"/>
  <c r="BM227" i="32"/>
  <c r="BN227" i="32"/>
  <c r="BO227" i="32"/>
  <c r="BP227" i="32"/>
  <c r="BQ227" i="32"/>
  <c r="N228" i="32"/>
  <c r="O228" i="32"/>
  <c r="P228" i="32"/>
  <c r="Q228" i="32"/>
  <c r="R228" i="32"/>
  <c r="S228" i="32"/>
  <c r="T228" i="32"/>
  <c r="U228" i="32"/>
  <c r="V228" i="32"/>
  <c r="W228" i="32"/>
  <c r="X228" i="32"/>
  <c r="Y228" i="32"/>
  <c r="Z228" i="32"/>
  <c r="AA228" i="32"/>
  <c r="AB228" i="32"/>
  <c r="AC228" i="32"/>
  <c r="AD228" i="32"/>
  <c r="AE228" i="32"/>
  <c r="AF228" i="32"/>
  <c r="AG228" i="32"/>
  <c r="AH228" i="32"/>
  <c r="AI228" i="32"/>
  <c r="AJ228" i="32"/>
  <c r="AK228" i="32"/>
  <c r="AL228" i="32"/>
  <c r="AM228" i="32"/>
  <c r="AN228" i="32"/>
  <c r="AO228" i="32"/>
  <c r="AP228" i="32"/>
  <c r="AQ228" i="32"/>
  <c r="AR228" i="32"/>
  <c r="AS228" i="32"/>
  <c r="AT228" i="32"/>
  <c r="AU228" i="32"/>
  <c r="AV228" i="32"/>
  <c r="AW228" i="32"/>
  <c r="AX228" i="32"/>
  <c r="AY228" i="32"/>
  <c r="AZ228" i="32"/>
  <c r="BA228" i="32"/>
  <c r="BB228" i="32"/>
  <c r="BC228" i="32"/>
  <c r="BD228" i="32"/>
  <c r="BE228" i="32"/>
  <c r="BF228" i="32"/>
  <c r="BG228" i="32"/>
  <c r="BH228" i="32"/>
  <c r="BI228" i="32"/>
  <c r="BJ228" i="32"/>
  <c r="BK228" i="32"/>
  <c r="BL228" i="32"/>
  <c r="BM228" i="32"/>
  <c r="BN228" i="32"/>
  <c r="BO228" i="32"/>
  <c r="BP228" i="32"/>
  <c r="BQ228" i="32"/>
  <c r="N229" i="32"/>
  <c r="O229" i="32"/>
  <c r="P229" i="32"/>
  <c r="Q229" i="32"/>
  <c r="R229" i="32"/>
  <c r="S229" i="32"/>
  <c r="T229" i="32"/>
  <c r="U229" i="32"/>
  <c r="V229" i="32"/>
  <c r="W229" i="32"/>
  <c r="X229" i="32"/>
  <c r="Y229" i="32"/>
  <c r="Z229" i="32"/>
  <c r="AA229" i="32"/>
  <c r="AB229" i="32"/>
  <c r="AC229" i="32"/>
  <c r="AD229" i="32"/>
  <c r="AE229" i="32"/>
  <c r="AF229" i="32"/>
  <c r="AG229" i="32"/>
  <c r="AH229" i="32"/>
  <c r="AI229" i="32"/>
  <c r="AJ229" i="32"/>
  <c r="AK229" i="32"/>
  <c r="AL229" i="32"/>
  <c r="AM229" i="32"/>
  <c r="AN229" i="32"/>
  <c r="AO229" i="32"/>
  <c r="AP229" i="32"/>
  <c r="AQ229" i="32"/>
  <c r="AR229" i="32"/>
  <c r="AS229" i="32"/>
  <c r="AT229" i="32"/>
  <c r="AU229" i="32"/>
  <c r="AV229" i="32"/>
  <c r="AW229" i="32"/>
  <c r="AX229" i="32"/>
  <c r="AY229" i="32"/>
  <c r="AZ229" i="32"/>
  <c r="BA229" i="32"/>
  <c r="BB229" i="32"/>
  <c r="BC229" i="32"/>
  <c r="BD229" i="32"/>
  <c r="BE229" i="32"/>
  <c r="BF229" i="32"/>
  <c r="BG229" i="32"/>
  <c r="BH229" i="32"/>
  <c r="BI229" i="32"/>
  <c r="BJ229" i="32"/>
  <c r="BK229" i="32"/>
  <c r="BL229" i="32"/>
  <c r="BM229" i="32"/>
  <c r="BN229" i="32"/>
  <c r="BO229" i="32"/>
  <c r="BP229" i="32"/>
  <c r="BQ229" i="32"/>
  <c r="N230" i="32"/>
  <c r="O230" i="32"/>
  <c r="P230" i="32"/>
  <c r="Q230" i="32"/>
  <c r="R230" i="32"/>
  <c r="S230" i="32"/>
  <c r="T230" i="32"/>
  <c r="U230" i="32"/>
  <c r="V230" i="32"/>
  <c r="W230" i="32"/>
  <c r="X230" i="32"/>
  <c r="Y230" i="32"/>
  <c r="Z230" i="32"/>
  <c r="AA230" i="32"/>
  <c r="AB230" i="32"/>
  <c r="AC230" i="32"/>
  <c r="AD230" i="32"/>
  <c r="AE230" i="32"/>
  <c r="AF230" i="32"/>
  <c r="AG230" i="32"/>
  <c r="AH230" i="32"/>
  <c r="AI230" i="32"/>
  <c r="AJ230" i="32"/>
  <c r="AK230" i="32"/>
  <c r="AL230" i="32"/>
  <c r="AM230" i="32"/>
  <c r="AN230" i="32"/>
  <c r="AO230" i="32"/>
  <c r="AP230" i="32"/>
  <c r="AQ230" i="32"/>
  <c r="AR230" i="32"/>
  <c r="AS230" i="32"/>
  <c r="AT230" i="32"/>
  <c r="AU230" i="32"/>
  <c r="AV230" i="32"/>
  <c r="AW230" i="32"/>
  <c r="AX230" i="32"/>
  <c r="AY230" i="32"/>
  <c r="AZ230" i="32"/>
  <c r="BA230" i="32"/>
  <c r="BB230" i="32"/>
  <c r="BC230" i="32"/>
  <c r="BD230" i="32"/>
  <c r="BE230" i="32"/>
  <c r="BF230" i="32"/>
  <c r="BG230" i="32"/>
  <c r="BH230" i="32"/>
  <c r="BI230" i="32"/>
  <c r="BJ230" i="32"/>
  <c r="BK230" i="32"/>
  <c r="BL230" i="32"/>
  <c r="BM230" i="32"/>
  <c r="BN230" i="32"/>
  <c r="BO230" i="32"/>
  <c r="BP230" i="32"/>
  <c r="BQ230" i="32"/>
  <c r="N231" i="32"/>
  <c r="O231" i="32"/>
  <c r="P231" i="32"/>
  <c r="Q231" i="32"/>
  <c r="R231" i="32"/>
  <c r="S231" i="32"/>
  <c r="T231" i="32"/>
  <c r="U231" i="32"/>
  <c r="V231" i="32"/>
  <c r="W231" i="32"/>
  <c r="X231" i="32"/>
  <c r="Y231" i="32"/>
  <c r="Z231" i="32"/>
  <c r="AA231" i="32"/>
  <c r="AB231" i="32"/>
  <c r="AC231" i="32"/>
  <c r="AD231" i="32"/>
  <c r="AE231" i="32"/>
  <c r="AF231" i="32"/>
  <c r="AG231" i="32"/>
  <c r="AH231" i="32"/>
  <c r="AI231" i="32"/>
  <c r="AJ231" i="32"/>
  <c r="AK231" i="32"/>
  <c r="AL231" i="32"/>
  <c r="AM231" i="32"/>
  <c r="AN231" i="32"/>
  <c r="AO231" i="32"/>
  <c r="AP231" i="32"/>
  <c r="AQ231" i="32"/>
  <c r="AR231" i="32"/>
  <c r="AS231" i="32"/>
  <c r="AT231" i="32"/>
  <c r="AU231" i="32"/>
  <c r="AV231" i="32"/>
  <c r="AW231" i="32"/>
  <c r="AX231" i="32"/>
  <c r="AY231" i="32"/>
  <c r="AZ231" i="32"/>
  <c r="BA231" i="32"/>
  <c r="BB231" i="32"/>
  <c r="BC231" i="32"/>
  <c r="BD231" i="32"/>
  <c r="BE231" i="32"/>
  <c r="BF231" i="32"/>
  <c r="BG231" i="32"/>
  <c r="BH231" i="32"/>
  <c r="BI231" i="32"/>
  <c r="BJ231" i="32"/>
  <c r="BK231" i="32"/>
  <c r="BL231" i="32"/>
  <c r="BM231" i="32"/>
  <c r="BN231" i="32"/>
  <c r="BO231" i="32"/>
  <c r="BP231" i="32"/>
  <c r="BQ231" i="32"/>
  <c r="N232" i="32"/>
  <c r="O232" i="32"/>
  <c r="P232" i="32"/>
  <c r="Q232" i="32"/>
  <c r="R232" i="32"/>
  <c r="S232" i="32"/>
  <c r="T232" i="32"/>
  <c r="U232" i="32"/>
  <c r="V232" i="32"/>
  <c r="W232" i="32"/>
  <c r="X232" i="32"/>
  <c r="Y232" i="32"/>
  <c r="Z232" i="32"/>
  <c r="AA232" i="32"/>
  <c r="AB232" i="32"/>
  <c r="AC232" i="32"/>
  <c r="AD232" i="32"/>
  <c r="AE232" i="32"/>
  <c r="AF232" i="32"/>
  <c r="AG232" i="32"/>
  <c r="AH232" i="32"/>
  <c r="AI232" i="32"/>
  <c r="AJ232" i="32"/>
  <c r="AK232" i="32"/>
  <c r="AL232" i="32"/>
  <c r="AM232" i="32"/>
  <c r="AN232" i="32"/>
  <c r="AO232" i="32"/>
  <c r="AP232" i="32"/>
  <c r="AQ232" i="32"/>
  <c r="AR232" i="32"/>
  <c r="AS232" i="32"/>
  <c r="AT232" i="32"/>
  <c r="AU232" i="32"/>
  <c r="AV232" i="32"/>
  <c r="AW232" i="32"/>
  <c r="AX232" i="32"/>
  <c r="AY232" i="32"/>
  <c r="AZ232" i="32"/>
  <c r="BA232" i="32"/>
  <c r="BB232" i="32"/>
  <c r="BC232" i="32"/>
  <c r="BD232" i="32"/>
  <c r="BE232" i="32"/>
  <c r="BF232" i="32"/>
  <c r="BG232" i="32"/>
  <c r="BH232" i="32"/>
  <c r="BI232" i="32"/>
  <c r="BJ232" i="32"/>
  <c r="BK232" i="32"/>
  <c r="BL232" i="32"/>
  <c r="BM232" i="32"/>
  <c r="BN232" i="32"/>
  <c r="BO232" i="32"/>
  <c r="BP232" i="32"/>
  <c r="BQ232" i="32"/>
  <c r="N233" i="32"/>
  <c r="O233" i="32"/>
  <c r="P233" i="32"/>
  <c r="Q233" i="32"/>
  <c r="R233" i="32"/>
  <c r="S233" i="32"/>
  <c r="T233" i="32"/>
  <c r="U233" i="32"/>
  <c r="V233" i="32"/>
  <c r="W233" i="32"/>
  <c r="X233" i="32"/>
  <c r="Y233" i="32"/>
  <c r="Z233" i="32"/>
  <c r="AA233" i="32"/>
  <c r="AB233" i="32"/>
  <c r="AC233" i="32"/>
  <c r="AD233" i="32"/>
  <c r="AE233" i="32"/>
  <c r="AF233" i="32"/>
  <c r="AG233" i="32"/>
  <c r="AH233" i="32"/>
  <c r="AI233" i="32"/>
  <c r="AJ233" i="32"/>
  <c r="AK233" i="32"/>
  <c r="AL233" i="32"/>
  <c r="AM233" i="32"/>
  <c r="AN233" i="32"/>
  <c r="AO233" i="32"/>
  <c r="AP233" i="32"/>
  <c r="AQ233" i="32"/>
  <c r="AR233" i="32"/>
  <c r="AS233" i="32"/>
  <c r="AT233" i="32"/>
  <c r="AU233" i="32"/>
  <c r="AV233" i="32"/>
  <c r="AW233" i="32"/>
  <c r="AX233" i="32"/>
  <c r="AY233" i="32"/>
  <c r="AZ233" i="32"/>
  <c r="BA233" i="32"/>
  <c r="BB233" i="32"/>
  <c r="BC233" i="32"/>
  <c r="BD233" i="32"/>
  <c r="BE233" i="32"/>
  <c r="BF233" i="32"/>
  <c r="BG233" i="32"/>
  <c r="BH233" i="32"/>
  <c r="BI233" i="32"/>
  <c r="BJ233" i="32"/>
  <c r="BK233" i="32"/>
  <c r="BL233" i="32"/>
  <c r="BM233" i="32"/>
  <c r="BN233" i="32"/>
  <c r="BO233" i="32"/>
  <c r="BP233" i="32"/>
  <c r="BQ233" i="32"/>
  <c r="N234" i="32"/>
  <c r="O234" i="32"/>
  <c r="P234" i="32"/>
  <c r="Q234" i="32"/>
  <c r="R234" i="32"/>
  <c r="S234" i="32"/>
  <c r="T234" i="32"/>
  <c r="U234" i="32"/>
  <c r="V234" i="32"/>
  <c r="W234" i="32"/>
  <c r="X234" i="32"/>
  <c r="Y234" i="32"/>
  <c r="Z234" i="32"/>
  <c r="AA234" i="32"/>
  <c r="AB234" i="32"/>
  <c r="AC234" i="32"/>
  <c r="AD234" i="32"/>
  <c r="AE234" i="32"/>
  <c r="AF234" i="32"/>
  <c r="AG234" i="32"/>
  <c r="AH234" i="32"/>
  <c r="AI234" i="32"/>
  <c r="AJ234" i="32"/>
  <c r="AK234" i="32"/>
  <c r="AL234" i="32"/>
  <c r="AM234" i="32"/>
  <c r="AN234" i="32"/>
  <c r="AO234" i="32"/>
  <c r="AP234" i="32"/>
  <c r="AQ234" i="32"/>
  <c r="AR234" i="32"/>
  <c r="AS234" i="32"/>
  <c r="AT234" i="32"/>
  <c r="AU234" i="32"/>
  <c r="AV234" i="32"/>
  <c r="AW234" i="32"/>
  <c r="AX234" i="32"/>
  <c r="AY234" i="32"/>
  <c r="AZ234" i="32"/>
  <c r="BA234" i="32"/>
  <c r="BB234" i="32"/>
  <c r="BC234" i="32"/>
  <c r="BD234" i="32"/>
  <c r="BE234" i="32"/>
  <c r="BF234" i="32"/>
  <c r="BG234" i="32"/>
  <c r="BH234" i="32"/>
  <c r="BI234" i="32"/>
  <c r="BJ234" i="32"/>
  <c r="BK234" i="32"/>
  <c r="BL234" i="32"/>
  <c r="BM234" i="32"/>
  <c r="BN234" i="32"/>
  <c r="BO234" i="32"/>
  <c r="BP234" i="32"/>
  <c r="BQ234" i="32"/>
  <c r="N235" i="32"/>
  <c r="O235" i="32"/>
  <c r="P235" i="32"/>
  <c r="Q235" i="32"/>
  <c r="R235" i="32"/>
  <c r="S235" i="32"/>
  <c r="T235" i="32"/>
  <c r="U235" i="32"/>
  <c r="V235" i="32"/>
  <c r="W235" i="32"/>
  <c r="X235" i="32"/>
  <c r="Y235" i="32"/>
  <c r="Z235" i="32"/>
  <c r="AA235" i="32"/>
  <c r="AB235" i="32"/>
  <c r="AC235" i="32"/>
  <c r="AD235" i="32"/>
  <c r="AE235" i="32"/>
  <c r="AF235" i="32"/>
  <c r="AG235" i="32"/>
  <c r="AH235" i="32"/>
  <c r="AI235" i="32"/>
  <c r="AJ235" i="32"/>
  <c r="AK235" i="32"/>
  <c r="AL235" i="32"/>
  <c r="AM235" i="32"/>
  <c r="AN235" i="32"/>
  <c r="AO235" i="32"/>
  <c r="AP235" i="32"/>
  <c r="AQ235" i="32"/>
  <c r="AR235" i="32"/>
  <c r="AS235" i="32"/>
  <c r="AT235" i="32"/>
  <c r="AU235" i="32"/>
  <c r="AV235" i="32"/>
  <c r="AW235" i="32"/>
  <c r="AX235" i="32"/>
  <c r="AY235" i="32"/>
  <c r="AZ235" i="32"/>
  <c r="BA235" i="32"/>
  <c r="BB235" i="32"/>
  <c r="BC235" i="32"/>
  <c r="BD235" i="32"/>
  <c r="BE235" i="32"/>
  <c r="BF235" i="32"/>
  <c r="BG235" i="32"/>
  <c r="BH235" i="32"/>
  <c r="BI235" i="32"/>
  <c r="BJ235" i="32"/>
  <c r="BK235" i="32"/>
  <c r="BL235" i="32"/>
  <c r="BM235" i="32"/>
  <c r="BN235" i="32"/>
  <c r="BO235" i="32"/>
  <c r="BP235" i="32"/>
  <c r="BQ235" i="32"/>
  <c r="N236" i="32"/>
  <c r="O236" i="32"/>
  <c r="P236" i="32"/>
  <c r="Q236" i="32"/>
  <c r="R236" i="32"/>
  <c r="S236" i="32"/>
  <c r="T236" i="32"/>
  <c r="U236" i="32"/>
  <c r="V236" i="32"/>
  <c r="W236" i="32"/>
  <c r="X236" i="32"/>
  <c r="Y236" i="32"/>
  <c r="Z236" i="32"/>
  <c r="AA236" i="32"/>
  <c r="AB236" i="32"/>
  <c r="AC236" i="32"/>
  <c r="AD236" i="32"/>
  <c r="AE236" i="32"/>
  <c r="AF236" i="32"/>
  <c r="AG236" i="32"/>
  <c r="AH236" i="32"/>
  <c r="AI236" i="32"/>
  <c r="AJ236" i="32"/>
  <c r="AK236" i="32"/>
  <c r="AL236" i="32"/>
  <c r="AM236" i="32"/>
  <c r="AN236" i="32"/>
  <c r="AO236" i="32"/>
  <c r="AP236" i="32"/>
  <c r="AQ236" i="32"/>
  <c r="AR236" i="32"/>
  <c r="AS236" i="32"/>
  <c r="AT236" i="32"/>
  <c r="AU236" i="32"/>
  <c r="AV236" i="32"/>
  <c r="AW236" i="32"/>
  <c r="AX236" i="32"/>
  <c r="AY236" i="32"/>
  <c r="AZ236" i="32"/>
  <c r="BA236" i="32"/>
  <c r="BB236" i="32"/>
  <c r="BC236" i="32"/>
  <c r="BD236" i="32"/>
  <c r="BE236" i="32"/>
  <c r="BF236" i="32"/>
  <c r="BG236" i="32"/>
  <c r="BH236" i="32"/>
  <c r="BI236" i="32"/>
  <c r="BJ236" i="32"/>
  <c r="BK236" i="32"/>
  <c r="BL236" i="32"/>
  <c r="BM236" i="32"/>
  <c r="BN236" i="32"/>
  <c r="BO236" i="32"/>
  <c r="BP236" i="32"/>
  <c r="BQ236" i="32"/>
  <c r="N237" i="32"/>
  <c r="O237" i="32"/>
  <c r="P237" i="32"/>
  <c r="Q237" i="32"/>
  <c r="R237" i="32"/>
  <c r="S237" i="32"/>
  <c r="T237" i="32"/>
  <c r="U237" i="32"/>
  <c r="V237" i="32"/>
  <c r="W237" i="32"/>
  <c r="X237" i="32"/>
  <c r="Y237" i="32"/>
  <c r="Z237" i="32"/>
  <c r="AA237" i="32"/>
  <c r="AB237" i="32"/>
  <c r="AC237" i="32"/>
  <c r="AD237" i="32"/>
  <c r="AE237" i="32"/>
  <c r="AF237" i="32"/>
  <c r="AG237" i="32"/>
  <c r="AH237" i="32"/>
  <c r="AI237" i="32"/>
  <c r="AJ237" i="32"/>
  <c r="AK237" i="32"/>
  <c r="AL237" i="32"/>
  <c r="AM237" i="32"/>
  <c r="AN237" i="32"/>
  <c r="AO237" i="32"/>
  <c r="AP237" i="32"/>
  <c r="AQ237" i="32"/>
  <c r="AR237" i="32"/>
  <c r="AS237" i="32"/>
  <c r="AT237" i="32"/>
  <c r="AU237" i="32"/>
  <c r="AV237" i="32"/>
  <c r="AW237" i="32"/>
  <c r="AX237" i="32"/>
  <c r="AY237" i="32"/>
  <c r="AZ237" i="32"/>
  <c r="BA237" i="32"/>
  <c r="BB237" i="32"/>
  <c r="BC237" i="32"/>
  <c r="BD237" i="32"/>
  <c r="BE237" i="32"/>
  <c r="BF237" i="32"/>
  <c r="BG237" i="32"/>
  <c r="BH237" i="32"/>
  <c r="BI237" i="32"/>
  <c r="BJ237" i="32"/>
  <c r="BK237" i="32"/>
  <c r="BL237" i="32"/>
  <c r="BM237" i="32"/>
  <c r="BN237" i="32"/>
  <c r="BO237" i="32"/>
  <c r="BP237" i="32"/>
  <c r="BQ237" i="32"/>
  <c r="N238" i="32"/>
  <c r="O238" i="32"/>
  <c r="P238" i="32"/>
  <c r="Q238" i="32"/>
  <c r="R238" i="32"/>
  <c r="S238" i="32"/>
  <c r="T238" i="32"/>
  <c r="U238" i="32"/>
  <c r="V238" i="32"/>
  <c r="W238" i="32"/>
  <c r="X238" i="32"/>
  <c r="Y238" i="32"/>
  <c r="Z238" i="32"/>
  <c r="AA238" i="32"/>
  <c r="AB238" i="32"/>
  <c r="AC238" i="32"/>
  <c r="AD238" i="32"/>
  <c r="AE238" i="32"/>
  <c r="AF238" i="32"/>
  <c r="AG238" i="32"/>
  <c r="AH238" i="32"/>
  <c r="AI238" i="32"/>
  <c r="AJ238" i="32"/>
  <c r="AK238" i="32"/>
  <c r="AL238" i="32"/>
  <c r="AM238" i="32"/>
  <c r="AN238" i="32"/>
  <c r="AO238" i="32"/>
  <c r="AP238" i="32"/>
  <c r="AQ238" i="32"/>
  <c r="AR238" i="32"/>
  <c r="AS238" i="32"/>
  <c r="AT238" i="32"/>
  <c r="AU238" i="32"/>
  <c r="AV238" i="32"/>
  <c r="AW238" i="32"/>
  <c r="AX238" i="32"/>
  <c r="AY238" i="32"/>
  <c r="AZ238" i="32"/>
  <c r="BA238" i="32"/>
  <c r="BB238" i="32"/>
  <c r="BC238" i="32"/>
  <c r="BD238" i="32"/>
  <c r="BE238" i="32"/>
  <c r="BF238" i="32"/>
  <c r="BG238" i="32"/>
  <c r="BH238" i="32"/>
  <c r="BI238" i="32"/>
  <c r="BJ238" i="32"/>
  <c r="BK238" i="32"/>
  <c r="BL238" i="32"/>
  <c r="BM238" i="32"/>
  <c r="BN238" i="32"/>
  <c r="BO238" i="32"/>
  <c r="BP238" i="32"/>
  <c r="BQ238" i="32"/>
  <c r="N239" i="32"/>
  <c r="O239" i="32"/>
  <c r="P239" i="32"/>
  <c r="Q239" i="32"/>
  <c r="R239" i="32"/>
  <c r="S239" i="32"/>
  <c r="T239" i="32"/>
  <c r="U239" i="32"/>
  <c r="V239" i="32"/>
  <c r="W239" i="32"/>
  <c r="X239" i="32"/>
  <c r="Y239" i="32"/>
  <c r="Z239" i="32"/>
  <c r="AA239" i="32"/>
  <c r="AB239" i="32"/>
  <c r="AC239" i="32"/>
  <c r="AD239" i="32"/>
  <c r="AE239" i="32"/>
  <c r="AF239" i="32"/>
  <c r="AG239" i="32"/>
  <c r="AH239" i="32"/>
  <c r="AI239" i="32"/>
  <c r="AJ239" i="32"/>
  <c r="AK239" i="32"/>
  <c r="AL239" i="32"/>
  <c r="AM239" i="32"/>
  <c r="AN239" i="32"/>
  <c r="AO239" i="32"/>
  <c r="AP239" i="32"/>
  <c r="AQ239" i="32"/>
  <c r="AR239" i="32"/>
  <c r="AS239" i="32"/>
  <c r="AT239" i="32"/>
  <c r="AU239" i="32"/>
  <c r="AV239" i="32"/>
  <c r="AW239" i="32"/>
  <c r="AX239" i="32"/>
  <c r="AY239" i="32"/>
  <c r="AZ239" i="32"/>
  <c r="BA239" i="32"/>
  <c r="BB239" i="32"/>
  <c r="BC239" i="32"/>
  <c r="BD239" i="32"/>
  <c r="BE239" i="32"/>
  <c r="BF239" i="32"/>
  <c r="BG239" i="32"/>
  <c r="BH239" i="32"/>
  <c r="BI239" i="32"/>
  <c r="BJ239" i="32"/>
  <c r="BK239" i="32"/>
  <c r="BL239" i="32"/>
  <c r="BM239" i="32"/>
  <c r="BN239" i="32"/>
  <c r="BO239" i="32"/>
  <c r="BP239" i="32"/>
  <c r="BQ239" i="32"/>
  <c r="N240" i="32"/>
  <c r="O240" i="32"/>
  <c r="P240" i="32"/>
  <c r="Q240" i="32"/>
  <c r="R240" i="32"/>
  <c r="S240" i="32"/>
  <c r="T240" i="32"/>
  <c r="U240" i="32"/>
  <c r="V240" i="32"/>
  <c r="W240" i="32"/>
  <c r="X240" i="32"/>
  <c r="Y240" i="32"/>
  <c r="Z240" i="32"/>
  <c r="AA240" i="32"/>
  <c r="AB240" i="32"/>
  <c r="AC240" i="32"/>
  <c r="AD240" i="32"/>
  <c r="AE240" i="32"/>
  <c r="AF240" i="32"/>
  <c r="AG240" i="32"/>
  <c r="AH240" i="32"/>
  <c r="AI240" i="32"/>
  <c r="AJ240" i="32"/>
  <c r="AK240" i="32"/>
  <c r="AL240" i="32"/>
  <c r="AM240" i="32"/>
  <c r="AN240" i="32"/>
  <c r="AO240" i="32"/>
  <c r="AP240" i="32"/>
  <c r="AQ240" i="32"/>
  <c r="AR240" i="32"/>
  <c r="AS240" i="32"/>
  <c r="AT240" i="32"/>
  <c r="AU240" i="32"/>
  <c r="AV240" i="32"/>
  <c r="AW240" i="32"/>
  <c r="AX240" i="32"/>
  <c r="AY240" i="32"/>
  <c r="AZ240" i="32"/>
  <c r="BA240" i="32"/>
  <c r="BB240" i="32"/>
  <c r="BC240" i="32"/>
  <c r="BD240" i="32"/>
  <c r="BE240" i="32"/>
  <c r="BF240" i="32"/>
  <c r="BG240" i="32"/>
  <c r="BH240" i="32"/>
  <c r="BI240" i="32"/>
  <c r="BJ240" i="32"/>
  <c r="BK240" i="32"/>
  <c r="BL240" i="32"/>
  <c r="BM240" i="32"/>
  <c r="BN240" i="32"/>
  <c r="BO240" i="32"/>
  <c r="BP240" i="32"/>
  <c r="BQ240" i="32"/>
  <c r="N241" i="32"/>
  <c r="O241" i="32"/>
  <c r="P241" i="32"/>
  <c r="Q241" i="32"/>
  <c r="R241" i="32"/>
  <c r="S241" i="32"/>
  <c r="T241" i="32"/>
  <c r="U241" i="32"/>
  <c r="V241" i="32"/>
  <c r="W241" i="32"/>
  <c r="X241" i="32"/>
  <c r="Y241" i="32"/>
  <c r="Z241" i="32"/>
  <c r="AA241" i="32"/>
  <c r="AB241" i="32"/>
  <c r="AC241" i="32"/>
  <c r="AD241" i="32"/>
  <c r="AE241" i="32"/>
  <c r="AF241" i="32"/>
  <c r="AG241" i="32"/>
  <c r="AH241" i="32"/>
  <c r="AI241" i="32"/>
  <c r="AJ241" i="32"/>
  <c r="AK241" i="32"/>
  <c r="AL241" i="32"/>
  <c r="AM241" i="32"/>
  <c r="AN241" i="32"/>
  <c r="AO241" i="32"/>
  <c r="AP241" i="32"/>
  <c r="AQ241" i="32"/>
  <c r="AR241" i="32"/>
  <c r="AS241" i="32"/>
  <c r="AT241" i="32"/>
  <c r="AU241" i="32"/>
  <c r="AV241" i="32"/>
  <c r="AW241" i="32"/>
  <c r="AX241" i="32"/>
  <c r="AY241" i="32"/>
  <c r="AZ241" i="32"/>
  <c r="BA241" i="32"/>
  <c r="BB241" i="32"/>
  <c r="BC241" i="32"/>
  <c r="BD241" i="32"/>
  <c r="BE241" i="32"/>
  <c r="BF241" i="32"/>
  <c r="BG241" i="32"/>
  <c r="BH241" i="32"/>
  <c r="BI241" i="32"/>
  <c r="BJ241" i="32"/>
  <c r="BK241" i="32"/>
  <c r="BL241" i="32"/>
  <c r="BM241" i="32"/>
  <c r="BN241" i="32"/>
  <c r="BO241" i="32"/>
  <c r="BP241" i="32"/>
  <c r="BQ241" i="32"/>
  <c r="N242" i="32"/>
  <c r="O242" i="32"/>
  <c r="P242" i="32"/>
  <c r="Q242" i="32"/>
  <c r="R242" i="32"/>
  <c r="S242" i="32"/>
  <c r="T242" i="32"/>
  <c r="U242" i="32"/>
  <c r="V242" i="32"/>
  <c r="W242" i="32"/>
  <c r="X242" i="32"/>
  <c r="Y242" i="32"/>
  <c r="Z242" i="32"/>
  <c r="AA242" i="32"/>
  <c r="AB242" i="32"/>
  <c r="AC242" i="32"/>
  <c r="AD242" i="32"/>
  <c r="AE242" i="32"/>
  <c r="AF242" i="32"/>
  <c r="AG242" i="32"/>
  <c r="AH242" i="32"/>
  <c r="AI242" i="32"/>
  <c r="AJ242" i="32"/>
  <c r="AK242" i="32"/>
  <c r="AL242" i="32"/>
  <c r="AM242" i="32"/>
  <c r="AN242" i="32"/>
  <c r="AO242" i="32"/>
  <c r="AP242" i="32"/>
  <c r="AQ242" i="32"/>
  <c r="AR242" i="32"/>
  <c r="AS242" i="32"/>
  <c r="AT242" i="32"/>
  <c r="AU242" i="32"/>
  <c r="AV242" i="32"/>
  <c r="AW242" i="32"/>
  <c r="AX242" i="32"/>
  <c r="AY242" i="32"/>
  <c r="AZ242" i="32"/>
  <c r="BA242" i="32"/>
  <c r="BB242" i="32"/>
  <c r="BC242" i="32"/>
  <c r="BD242" i="32"/>
  <c r="BE242" i="32"/>
  <c r="BF242" i="32"/>
  <c r="BG242" i="32"/>
  <c r="BH242" i="32"/>
  <c r="BI242" i="32"/>
  <c r="BJ242" i="32"/>
  <c r="BK242" i="32"/>
  <c r="BL242" i="32"/>
  <c r="BM242" i="32"/>
  <c r="BN242" i="32"/>
  <c r="BO242" i="32"/>
  <c r="BP242" i="32"/>
  <c r="BQ242" i="32"/>
  <c r="N243" i="32"/>
  <c r="O243" i="32"/>
  <c r="P243" i="32"/>
  <c r="Q243" i="32"/>
  <c r="R243" i="32"/>
  <c r="S243" i="32"/>
  <c r="T243" i="32"/>
  <c r="U243" i="32"/>
  <c r="V243" i="32"/>
  <c r="W243" i="32"/>
  <c r="X243" i="32"/>
  <c r="Y243" i="32"/>
  <c r="Z243" i="32"/>
  <c r="AA243" i="32"/>
  <c r="AB243" i="32"/>
  <c r="AC243" i="32"/>
  <c r="AD243" i="32"/>
  <c r="AE243" i="32"/>
  <c r="AF243" i="32"/>
  <c r="AG243" i="32"/>
  <c r="AH243" i="32"/>
  <c r="AI243" i="32"/>
  <c r="AJ243" i="32"/>
  <c r="AK243" i="32"/>
  <c r="AL243" i="32"/>
  <c r="AM243" i="32"/>
  <c r="AN243" i="32"/>
  <c r="AO243" i="32"/>
  <c r="AP243" i="32"/>
  <c r="AQ243" i="32"/>
  <c r="AR243" i="32"/>
  <c r="AS243" i="32"/>
  <c r="AT243" i="32"/>
  <c r="AU243" i="32"/>
  <c r="AV243" i="32"/>
  <c r="AW243" i="32"/>
  <c r="AX243" i="32"/>
  <c r="AY243" i="32"/>
  <c r="AZ243" i="32"/>
  <c r="BA243" i="32"/>
  <c r="BB243" i="32"/>
  <c r="BC243" i="32"/>
  <c r="BD243" i="32"/>
  <c r="BE243" i="32"/>
  <c r="BF243" i="32"/>
  <c r="BG243" i="32"/>
  <c r="BH243" i="32"/>
  <c r="BI243" i="32"/>
  <c r="BJ243" i="32"/>
  <c r="BK243" i="32"/>
  <c r="BL243" i="32"/>
  <c r="BM243" i="32"/>
  <c r="BN243" i="32"/>
  <c r="BO243" i="32"/>
  <c r="BP243" i="32"/>
  <c r="BQ243" i="32"/>
  <c r="N244" i="32"/>
  <c r="O244" i="32"/>
  <c r="P244" i="32"/>
  <c r="Q244" i="32"/>
  <c r="R244" i="32"/>
  <c r="S244" i="32"/>
  <c r="T244" i="32"/>
  <c r="U244" i="32"/>
  <c r="V244" i="32"/>
  <c r="W244" i="32"/>
  <c r="X244" i="32"/>
  <c r="Y244" i="32"/>
  <c r="Z244" i="32"/>
  <c r="AA244" i="32"/>
  <c r="AB244" i="32"/>
  <c r="AC244" i="32"/>
  <c r="AD244" i="32"/>
  <c r="AE244" i="32"/>
  <c r="AF244" i="32"/>
  <c r="AG244" i="32"/>
  <c r="AH244" i="32"/>
  <c r="AI244" i="32"/>
  <c r="AJ244" i="32"/>
  <c r="AK244" i="32"/>
  <c r="AL244" i="32"/>
  <c r="AM244" i="32"/>
  <c r="AN244" i="32"/>
  <c r="AO244" i="32"/>
  <c r="AP244" i="32"/>
  <c r="AQ244" i="32"/>
  <c r="AR244" i="32"/>
  <c r="AS244" i="32"/>
  <c r="AT244" i="32"/>
  <c r="AU244" i="32"/>
  <c r="AV244" i="32"/>
  <c r="AW244" i="32"/>
  <c r="AX244" i="32"/>
  <c r="AY244" i="32"/>
  <c r="AZ244" i="32"/>
  <c r="BA244" i="32"/>
  <c r="BB244" i="32"/>
  <c r="BC244" i="32"/>
  <c r="BD244" i="32"/>
  <c r="BE244" i="32"/>
  <c r="BF244" i="32"/>
  <c r="BG244" i="32"/>
  <c r="BH244" i="32"/>
  <c r="BI244" i="32"/>
  <c r="BJ244" i="32"/>
  <c r="BK244" i="32"/>
  <c r="BL244" i="32"/>
  <c r="BM244" i="32"/>
  <c r="BN244" i="32"/>
  <c r="BO244" i="32"/>
  <c r="BP244" i="32"/>
  <c r="BQ244" i="32"/>
  <c r="N245" i="32"/>
  <c r="O245" i="32"/>
  <c r="P245" i="32"/>
  <c r="Q245" i="32"/>
  <c r="R245" i="32"/>
  <c r="S245" i="32"/>
  <c r="T245" i="32"/>
  <c r="U245" i="32"/>
  <c r="V245" i="32"/>
  <c r="W245" i="32"/>
  <c r="X245" i="32"/>
  <c r="Y245" i="32"/>
  <c r="Z245" i="32"/>
  <c r="AA245" i="32"/>
  <c r="AB245" i="32"/>
  <c r="AC245" i="32"/>
  <c r="AD245" i="32"/>
  <c r="AE245" i="32"/>
  <c r="AF245" i="32"/>
  <c r="AG245" i="32"/>
  <c r="AH245" i="32"/>
  <c r="AI245" i="32"/>
  <c r="AJ245" i="32"/>
  <c r="AK245" i="32"/>
  <c r="AL245" i="32"/>
  <c r="AM245" i="32"/>
  <c r="AN245" i="32"/>
  <c r="AO245" i="32"/>
  <c r="AP245" i="32"/>
  <c r="AQ245" i="32"/>
  <c r="AR245" i="32"/>
  <c r="AS245" i="32"/>
  <c r="AT245" i="32"/>
  <c r="AU245" i="32"/>
  <c r="AV245" i="32"/>
  <c r="AW245" i="32"/>
  <c r="AX245" i="32"/>
  <c r="AY245" i="32"/>
  <c r="AZ245" i="32"/>
  <c r="BA245" i="32"/>
  <c r="BB245" i="32"/>
  <c r="BC245" i="32"/>
  <c r="BD245" i="32"/>
  <c r="BE245" i="32"/>
  <c r="BF245" i="32"/>
  <c r="BG245" i="32"/>
  <c r="BH245" i="32"/>
  <c r="BI245" i="32"/>
  <c r="BJ245" i="32"/>
  <c r="BK245" i="32"/>
  <c r="BL245" i="32"/>
  <c r="BM245" i="32"/>
  <c r="BN245" i="32"/>
  <c r="BO245" i="32"/>
  <c r="BP245" i="32"/>
  <c r="BQ245" i="32"/>
  <c r="N246" i="32"/>
  <c r="O246" i="32"/>
  <c r="P246" i="32"/>
  <c r="Q246" i="32"/>
  <c r="R246" i="32"/>
  <c r="S246" i="32"/>
  <c r="T246" i="32"/>
  <c r="U246" i="32"/>
  <c r="V246" i="32"/>
  <c r="W246" i="32"/>
  <c r="X246" i="32"/>
  <c r="Y246" i="32"/>
  <c r="Z246" i="32"/>
  <c r="AA246" i="32"/>
  <c r="AB246" i="32"/>
  <c r="AC246" i="32"/>
  <c r="AD246" i="32"/>
  <c r="AE246" i="32"/>
  <c r="AF246" i="32"/>
  <c r="AG246" i="32"/>
  <c r="AH246" i="32"/>
  <c r="AI246" i="32"/>
  <c r="AJ246" i="32"/>
  <c r="AK246" i="32"/>
  <c r="AL246" i="32"/>
  <c r="AM246" i="32"/>
  <c r="AN246" i="32"/>
  <c r="AO246" i="32"/>
  <c r="AP246" i="32"/>
  <c r="AQ246" i="32"/>
  <c r="AR246" i="32"/>
  <c r="AS246" i="32"/>
  <c r="AT246" i="32"/>
  <c r="AU246" i="32"/>
  <c r="AV246" i="32"/>
  <c r="AW246" i="32"/>
  <c r="AX246" i="32"/>
  <c r="AY246" i="32"/>
  <c r="AZ246" i="32"/>
  <c r="BA246" i="32"/>
  <c r="BB246" i="32"/>
  <c r="BC246" i="32"/>
  <c r="BD246" i="32"/>
  <c r="BE246" i="32"/>
  <c r="BF246" i="32"/>
  <c r="BG246" i="32"/>
  <c r="BH246" i="32"/>
  <c r="BI246" i="32"/>
  <c r="BJ246" i="32"/>
  <c r="BK246" i="32"/>
  <c r="BL246" i="32"/>
  <c r="BM246" i="32"/>
  <c r="BN246" i="32"/>
  <c r="BO246" i="32"/>
  <c r="BP246" i="32"/>
  <c r="BQ246" i="32"/>
  <c r="N247" i="32"/>
  <c r="O247" i="32"/>
  <c r="P247" i="32"/>
  <c r="Q247" i="32"/>
  <c r="R247" i="32"/>
  <c r="S247" i="32"/>
  <c r="T247" i="32"/>
  <c r="U247" i="32"/>
  <c r="V247" i="32"/>
  <c r="W247" i="32"/>
  <c r="X247" i="32"/>
  <c r="Y247" i="32"/>
  <c r="Z247" i="32"/>
  <c r="AA247" i="32"/>
  <c r="AB247" i="32"/>
  <c r="AC247" i="32"/>
  <c r="AD247" i="32"/>
  <c r="AE247" i="32"/>
  <c r="AF247" i="32"/>
  <c r="AG247" i="32"/>
  <c r="AH247" i="32"/>
  <c r="AI247" i="32"/>
  <c r="AJ247" i="32"/>
  <c r="AK247" i="32"/>
  <c r="AL247" i="32"/>
  <c r="AM247" i="32"/>
  <c r="AN247" i="32"/>
  <c r="AO247" i="32"/>
  <c r="AP247" i="32"/>
  <c r="AQ247" i="32"/>
  <c r="AR247" i="32"/>
  <c r="AS247" i="32"/>
  <c r="AT247" i="32"/>
  <c r="AU247" i="32"/>
  <c r="AV247" i="32"/>
  <c r="AW247" i="32"/>
  <c r="AX247" i="32"/>
  <c r="AY247" i="32"/>
  <c r="AZ247" i="32"/>
  <c r="BA247" i="32"/>
  <c r="BB247" i="32"/>
  <c r="BC247" i="32"/>
  <c r="BD247" i="32"/>
  <c r="BE247" i="32"/>
  <c r="BF247" i="32"/>
  <c r="BG247" i="32"/>
  <c r="BH247" i="32"/>
  <c r="BI247" i="32"/>
  <c r="BJ247" i="32"/>
  <c r="BK247" i="32"/>
  <c r="BL247" i="32"/>
  <c r="BM247" i="32"/>
  <c r="BN247" i="32"/>
  <c r="BO247" i="32"/>
  <c r="BP247" i="32"/>
  <c r="BQ247" i="32"/>
  <c r="N248" i="32"/>
  <c r="O248" i="32"/>
  <c r="P248" i="32"/>
  <c r="Q248" i="32"/>
  <c r="R248" i="32"/>
  <c r="S248" i="32"/>
  <c r="T248" i="32"/>
  <c r="U248" i="32"/>
  <c r="V248" i="32"/>
  <c r="W248" i="32"/>
  <c r="X248" i="32"/>
  <c r="Y248" i="32"/>
  <c r="Z248" i="32"/>
  <c r="AA248" i="32"/>
  <c r="AB248" i="32"/>
  <c r="AC248" i="32"/>
  <c r="AD248" i="32"/>
  <c r="AE248" i="32"/>
  <c r="AF248" i="32"/>
  <c r="AG248" i="32"/>
  <c r="AH248" i="32"/>
  <c r="AI248" i="32"/>
  <c r="AJ248" i="32"/>
  <c r="AK248" i="32"/>
  <c r="AL248" i="32"/>
  <c r="AM248" i="32"/>
  <c r="AN248" i="32"/>
  <c r="AO248" i="32"/>
  <c r="AP248" i="32"/>
  <c r="AQ248" i="32"/>
  <c r="AR248" i="32"/>
  <c r="AS248" i="32"/>
  <c r="AT248" i="32"/>
  <c r="AU248" i="32"/>
  <c r="AV248" i="32"/>
  <c r="AW248" i="32"/>
  <c r="AX248" i="32"/>
  <c r="AY248" i="32"/>
  <c r="AZ248" i="32"/>
  <c r="BA248" i="32"/>
  <c r="BB248" i="32"/>
  <c r="BC248" i="32"/>
  <c r="BD248" i="32"/>
  <c r="BE248" i="32"/>
  <c r="BF248" i="32"/>
  <c r="BG248" i="32"/>
  <c r="BH248" i="32"/>
  <c r="BI248" i="32"/>
  <c r="BJ248" i="32"/>
  <c r="BK248" i="32"/>
  <c r="BL248" i="32"/>
  <c r="BM248" i="32"/>
  <c r="BN248" i="32"/>
  <c r="BO248" i="32"/>
  <c r="BP248" i="32"/>
  <c r="BQ248" i="32"/>
  <c r="N249" i="32"/>
  <c r="O249" i="32"/>
  <c r="P249" i="32"/>
  <c r="Q249" i="32"/>
  <c r="R249" i="32"/>
  <c r="S249" i="32"/>
  <c r="T249" i="32"/>
  <c r="U249" i="32"/>
  <c r="V249" i="32"/>
  <c r="W249" i="32"/>
  <c r="X249" i="32"/>
  <c r="Y249" i="32"/>
  <c r="Z249" i="32"/>
  <c r="AA249" i="32"/>
  <c r="AB249" i="32"/>
  <c r="AC249" i="32"/>
  <c r="AD249" i="32"/>
  <c r="AE249" i="32"/>
  <c r="AF249" i="32"/>
  <c r="AG249" i="32"/>
  <c r="AH249" i="32"/>
  <c r="AI249" i="32"/>
  <c r="AJ249" i="32"/>
  <c r="AK249" i="32"/>
  <c r="AL249" i="32"/>
  <c r="AM249" i="32"/>
  <c r="AN249" i="32"/>
  <c r="AO249" i="32"/>
  <c r="AP249" i="32"/>
  <c r="AQ249" i="32"/>
  <c r="AR249" i="32"/>
  <c r="AS249" i="32"/>
  <c r="AT249" i="32"/>
  <c r="AU249" i="32"/>
  <c r="AV249" i="32"/>
  <c r="AW249" i="32"/>
  <c r="AX249" i="32"/>
  <c r="AY249" i="32"/>
  <c r="AZ249" i="32"/>
  <c r="BA249" i="32"/>
  <c r="BB249" i="32"/>
  <c r="BC249" i="32"/>
  <c r="BD249" i="32"/>
  <c r="BE249" i="32"/>
  <c r="BF249" i="32"/>
  <c r="BG249" i="32"/>
  <c r="BH249" i="32"/>
  <c r="BI249" i="32"/>
  <c r="BJ249" i="32"/>
  <c r="BK249" i="32"/>
  <c r="BL249" i="32"/>
  <c r="BM249" i="32"/>
  <c r="BN249" i="32"/>
  <c r="BO249" i="32"/>
  <c r="BP249" i="32"/>
  <c r="BQ249" i="32"/>
  <c r="N250" i="32"/>
  <c r="O250" i="32"/>
  <c r="P250" i="32"/>
  <c r="Q250" i="32"/>
  <c r="R250" i="32"/>
  <c r="S250" i="32"/>
  <c r="T250" i="32"/>
  <c r="U250" i="32"/>
  <c r="V250" i="32"/>
  <c r="W250" i="32"/>
  <c r="X250" i="32"/>
  <c r="Y250" i="32"/>
  <c r="Z250" i="32"/>
  <c r="AA250" i="32"/>
  <c r="AB250" i="32"/>
  <c r="AC250" i="32"/>
  <c r="AD250" i="32"/>
  <c r="AE250" i="32"/>
  <c r="AF250" i="32"/>
  <c r="AG250" i="32"/>
  <c r="AH250" i="32"/>
  <c r="AI250" i="32"/>
  <c r="AJ250" i="32"/>
  <c r="AK250" i="32"/>
  <c r="AL250" i="32"/>
  <c r="AM250" i="32"/>
  <c r="AN250" i="32"/>
  <c r="AO250" i="32"/>
  <c r="AP250" i="32"/>
  <c r="AQ250" i="32"/>
  <c r="AR250" i="32"/>
  <c r="AS250" i="32"/>
  <c r="AT250" i="32"/>
  <c r="AU250" i="32"/>
  <c r="AV250" i="32"/>
  <c r="AW250" i="32"/>
  <c r="AX250" i="32"/>
  <c r="AY250" i="32"/>
  <c r="AZ250" i="32"/>
  <c r="BA250" i="32"/>
  <c r="BB250" i="32"/>
  <c r="BC250" i="32"/>
  <c r="BD250" i="32"/>
  <c r="BE250" i="32"/>
  <c r="BF250" i="32"/>
  <c r="BG250" i="32"/>
  <c r="BH250" i="32"/>
  <c r="BI250" i="32"/>
  <c r="BJ250" i="32"/>
  <c r="BK250" i="32"/>
  <c r="BL250" i="32"/>
  <c r="BM250" i="32"/>
  <c r="BN250" i="32"/>
  <c r="BO250" i="32"/>
  <c r="BP250" i="32"/>
  <c r="BQ250" i="32"/>
  <c r="N251" i="32"/>
  <c r="O251" i="32"/>
  <c r="P251" i="32"/>
  <c r="Q251" i="32"/>
  <c r="R251" i="32"/>
  <c r="S251" i="32"/>
  <c r="T251" i="32"/>
  <c r="U251" i="32"/>
  <c r="V251" i="32"/>
  <c r="W251" i="32"/>
  <c r="X251" i="32"/>
  <c r="Y251" i="32"/>
  <c r="Z251" i="32"/>
  <c r="AA251" i="32"/>
  <c r="AB251" i="32"/>
  <c r="AC251" i="32"/>
  <c r="AD251" i="32"/>
  <c r="AE251" i="32"/>
  <c r="AF251" i="32"/>
  <c r="AG251" i="32"/>
  <c r="AH251" i="32"/>
  <c r="AI251" i="32"/>
  <c r="AJ251" i="32"/>
  <c r="AK251" i="32"/>
  <c r="AL251" i="32"/>
  <c r="AM251" i="32"/>
  <c r="AN251" i="32"/>
  <c r="AO251" i="32"/>
  <c r="AP251" i="32"/>
  <c r="AQ251" i="32"/>
  <c r="AR251" i="32"/>
  <c r="AS251" i="32"/>
  <c r="AT251" i="32"/>
  <c r="AU251" i="32"/>
  <c r="AV251" i="32"/>
  <c r="AW251" i="32"/>
  <c r="AX251" i="32"/>
  <c r="AY251" i="32"/>
  <c r="AZ251" i="32"/>
  <c r="BA251" i="32"/>
  <c r="BB251" i="32"/>
  <c r="BC251" i="32"/>
  <c r="BD251" i="32"/>
  <c r="BE251" i="32"/>
  <c r="BF251" i="32"/>
  <c r="BG251" i="32"/>
  <c r="BH251" i="32"/>
  <c r="BI251" i="32"/>
  <c r="BJ251" i="32"/>
  <c r="BK251" i="32"/>
  <c r="BL251" i="32"/>
  <c r="BM251" i="32"/>
  <c r="BN251" i="32"/>
  <c r="BO251" i="32"/>
  <c r="BP251" i="32"/>
  <c r="BQ251" i="32"/>
  <c r="N252" i="32"/>
  <c r="O252" i="32"/>
  <c r="P252" i="32"/>
  <c r="Q252" i="32"/>
  <c r="R252" i="32"/>
  <c r="S252" i="32"/>
  <c r="T252" i="32"/>
  <c r="U252" i="32"/>
  <c r="V252" i="32"/>
  <c r="W252" i="32"/>
  <c r="X252" i="32"/>
  <c r="Y252" i="32"/>
  <c r="Z252" i="32"/>
  <c r="AA252" i="32"/>
  <c r="AB252" i="32"/>
  <c r="AC252" i="32"/>
  <c r="AD252" i="32"/>
  <c r="AE252" i="32"/>
  <c r="AF252" i="32"/>
  <c r="AG252" i="32"/>
  <c r="AH252" i="32"/>
  <c r="AI252" i="32"/>
  <c r="AJ252" i="32"/>
  <c r="AK252" i="32"/>
  <c r="AL252" i="32"/>
  <c r="AM252" i="32"/>
  <c r="AN252" i="32"/>
  <c r="AO252" i="32"/>
  <c r="AP252" i="32"/>
  <c r="AQ252" i="32"/>
  <c r="AR252" i="32"/>
  <c r="AS252" i="32"/>
  <c r="AT252" i="32"/>
  <c r="AU252" i="32"/>
  <c r="AV252" i="32"/>
  <c r="AW252" i="32"/>
  <c r="AX252" i="32"/>
  <c r="AY252" i="32"/>
  <c r="AZ252" i="32"/>
  <c r="BA252" i="32"/>
  <c r="BB252" i="32"/>
  <c r="BC252" i="32"/>
  <c r="BD252" i="32"/>
  <c r="BE252" i="32"/>
  <c r="BF252" i="32"/>
  <c r="BG252" i="32"/>
  <c r="BH252" i="32"/>
  <c r="BI252" i="32"/>
  <c r="BJ252" i="32"/>
  <c r="BK252" i="32"/>
  <c r="BL252" i="32"/>
  <c r="BM252" i="32"/>
  <c r="BN252" i="32"/>
  <c r="BO252" i="32"/>
  <c r="BP252" i="32"/>
  <c r="BQ252" i="32"/>
  <c r="N253" i="32"/>
  <c r="O253" i="32"/>
  <c r="P253" i="32"/>
  <c r="Q253" i="32"/>
  <c r="R253" i="32"/>
  <c r="S253" i="32"/>
  <c r="T253" i="32"/>
  <c r="U253" i="32"/>
  <c r="V253" i="32"/>
  <c r="W253" i="32"/>
  <c r="X253" i="32"/>
  <c r="Y253" i="32"/>
  <c r="Z253" i="32"/>
  <c r="AA253" i="32"/>
  <c r="AB253" i="32"/>
  <c r="AC253" i="32"/>
  <c r="AD253" i="32"/>
  <c r="AE253" i="32"/>
  <c r="AF253" i="32"/>
  <c r="AG253" i="32"/>
  <c r="AH253" i="32"/>
  <c r="AI253" i="32"/>
  <c r="AJ253" i="32"/>
  <c r="AK253" i="32"/>
  <c r="AL253" i="32"/>
  <c r="AM253" i="32"/>
  <c r="AN253" i="32"/>
  <c r="AO253" i="32"/>
  <c r="AP253" i="32"/>
  <c r="AQ253" i="32"/>
  <c r="AR253" i="32"/>
  <c r="AS253" i="32"/>
  <c r="AT253" i="32"/>
  <c r="AU253" i="32"/>
  <c r="AV253" i="32"/>
  <c r="AW253" i="32"/>
  <c r="AX253" i="32"/>
  <c r="AY253" i="32"/>
  <c r="AZ253" i="32"/>
  <c r="BA253" i="32"/>
  <c r="BB253" i="32"/>
  <c r="BC253" i="32"/>
  <c r="BD253" i="32"/>
  <c r="BE253" i="32"/>
  <c r="BF253" i="32"/>
  <c r="BG253" i="32"/>
  <c r="BH253" i="32"/>
  <c r="BI253" i="32"/>
  <c r="BJ253" i="32"/>
  <c r="BK253" i="32"/>
  <c r="BL253" i="32"/>
  <c r="BM253" i="32"/>
  <c r="BN253" i="32"/>
  <c r="BO253" i="32"/>
  <c r="BP253" i="32"/>
  <c r="BQ253" i="32"/>
  <c r="N254" i="32"/>
  <c r="O254" i="32"/>
  <c r="P254" i="32"/>
  <c r="Q254" i="32"/>
  <c r="R254" i="32"/>
  <c r="S254" i="32"/>
  <c r="T254" i="32"/>
  <c r="U254" i="32"/>
  <c r="V254" i="32"/>
  <c r="W254" i="32"/>
  <c r="X254" i="32"/>
  <c r="Y254" i="32"/>
  <c r="Z254" i="32"/>
  <c r="AA254" i="32"/>
  <c r="AB254" i="32"/>
  <c r="AC254" i="32"/>
  <c r="AD254" i="32"/>
  <c r="AE254" i="32"/>
  <c r="AF254" i="32"/>
  <c r="AG254" i="32"/>
  <c r="AH254" i="32"/>
  <c r="AI254" i="32"/>
  <c r="AJ254" i="32"/>
  <c r="AK254" i="32"/>
  <c r="AL254" i="32"/>
  <c r="AM254" i="32"/>
  <c r="AN254" i="32"/>
  <c r="AO254" i="32"/>
  <c r="AP254" i="32"/>
  <c r="AQ254" i="32"/>
  <c r="AR254" i="32"/>
  <c r="AS254" i="32"/>
  <c r="AT254" i="32"/>
  <c r="AU254" i="32"/>
  <c r="AV254" i="32"/>
  <c r="AW254" i="32"/>
  <c r="AX254" i="32"/>
  <c r="AY254" i="32"/>
  <c r="AZ254" i="32"/>
  <c r="BA254" i="32"/>
  <c r="BB254" i="32"/>
  <c r="BC254" i="32"/>
  <c r="BD254" i="32"/>
  <c r="BE254" i="32"/>
  <c r="BF254" i="32"/>
  <c r="BG254" i="32"/>
  <c r="BH254" i="32"/>
  <c r="BI254" i="32"/>
  <c r="BJ254" i="32"/>
  <c r="BK254" i="32"/>
  <c r="BL254" i="32"/>
  <c r="BM254" i="32"/>
  <c r="BN254" i="32"/>
  <c r="BO254" i="32"/>
  <c r="BP254" i="32"/>
  <c r="BQ254" i="32"/>
  <c r="N255" i="32"/>
  <c r="O255" i="32"/>
  <c r="P255" i="32"/>
  <c r="Q255" i="32"/>
  <c r="R255" i="32"/>
  <c r="S255" i="32"/>
  <c r="T255" i="32"/>
  <c r="U255" i="32"/>
  <c r="V255" i="32"/>
  <c r="W255" i="32"/>
  <c r="X255" i="32"/>
  <c r="Y255" i="32"/>
  <c r="Z255" i="32"/>
  <c r="AA255" i="32"/>
  <c r="AB255" i="32"/>
  <c r="AC255" i="32"/>
  <c r="AD255" i="32"/>
  <c r="AE255" i="32"/>
  <c r="AF255" i="32"/>
  <c r="AG255" i="32"/>
  <c r="AH255" i="32"/>
  <c r="AI255" i="32"/>
  <c r="AJ255" i="32"/>
  <c r="AK255" i="32"/>
  <c r="AL255" i="32"/>
  <c r="AM255" i="32"/>
  <c r="AN255" i="32"/>
  <c r="AO255" i="32"/>
  <c r="AP255" i="32"/>
  <c r="AQ255" i="32"/>
  <c r="AR255" i="32"/>
  <c r="AS255" i="32"/>
  <c r="AT255" i="32"/>
  <c r="AU255" i="32"/>
  <c r="AV255" i="32"/>
  <c r="AW255" i="32"/>
  <c r="AX255" i="32"/>
  <c r="AY255" i="32"/>
  <c r="AZ255" i="32"/>
  <c r="BA255" i="32"/>
  <c r="BB255" i="32"/>
  <c r="BC255" i="32"/>
  <c r="BD255" i="32"/>
  <c r="BE255" i="32"/>
  <c r="BF255" i="32"/>
  <c r="BG255" i="32"/>
  <c r="BH255" i="32"/>
  <c r="BI255" i="32"/>
  <c r="BJ255" i="32"/>
  <c r="BK255" i="32"/>
  <c r="BL255" i="32"/>
  <c r="BM255" i="32"/>
  <c r="BN255" i="32"/>
  <c r="BO255" i="32"/>
  <c r="BP255" i="32"/>
  <c r="BQ255" i="32"/>
  <c r="N256" i="32"/>
  <c r="O256" i="32"/>
  <c r="P256" i="32"/>
  <c r="Q256" i="32"/>
  <c r="R256" i="32"/>
  <c r="S256" i="32"/>
  <c r="T256" i="32"/>
  <c r="U256" i="32"/>
  <c r="V256" i="32"/>
  <c r="W256" i="32"/>
  <c r="X256" i="32"/>
  <c r="Y256" i="32"/>
  <c r="Z256" i="32"/>
  <c r="AA256" i="32"/>
  <c r="AB256" i="32"/>
  <c r="AC256" i="32"/>
  <c r="AD256" i="32"/>
  <c r="AE256" i="32"/>
  <c r="AF256" i="32"/>
  <c r="AG256" i="32"/>
  <c r="AH256" i="32"/>
  <c r="AI256" i="32"/>
  <c r="AJ256" i="32"/>
  <c r="AK256" i="32"/>
  <c r="AL256" i="32"/>
  <c r="AM256" i="32"/>
  <c r="AN256" i="32"/>
  <c r="AO256" i="32"/>
  <c r="AP256" i="32"/>
  <c r="AQ256" i="32"/>
  <c r="AR256" i="32"/>
  <c r="AS256" i="32"/>
  <c r="AT256" i="32"/>
  <c r="AU256" i="32"/>
  <c r="AV256" i="32"/>
  <c r="AW256" i="32"/>
  <c r="AX256" i="32"/>
  <c r="AY256" i="32"/>
  <c r="AZ256" i="32"/>
  <c r="BA256" i="32"/>
  <c r="BB256" i="32"/>
  <c r="BC256" i="32"/>
  <c r="BD256" i="32"/>
  <c r="BE256" i="32"/>
  <c r="BF256" i="32"/>
  <c r="BG256" i="32"/>
  <c r="BH256" i="32"/>
  <c r="BI256" i="32"/>
  <c r="BJ256" i="32"/>
  <c r="BK256" i="32"/>
  <c r="BL256" i="32"/>
  <c r="BM256" i="32"/>
  <c r="BN256" i="32"/>
  <c r="BO256" i="32"/>
  <c r="BP256" i="32"/>
  <c r="BQ256" i="32"/>
  <c r="N257" i="32"/>
  <c r="O257" i="32"/>
  <c r="P257" i="32"/>
  <c r="Q257" i="32"/>
  <c r="R257" i="32"/>
  <c r="S257" i="32"/>
  <c r="T257" i="32"/>
  <c r="U257" i="32"/>
  <c r="V257" i="32"/>
  <c r="W257" i="32"/>
  <c r="X257" i="32"/>
  <c r="Y257" i="32"/>
  <c r="Z257" i="32"/>
  <c r="AA257" i="32"/>
  <c r="AB257" i="32"/>
  <c r="AC257" i="32"/>
  <c r="AD257" i="32"/>
  <c r="AE257" i="32"/>
  <c r="AF257" i="32"/>
  <c r="AG257" i="32"/>
  <c r="AH257" i="32"/>
  <c r="AI257" i="32"/>
  <c r="AJ257" i="32"/>
  <c r="AK257" i="32"/>
  <c r="AL257" i="32"/>
  <c r="AM257" i="32"/>
  <c r="AN257" i="32"/>
  <c r="AO257" i="32"/>
  <c r="AP257" i="32"/>
  <c r="AQ257" i="32"/>
  <c r="AR257" i="32"/>
  <c r="AS257" i="32"/>
  <c r="AT257" i="32"/>
  <c r="AU257" i="32"/>
  <c r="AV257" i="32"/>
  <c r="AW257" i="32"/>
  <c r="AX257" i="32"/>
  <c r="AY257" i="32"/>
  <c r="AZ257" i="32"/>
  <c r="BA257" i="32"/>
  <c r="BB257" i="32"/>
  <c r="BC257" i="32"/>
  <c r="BD257" i="32"/>
  <c r="BE257" i="32"/>
  <c r="BF257" i="32"/>
  <c r="BG257" i="32"/>
  <c r="BH257" i="32"/>
  <c r="BI257" i="32"/>
  <c r="BJ257" i="32"/>
  <c r="BK257" i="32"/>
  <c r="BL257" i="32"/>
  <c r="BM257" i="32"/>
  <c r="BN257" i="32"/>
  <c r="BO257" i="32"/>
  <c r="BP257" i="32"/>
  <c r="BQ257" i="32"/>
  <c r="N258" i="32"/>
  <c r="O258" i="32"/>
  <c r="P258" i="32"/>
  <c r="Q258" i="32"/>
  <c r="R258" i="32"/>
  <c r="S258" i="32"/>
  <c r="T258" i="32"/>
  <c r="U258" i="32"/>
  <c r="V258" i="32"/>
  <c r="W258" i="32"/>
  <c r="X258" i="32"/>
  <c r="Y258" i="32"/>
  <c r="Z258" i="32"/>
  <c r="AA258" i="32"/>
  <c r="AB258" i="32"/>
  <c r="AC258" i="32"/>
  <c r="AD258" i="32"/>
  <c r="AE258" i="32"/>
  <c r="AF258" i="32"/>
  <c r="AG258" i="32"/>
  <c r="AH258" i="32"/>
  <c r="AI258" i="32"/>
  <c r="AJ258" i="32"/>
  <c r="AK258" i="32"/>
  <c r="AL258" i="32"/>
  <c r="AM258" i="32"/>
  <c r="AN258" i="32"/>
  <c r="AO258" i="32"/>
  <c r="AP258" i="32"/>
  <c r="AQ258" i="32"/>
  <c r="AR258" i="32"/>
  <c r="AS258" i="32"/>
  <c r="AT258" i="32"/>
  <c r="AU258" i="32"/>
  <c r="AV258" i="32"/>
  <c r="AW258" i="32"/>
  <c r="AX258" i="32"/>
  <c r="AY258" i="32"/>
  <c r="AZ258" i="32"/>
  <c r="BA258" i="32"/>
  <c r="BB258" i="32"/>
  <c r="BC258" i="32"/>
  <c r="BD258" i="32"/>
  <c r="BE258" i="32"/>
  <c r="BF258" i="32"/>
  <c r="BG258" i="32"/>
  <c r="BH258" i="32"/>
  <c r="BI258" i="32"/>
  <c r="BJ258" i="32"/>
  <c r="BK258" i="32"/>
  <c r="BL258" i="32"/>
  <c r="BM258" i="32"/>
  <c r="BN258" i="32"/>
  <c r="BO258" i="32"/>
  <c r="BP258" i="32"/>
  <c r="BQ258" i="32"/>
  <c r="N259" i="32"/>
  <c r="O259" i="32"/>
  <c r="P259" i="32"/>
  <c r="Q259" i="32"/>
  <c r="R259" i="32"/>
  <c r="S259" i="32"/>
  <c r="T259" i="32"/>
  <c r="U259" i="32"/>
  <c r="V259" i="32"/>
  <c r="W259" i="32"/>
  <c r="X259" i="32"/>
  <c r="Y259" i="32"/>
  <c r="Z259" i="32"/>
  <c r="AA259" i="32"/>
  <c r="AB259" i="32"/>
  <c r="AC259" i="32"/>
  <c r="AD259" i="32"/>
  <c r="AE259" i="32"/>
  <c r="AF259" i="32"/>
  <c r="AG259" i="32"/>
  <c r="AH259" i="32"/>
  <c r="AI259" i="32"/>
  <c r="AJ259" i="32"/>
  <c r="AK259" i="32"/>
  <c r="AL259" i="32"/>
  <c r="AM259" i="32"/>
  <c r="AN259" i="32"/>
  <c r="AO259" i="32"/>
  <c r="AP259" i="32"/>
  <c r="AQ259" i="32"/>
  <c r="AR259" i="32"/>
  <c r="AS259" i="32"/>
  <c r="AT259" i="32"/>
  <c r="AU259" i="32"/>
  <c r="AV259" i="32"/>
  <c r="AW259" i="32"/>
  <c r="AX259" i="32"/>
  <c r="AY259" i="32"/>
  <c r="AZ259" i="32"/>
  <c r="BA259" i="32"/>
  <c r="BB259" i="32"/>
  <c r="BC259" i="32"/>
  <c r="BD259" i="32"/>
  <c r="BE259" i="32"/>
  <c r="BF259" i="32"/>
  <c r="BG259" i="32"/>
  <c r="BH259" i="32"/>
  <c r="BI259" i="32"/>
  <c r="BJ259" i="32"/>
  <c r="BK259" i="32"/>
  <c r="BL259" i="32"/>
  <c r="BM259" i="32"/>
  <c r="BN259" i="32"/>
  <c r="BO259" i="32"/>
  <c r="BP259" i="32"/>
  <c r="BQ259" i="32"/>
  <c r="N260" i="32"/>
  <c r="O260" i="32"/>
  <c r="P260" i="32"/>
  <c r="Q260" i="32"/>
  <c r="R260" i="32"/>
  <c r="S260" i="32"/>
  <c r="T260" i="32"/>
  <c r="U260" i="32"/>
  <c r="V260" i="32"/>
  <c r="W260" i="32"/>
  <c r="X260" i="32"/>
  <c r="Y260" i="32"/>
  <c r="Z260" i="32"/>
  <c r="AA260" i="32"/>
  <c r="AB260" i="32"/>
  <c r="AC260" i="32"/>
  <c r="AD260" i="32"/>
  <c r="AE260" i="32"/>
  <c r="AF260" i="32"/>
  <c r="AG260" i="32"/>
  <c r="AH260" i="32"/>
  <c r="AI260" i="32"/>
  <c r="AJ260" i="32"/>
  <c r="AK260" i="32"/>
  <c r="AL260" i="32"/>
  <c r="AM260" i="32"/>
  <c r="AN260" i="32"/>
  <c r="AO260" i="32"/>
  <c r="AP260" i="32"/>
  <c r="AQ260" i="32"/>
  <c r="AR260" i="32"/>
  <c r="AS260" i="32"/>
  <c r="AT260" i="32"/>
  <c r="AU260" i="32"/>
  <c r="AV260" i="32"/>
  <c r="AW260" i="32"/>
  <c r="AX260" i="32"/>
  <c r="AY260" i="32"/>
  <c r="AZ260" i="32"/>
  <c r="BA260" i="32"/>
  <c r="BB260" i="32"/>
  <c r="BC260" i="32"/>
  <c r="BD260" i="32"/>
  <c r="BE260" i="32"/>
  <c r="BF260" i="32"/>
  <c r="BG260" i="32"/>
  <c r="BH260" i="32"/>
  <c r="BI260" i="32"/>
  <c r="BJ260" i="32"/>
  <c r="BK260" i="32"/>
  <c r="BL260" i="32"/>
  <c r="BM260" i="32"/>
  <c r="BN260" i="32"/>
  <c r="BO260" i="32"/>
  <c r="BP260" i="32"/>
  <c r="BQ260" i="32"/>
  <c r="N261" i="32"/>
  <c r="O261" i="32"/>
  <c r="P261" i="32"/>
  <c r="Q261" i="32"/>
  <c r="R261" i="32"/>
  <c r="S261" i="32"/>
  <c r="T261" i="32"/>
  <c r="U261" i="32"/>
  <c r="V261" i="32"/>
  <c r="W261" i="32"/>
  <c r="X261" i="32"/>
  <c r="Y261" i="32"/>
  <c r="Z261" i="32"/>
  <c r="AA261" i="32"/>
  <c r="AB261" i="32"/>
  <c r="AC261" i="32"/>
  <c r="AD261" i="32"/>
  <c r="AE261" i="32"/>
  <c r="AF261" i="32"/>
  <c r="AG261" i="32"/>
  <c r="AH261" i="32"/>
  <c r="AI261" i="32"/>
  <c r="AJ261" i="32"/>
  <c r="AK261" i="32"/>
  <c r="AL261" i="32"/>
  <c r="AM261" i="32"/>
  <c r="AN261" i="32"/>
  <c r="AO261" i="32"/>
  <c r="AP261" i="32"/>
  <c r="AQ261" i="32"/>
  <c r="AR261" i="32"/>
  <c r="AS261" i="32"/>
  <c r="AT261" i="32"/>
  <c r="AU261" i="32"/>
  <c r="AV261" i="32"/>
  <c r="AW261" i="32"/>
  <c r="AX261" i="32"/>
  <c r="AY261" i="32"/>
  <c r="AZ261" i="32"/>
  <c r="BA261" i="32"/>
  <c r="BB261" i="32"/>
  <c r="BC261" i="32"/>
  <c r="BD261" i="32"/>
  <c r="BE261" i="32"/>
  <c r="BF261" i="32"/>
  <c r="BG261" i="32"/>
  <c r="BH261" i="32"/>
  <c r="BI261" i="32"/>
  <c r="BJ261" i="32"/>
  <c r="BK261" i="32"/>
  <c r="BL261" i="32"/>
  <c r="BM261" i="32"/>
  <c r="BN261" i="32"/>
  <c r="BO261" i="32"/>
  <c r="BP261" i="32"/>
  <c r="BQ261" i="32"/>
  <c r="N262" i="32"/>
  <c r="O262" i="32"/>
  <c r="P262" i="32"/>
  <c r="Q262" i="32"/>
  <c r="R262" i="32"/>
  <c r="S262" i="32"/>
  <c r="T262" i="32"/>
  <c r="U262" i="32"/>
  <c r="V262" i="32"/>
  <c r="W262" i="32"/>
  <c r="X262" i="32"/>
  <c r="Y262" i="32"/>
  <c r="Z262" i="32"/>
  <c r="AA262" i="32"/>
  <c r="AB262" i="32"/>
  <c r="AC262" i="32"/>
  <c r="AD262" i="32"/>
  <c r="AE262" i="32"/>
  <c r="AF262" i="32"/>
  <c r="AG262" i="32"/>
  <c r="AH262" i="32"/>
  <c r="AI262" i="32"/>
  <c r="AJ262" i="32"/>
  <c r="AK262" i="32"/>
  <c r="AL262" i="32"/>
  <c r="AM262" i="32"/>
  <c r="AN262" i="32"/>
  <c r="AO262" i="32"/>
  <c r="AP262" i="32"/>
  <c r="AQ262" i="32"/>
  <c r="AR262" i="32"/>
  <c r="AS262" i="32"/>
  <c r="AT262" i="32"/>
  <c r="AU262" i="32"/>
  <c r="AV262" i="32"/>
  <c r="AW262" i="32"/>
  <c r="AX262" i="32"/>
  <c r="AY262" i="32"/>
  <c r="AZ262" i="32"/>
  <c r="BA262" i="32"/>
  <c r="BB262" i="32"/>
  <c r="BC262" i="32"/>
  <c r="BD262" i="32"/>
  <c r="BE262" i="32"/>
  <c r="BF262" i="32"/>
  <c r="BG262" i="32"/>
  <c r="BH262" i="32"/>
  <c r="BI262" i="32"/>
  <c r="BJ262" i="32"/>
  <c r="BK262" i="32"/>
  <c r="BL262" i="32"/>
  <c r="BM262" i="32"/>
  <c r="BN262" i="32"/>
  <c r="BO262" i="32"/>
  <c r="BP262" i="32"/>
  <c r="BQ262" i="32"/>
  <c r="N263" i="32"/>
  <c r="O263" i="32"/>
  <c r="P263" i="32"/>
  <c r="Q263" i="32"/>
  <c r="R263" i="32"/>
  <c r="S263" i="32"/>
  <c r="T263" i="32"/>
  <c r="U263" i="32"/>
  <c r="V263" i="32"/>
  <c r="W263" i="32"/>
  <c r="X263" i="32"/>
  <c r="Y263" i="32"/>
  <c r="Z263" i="32"/>
  <c r="AA263" i="32"/>
  <c r="AB263" i="32"/>
  <c r="AC263" i="32"/>
  <c r="AD263" i="32"/>
  <c r="AE263" i="32"/>
  <c r="AF263" i="32"/>
  <c r="AG263" i="32"/>
  <c r="AH263" i="32"/>
  <c r="AI263" i="32"/>
  <c r="AJ263" i="32"/>
  <c r="AK263" i="32"/>
  <c r="AL263" i="32"/>
  <c r="AM263" i="32"/>
  <c r="AN263" i="32"/>
  <c r="AO263" i="32"/>
  <c r="AP263" i="32"/>
  <c r="AQ263" i="32"/>
  <c r="AR263" i="32"/>
  <c r="AS263" i="32"/>
  <c r="AT263" i="32"/>
  <c r="AU263" i="32"/>
  <c r="AV263" i="32"/>
  <c r="AW263" i="32"/>
  <c r="AX263" i="32"/>
  <c r="AY263" i="32"/>
  <c r="AZ263" i="32"/>
  <c r="BA263" i="32"/>
  <c r="BB263" i="32"/>
  <c r="BC263" i="32"/>
  <c r="BD263" i="32"/>
  <c r="BE263" i="32"/>
  <c r="BF263" i="32"/>
  <c r="BG263" i="32"/>
  <c r="BH263" i="32"/>
  <c r="BI263" i="32"/>
  <c r="BJ263" i="32"/>
  <c r="BK263" i="32"/>
  <c r="BL263" i="32"/>
  <c r="BM263" i="32"/>
  <c r="BN263" i="32"/>
  <c r="BO263" i="32"/>
  <c r="BP263" i="32"/>
  <c r="BQ263" i="32"/>
  <c r="N264" i="32"/>
  <c r="O264" i="32"/>
  <c r="P264" i="32"/>
  <c r="Q264" i="32"/>
  <c r="R264" i="32"/>
  <c r="S264" i="32"/>
  <c r="T264" i="32"/>
  <c r="U264" i="32"/>
  <c r="V264" i="32"/>
  <c r="W264" i="32"/>
  <c r="X264" i="32"/>
  <c r="Y264" i="32"/>
  <c r="Z264" i="32"/>
  <c r="AA264" i="32"/>
  <c r="AB264" i="32"/>
  <c r="AC264" i="32"/>
  <c r="AD264" i="32"/>
  <c r="AE264" i="32"/>
  <c r="AF264" i="32"/>
  <c r="AG264" i="32"/>
  <c r="AH264" i="32"/>
  <c r="AI264" i="32"/>
  <c r="AJ264" i="32"/>
  <c r="AK264" i="32"/>
  <c r="AL264" i="32"/>
  <c r="AM264" i="32"/>
  <c r="AN264" i="32"/>
  <c r="AO264" i="32"/>
  <c r="AP264" i="32"/>
  <c r="AQ264" i="32"/>
  <c r="AR264" i="32"/>
  <c r="AS264" i="32"/>
  <c r="AT264" i="32"/>
  <c r="AU264" i="32"/>
  <c r="AV264" i="32"/>
  <c r="AW264" i="32"/>
  <c r="AX264" i="32"/>
  <c r="AY264" i="32"/>
  <c r="AZ264" i="32"/>
  <c r="BA264" i="32"/>
  <c r="BB264" i="32"/>
  <c r="BC264" i="32"/>
  <c r="BD264" i="32"/>
  <c r="BE264" i="32"/>
  <c r="BF264" i="32"/>
  <c r="BG264" i="32"/>
  <c r="BH264" i="32"/>
  <c r="BI264" i="32"/>
  <c r="BJ264" i="32"/>
  <c r="BK264" i="32"/>
  <c r="BL264" i="32"/>
  <c r="BM264" i="32"/>
  <c r="BN264" i="32"/>
  <c r="BO264" i="32"/>
  <c r="BP264" i="32"/>
  <c r="BQ264" i="32"/>
  <c r="N265" i="32"/>
  <c r="O265" i="32"/>
  <c r="P265" i="32"/>
  <c r="Q265" i="32"/>
  <c r="R265" i="32"/>
  <c r="S265" i="32"/>
  <c r="T265" i="32"/>
  <c r="U265" i="32"/>
  <c r="V265" i="32"/>
  <c r="W265" i="32"/>
  <c r="X265" i="32"/>
  <c r="Y265" i="32"/>
  <c r="Z265" i="32"/>
  <c r="AA265" i="32"/>
  <c r="AB265" i="32"/>
  <c r="AC265" i="32"/>
  <c r="AD265" i="32"/>
  <c r="AE265" i="32"/>
  <c r="AF265" i="32"/>
  <c r="AG265" i="32"/>
  <c r="AH265" i="32"/>
  <c r="AI265" i="32"/>
  <c r="AJ265" i="32"/>
  <c r="AK265" i="32"/>
  <c r="AL265" i="32"/>
  <c r="AM265" i="32"/>
  <c r="AN265" i="32"/>
  <c r="AO265" i="32"/>
  <c r="AP265" i="32"/>
  <c r="AQ265" i="32"/>
  <c r="AR265" i="32"/>
  <c r="AS265" i="32"/>
  <c r="AT265" i="32"/>
  <c r="AU265" i="32"/>
  <c r="AV265" i="32"/>
  <c r="AW265" i="32"/>
  <c r="AX265" i="32"/>
  <c r="AY265" i="32"/>
  <c r="AZ265" i="32"/>
  <c r="BA265" i="32"/>
  <c r="BB265" i="32"/>
  <c r="BC265" i="32"/>
  <c r="BD265" i="32"/>
  <c r="BE265" i="32"/>
  <c r="BF265" i="32"/>
  <c r="BG265" i="32"/>
  <c r="BH265" i="32"/>
  <c r="BI265" i="32"/>
  <c r="BJ265" i="32"/>
  <c r="BK265" i="32"/>
  <c r="BL265" i="32"/>
  <c r="BM265" i="32"/>
  <c r="BN265" i="32"/>
  <c r="BO265" i="32"/>
  <c r="BP265" i="32"/>
  <c r="BQ265" i="32"/>
  <c r="N266" i="32"/>
  <c r="O266" i="32"/>
  <c r="P266" i="32"/>
  <c r="Q266" i="32"/>
  <c r="R266" i="32"/>
  <c r="S266" i="32"/>
  <c r="T266" i="32"/>
  <c r="U266" i="32"/>
  <c r="V266" i="32"/>
  <c r="W266" i="32"/>
  <c r="X266" i="32"/>
  <c r="Y266" i="32"/>
  <c r="Z266" i="32"/>
  <c r="AA266" i="32"/>
  <c r="AB266" i="32"/>
  <c r="AC266" i="32"/>
  <c r="AD266" i="32"/>
  <c r="AE266" i="32"/>
  <c r="AF266" i="32"/>
  <c r="AG266" i="32"/>
  <c r="AH266" i="32"/>
  <c r="AI266" i="32"/>
  <c r="AJ266" i="32"/>
  <c r="AK266" i="32"/>
  <c r="AL266" i="32"/>
  <c r="AM266" i="32"/>
  <c r="AN266" i="32"/>
  <c r="AO266" i="32"/>
  <c r="AP266" i="32"/>
  <c r="AQ266" i="32"/>
  <c r="AR266" i="32"/>
  <c r="AS266" i="32"/>
  <c r="AT266" i="32"/>
  <c r="AU266" i="32"/>
  <c r="AV266" i="32"/>
  <c r="AW266" i="32"/>
  <c r="AX266" i="32"/>
  <c r="AY266" i="32"/>
  <c r="AZ266" i="32"/>
  <c r="BA266" i="32"/>
  <c r="BB266" i="32"/>
  <c r="BC266" i="32"/>
  <c r="BD266" i="32"/>
  <c r="BE266" i="32"/>
  <c r="BF266" i="32"/>
  <c r="BG266" i="32"/>
  <c r="BH266" i="32"/>
  <c r="BI266" i="32"/>
  <c r="BJ266" i="32"/>
  <c r="BK266" i="32"/>
  <c r="BL266" i="32"/>
  <c r="BM266" i="32"/>
  <c r="BN266" i="32"/>
  <c r="BO266" i="32"/>
  <c r="BP266" i="32"/>
  <c r="BQ266" i="32"/>
  <c r="N267" i="32"/>
  <c r="O267" i="32"/>
  <c r="P267" i="32"/>
  <c r="Q267" i="32"/>
  <c r="R267" i="32"/>
  <c r="S267" i="32"/>
  <c r="T267" i="32"/>
  <c r="U267" i="32"/>
  <c r="V267" i="32"/>
  <c r="W267" i="32"/>
  <c r="X267" i="32"/>
  <c r="Y267" i="32"/>
  <c r="Z267" i="32"/>
  <c r="AA267" i="32"/>
  <c r="AB267" i="32"/>
  <c r="AC267" i="32"/>
  <c r="AD267" i="32"/>
  <c r="AE267" i="32"/>
  <c r="AF267" i="32"/>
  <c r="AG267" i="32"/>
  <c r="AH267" i="32"/>
  <c r="AI267" i="32"/>
  <c r="AJ267" i="32"/>
  <c r="AK267" i="32"/>
  <c r="AL267" i="32"/>
  <c r="AM267" i="32"/>
  <c r="AN267" i="32"/>
  <c r="AO267" i="32"/>
  <c r="AP267" i="32"/>
  <c r="AQ267" i="32"/>
  <c r="AR267" i="32"/>
  <c r="AS267" i="32"/>
  <c r="AT267" i="32"/>
  <c r="AU267" i="32"/>
  <c r="AV267" i="32"/>
  <c r="AW267" i="32"/>
  <c r="AX267" i="32"/>
  <c r="AY267" i="32"/>
  <c r="AZ267" i="32"/>
  <c r="BA267" i="32"/>
  <c r="BB267" i="32"/>
  <c r="BC267" i="32"/>
  <c r="BD267" i="32"/>
  <c r="BE267" i="32"/>
  <c r="BF267" i="32"/>
  <c r="BG267" i="32"/>
  <c r="BH267" i="32"/>
  <c r="BI267" i="32"/>
  <c r="BJ267" i="32"/>
  <c r="BK267" i="32"/>
  <c r="BL267" i="32"/>
  <c r="BM267" i="32"/>
  <c r="BN267" i="32"/>
  <c r="BO267" i="32"/>
  <c r="BP267" i="32"/>
  <c r="BQ267" i="32"/>
  <c r="N268" i="32"/>
  <c r="O268" i="32"/>
  <c r="P268" i="32"/>
  <c r="Q268" i="32"/>
  <c r="R268" i="32"/>
  <c r="S268" i="32"/>
  <c r="T268" i="32"/>
  <c r="U268" i="32"/>
  <c r="V268" i="32"/>
  <c r="W268" i="32"/>
  <c r="X268" i="32"/>
  <c r="Y268" i="32"/>
  <c r="Z268" i="32"/>
  <c r="AA268" i="32"/>
  <c r="AB268" i="32"/>
  <c r="AC268" i="32"/>
  <c r="AD268" i="32"/>
  <c r="AE268" i="32"/>
  <c r="AF268" i="32"/>
  <c r="AG268" i="32"/>
  <c r="AH268" i="32"/>
  <c r="AI268" i="32"/>
  <c r="AJ268" i="32"/>
  <c r="AK268" i="32"/>
  <c r="AL268" i="32"/>
  <c r="AM268" i="32"/>
  <c r="AN268" i="32"/>
  <c r="AO268" i="32"/>
  <c r="AP268" i="32"/>
  <c r="AQ268" i="32"/>
  <c r="AR268" i="32"/>
  <c r="AS268" i="32"/>
  <c r="AT268" i="32"/>
  <c r="AU268" i="32"/>
  <c r="AV268" i="32"/>
  <c r="AW268" i="32"/>
  <c r="AX268" i="32"/>
  <c r="AY268" i="32"/>
  <c r="AZ268" i="32"/>
  <c r="BA268" i="32"/>
  <c r="BB268" i="32"/>
  <c r="BC268" i="32"/>
  <c r="BD268" i="32"/>
  <c r="BE268" i="32"/>
  <c r="BF268" i="32"/>
  <c r="BG268" i="32"/>
  <c r="BH268" i="32"/>
  <c r="BI268" i="32"/>
  <c r="BJ268" i="32"/>
  <c r="BK268" i="32"/>
  <c r="BL268" i="32"/>
  <c r="BM268" i="32"/>
  <c r="BN268" i="32"/>
  <c r="BO268" i="32"/>
  <c r="BP268" i="32"/>
  <c r="BQ268" i="32"/>
  <c r="N269" i="32"/>
  <c r="O269" i="32"/>
  <c r="P269" i="32"/>
  <c r="Q269" i="32"/>
  <c r="R269" i="32"/>
  <c r="S269" i="32"/>
  <c r="T269" i="32"/>
  <c r="U269" i="32"/>
  <c r="V269" i="32"/>
  <c r="W269" i="32"/>
  <c r="X269" i="32"/>
  <c r="Y269" i="32"/>
  <c r="Z269" i="32"/>
  <c r="AA269" i="32"/>
  <c r="AB269" i="32"/>
  <c r="AC269" i="32"/>
  <c r="AD269" i="32"/>
  <c r="AE269" i="32"/>
  <c r="AF269" i="32"/>
  <c r="AG269" i="32"/>
  <c r="AH269" i="32"/>
  <c r="AI269" i="32"/>
  <c r="AJ269" i="32"/>
  <c r="AK269" i="32"/>
  <c r="AL269" i="32"/>
  <c r="AM269" i="32"/>
  <c r="AN269" i="32"/>
  <c r="AO269" i="32"/>
  <c r="AP269" i="32"/>
  <c r="AQ269" i="32"/>
  <c r="AR269" i="32"/>
  <c r="AS269" i="32"/>
  <c r="AT269" i="32"/>
  <c r="AU269" i="32"/>
  <c r="AV269" i="32"/>
  <c r="AW269" i="32"/>
  <c r="AX269" i="32"/>
  <c r="AY269" i="32"/>
  <c r="AZ269" i="32"/>
  <c r="BA269" i="32"/>
  <c r="BB269" i="32"/>
  <c r="BC269" i="32"/>
  <c r="BD269" i="32"/>
  <c r="BE269" i="32"/>
  <c r="BF269" i="32"/>
  <c r="BG269" i="32"/>
  <c r="BH269" i="32"/>
  <c r="BI269" i="32"/>
  <c r="BJ269" i="32"/>
  <c r="BK269" i="32"/>
  <c r="N271" i="32"/>
  <c r="O271" i="32"/>
  <c r="P271" i="32"/>
  <c r="Q271" i="32"/>
  <c r="R271" i="32"/>
  <c r="S271" i="32"/>
  <c r="T271" i="32"/>
  <c r="U271" i="32"/>
  <c r="V271" i="32"/>
  <c r="W271" i="32"/>
  <c r="X271" i="32"/>
  <c r="Y271" i="32"/>
  <c r="Z271" i="32"/>
  <c r="AA271" i="32"/>
  <c r="AB271" i="32"/>
  <c r="AC271" i="32"/>
  <c r="AD271" i="32"/>
  <c r="AE271" i="32"/>
  <c r="AF271" i="32"/>
  <c r="AG271" i="32"/>
  <c r="AH271" i="32"/>
  <c r="AI271" i="32"/>
  <c r="AJ271" i="32"/>
  <c r="AK271" i="32"/>
  <c r="AL271" i="32"/>
  <c r="AM271" i="32"/>
  <c r="AN271" i="32"/>
  <c r="AO271" i="32"/>
  <c r="AP271" i="32"/>
  <c r="AQ271" i="32"/>
  <c r="AR271" i="32"/>
  <c r="AS271" i="32"/>
  <c r="AS337" i="32" s="1"/>
  <c r="AT271" i="32"/>
  <c r="AU271" i="32"/>
  <c r="AV271" i="32"/>
  <c r="AW271" i="32"/>
  <c r="AW337" i="32" s="1"/>
  <c r="AX271" i="32"/>
  <c r="AY271" i="32"/>
  <c r="AY337" i="32" s="1"/>
  <c r="AZ271" i="32"/>
  <c r="BA271" i="32"/>
  <c r="BB271" i="32"/>
  <c r="BC271" i="32"/>
  <c r="BD271" i="32"/>
  <c r="BE271" i="32"/>
  <c r="BE337" i="32" s="1"/>
  <c r="BF271" i="32"/>
  <c r="BG271" i="32"/>
  <c r="BH271" i="32"/>
  <c r="BI271" i="32"/>
  <c r="BI337" i="32" s="1"/>
  <c r="BJ271" i="32"/>
  <c r="BK271" i="32"/>
  <c r="BL271" i="32"/>
  <c r="BM271" i="32"/>
  <c r="BM337" i="32" s="1"/>
  <c r="BN271" i="32"/>
  <c r="BO271" i="32"/>
  <c r="BP271" i="32"/>
  <c r="BQ271" i="32"/>
  <c r="N272" i="32"/>
  <c r="O272" i="32"/>
  <c r="P272" i="32"/>
  <c r="Q272" i="32"/>
  <c r="R272" i="32"/>
  <c r="S272" i="32"/>
  <c r="T272" i="32"/>
  <c r="U272" i="32"/>
  <c r="V272" i="32"/>
  <c r="W272" i="32"/>
  <c r="X272" i="32"/>
  <c r="Y272" i="32"/>
  <c r="Z272" i="32"/>
  <c r="AA272" i="32"/>
  <c r="AB272" i="32"/>
  <c r="AC272" i="32"/>
  <c r="AD272" i="32"/>
  <c r="AE272" i="32"/>
  <c r="AF272" i="32"/>
  <c r="AG272" i="32"/>
  <c r="AH272" i="32"/>
  <c r="AI272" i="32"/>
  <c r="AJ272" i="32"/>
  <c r="AK272" i="32"/>
  <c r="AL272" i="32"/>
  <c r="AM272" i="32"/>
  <c r="AN272" i="32"/>
  <c r="AO272" i="32"/>
  <c r="AP272" i="32"/>
  <c r="AQ272" i="32"/>
  <c r="AR272" i="32"/>
  <c r="AS272" i="32"/>
  <c r="AT272" i="32"/>
  <c r="AU272" i="32"/>
  <c r="AV272" i="32"/>
  <c r="AW272" i="32"/>
  <c r="AX272" i="32"/>
  <c r="AY272" i="32"/>
  <c r="AZ272" i="32"/>
  <c r="BA272" i="32"/>
  <c r="BB272" i="32"/>
  <c r="BC272" i="32"/>
  <c r="BD272" i="32"/>
  <c r="BE272" i="32"/>
  <c r="BF272" i="32"/>
  <c r="BG272" i="32"/>
  <c r="BH272" i="32"/>
  <c r="BI272" i="32"/>
  <c r="BJ272" i="32"/>
  <c r="BK272" i="32"/>
  <c r="BL272" i="32"/>
  <c r="BM272" i="32"/>
  <c r="BN272" i="32"/>
  <c r="BO272" i="32"/>
  <c r="BP272" i="32"/>
  <c r="BQ272" i="32"/>
  <c r="N273" i="32"/>
  <c r="O273" i="32"/>
  <c r="P273" i="32"/>
  <c r="Q273" i="32"/>
  <c r="R273" i="32"/>
  <c r="S273" i="32"/>
  <c r="T273" i="32"/>
  <c r="U273" i="32"/>
  <c r="V273" i="32"/>
  <c r="W273" i="32"/>
  <c r="X273" i="32"/>
  <c r="Y273" i="32"/>
  <c r="Z273" i="32"/>
  <c r="AA273" i="32"/>
  <c r="AB273" i="32"/>
  <c r="AC273" i="32"/>
  <c r="AD273" i="32"/>
  <c r="AE273" i="32"/>
  <c r="AF273" i="32"/>
  <c r="AG273" i="32"/>
  <c r="AH273" i="32"/>
  <c r="AI273" i="32"/>
  <c r="AJ273" i="32"/>
  <c r="AK273" i="32"/>
  <c r="AL273" i="32"/>
  <c r="AM273" i="32"/>
  <c r="AN273" i="32"/>
  <c r="AO273" i="32"/>
  <c r="AP273" i="32"/>
  <c r="AQ273" i="32"/>
  <c r="AR273" i="32"/>
  <c r="AS273" i="32"/>
  <c r="AT273" i="32"/>
  <c r="AU273" i="32"/>
  <c r="AV273" i="32"/>
  <c r="AW273" i="32"/>
  <c r="AX273" i="32"/>
  <c r="AY273" i="32"/>
  <c r="AZ273" i="32"/>
  <c r="BA273" i="32"/>
  <c r="BB273" i="32"/>
  <c r="BC273" i="32"/>
  <c r="BD273" i="32"/>
  <c r="BE273" i="32"/>
  <c r="BF273" i="32"/>
  <c r="BG273" i="32"/>
  <c r="BH273" i="32"/>
  <c r="BI273" i="32"/>
  <c r="BJ273" i="32"/>
  <c r="BK273" i="32"/>
  <c r="BL273" i="32"/>
  <c r="BM273" i="32"/>
  <c r="BN273" i="32"/>
  <c r="BO273" i="32"/>
  <c r="BP273" i="32"/>
  <c r="BQ273" i="32"/>
  <c r="N274" i="32"/>
  <c r="O274" i="32"/>
  <c r="P274" i="32"/>
  <c r="Q274" i="32"/>
  <c r="R274" i="32"/>
  <c r="S274" i="32"/>
  <c r="T274" i="32"/>
  <c r="U274" i="32"/>
  <c r="V274" i="32"/>
  <c r="W274" i="32"/>
  <c r="X274" i="32"/>
  <c r="Y274" i="32"/>
  <c r="Z274" i="32"/>
  <c r="AA274" i="32"/>
  <c r="AB274" i="32"/>
  <c r="AC274" i="32"/>
  <c r="AD274" i="32"/>
  <c r="AE274" i="32"/>
  <c r="AF274" i="32"/>
  <c r="AG274" i="32"/>
  <c r="AH274" i="32"/>
  <c r="AI274" i="32"/>
  <c r="AJ274" i="32"/>
  <c r="AK274" i="32"/>
  <c r="AL274" i="32"/>
  <c r="AM274" i="32"/>
  <c r="AN274" i="32"/>
  <c r="AO274" i="32"/>
  <c r="AP274" i="32"/>
  <c r="AQ274" i="32"/>
  <c r="AR274" i="32"/>
  <c r="AS274" i="32"/>
  <c r="AT274" i="32"/>
  <c r="AU274" i="32"/>
  <c r="AV274" i="32"/>
  <c r="AW274" i="32"/>
  <c r="AX274" i="32"/>
  <c r="AY274" i="32"/>
  <c r="AZ274" i="32"/>
  <c r="BA274" i="32"/>
  <c r="BB274" i="32"/>
  <c r="BC274" i="32"/>
  <c r="BD274" i="32"/>
  <c r="BE274" i="32"/>
  <c r="BF274" i="32"/>
  <c r="BG274" i="32"/>
  <c r="BH274" i="32"/>
  <c r="BI274" i="32"/>
  <c r="BJ274" i="32"/>
  <c r="BK274" i="32"/>
  <c r="BL274" i="32"/>
  <c r="BM274" i="32"/>
  <c r="BN274" i="32"/>
  <c r="BO274" i="32"/>
  <c r="BP274" i="32"/>
  <c r="BQ274" i="32"/>
  <c r="N275" i="32"/>
  <c r="O275" i="32"/>
  <c r="P275" i="32"/>
  <c r="Q275" i="32"/>
  <c r="R275" i="32"/>
  <c r="S275" i="32"/>
  <c r="T275" i="32"/>
  <c r="U275" i="32"/>
  <c r="V275" i="32"/>
  <c r="W275" i="32"/>
  <c r="X275" i="32"/>
  <c r="Y275" i="32"/>
  <c r="Z275" i="32"/>
  <c r="AA275" i="32"/>
  <c r="AB275" i="32"/>
  <c r="AC275" i="32"/>
  <c r="AD275" i="32"/>
  <c r="AE275" i="32"/>
  <c r="AF275" i="32"/>
  <c r="AG275" i="32"/>
  <c r="AH275" i="32"/>
  <c r="AI275" i="32"/>
  <c r="AJ275" i="32"/>
  <c r="AK275" i="32"/>
  <c r="AL275" i="32"/>
  <c r="AM275" i="32"/>
  <c r="AN275" i="32"/>
  <c r="AO275" i="32"/>
  <c r="AP275" i="32"/>
  <c r="AQ275" i="32"/>
  <c r="AR275" i="32"/>
  <c r="AS275" i="32"/>
  <c r="AT275" i="32"/>
  <c r="AU275" i="32"/>
  <c r="AV275" i="32"/>
  <c r="AW275" i="32"/>
  <c r="AX275" i="32"/>
  <c r="AY275" i="32"/>
  <c r="AZ275" i="32"/>
  <c r="BA275" i="32"/>
  <c r="BB275" i="32"/>
  <c r="BC275" i="32"/>
  <c r="BD275" i="32"/>
  <c r="BE275" i="32"/>
  <c r="BF275" i="32"/>
  <c r="BG275" i="32"/>
  <c r="BH275" i="32"/>
  <c r="BI275" i="32"/>
  <c r="BJ275" i="32"/>
  <c r="BK275" i="32"/>
  <c r="BL275" i="32"/>
  <c r="BM275" i="32"/>
  <c r="BN275" i="32"/>
  <c r="BO275" i="32"/>
  <c r="BP275" i="32"/>
  <c r="BQ275" i="32"/>
  <c r="N276" i="32"/>
  <c r="O276" i="32"/>
  <c r="P276" i="32"/>
  <c r="Q276" i="32"/>
  <c r="R276" i="32"/>
  <c r="S276" i="32"/>
  <c r="T276" i="32"/>
  <c r="U276" i="32"/>
  <c r="V276" i="32"/>
  <c r="W276" i="32"/>
  <c r="X276" i="32"/>
  <c r="Y276" i="32"/>
  <c r="Z276" i="32"/>
  <c r="AA276" i="32"/>
  <c r="AB276" i="32"/>
  <c r="AC276" i="32"/>
  <c r="AD276" i="32"/>
  <c r="AE276" i="32"/>
  <c r="AF276" i="32"/>
  <c r="AG276" i="32"/>
  <c r="AH276" i="32"/>
  <c r="AI276" i="32"/>
  <c r="AJ276" i="32"/>
  <c r="AK276" i="32"/>
  <c r="AL276" i="32"/>
  <c r="AM276" i="32"/>
  <c r="AN276" i="32"/>
  <c r="AO276" i="32"/>
  <c r="AP276" i="32"/>
  <c r="AQ276" i="32"/>
  <c r="AR276" i="32"/>
  <c r="AS276" i="32"/>
  <c r="AT276" i="32"/>
  <c r="AU276" i="32"/>
  <c r="AV276" i="32"/>
  <c r="AW276" i="32"/>
  <c r="AX276" i="32"/>
  <c r="AY276" i="32"/>
  <c r="AZ276" i="32"/>
  <c r="BA276" i="32"/>
  <c r="BB276" i="32"/>
  <c r="BC276" i="32"/>
  <c r="BD276" i="32"/>
  <c r="BE276" i="32"/>
  <c r="BF276" i="32"/>
  <c r="BG276" i="32"/>
  <c r="BH276" i="32"/>
  <c r="BI276" i="32"/>
  <c r="BJ276" i="32"/>
  <c r="BK276" i="32"/>
  <c r="BL276" i="32"/>
  <c r="BM276" i="32"/>
  <c r="BN276" i="32"/>
  <c r="BO276" i="32"/>
  <c r="BP276" i="32"/>
  <c r="BQ276" i="32"/>
  <c r="N277" i="32"/>
  <c r="O277" i="32"/>
  <c r="P277" i="32"/>
  <c r="Q277" i="32"/>
  <c r="R277" i="32"/>
  <c r="S277" i="32"/>
  <c r="T277" i="32"/>
  <c r="U277" i="32"/>
  <c r="V277" i="32"/>
  <c r="W277" i="32"/>
  <c r="X277" i="32"/>
  <c r="Y277" i="32"/>
  <c r="Z277" i="32"/>
  <c r="AA277" i="32"/>
  <c r="AB277" i="32"/>
  <c r="AC277" i="32"/>
  <c r="AD277" i="32"/>
  <c r="AE277" i="32"/>
  <c r="AF277" i="32"/>
  <c r="AG277" i="32"/>
  <c r="AH277" i="32"/>
  <c r="AI277" i="32"/>
  <c r="AJ277" i="32"/>
  <c r="AK277" i="32"/>
  <c r="AL277" i="32"/>
  <c r="AM277" i="32"/>
  <c r="AN277" i="32"/>
  <c r="AO277" i="32"/>
  <c r="AP277" i="32"/>
  <c r="AQ277" i="32"/>
  <c r="AR277" i="32"/>
  <c r="AS277" i="32"/>
  <c r="AT277" i="32"/>
  <c r="AU277" i="32"/>
  <c r="AV277" i="32"/>
  <c r="AW277" i="32"/>
  <c r="AX277" i="32"/>
  <c r="AY277" i="32"/>
  <c r="AZ277" i="32"/>
  <c r="BA277" i="32"/>
  <c r="BB277" i="32"/>
  <c r="BC277" i="32"/>
  <c r="BD277" i="32"/>
  <c r="BE277" i="32"/>
  <c r="BF277" i="32"/>
  <c r="BG277" i="32"/>
  <c r="BH277" i="32"/>
  <c r="BI277" i="32"/>
  <c r="BJ277" i="32"/>
  <c r="BK277" i="32"/>
  <c r="BL277" i="32"/>
  <c r="BM277" i="32"/>
  <c r="BN277" i="32"/>
  <c r="BO277" i="32"/>
  <c r="BP277" i="32"/>
  <c r="BQ277" i="32"/>
  <c r="N278" i="32"/>
  <c r="O278" i="32"/>
  <c r="P278" i="32"/>
  <c r="Q278" i="32"/>
  <c r="R278" i="32"/>
  <c r="S278" i="32"/>
  <c r="T278" i="32"/>
  <c r="U278" i="32"/>
  <c r="V278" i="32"/>
  <c r="W278" i="32"/>
  <c r="X278" i="32"/>
  <c r="Y278" i="32"/>
  <c r="Z278" i="32"/>
  <c r="AA278" i="32"/>
  <c r="AB278" i="32"/>
  <c r="AC278" i="32"/>
  <c r="AD278" i="32"/>
  <c r="AE278" i="32"/>
  <c r="AF278" i="32"/>
  <c r="AG278" i="32"/>
  <c r="AH278" i="32"/>
  <c r="AI278" i="32"/>
  <c r="AJ278" i="32"/>
  <c r="AK278" i="32"/>
  <c r="AL278" i="32"/>
  <c r="AM278" i="32"/>
  <c r="AN278" i="32"/>
  <c r="AO278" i="32"/>
  <c r="AP278" i="32"/>
  <c r="AQ278" i="32"/>
  <c r="AR278" i="32"/>
  <c r="AS278" i="32"/>
  <c r="AT278" i="32"/>
  <c r="AU278" i="32"/>
  <c r="AV278" i="32"/>
  <c r="AW278" i="32"/>
  <c r="AX278" i="32"/>
  <c r="AY278" i="32"/>
  <c r="AZ278" i="32"/>
  <c r="BA278" i="32"/>
  <c r="BB278" i="32"/>
  <c r="BC278" i="32"/>
  <c r="BD278" i="32"/>
  <c r="BE278" i="32"/>
  <c r="BF278" i="32"/>
  <c r="BG278" i="32"/>
  <c r="BH278" i="32"/>
  <c r="BI278" i="32"/>
  <c r="BJ278" i="32"/>
  <c r="BK278" i="32"/>
  <c r="BL278" i="32"/>
  <c r="BM278" i="32"/>
  <c r="BN278" i="32"/>
  <c r="BO278" i="32"/>
  <c r="BP278" i="32"/>
  <c r="BQ278" i="32"/>
  <c r="N279" i="32"/>
  <c r="O279" i="32"/>
  <c r="P279" i="32"/>
  <c r="Q279" i="32"/>
  <c r="R279" i="32"/>
  <c r="S279" i="32"/>
  <c r="T279" i="32"/>
  <c r="U279" i="32"/>
  <c r="V279" i="32"/>
  <c r="W279" i="32"/>
  <c r="X279" i="32"/>
  <c r="Y279" i="32"/>
  <c r="Z279" i="32"/>
  <c r="AA279" i="32"/>
  <c r="AB279" i="32"/>
  <c r="AC279" i="32"/>
  <c r="AD279" i="32"/>
  <c r="AE279" i="32"/>
  <c r="AF279" i="32"/>
  <c r="AG279" i="32"/>
  <c r="AH279" i="32"/>
  <c r="AI279" i="32"/>
  <c r="AJ279" i="32"/>
  <c r="AK279" i="32"/>
  <c r="AL279" i="32"/>
  <c r="AM279" i="32"/>
  <c r="AN279" i="32"/>
  <c r="AO279" i="32"/>
  <c r="AP279" i="32"/>
  <c r="AQ279" i="32"/>
  <c r="AR279" i="32"/>
  <c r="AS279" i="32"/>
  <c r="AT279" i="32"/>
  <c r="AU279" i="32"/>
  <c r="AV279" i="32"/>
  <c r="AW279" i="32"/>
  <c r="AX279" i="32"/>
  <c r="AY279" i="32"/>
  <c r="AZ279" i="32"/>
  <c r="BA279" i="32"/>
  <c r="BB279" i="32"/>
  <c r="BC279" i="32"/>
  <c r="BD279" i="32"/>
  <c r="BE279" i="32"/>
  <c r="BF279" i="32"/>
  <c r="BG279" i="32"/>
  <c r="BH279" i="32"/>
  <c r="BI279" i="32"/>
  <c r="BJ279" i="32"/>
  <c r="BK279" i="32"/>
  <c r="BL279" i="32"/>
  <c r="BM279" i="32"/>
  <c r="BN279" i="32"/>
  <c r="BO279" i="32"/>
  <c r="BP279" i="32"/>
  <c r="BQ279" i="32"/>
  <c r="N280" i="32"/>
  <c r="O280" i="32"/>
  <c r="P280" i="32"/>
  <c r="Q280" i="32"/>
  <c r="R280" i="32"/>
  <c r="S280" i="32"/>
  <c r="T280" i="32"/>
  <c r="U280" i="32"/>
  <c r="V280" i="32"/>
  <c r="W280" i="32"/>
  <c r="X280" i="32"/>
  <c r="Y280" i="32"/>
  <c r="Z280" i="32"/>
  <c r="AA280" i="32"/>
  <c r="AB280" i="32"/>
  <c r="AC280" i="32"/>
  <c r="AD280" i="32"/>
  <c r="AE280" i="32"/>
  <c r="AF280" i="32"/>
  <c r="AG280" i="32"/>
  <c r="AH280" i="32"/>
  <c r="AI280" i="32"/>
  <c r="AJ280" i="32"/>
  <c r="AK280" i="32"/>
  <c r="AL280" i="32"/>
  <c r="AM280" i="32"/>
  <c r="AN280" i="32"/>
  <c r="AO280" i="32"/>
  <c r="AP280" i="32"/>
  <c r="AQ280" i="32"/>
  <c r="AR280" i="32"/>
  <c r="AS280" i="32"/>
  <c r="AT280" i="32"/>
  <c r="AU280" i="32"/>
  <c r="AV280" i="32"/>
  <c r="AW280" i="32"/>
  <c r="AX280" i="32"/>
  <c r="AY280" i="32"/>
  <c r="AZ280" i="32"/>
  <c r="BA280" i="32"/>
  <c r="BB280" i="32"/>
  <c r="BC280" i="32"/>
  <c r="BD280" i="32"/>
  <c r="BE280" i="32"/>
  <c r="BF280" i="32"/>
  <c r="BG280" i="32"/>
  <c r="BH280" i="32"/>
  <c r="BI280" i="32"/>
  <c r="BJ280" i="32"/>
  <c r="BK280" i="32"/>
  <c r="BL280" i="32"/>
  <c r="BM280" i="32"/>
  <c r="BN280" i="32"/>
  <c r="BO280" i="32"/>
  <c r="BP280" i="32"/>
  <c r="BQ280" i="32"/>
  <c r="N281" i="32"/>
  <c r="O281" i="32"/>
  <c r="P281" i="32"/>
  <c r="Q281" i="32"/>
  <c r="R281" i="32"/>
  <c r="S281" i="32"/>
  <c r="T281" i="32"/>
  <c r="U281" i="32"/>
  <c r="V281" i="32"/>
  <c r="W281" i="32"/>
  <c r="X281" i="32"/>
  <c r="Y281" i="32"/>
  <c r="Z281" i="32"/>
  <c r="AA281" i="32"/>
  <c r="AB281" i="32"/>
  <c r="AC281" i="32"/>
  <c r="AD281" i="32"/>
  <c r="AE281" i="32"/>
  <c r="AF281" i="32"/>
  <c r="AG281" i="32"/>
  <c r="AH281" i="32"/>
  <c r="AI281" i="32"/>
  <c r="AJ281" i="32"/>
  <c r="AK281" i="32"/>
  <c r="AL281" i="32"/>
  <c r="AM281" i="32"/>
  <c r="AN281" i="32"/>
  <c r="AO281" i="32"/>
  <c r="AP281" i="32"/>
  <c r="AQ281" i="32"/>
  <c r="AR281" i="32"/>
  <c r="AS281" i="32"/>
  <c r="AT281" i="32"/>
  <c r="AU281" i="32"/>
  <c r="AV281" i="32"/>
  <c r="AW281" i="32"/>
  <c r="AX281" i="32"/>
  <c r="AY281" i="32"/>
  <c r="AZ281" i="32"/>
  <c r="BA281" i="32"/>
  <c r="BB281" i="32"/>
  <c r="BC281" i="32"/>
  <c r="BD281" i="32"/>
  <c r="BE281" i="32"/>
  <c r="BF281" i="32"/>
  <c r="BG281" i="32"/>
  <c r="BH281" i="32"/>
  <c r="BI281" i="32"/>
  <c r="BJ281" i="32"/>
  <c r="BK281" i="32"/>
  <c r="BL281" i="32"/>
  <c r="BM281" i="32"/>
  <c r="BN281" i="32"/>
  <c r="BO281" i="32"/>
  <c r="BP281" i="32"/>
  <c r="BQ281" i="32"/>
  <c r="N282" i="32"/>
  <c r="O282" i="32"/>
  <c r="P282" i="32"/>
  <c r="Q282" i="32"/>
  <c r="R282" i="32"/>
  <c r="S282" i="32"/>
  <c r="T282" i="32"/>
  <c r="U282" i="32"/>
  <c r="V282" i="32"/>
  <c r="W282" i="32"/>
  <c r="X282" i="32"/>
  <c r="Y282" i="32"/>
  <c r="Z282" i="32"/>
  <c r="AA282" i="32"/>
  <c r="AB282" i="32"/>
  <c r="AC282" i="32"/>
  <c r="AD282" i="32"/>
  <c r="AE282" i="32"/>
  <c r="AF282" i="32"/>
  <c r="AG282" i="32"/>
  <c r="AH282" i="32"/>
  <c r="AI282" i="32"/>
  <c r="AJ282" i="32"/>
  <c r="AK282" i="32"/>
  <c r="AL282" i="32"/>
  <c r="AM282" i="32"/>
  <c r="AN282" i="32"/>
  <c r="AO282" i="32"/>
  <c r="AP282" i="32"/>
  <c r="AQ282" i="32"/>
  <c r="AR282" i="32"/>
  <c r="AS282" i="32"/>
  <c r="AT282" i="32"/>
  <c r="AU282" i="32"/>
  <c r="AV282" i="32"/>
  <c r="AW282" i="32"/>
  <c r="AX282" i="32"/>
  <c r="AY282" i="32"/>
  <c r="AZ282" i="32"/>
  <c r="BA282" i="32"/>
  <c r="BB282" i="32"/>
  <c r="BC282" i="32"/>
  <c r="BD282" i="32"/>
  <c r="BE282" i="32"/>
  <c r="BF282" i="32"/>
  <c r="BG282" i="32"/>
  <c r="BH282" i="32"/>
  <c r="BI282" i="32"/>
  <c r="BJ282" i="32"/>
  <c r="BK282" i="32"/>
  <c r="BL282" i="32"/>
  <c r="BM282" i="32"/>
  <c r="BN282" i="32"/>
  <c r="BO282" i="32"/>
  <c r="BP282" i="32"/>
  <c r="BQ282" i="32"/>
  <c r="N283" i="32"/>
  <c r="O283" i="32"/>
  <c r="P283" i="32"/>
  <c r="Q283" i="32"/>
  <c r="R283" i="32"/>
  <c r="S283" i="32"/>
  <c r="T283" i="32"/>
  <c r="U283" i="32"/>
  <c r="V283" i="32"/>
  <c r="W283" i="32"/>
  <c r="X283" i="32"/>
  <c r="Y283" i="32"/>
  <c r="Z283" i="32"/>
  <c r="AA283" i="32"/>
  <c r="AB283" i="32"/>
  <c r="AC283" i="32"/>
  <c r="AD283" i="32"/>
  <c r="AE283" i="32"/>
  <c r="AF283" i="32"/>
  <c r="AG283" i="32"/>
  <c r="AH283" i="32"/>
  <c r="AI283" i="32"/>
  <c r="AJ283" i="32"/>
  <c r="AK283" i="32"/>
  <c r="AL283" i="32"/>
  <c r="AM283" i="32"/>
  <c r="AN283" i="32"/>
  <c r="AO283" i="32"/>
  <c r="AP283" i="32"/>
  <c r="AQ283" i="32"/>
  <c r="AR283" i="32"/>
  <c r="AS283" i="32"/>
  <c r="AT283" i="32"/>
  <c r="AU283" i="32"/>
  <c r="AV283" i="32"/>
  <c r="AW283" i="32"/>
  <c r="AX283" i="32"/>
  <c r="AY283" i="32"/>
  <c r="AZ283" i="32"/>
  <c r="BA283" i="32"/>
  <c r="BB283" i="32"/>
  <c r="BC283" i="32"/>
  <c r="BD283" i="32"/>
  <c r="BE283" i="32"/>
  <c r="BF283" i="32"/>
  <c r="BG283" i="32"/>
  <c r="BH283" i="32"/>
  <c r="BI283" i="32"/>
  <c r="BJ283" i="32"/>
  <c r="BK283" i="32"/>
  <c r="BL283" i="32"/>
  <c r="BM283" i="32"/>
  <c r="BN283" i="32"/>
  <c r="BO283" i="32"/>
  <c r="BP283" i="32"/>
  <c r="BQ283" i="32"/>
  <c r="N284" i="32"/>
  <c r="O284" i="32"/>
  <c r="P284" i="32"/>
  <c r="Q284" i="32"/>
  <c r="R284" i="32"/>
  <c r="S284" i="32"/>
  <c r="T284" i="32"/>
  <c r="U284" i="32"/>
  <c r="V284" i="32"/>
  <c r="W284" i="32"/>
  <c r="X284" i="32"/>
  <c r="Y284" i="32"/>
  <c r="Z284" i="32"/>
  <c r="AA284" i="32"/>
  <c r="AB284" i="32"/>
  <c r="AC284" i="32"/>
  <c r="AD284" i="32"/>
  <c r="AE284" i="32"/>
  <c r="AF284" i="32"/>
  <c r="AG284" i="32"/>
  <c r="AH284" i="32"/>
  <c r="AI284" i="32"/>
  <c r="AJ284" i="32"/>
  <c r="AK284" i="32"/>
  <c r="AL284" i="32"/>
  <c r="AM284" i="32"/>
  <c r="AN284" i="32"/>
  <c r="AO284" i="32"/>
  <c r="AP284" i="32"/>
  <c r="AQ284" i="32"/>
  <c r="AR284" i="32"/>
  <c r="AS284" i="32"/>
  <c r="AT284" i="32"/>
  <c r="AU284" i="32"/>
  <c r="AV284" i="32"/>
  <c r="AW284" i="32"/>
  <c r="AX284" i="32"/>
  <c r="AY284" i="32"/>
  <c r="AZ284" i="32"/>
  <c r="BA284" i="32"/>
  <c r="BB284" i="32"/>
  <c r="BC284" i="32"/>
  <c r="BD284" i="32"/>
  <c r="BE284" i="32"/>
  <c r="BF284" i="32"/>
  <c r="BG284" i="32"/>
  <c r="BH284" i="32"/>
  <c r="BI284" i="32"/>
  <c r="BJ284" i="32"/>
  <c r="BK284" i="32"/>
  <c r="BL284" i="32"/>
  <c r="BM284" i="32"/>
  <c r="BN284" i="32"/>
  <c r="BO284" i="32"/>
  <c r="BP284" i="32"/>
  <c r="BQ284" i="32"/>
  <c r="N285" i="32"/>
  <c r="O285" i="32"/>
  <c r="P285" i="32"/>
  <c r="Q285" i="32"/>
  <c r="R285" i="32"/>
  <c r="S285" i="32"/>
  <c r="T285" i="32"/>
  <c r="U285" i="32"/>
  <c r="V285" i="32"/>
  <c r="W285" i="32"/>
  <c r="X285" i="32"/>
  <c r="Y285" i="32"/>
  <c r="Z285" i="32"/>
  <c r="AA285" i="32"/>
  <c r="AB285" i="32"/>
  <c r="AC285" i="32"/>
  <c r="AD285" i="32"/>
  <c r="AE285" i="32"/>
  <c r="AF285" i="32"/>
  <c r="AG285" i="32"/>
  <c r="AH285" i="32"/>
  <c r="AI285" i="32"/>
  <c r="AJ285" i="32"/>
  <c r="AK285" i="32"/>
  <c r="AL285" i="32"/>
  <c r="AM285" i="32"/>
  <c r="AN285" i="32"/>
  <c r="AO285" i="32"/>
  <c r="AP285" i="32"/>
  <c r="AQ285" i="32"/>
  <c r="AR285" i="32"/>
  <c r="AS285" i="32"/>
  <c r="AT285" i="32"/>
  <c r="AU285" i="32"/>
  <c r="AV285" i="32"/>
  <c r="AW285" i="32"/>
  <c r="AX285" i="32"/>
  <c r="AY285" i="32"/>
  <c r="AZ285" i="32"/>
  <c r="BA285" i="32"/>
  <c r="BB285" i="32"/>
  <c r="BC285" i="32"/>
  <c r="BD285" i="32"/>
  <c r="BE285" i="32"/>
  <c r="BF285" i="32"/>
  <c r="BG285" i="32"/>
  <c r="BH285" i="32"/>
  <c r="BI285" i="32"/>
  <c r="BJ285" i="32"/>
  <c r="BK285" i="32"/>
  <c r="BL285" i="32"/>
  <c r="BM285" i="32"/>
  <c r="BN285" i="32"/>
  <c r="BO285" i="32"/>
  <c r="BP285" i="32"/>
  <c r="BQ285" i="32"/>
  <c r="N286" i="32"/>
  <c r="O286" i="32"/>
  <c r="P286" i="32"/>
  <c r="Q286" i="32"/>
  <c r="R286" i="32"/>
  <c r="S286" i="32"/>
  <c r="T286" i="32"/>
  <c r="U286" i="32"/>
  <c r="V286" i="32"/>
  <c r="W286" i="32"/>
  <c r="X286" i="32"/>
  <c r="Y286" i="32"/>
  <c r="Z286" i="32"/>
  <c r="AA286" i="32"/>
  <c r="AB286" i="32"/>
  <c r="AC286" i="32"/>
  <c r="AD286" i="32"/>
  <c r="AE286" i="32"/>
  <c r="AF286" i="32"/>
  <c r="AG286" i="32"/>
  <c r="AH286" i="32"/>
  <c r="AI286" i="32"/>
  <c r="AJ286" i="32"/>
  <c r="AK286" i="32"/>
  <c r="AL286" i="32"/>
  <c r="AM286" i="32"/>
  <c r="AN286" i="32"/>
  <c r="AO286" i="32"/>
  <c r="AP286" i="32"/>
  <c r="AQ286" i="32"/>
  <c r="AR286" i="32"/>
  <c r="AS286" i="32"/>
  <c r="AT286" i="32"/>
  <c r="AU286" i="32"/>
  <c r="AV286" i="32"/>
  <c r="AW286" i="32"/>
  <c r="AX286" i="32"/>
  <c r="AY286" i="32"/>
  <c r="AZ286" i="32"/>
  <c r="BA286" i="32"/>
  <c r="BB286" i="32"/>
  <c r="BC286" i="32"/>
  <c r="BD286" i="32"/>
  <c r="BE286" i="32"/>
  <c r="BF286" i="32"/>
  <c r="BG286" i="32"/>
  <c r="BH286" i="32"/>
  <c r="BI286" i="32"/>
  <c r="BJ286" i="32"/>
  <c r="BK286" i="32"/>
  <c r="BL286" i="32"/>
  <c r="BM286" i="32"/>
  <c r="BN286" i="32"/>
  <c r="BO286" i="32"/>
  <c r="BP286" i="32"/>
  <c r="BQ286" i="32"/>
  <c r="N287" i="32"/>
  <c r="O287" i="32"/>
  <c r="P287" i="32"/>
  <c r="Q287" i="32"/>
  <c r="R287" i="32"/>
  <c r="S287" i="32"/>
  <c r="T287" i="32"/>
  <c r="U287" i="32"/>
  <c r="V287" i="32"/>
  <c r="W287" i="32"/>
  <c r="X287" i="32"/>
  <c r="Y287" i="32"/>
  <c r="Z287" i="32"/>
  <c r="AA287" i="32"/>
  <c r="AB287" i="32"/>
  <c r="AC287" i="32"/>
  <c r="AD287" i="32"/>
  <c r="AE287" i="32"/>
  <c r="AF287" i="32"/>
  <c r="AG287" i="32"/>
  <c r="AH287" i="32"/>
  <c r="AI287" i="32"/>
  <c r="AJ287" i="32"/>
  <c r="AK287" i="32"/>
  <c r="AL287" i="32"/>
  <c r="AM287" i="32"/>
  <c r="AN287" i="32"/>
  <c r="AO287" i="32"/>
  <c r="AP287" i="32"/>
  <c r="AQ287" i="32"/>
  <c r="AR287" i="32"/>
  <c r="AS287" i="32"/>
  <c r="AT287" i="32"/>
  <c r="AU287" i="32"/>
  <c r="AV287" i="32"/>
  <c r="AW287" i="32"/>
  <c r="AX287" i="32"/>
  <c r="AY287" i="32"/>
  <c r="AZ287" i="32"/>
  <c r="BA287" i="32"/>
  <c r="BB287" i="32"/>
  <c r="BC287" i="32"/>
  <c r="BD287" i="32"/>
  <c r="BE287" i="32"/>
  <c r="BF287" i="32"/>
  <c r="BG287" i="32"/>
  <c r="BH287" i="32"/>
  <c r="BI287" i="32"/>
  <c r="BJ287" i="32"/>
  <c r="BK287" i="32"/>
  <c r="BL287" i="32"/>
  <c r="BM287" i="32"/>
  <c r="BN287" i="32"/>
  <c r="BO287" i="32"/>
  <c r="BP287" i="32"/>
  <c r="BQ287" i="32"/>
  <c r="N288" i="32"/>
  <c r="O288" i="32"/>
  <c r="P288" i="32"/>
  <c r="Q288" i="32"/>
  <c r="R288" i="32"/>
  <c r="S288" i="32"/>
  <c r="T288" i="32"/>
  <c r="U288" i="32"/>
  <c r="V288" i="32"/>
  <c r="W288" i="32"/>
  <c r="X288" i="32"/>
  <c r="Y288" i="32"/>
  <c r="Z288" i="32"/>
  <c r="AA288" i="32"/>
  <c r="AB288" i="32"/>
  <c r="AC288" i="32"/>
  <c r="AD288" i="32"/>
  <c r="AE288" i="32"/>
  <c r="AF288" i="32"/>
  <c r="AG288" i="32"/>
  <c r="AH288" i="32"/>
  <c r="AI288" i="32"/>
  <c r="AJ288" i="32"/>
  <c r="AK288" i="32"/>
  <c r="AL288" i="32"/>
  <c r="AM288" i="32"/>
  <c r="AN288" i="32"/>
  <c r="AO288" i="32"/>
  <c r="AP288" i="32"/>
  <c r="AQ288" i="32"/>
  <c r="AR288" i="32"/>
  <c r="AS288" i="32"/>
  <c r="AT288" i="32"/>
  <c r="AU288" i="32"/>
  <c r="AV288" i="32"/>
  <c r="AW288" i="32"/>
  <c r="AX288" i="32"/>
  <c r="AY288" i="32"/>
  <c r="AZ288" i="32"/>
  <c r="BA288" i="32"/>
  <c r="BB288" i="32"/>
  <c r="BC288" i="32"/>
  <c r="BD288" i="32"/>
  <c r="BE288" i="32"/>
  <c r="BF288" i="32"/>
  <c r="BG288" i="32"/>
  <c r="BH288" i="32"/>
  <c r="BI288" i="32"/>
  <c r="BJ288" i="32"/>
  <c r="BK288" i="32"/>
  <c r="BL288" i="32"/>
  <c r="BM288" i="32"/>
  <c r="BN288" i="32"/>
  <c r="BO288" i="32"/>
  <c r="BP288" i="32"/>
  <c r="BQ288" i="32"/>
  <c r="N289" i="32"/>
  <c r="O289" i="32"/>
  <c r="P289" i="32"/>
  <c r="Q289" i="32"/>
  <c r="R289" i="32"/>
  <c r="S289" i="32"/>
  <c r="T289" i="32"/>
  <c r="U289" i="32"/>
  <c r="V289" i="32"/>
  <c r="W289" i="32"/>
  <c r="X289" i="32"/>
  <c r="Y289" i="32"/>
  <c r="Z289" i="32"/>
  <c r="AA289" i="32"/>
  <c r="AB289" i="32"/>
  <c r="AC289" i="32"/>
  <c r="AD289" i="32"/>
  <c r="AE289" i="32"/>
  <c r="AF289" i="32"/>
  <c r="AG289" i="32"/>
  <c r="AH289" i="32"/>
  <c r="AI289" i="32"/>
  <c r="AJ289" i="32"/>
  <c r="AK289" i="32"/>
  <c r="AL289" i="32"/>
  <c r="AM289" i="32"/>
  <c r="AN289" i="32"/>
  <c r="AO289" i="32"/>
  <c r="AP289" i="32"/>
  <c r="AQ289" i="32"/>
  <c r="AR289" i="32"/>
  <c r="AS289" i="32"/>
  <c r="AT289" i="32"/>
  <c r="AU289" i="32"/>
  <c r="AV289" i="32"/>
  <c r="AW289" i="32"/>
  <c r="AX289" i="32"/>
  <c r="AY289" i="32"/>
  <c r="AZ289" i="32"/>
  <c r="BA289" i="32"/>
  <c r="BB289" i="32"/>
  <c r="BC289" i="32"/>
  <c r="BD289" i="32"/>
  <c r="BE289" i="32"/>
  <c r="BF289" i="32"/>
  <c r="BG289" i="32"/>
  <c r="BH289" i="32"/>
  <c r="BI289" i="32"/>
  <c r="BJ289" i="32"/>
  <c r="BK289" i="32"/>
  <c r="BL289" i="32"/>
  <c r="BM289" i="32"/>
  <c r="BN289" i="32"/>
  <c r="BO289" i="32"/>
  <c r="BP289" i="32"/>
  <c r="BQ289" i="32"/>
  <c r="N290" i="32"/>
  <c r="O290" i="32"/>
  <c r="P290" i="32"/>
  <c r="Q290" i="32"/>
  <c r="R290" i="32"/>
  <c r="S290" i="32"/>
  <c r="T290" i="32"/>
  <c r="U290" i="32"/>
  <c r="V290" i="32"/>
  <c r="W290" i="32"/>
  <c r="X290" i="32"/>
  <c r="Y290" i="32"/>
  <c r="Z290" i="32"/>
  <c r="AA290" i="32"/>
  <c r="AB290" i="32"/>
  <c r="AC290" i="32"/>
  <c r="AD290" i="32"/>
  <c r="AE290" i="32"/>
  <c r="AF290" i="32"/>
  <c r="AG290" i="32"/>
  <c r="AH290" i="32"/>
  <c r="AI290" i="32"/>
  <c r="AJ290" i="32"/>
  <c r="AK290" i="32"/>
  <c r="AL290" i="32"/>
  <c r="AM290" i="32"/>
  <c r="AN290" i="32"/>
  <c r="AO290" i="32"/>
  <c r="AP290" i="32"/>
  <c r="AQ290" i="32"/>
  <c r="AQ337" i="32" s="1"/>
  <c r="AR290" i="32"/>
  <c r="AS290" i="32"/>
  <c r="AT290" i="32"/>
  <c r="AU290" i="32"/>
  <c r="AV290" i="32"/>
  <c r="AW290" i="32"/>
  <c r="AX290" i="32"/>
  <c r="AY290" i="32"/>
  <c r="AZ290" i="32"/>
  <c r="BA290" i="32"/>
  <c r="BB290" i="32"/>
  <c r="BC290" i="32"/>
  <c r="BD290" i="32"/>
  <c r="BE290" i="32"/>
  <c r="BF290" i="32"/>
  <c r="BG290" i="32"/>
  <c r="BG337" i="32" s="1"/>
  <c r="BH290" i="32"/>
  <c r="BI290" i="32"/>
  <c r="BJ290" i="32"/>
  <c r="BK290" i="32"/>
  <c r="BL290" i="32"/>
  <c r="BM290" i="32"/>
  <c r="BN290" i="32"/>
  <c r="BO290" i="32"/>
  <c r="BP290" i="32"/>
  <c r="BQ290" i="32"/>
  <c r="N291" i="32"/>
  <c r="O291" i="32"/>
  <c r="P291" i="32"/>
  <c r="Q291" i="32"/>
  <c r="R291" i="32"/>
  <c r="S291" i="32"/>
  <c r="T291" i="32"/>
  <c r="U291" i="32"/>
  <c r="V291" i="32"/>
  <c r="W291" i="32"/>
  <c r="X291" i="32"/>
  <c r="Y291" i="32"/>
  <c r="Z291" i="32"/>
  <c r="AA291" i="32"/>
  <c r="AB291" i="32"/>
  <c r="AC291" i="32"/>
  <c r="AD291" i="32"/>
  <c r="AE291" i="32"/>
  <c r="AF291" i="32"/>
  <c r="AG291" i="32"/>
  <c r="AH291" i="32"/>
  <c r="AI291" i="32"/>
  <c r="AJ291" i="32"/>
  <c r="AK291" i="32"/>
  <c r="AL291" i="32"/>
  <c r="AM291" i="32"/>
  <c r="AN291" i="32"/>
  <c r="AO291" i="32"/>
  <c r="AP291" i="32"/>
  <c r="AQ291" i="32"/>
  <c r="AR291" i="32"/>
  <c r="AS291" i="32"/>
  <c r="AT291" i="32"/>
  <c r="AU291" i="32"/>
  <c r="AV291" i="32"/>
  <c r="AW291" i="32"/>
  <c r="AX291" i="32"/>
  <c r="AY291" i="32"/>
  <c r="AZ291" i="32"/>
  <c r="BA291" i="32"/>
  <c r="BB291" i="32"/>
  <c r="BC291" i="32"/>
  <c r="BD291" i="32"/>
  <c r="BE291" i="32"/>
  <c r="BF291" i="32"/>
  <c r="BG291" i="32"/>
  <c r="BH291" i="32"/>
  <c r="BI291" i="32"/>
  <c r="BJ291" i="32"/>
  <c r="BK291" i="32"/>
  <c r="BL291" i="32"/>
  <c r="BM291" i="32"/>
  <c r="BN291" i="32"/>
  <c r="BO291" i="32"/>
  <c r="BP291" i="32"/>
  <c r="BQ291" i="32"/>
  <c r="N292" i="32"/>
  <c r="O292" i="32"/>
  <c r="P292" i="32"/>
  <c r="Q292" i="32"/>
  <c r="R292" i="32"/>
  <c r="S292" i="32"/>
  <c r="T292" i="32"/>
  <c r="U292" i="32"/>
  <c r="V292" i="32"/>
  <c r="W292" i="32"/>
  <c r="X292" i="32"/>
  <c r="Y292" i="32"/>
  <c r="Z292" i="32"/>
  <c r="AA292" i="32"/>
  <c r="AB292" i="32"/>
  <c r="AC292" i="32"/>
  <c r="AD292" i="32"/>
  <c r="AE292" i="32"/>
  <c r="AF292" i="32"/>
  <c r="AG292" i="32"/>
  <c r="AH292" i="32"/>
  <c r="AI292" i="32"/>
  <c r="AJ292" i="32"/>
  <c r="AK292" i="32"/>
  <c r="AL292" i="32"/>
  <c r="AM292" i="32"/>
  <c r="AN292" i="32"/>
  <c r="AO292" i="32"/>
  <c r="AP292" i="32"/>
  <c r="AQ292" i="32"/>
  <c r="AR292" i="32"/>
  <c r="AS292" i="32"/>
  <c r="AT292" i="32"/>
  <c r="AU292" i="32"/>
  <c r="AV292" i="32"/>
  <c r="AW292" i="32"/>
  <c r="AX292" i="32"/>
  <c r="AY292" i="32"/>
  <c r="AZ292" i="32"/>
  <c r="BA292" i="32"/>
  <c r="BB292" i="32"/>
  <c r="BC292" i="32"/>
  <c r="BD292" i="32"/>
  <c r="BE292" i="32"/>
  <c r="BF292" i="32"/>
  <c r="BG292" i="32"/>
  <c r="BH292" i="32"/>
  <c r="BI292" i="32"/>
  <c r="BJ292" i="32"/>
  <c r="BK292" i="32"/>
  <c r="BL292" i="32"/>
  <c r="BM292" i="32"/>
  <c r="BN292" i="32"/>
  <c r="BO292" i="32"/>
  <c r="BP292" i="32"/>
  <c r="BQ292" i="32"/>
  <c r="N293" i="32"/>
  <c r="O293" i="32"/>
  <c r="P293" i="32"/>
  <c r="Q293" i="32"/>
  <c r="R293" i="32"/>
  <c r="S293" i="32"/>
  <c r="T293" i="32"/>
  <c r="U293" i="32"/>
  <c r="V293" i="32"/>
  <c r="W293" i="32"/>
  <c r="X293" i="32"/>
  <c r="Y293" i="32"/>
  <c r="Z293" i="32"/>
  <c r="AA293" i="32"/>
  <c r="AB293" i="32"/>
  <c r="AC293" i="32"/>
  <c r="AD293" i="32"/>
  <c r="AE293" i="32"/>
  <c r="AF293" i="32"/>
  <c r="AG293" i="32"/>
  <c r="AH293" i="32"/>
  <c r="AI293" i="32"/>
  <c r="AJ293" i="32"/>
  <c r="AK293" i="32"/>
  <c r="AL293" i="32"/>
  <c r="AM293" i="32"/>
  <c r="AN293" i="32"/>
  <c r="AO293" i="32"/>
  <c r="AP293" i="32"/>
  <c r="AQ293" i="32"/>
  <c r="AR293" i="32"/>
  <c r="AS293" i="32"/>
  <c r="AT293" i="32"/>
  <c r="AU293" i="32"/>
  <c r="AV293" i="32"/>
  <c r="AW293" i="32"/>
  <c r="AX293" i="32"/>
  <c r="AY293" i="32"/>
  <c r="AZ293" i="32"/>
  <c r="BA293" i="32"/>
  <c r="BB293" i="32"/>
  <c r="BC293" i="32"/>
  <c r="BD293" i="32"/>
  <c r="BE293" i="32"/>
  <c r="BF293" i="32"/>
  <c r="BG293" i="32"/>
  <c r="BH293" i="32"/>
  <c r="BI293" i="32"/>
  <c r="BJ293" i="32"/>
  <c r="BK293" i="32"/>
  <c r="BL293" i="32"/>
  <c r="BM293" i="32"/>
  <c r="BN293" i="32"/>
  <c r="BO293" i="32"/>
  <c r="BP293" i="32"/>
  <c r="BQ293" i="32"/>
  <c r="N294" i="32"/>
  <c r="O294" i="32"/>
  <c r="P294" i="32"/>
  <c r="Q294" i="32"/>
  <c r="R294" i="32"/>
  <c r="S294" i="32"/>
  <c r="T294" i="32"/>
  <c r="U294" i="32"/>
  <c r="V294" i="32"/>
  <c r="W294" i="32"/>
  <c r="X294" i="32"/>
  <c r="Y294" i="32"/>
  <c r="Z294" i="32"/>
  <c r="AA294" i="32"/>
  <c r="AB294" i="32"/>
  <c r="AC294" i="32"/>
  <c r="AD294" i="32"/>
  <c r="AE294" i="32"/>
  <c r="AF294" i="32"/>
  <c r="AG294" i="32"/>
  <c r="AH294" i="32"/>
  <c r="AI294" i="32"/>
  <c r="AJ294" i="32"/>
  <c r="AK294" i="32"/>
  <c r="AL294" i="32"/>
  <c r="AM294" i="32"/>
  <c r="AN294" i="32"/>
  <c r="AO294" i="32"/>
  <c r="AP294" i="32"/>
  <c r="AQ294" i="32"/>
  <c r="AR294" i="32"/>
  <c r="AS294" i="32"/>
  <c r="AT294" i="32"/>
  <c r="AU294" i="32"/>
  <c r="AV294" i="32"/>
  <c r="AW294" i="32"/>
  <c r="AX294" i="32"/>
  <c r="AY294" i="32"/>
  <c r="AZ294" i="32"/>
  <c r="BA294" i="32"/>
  <c r="BB294" i="32"/>
  <c r="BC294" i="32"/>
  <c r="BD294" i="32"/>
  <c r="BE294" i="32"/>
  <c r="BF294" i="32"/>
  <c r="BG294" i="32"/>
  <c r="BH294" i="32"/>
  <c r="BI294" i="32"/>
  <c r="BJ294" i="32"/>
  <c r="BK294" i="32"/>
  <c r="BL294" i="32"/>
  <c r="BM294" i="32"/>
  <c r="BN294" i="32"/>
  <c r="BO294" i="32"/>
  <c r="BP294" i="32"/>
  <c r="BQ294" i="32"/>
  <c r="N295" i="32"/>
  <c r="O295" i="32"/>
  <c r="P295" i="32"/>
  <c r="Q295" i="32"/>
  <c r="R295" i="32"/>
  <c r="S295" i="32"/>
  <c r="T295" i="32"/>
  <c r="U295" i="32"/>
  <c r="V295" i="32"/>
  <c r="W295" i="32"/>
  <c r="X295" i="32"/>
  <c r="Y295" i="32"/>
  <c r="Z295" i="32"/>
  <c r="AA295" i="32"/>
  <c r="AB295" i="32"/>
  <c r="AC295" i="32"/>
  <c r="AD295" i="32"/>
  <c r="AE295" i="32"/>
  <c r="AF295" i="32"/>
  <c r="AG295" i="32"/>
  <c r="AH295" i="32"/>
  <c r="AI295" i="32"/>
  <c r="AJ295" i="32"/>
  <c r="AK295" i="32"/>
  <c r="AL295" i="32"/>
  <c r="AM295" i="32"/>
  <c r="AN295" i="32"/>
  <c r="AO295" i="32"/>
  <c r="AP295" i="32"/>
  <c r="AQ295" i="32"/>
  <c r="AR295" i="32"/>
  <c r="AS295" i="32"/>
  <c r="AT295" i="32"/>
  <c r="AU295" i="32"/>
  <c r="AV295" i="32"/>
  <c r="AW295" i="32"/>
  <c r="AX295" i="32"/>
  <c r="AY295" i="32"/>
  <c r="AZ295" i="32"/>
  <c r="BA295" i="32"/>
  <c r="BB295" i="32"/>
  <c r="BC295" i="32"/>
  <c r="BD295" i="32"/>
  <c r="BE295" i="32"/>
  <c r="BF295" i="32"/>
  <c r="BG295" i="32"/>
  <c r="BH295" i="32"/>
  <c r="BI295" i="32"/>
  <c r="BJ295" i="32"/>
  <c r="BK295" i="32"/>
  <c r="BL295" i="32"/>
  <c r="BM295" i="32"/>
  <c r="BN295" i="32"/>
  <c r="BO295" i="32"/>
  <c r="BP295" i="32"/>
  <c r="BQ295" i="32"/>
  <c r="N296" i="32"/>
  <c r="O296" i="32"/>
  <c r="P296" i="32"/>
  <c r="Q296" i="32"/>
  <c r="R296" i="32"/>
  <c r="S296" i="32"/>
  <c r="T296" i="32"/>
  <c r="U296" i="32"/>
  <c r="V296" i="32"/>
  <c r="W296" i="32"/>
  <c r="X296" i="32"/>
  <c r="Y296" i="32"/>
  <c r="Z296" i="32"/>
  <c r="AA296" i="32"/>
  <c r="AB296" i="32"/>
  <c r="AC296" i="32"/>
  <c r="AD296" i="32"/>
  <c r="AE296" i="32"/>
  <c r="AF296" i="32"/>
  <c r="AG296" i="32"/>
  <c r="AH296" i="32"/>
  <c r="AI296" i="32"/>
  <c r="AJ296" i="32"/>
  <c r="AK296" i="32"/>
  <c r="AL296" i="32"/>
  <c r="AM296" i="32"/>
  <c r="AN296" i="32"/>
  <c r="AO296" i="32"/>
  <c r="AP296" i="32"/>
  <c r="AQ296" i="32"/>
  <c r="AR296" i="32"/>
  <c r="AS296" i="32"/>
  <c r="AT296" i="32"/>
  <c r="AU296" i="32"/>
  <c r="AV296" i="32"/>
  <c r="AW296" i="32"/>
  <c r="AX296" i="32"/>
  <c r="AY296" i="32"/>
  <c r="AZ296" i="32"/>
  <c r="BA296" i="32"/>
  <c r="BB296" i="32"/>
  <c r="BC296" i="32"/>
  <c r="BD296" i="32"/>
  <c r="BE296" i="32"/>
  <c r="BF296" i="32"/>
  <c r="BG296" i="32"/>
  <c r="BH296" i="32"/>
  <c r="BI296" i="32"/>
  <c r="BJ296" i="32"/>
  <c r="BK296" i="32"/>
  <c r="BL296" i="32"/>
  <c r="BM296" i="32"/>
  <c r="BN296" i="32"/>
  <c r="BO296" i="32"/>
  <c r="BP296" i="32"/>
  <c r="BQ296" i="32"/>
  <c r="N297" i="32"/>
  <c r="O297" i="32"/>
  <c r="P297" i="32"/>
  <c r="Q297" i="32"/>
  <c r="R297" i="32"/>
  <c r="S297" i="32"/>
  <c r="T297" i="32"/>
  <c r="U297" i="32"/>
  <c r="V297" i="32"/>
  <c r="W297" i="32"/>
  <c r="X297" i="32"/>
  <c r="Y297" i="32"/>
  <c r="Z297" i="32"/>
  <c r="AA297" i="32"/>
  <c r="AB297" i="32"/>
  <c r="AC297" i="32"/>
  <c r="AD297" i="32"/>
  <c r="AE297" i="32"/>
  <c r="AF297" i="32"/>
  <c r="AG297" i="32"/>
  <c r="AH297" i="32"/>
  <c r="AI297" i="32"/>
  <c r="AJ297" i="32"/>
  <c r="AK297" i="32"/>
  <c r="AL297" i="32"/>
  <c r="AM297" i="32"/>
  <c r="AN297" i="32"/>
  <c r="AO297" i="32"/>
  <c r="AP297" i="32"/>
  <c r="AQ297" i="32"/>
  <c r="AR297" i="32"/>
  <c r="AS297" i="32"/>
  <c r="AT297" i="32"/>
  <c r="AU297" i="32"/>
  <c r="AV297" i="32"/>
  <c r="AW297" i="32"/>
  <c r="AX297" i="32"/>
  <c r="AY297" i="32"/>
  <c r="AZ297" i="32"/>
  <c r="BA297" i="32"/>
  <c r="BB297" i="32"/>
  <c r="BC297" i="32"/>
  <c r="BD297" i="32"/>
  <c r="BE297" i="32"/>
  <c r="BF297" i="32"/>
  <c r="BG297" i="32"/>
  <c r="BH297" i="32"/>
  <c r="BI297" i="32"/>
  <c r="BJ297" i="32"/>
  <c r="BK297" i="32"/>
  <c r="BL297" i="32"/>
  <c r="BM297" i="32"/>
  <c r="BN297" i="32"/>
  <c r="BO297" i="32"/>
  <c r="BP297" i="32"/>
  <c r="BQ297" i="32"/>
  <c r="N298" i="32"/>
  <c r="O298" i="32"/>
  <c r="P298" i="32"/>
  <c r="Q298" i="32"/>
  <c r="R298" i="32"/>
  <c r="S298" i="32"/>
  <c r="T298" i="32"/>
  <c r="U298" i="32"/>
  <c r="V298" i="32"/>
  <c r="W298" i="32"/>
  <c r="X298" i="32"/>
  <c r="Y298" i="32"/>
  <c r="Z298" i="32"/>
  <c r="AA298" i="32"/>
  <c r="AB298" i="32"/>
  <c r="AC298" i="32"/>
  <c r="AD298" i="32"/>
  <c r="AE298" i="32"/>
  <c r="AF298" i="32"/>
  <c r="AG298" i="32"/>
  <c r="AH298" i="32"/>
  <c r="AI298" i="32"/>
  <c r="AJ298" i="32"/>
  <c r="AK298" i="32"/>
  <c r="AL298" i="32"/>
  <c r="AM298" i="32"/>
  <c r="AN298" i="32"/>
  <c r="AO298" i="32"/>
  <c r="AP298" i="32"/>
  <c r="AQ298" i="32"/>
  <c r="AR298" i="32"/>
  <c r="AS298" i="32"/>
  <c r="AT298" i="32"/>
  <c r="AU298" i="32"/>
  <c r="AV298" i="32"/>
  <c r="AW298" i="32"/>
  <c r="AX298" i="32"/>
  <c r="AY298" i="32"/>
  <c r="AZ298" i="32"/>
  <c r="BA298" i="32"/>
  <c r="BB298" i="32"/>
  <c r="BC298" i="32"/>
  <c r="BD298" i="32"/>
  <c r="BE298" i="32"/>
  <c r="BF298" i="32"/>
  <c r="BG298" i="32"/>
  <c r="BH298" i="32"/>
  <c r="BI298" i="32"/>
  <c r="BJ298" i="32"/>
  <c r="BK298" i="32"/>
  <c r="BL298" i="32"/>
  <c r="BM298" i="32"/>
  <c r="BN298" i="32"/>
  <c r="BO298" i="32"/>
  <c r="BP298" i="32"/>
  <c r="BQ298" i="32"/>
  <c r="N299" i="32"/>
  <c r="O299" i="32"/>
  <c r="P299" i="32"/>
  <c r="Q299" i="32"/>
  <c r="R299" i="32"/>
  <c r="S299" i="32"/>
  <c r="T299" i="32"/>
  <c r="U299" i="32"/>
  <c r="V299" i="32"/>
  <c r="W299" i="32"/>
  <c r="X299" i="32"/>
  <c r="Y299" i="32"/>
  <c r="Z299" i="32"/>
  <c r="AA299" i="32"/>
  <c r="AB299" i="32"/>
  <c r="AC299" i="32"/>
  <c r="AD299" i="32"/>
  <c r="AE299" i="32"/>
  <c r="AF299" i="32"/>
  <c r="AG299" i="32"/>
  <c r="AH299" i="32"/>
  <c r="AI299" i="32"/>
  <c r="AJ299" i="32"/>
  <c r="AK299" i="32"/>
  <c r="AL299" i="32"/>
  <c r="AM299" i="32"/>
  <c r="AN299" i="32"/>
  <c r="AO299" i="32"/>
  <c r="AP299" i="32"/>
  <c r="AQ299" i="32"/>
  <c r="AR299" i="32"/>
  <c r="AS299" i="32"/>
  <c r="AT299" i="32"/>
  <c r="AU299" i="32"/>
  <c r="AV299" i="32"/>
  <c r="AW299" i="32"/>
  <c r="AX299" i="32"/>
  <c r="AY299" i="32"/>
  <c r="AZ299" i="32"/>
  <c r="BA299" i="32"/>
  <c r="BB299" i="32"/>
  <c r="BC299" i="32"/>
  <c r="BD299" i="32"/>
  <c r="BE299" i="32"/>
  <c r="BF299" i="32"/>
  <c r="BG299" i="32"/>
  <c r="BH299" i="32"/>
  <c r="BI299" i="32"/>
  <c r="BJ299" i="32"/>
  <c r="BK299" i="32"/>
  <c r="BL299" i="32"/>
  <c r="BM299" i="32"/>
  <c r="BN299" i="32"/>
  <c r="BO299" i="32"/>
  <c r="BP299" i="32"/>
  <c r="BQ299" i="32"/>
  <c r="N300" i="32"/>
  <c r="O300" i="32"/>
  <c r="P300" i="32"/>
  <c r="Q300" i="32"/>
  <c r="R300" i="32"/>
  <c r="S300" i="32"/>
  <c r="T300" i="32"/>
  <c r="U300" i="32"/>
  <c r="V300" i="32"/>
  <c r="W300" i="32"/>
  <c r="X300" i="32"/>
  <c r="Y300" i="32"/>
  <c r="Z300" i="32"/>
  <c r="AA300" i="32"/>
  <c r="AB300" i="32"/>
  <c r="AC300" i="32"/>
  <c r="AD300" i="32"/>
  <c r="AE300" i="32"/>
  <c r="AF300" i="32"/>
  <c r="AG300" i="32"/>
  <c r="AH300" i="32"/>
  <c r="AI300" i="32"/>
  <c r="AJ300" i="32"/>
  <c r="AK300" i="32"/>
  <c r="AL300" i="32"/>
  <c r="AM300" i="32"/>
  <c r="AN300" i="32"/>
  <c r="AO300" i="32"/>
  <c r="AP300" i="32"/>
  <c r="AQ300" i="32"/>
  <c r="AR300" i="32"/>
  <c r="AS300" i="32"/>
  <c r="AT300" i="32"/>
  <c r="AU300" i="32"/>
  <c r="AV300" i="32"/>
  <c r="AW300" i="32"/>
  <c r="AX300" i="32"/>
  <c r="AY300" i="32"/>
  <c r="AZ300" i="32"/>
  <c r="BA300" i="32"/>
  <c r="BB300" i="32"/>
  <c r="BC300" i="32"/>
  <c r="BD300" i="32"/>
  <c r="BE300" i="32"/>
  <c r="BF300" i="32"/>
  <c r="BG300" i="32"/>
  <c r="BH300" i="32"/>
  <c r="BI300" i="32"/>
  <c r="BJ300" i="32"/>
  <c r="BK300" i="32"/>
  <c r="BL300" i="32"/>
  <c r="BM300" i="32"/>
  <c r="BN300" i="32"/>
  <c r="BO300" i="32"/>
  <c r="BP300" i="32"/>
  <c r="BQ300" i="32"/>
  <c r="N301" i="32"/>
  <c r="O301" i="32"/>
  <c r="P301" i="32"/>
  <c r="Q301" i="32"/>
  <c r="R301" i="32"/>
  <c r="S301" i="32"/>
  <c r="T301" i="32"/>
  <c r="U301" i="32"/>
  <c r="V301" i="32"/>
  <c r="W301" i="32"/>
  <c r="X301" i="32"/>
  <c r="Y301" i="32"/>
  <c r="Z301" i="32"/>
  <c r="AA301" i="32"/>
  <c r="AB301" i="32"/>
  <c r="AC301" i="32"/>
  <c r="AD301" i="32"/>
  <c r="AE301" i="32"/>
  <c r="AF301" i="32"/>
  <c r="AG301" i="32"/>
  <c r="AH301" i="32"/>
  <c r="AI301" i="32"/>
  <c r="AJ301" i="32"/>
  <c r="AK301" i="32"/>
  <c r="AL301" i="32"/>
  <c r="AM301" i="32"/>
  <c r="AN301" i="32"/>
  <c r="AO301" i="32"/>
  <c r="AP301" i="32"/>
  <c r="AQ301" i="32"/>
  <c r="AR301" i="32"/>
  <c r="AS301" i="32"/>
  <c r="AT301" i="32"/>
  <c r="AU301" i="32"/>
  <c r="AV301" i="32"/>
  <c r="AW301" i="32"/>
  <c r="AX301" i="32"/>
  <c r="AY301" i="32"/>
  <c r="AZ301" i="32"/>
  <c r="BA301" i="32"/>
  <c r="BB301" i="32"/>
  <c r="BC301" i="32"/>
  <c r="BD301" i="32"/>
  <c r="BE301" i="32"/>
  <c r="BF301" i="32"/>
  <c r="BG301" i="32"/>
  <c r="BH301" i="32"/>
  <c r="BI301" i="32"/>
  <c r="BJ301" i="32"/>
  <c r="BK301" i="32"/>
  <c r="BL301" i="32"/>
  <c r="BM301" i="32"/>
  <c r="BN301" i="32"/>
  <c r="BO301" i="32"/>
  <c r="BP301" i="32"/>
  <c r="BQ301" i="32"/>
  <c r="N302" i="32"/>
  <c r="O302" i="32"/>
  <c r="P302" i="32"/>
  <c r="Q302" i="32"/>
  <c r="R302" i="32"/>
  <c r="S302" i="32"/>
  <c r="T302" i="32"/>
  <c r="U302" i="32"/>
  <c r="V302" i="32"/>
  <c r="W302" i="32"/>
  <c r="X302" i="32"/>
  <c r="Y302" i="32"/>
  <c r="Z302" i="32"/>
  <c r="AA302" i="32"/>
  <c r="AB302" i="32"/>
  <c r="AC302" i="32"/>
  <c r="AD302" i="32"/>
  <c r="AE302" i="32"/>
  <c r="AF302" i="32"/>
  <c r="AG302" i="32"/>
  <c r="AH302" i="32"/>
  <c r="AI302" i="32"/>
  <c r="AJ302" i="32"/>
  <c r="AK302" i="32"/>
  <c r="AL302" i="32"/>
  <c r="AM302" i="32"/>
  <c r="AN302" i="32"/>
  <c r="AO302" i="32"/>
  <c r="AP302" i="32"/>
  <c r="AQ302" i="32"/>
  <c r="AR302" i="32"/>
  <c r="AS302" i="32"/>
  <c r="AT302" i="32"/>
  <c r="AU302" i="32"/>
  <c r="AV302" i="32"/>
  <c r="AW302" i="32"/>
  <c r="AX302" i="32"/>
  <c r="AY302" i="32"/>
  <c r="AZ302" i="32"/>
  <c r="BA302" i="32"/>
  <c r="BB302" i="32"/>
  <c r="BC302" i="32"/>
  <c r="BD302" i="32"/>
  <c r="BE302" i="32"/>
  <c r="BF302" i="32"/>
  <c r="BG302" i="32"/>
  <c r="BH302" i="32"/>
  <c r="BI302" i="32"/>
  <c r="BJ302" i="32"/>
  <c r="BK302" i="32"/>
  <c r="BL302" i="32"/>
  <c r="BM302" i="32"/>
  <c r="BN302" i="32"/>
  <c r="BO302" i="32"/>
  <c r="BP302" i="32"/>
  <c r="BQ302" i="32"/>
  <c r="N303" i="32"/>
  <c r="O303" i="32"/>
  <c r="P303" i="32"/>
  <c r="Q303" i="32"/>
  <c r="R303" i="32"/>
  <c r="S303" i="32"/>
  <c r="T303" i="32"/>
  <c r="U303" i="32"/>
  <c r="V303" i="32"/>
  <c r="W303" i="32"/>
  <c r="X303" i="32"/>
  <c r="Y303" i="32"/>
  <c r="Z303" i="32"/>
  <c r="AA303" i="32"/>
  <c r="AB303" i="32"/>
  <c r="AC303" i="32"/>
  <c r="AD303" i="32"/>
  <c r="AE303" i="32"/>
  <c r="AF303" i="32"/>
  <c r="AG303" i="32"/>
  <c r="AH303" i="32"/>
  <c r="AI303" i="32"/>
  <c r="AJ303" i="32"/>
  <c r="AK303" i="32"/>
  <c r="AL303" i="32"/>
  <c r="AM303" i="32"/>
  <c r="AN303" i="32"/>
  <c r="AO303" i="32"/>
  <c r="AP303" i="32"/>
  <c r="AQ303" i="32"/>
  <c r="AR303" i="32"/>
  <c r="AS303" i="32"/>
  <c r="AT303" i="32"/>
  <c r="AU303" i="32"/>
  <c r="AV303" i="32"/>
  <c r="AW303" i="32"/>
  <c r="AX303" i="32"/>
  <c r="AY303" i="32"/>
  <c r="AZ303" i="32"/>
  <c r="BA303" i="32"/>
  <c r="BB303" i="32"/>
  <c r="BC303" i="32"/>
  <c r="BD303" i="32"/>
  <c r="BE303" i="32"/>
  <c r="BF303" i="32"/>
  <c r="BG303" i="32"/>
  <c r="BH303" i="32"/>
  <c r="BI303" i="32"/>
  <c r="BJ303" i="32"/>
  <c r="BK303" i="32"/>
  <c r="BL303" i="32"/>
  <c r="BM303" i="32"/>
  <c r="BN303" i="32"/>
  <c r="BO303" i="32"/>
  <c r="BP303" i="32"/>
  <c r="BQ303" i="32"/>
  <c r="N304" i="32"/>
  <c r="O304" i="32"/>
  <c r="P304" i="32"/>
  <c r="Q304" i="32"/>
  <c r="R304" i="32"/>
  <c r="S304" i="32"/>
  <c r="T304" i="32"/>
  <c r="U304" i="32"/>
  <c r="V304" i="32"/>
  <c r="W304" i="32"/>
  <c r="X304" i="32"/>
  <c r="Y304" i="32"/>
  <c r="Z304" i="32"/>
  <c r="AA304" i="32"/>
  <c r="AB304" i="32"/>
  <c r="AC304" i="32"/>
  <c r="AD304" i="32"/>
  <c r="AE304" i="32"/>
  <c r="AF304" i="32"/>
  <c r="AG304" i="32"/>
  <c r="AH304" i="32"/>
  <c r="AI304" i="32"/>
  <c r="AJ304" i="32"/>
  <c r="AK304" i="32"/>
  <c r="AL304" i="32"/>
  <c r="AM304" i="32"/>
  <c r="AN304" i="32"/>
  <c r="AO304" i="32"/>
  <c r="AP304" i="32"/>
  <c r="AQ304" i="32"/>
  <c r="AR304" i="32"/>
  <c r="AS304" i="32"/>
  <c r="AT304" i="32"/>
  <c r="AU304" i="32"/>
  <c r="AV304" i="32"/>
  <c r="AW304" i="32"/>
  <c r="AX304" i="32"/>
  <c r="AY304" i="32"/>
  <c r="AZ304" i="32"/>
  <c r="BA304" i="32"/>
  <c r="BB304" i="32"/>
  <c r="BC304" i="32"/>
  <c r="BD304" i="32"/>
  <c r="BE304" i="32"/>
  <c r="BF304" i="32"/>
  <c r="BG304" i="32"/>
  <c r="BH304" i="32"/>
  <c r="BI304" i="32"/>
  <c r="BJ304" i="32"/>
  <c r="BK304" i="32"/>
  <c r="BL304" i="32"/>
  <c r="BM304" i="32"/>
  <c r="BN304" i="32"/>
  <c r="BO304" i="32"/>
  <c r="BP304" i="32"/>
  <c r="BQ304" i="32"/>
  <c r="N305" i="32"/>
  <c r="O305" i="32"/>
  <c r="P305" i="32"/>
  <c r="Q305" i="32"/>
  <c r="R305" i="32"/>
  <c r="S305" i="32"/>
  <c r="T305" i="32"/>
  <c r="U305" i="32"/>
  <c r="V305" i="32"/>
  <c r="W305" i="32"/>
  <c r="X305" i="32"/>
  <c r="Y305" i="32"/>
  <c r="Z305" i="32"/>
  <c r="AA305" i="32"/>
  <c r="AB305" i="32"/>
  <c r="AC305" i="32"/>
  <c r="AD305" i="32"/>
  <c r="AE305" i="32"/>
  <c r="AF305" i="32"/>
  <c r="AG305" i="32"/>
  <c r="AH305" i="32"/>
  <c r="AI305" i="32"/>
  <c r="AJ305" i="32"/>
  <c r="AK305" i="32"/>
  <c r="AL305" i="32"/>
  <c r="AM305" i="32"/>
  <c r="AN305" i="32"/>
  <c r="AO305" i="32"/>
  <c r="AP305" i="32"/>
  <c r="AQ305" i="32"/>
  <c r="AR305" i="32"/>
  <c r="AS305" i="32"/>
  <c r="AT305" i="32"/>
  <c r="AU305" i="32"/>
  <c r="AV305" i="32"/>
  <c r="AW305" i="32"/>
  <c r="AX305" i="32"/>
  <c r="AY305" i="32"/>
  <c r="AZ305" i="32"/>
  <c r="BA305" i="32"/>
  <c r="BB305" i="32"/>
  <c r="BC305" i="32"/>
  <c r="BD305" i="32"/>
  <c r="BE305" i="32"/>
  <c r="BF305" i="32"/>
  <c r="BG305" i="32"/>
  <c r="BH305" i="32"/>
  <c r="BI305" i="32"/>
  <c r="BJ305" i="32"/>
  <c r="BK305" i="32"/>
  <c r="BL305" i="32"/>
  <c r="BM305" i="32"/>
  <c r="BN305" i="32"/>
  <c r="BO305" i="32"/>
  <c r="BP305" i="32"/>
  <c r="BQ305" i="32"/>
  <c r="N306" i="32"/>
  <c r="O306" i="32"/>
  <c r="P306" i="32"/>
  <c r="Q306" i="32"/>
  <c r="R306" i="32"/>
  <c r="S306" i="32"/>
  <c r="T306" i="32"/>
  <c r="U306" i="32"/>
  <c r="V306" i="32"/>
  <c r="W306" i="32"/>
  <c r="X306" i="32"/>
  <c r="Y306" i="32"/>
  <c r="Z306" i="32"/>
  <c r="AA306" i="32"/>
  <c r="AB306" i="32"/>
  <c r="AC306" i="32"/>
  <c r="AD306" i="32"/>
  <c r="AE306" i="32"/>
  <c r="AF306" i="32"/>
  <c r="AG306" i="32"/>
  <c r="AH306" i="32"/>
  <c r="AI306" i="32"/>
  <c r="AJ306" i="32"/>
  <c r="AK306" i="32"/>
  <c r="AL306" i="32"/>
  <c r="AM306" i="32"/>
  <c r="AN306" i="32"/>
  <c r="AO306" i="32"/>
  <c r="AP306" i="32"/>
  <c r="AQ306" i="32"/>
  <c r="AR306" i="32"/>
  <c r="AS306" i="32"/>
  <c r="AT306" i="32"/>
  <c r="AU306" i="32"/>
  <c r="AV306" i="32"/>
  <c r="AW306" i="32"/>
  <c r="AX306" i="32"/>
  <c r="AY306" i="32"/>
  <c r="AZ306" i="32"/>
  <c r="BA306" i="32"/>
  <c r="BB306" i="32"/>
  <c r="BC306" i="32"/>
  <c r="BD306" i="32"/>
  <c r="BE306" i="32"/>
  <c r="BF306" i="32"/>
  <c r="BG306" i="32"/>
  <c r="BH306" i="32"/>
  <c r="BI306" i="32"/>
  <c r="BJ306" i="32"/>
  <c r="BK306" i="32"/>
  <c r="BL306" i="32"/>
  <c r="BM306" i="32"/>
  <c r="BN306" i="32"/>
  <c r="BO306" i="32"/>
  <c r="BP306" i="32"/>
  <c r="BQ306" i="32"/>
  <c r="N307" i="32"/>
  <c r="O307" i="32"/>
  <c r="P307" i="32"/>
  <c r="Q307" i="32"/>
  <c r="R307" i="32"/>
  <c r="S307" i="32"/>
  <c r="T307" i="32"/>
  <c r="U307" i="32"/>
  <c r="V307" i="32"/>
  <c r="W307" i="32"/>
  <c r="X307" i="32"/>
  <c r="Y307" i="32"/>
  <c r="Z307" i="32"/>
  <c r="AA307" i="32"/>
  <c r="AB307" i="32"/>
  <c r="AC307" i="32"/>
  <c r="AD307" i="32"/>
  <c r="AE307" i="32"/>
  <c r="AF307" i="32"/>
  <c r="AG307" i="32"/>
  <c r="AH307" i="32"/>
  <c r="AI307" i="32"/>
  <c r="AJ307" i="32"/>
  <c r="AK307" i="32"/>
  <c r="AL307" i="32"/>
  <c r="AM307" i="32"/>
  <c r="AN307" i="32"/>
  <c r="AO307" i="32"/>
  <c r="AP307" i="32"/>
  <c r="AQ307" i="32"/>
  <c r="AR307" i="32"/>
  <c r="AS307" i="32"/>
  <c r="AT307" i="32"/>
  <c r="AU307" i="32"/>
  <c r="AV307" i="32"/>
  <c r="AW307" i="32"/>
  <c r="AX307" i="32"/>
  <c r="AY307" i="32"/>
  <c r="AZ307" i="32"/>
  <c r="BA307" i="32"/>
  <c r="BB307" i="32"/>
  <c r="BC307" i="32"/>
  <c r="BD307" i="32"/>
  <c r="BE307" i="32"/>
  <c r="BF307" i="32"/>
  <c r="BG307" i="32"/>
  <c r="BH307" i="32"/>
  <c r="BI307" i="32"/>
  <c r="BJ307" i="32"/>
  <c r="BK307" i="32"/>
  <c r="BL307" i="32"/>
  <c r="BM307" i="32"/>
  <c r="BN307" i="32"/>
  <c r="BO307" i="32"/>
  <c r="BP307" i="32"/>
  <c r="BQ307" i="32"/>
  <c r="N308" i="32"/>
  <c r="O308" i="32"/>
  <c r="P308" i="32"/>
  <c r="Q308" i="32"/>
  <c r="R308" i="32"/>
  <c r="S308" i="32"/>
  <c r="T308" i="32"/>
  <c r="U308" i="32"/>
  <c r="V308" i="32"/>
  <c r="W308" i="32"/>
  <c r="X308" i="32"/>
  <c r="Y308" i="32"/>
  <c r="Z308" i="32"/>
  <c r="AA308" i="32"/>
  <c r="AB308" i="32"/>
  <c r="AC308" i="32"/>
  <c r="AD308" i="32"/>
  <c r="AE308" i="32"/>
  <c r="AF308" i="32"/>
  <c r="AG308" i="32"/>
  <c r="AH308" i="32"/>
  <c r="AI308" i="32"/>
  <c r="AJ308" i="32"/>
  <c r="AK308" i="32"/>
  <c r="AL308" i="32"/>
  <c r="AM308" i="32"/>
  <c r="AN308" i="32"/>
  <c r="AO308" i="32"/>
  <c r="AP308" i="32"/>
  <c r="AQ308" i="32"/>
  <c r="AR308" i="32"/>
  <c r="AS308" i="32"/>
  <c r="AT308" i="32"/>
  <c r="AU308" i="32"/>
  <c r="AV308" i="32"/>
  <c r="AW308" i="32"/>
  <c r="AX308" i="32"/>
  <c r="AY308" i="32"/>
  <c r="AZ308" i="32"/>
  <c r="BA308" i="32"/>
  <c r="BB308" i="32"/>
  <c r="BC308" i="32"/>
  <c r="BD308" i="32"/>
  <c r="BE308" i="32"/>
  <c r="BF308" i="32"/>
  <c r="BG308" i="32"/>
  <c r="BH308" i="32"/>
  <c r="BI308" i="32"/>
  <c r="BJ308" i="32"/>
  <c r="BK308" i="32"/>
  <c r="BL308" i="32"/>
  <c r="BM308" i="32"/>
  <c r="BN308" i="32"/>
  <c r="BO308" i="32"/>
  <c r="BP308" i="32"/>
  <c r="BQ308" i="32"/>
  <c r="N309" i="32"/>
  <c r="O309" i="32"/>
  <c r="P309" i="32"/>
  <c r="Q309" i="32"/>
  <c r="R309" i="32"/>
  <c r="S309" i="32"/>
  <c r="T309" i="32"/>
  <c r="U309" i="32"/>
  <c r="V309" i="32"/>
  <c r="W309" i="32"/>
  <c r="X309" i="32"/>
  <c r="Y309" i="32"/>
  <c r="Z309" i="32"/>
  <c r="AA309" i="32"/>
  <c r="AB309" i="32"/>
  <c r="AC309" i="32"/>
  <c r="AD309" i="32"/>
  <c r="AE309" i="32"/>
  <c r="AF309" i="32"/>
  <c r="AG309" i="32"/>
  <c r="AH309" i="32"/>
  <c r="AI309" i="32"/>
  <c r="AJ309" i="32"/>
  <c r="AK309" i="32"/>
  <c r="AL309" i="32"/>
  <c r="AM309" i="32"/>
  <c r="AN309" i="32"/>
  <c r="AO309" i="32"/>
  <c r="AP309" i="32"/>
  <c r="AQ309" i="32"/>
  <c r="AR309" i="32"/>
  <c r="AS309" i="32"/>
  <c r="AT309" i="32"/>
  <c r="AU309" i="32"/>
  <c r="AV309" i="32"/>
  <c r="AW309" i="32"/>
  <c r="AX309" i="32"/>
  <c r="AY309" i="32"/>
  <c r="AZ309" i="32"/>
  <c r="BA309" i="32"/>
  <c r="BB309" i="32"/>
  <c r="BC309" i="32"/>
  <c r="BD309" i="32"/>
  <c r="BE309" i="32"/>
  <c r="BF309" i="32"/>
  <c r="BG309" i="32"/>
  <c r="BH309" i="32"/>
  <c r="BI309" i="32"/>
  <c r="BJ309" i="32"/>
  <c r="BK309" i="32"/>
  <c r="BL309" i="32"/>
  <c r="BM309" i="32"/>
  <c r="BN309" i="32"/>
  <c r="BO309" i="32"/>
  <c r="BP309" i="32"/>
  <c r="BQ309" i="32"/>
  <c r="N310" i="32"/>
  <c r="O310" i="32"/>
  <c r="P310" i="32"/>
  <c r="Q310" i="32"/>
  <c r="R310" i="32"/>
  <c r="S310" i="32"/>
  <c r="T310" i="32"/>
  <c r="U310" i="32"/>
  <c r="V310" i="32"/>
  <c r="W310" i="32"/>
  <c r="X310" i="32"/>
  <c r="Y310" i="32"/>
  <c r="Z310" i="32"/>
  <c r="AA310" i="32"/>
  <c r="AB310" i="32"/>
  <c r="AC310" i="32"/>
  <c r="AD310" i="32"/>
  <c r="AE310" i="32"/>
  <c r="AF310" i="32"/>
  <c r="AG310" i="32"/>
  <c r="AH310" i="32"/>
  <c r="AI310" i="32"/>
  <c r="AJ310" i="32"/>
  <c r="AK310" i="32"/>
  <c r="AL310" i="32"/>
  <c r="AM310" i="32"/>
  <c r="AN310" i="32"/>
  <c r="AO310" i="32"/>
  <c r="AP310" i="32"/>
  <c r="AQ310" i="32"/>
  <c r="AR310" i="32"/>
  <c r="AS310" i="32"/>
  <c r="AT310" i="32"/>
  <c r="AU310" i="32"/>
  <c r="AV310" i="32"/>
  <c r="AW310" i="32"/>
  <c r="AX310" i="32"/>
  <c r="AY310" i="32"/>
  <c r="AZ310" i="32"/>
  <c r="BA310" i="32"/>
  <c r="BB310" i="32"/>
  <c r="BC310" i="32"/>
  <c r="BD310" i="32"/>
  <c r="BE310" i="32"/>
  <c r="BF310" i="32"/>
  <c r="BG310" i="32"/>
  <c r="BH310" i="32"/>
  <c r="BI310" i="32"/>
  <c r="BJ310" i="32"/>
  <c r="BK310" i="32"/>
  <c r="BL310" i="32"/>
  <c r="BM310" i="32"/>
  <c r="BN310" i="32"/>
  <c r="BO310" i="32"/>
  <c r="BP310" i="32"/>
  <c r="BQ310" i="32"/>
  <c r="N311" i="32"/>
  <c r="O311" i="32"/>
  <c r="P311" i="32"/>
  <c r="Q311" i="32"/>
  <c r="R311" i="32"/>
  <c r="S311" i="32"/>
  <c r="T311" i="32"/>
  <c r="U311" i="32"/>
  <c r="V311" i="32"/>
  <c r="W311" i="32"/>
  <c r="X311" i="32"/>
  <c r="Y311" i="32"/>
  <c r="Z311" i="32"/>
  <c r="AA311" i="32"/>
  <c r="AB311" i="32"/>
  <c r="AC311" i="32"/>
  <c r="AD311" i="32"/>
  <c r="AE311" i="32"/>
  <c r="AF311" i="32"/>
  <c r="AG311" i="32"/>
  <c r="AH311" i="32"/>
  <c r="AI311" i="32"/>
  <c r="AJ311" i="32"/>
  <c r="AK311" i="32"/>
  <c r="AL311" i="32"/>
  <c r="AM311" i="32"/>
  <c r="AN311" i="32"/>
  <c r="AO311" i="32"/>
  <c r="AP311" i="32"/>
  <c r="AQ311" i="32"/>
  <c r="AR311" i="32"/>
  <c r="AS311" i="32"/>
  <c r="AT311" i="32"/>
  <c r="AU311" i="32"/>
  <c r="AV311" i="32"/>
  <c r="AW311" i="32"/>
  <c r="AX311" i="32"/>
  <c r="AY311" i="32"/>
  <c r="AZ311" i="32"/>
  <c r="BA311" i="32"/>
  <c r="BB311" i="32"/>
  <c r="BC311" i="32"/>
  <c r="BD311" i="32"/>
  <c r="BE311" i="32"/>
  <c r="BF311" i="32"/>
  <c r="BG311" i="32"/>
  <c r="BH311" i="32"/>
  <c r="BI311" i="32"/>
  <c r="BJ311" i="32"/>
  <c r="BK311" i="32"/>
  <c r="BL311" i="32"/>
  <c r="BM311" i="32"/>
  <c r="BN311" i="32"/>
  <c r="BO311" i="32"/>
  <c r="BP311" i="32"/>
  <c r="BQ311" i="32"/>
  <c r="N312" i="32"/>
  <c r="O312" i="32"/>
  <c r="P312" i="32"/>
  <c r="Q312" i="32"/>
  <c r="R312" i="32"/>
  <c r="S312" i="32"/>
  <c r="T312" i="32"/>
  <c r="U312" i="32"/>
  <c r="V312" i="32"/>
  <c r="W312" i="32"/>
  <c r="X312" i="32"/>
  <c r="Y312" i="32"/>
  <c r="Z312" i="32"/>
  <c r="AA312" i="32"/>
  <c r="AB312" i="32"/>
  <c r="AC312" i="32"/>
  <c r="AD312" i="32"/>
  <c r="AE312" i="32"/>
  <c r="AF312" i="32"/>
  <c r="AG312" i="32"/>
  <c r="AH312" i="32"/>
  <c r="AI312" i="32"/>
  <c r="AJ312" i="32"/>
  <c r="AK312" i="32"/>
  <c r="AL312" i="32"/>
  <c r="AM312" i="32"/>
  <c r="AN312" i="32"/>
  <c r="AO312" i="32"/>
  <c r="AP312" i="32"/>
  <c r="AQ312" i="32"/>
  <c r="AR312" i="32"/>
  <c r="AS312" i="32"/>
  <c r="AT312" i="32"/>
  <c r="AU312" i="32"/>
  <c r="AV312" i="32"/>
  <c r="AW312" i="32"/>
  <c r="AX312" i="32"/>
  <c r="AY312" i="32"/>
  <c r="AZ312" i="32"/>
  <c r="BA312" i="32"/>
  <c r="BB312" i="32"/>
  <c r="BC312" i="32"/>
  <c r="BD312" i="32"/>
  <c r="BE312" i="32"/>
  <c r="BF312" i="32"/>
  <c r="BG312" i="32"/>
  <c r="BH312" i="32"/>
  <c r="BI312" i="32"/>
  <c r="BJ312" i="32"/>
  <c r="BK312" i="32"/>
  <c r="BL312" i="32"/>
  <c r="BM312" i="32"/>
  <c r="BN312" i="32"/>
  <c r="BO312" i="32"/>
  <c r="BP312" i="32"/>
  <c r="BQ312" i="32"/>
  <c r="N313" i="32"/>
  <c r="O313" i="32"/>
  <c r="P313" i="32"/>
  <c r="Q313" i="32"/>
  <c r="R313" i="32"/>
  <c r="S313" i="32"/>
  <c r="T313" i="32"/>
  <c r="U313" i="32"/>
  <c r="V313" i="32"/>
  <c r="W313" i="32"/>
  <c r="X313" i="32"/>
  <c r="Y313" i="32"/>
  <c r="Z313" i="32"/>
  <c r="AA313" i="32"/>
  <c r="AB313" i="32"/>
  <c r="AC313" i="32"/>
  <c r="AD313" i="32"/>
  <c r="AE313" i="32"/>
  <c r="AF313" i="32"/>
  <c r="AG313" i="32"/>
  <c r="AH313" i="32"/>
  <c r="AI313" i="32"/>
  <c r="AJ313" i="32"/>
  <c r="AK313" i="32"/>
  <c r="AL313" i="32"/>
  <c r="AM313" i="32"/>
  <c r="AN313" i="32"/>
  <c r="AO313" i="32"/>
  <c r="AP313" i="32"/>
  <c r="AQ313" i="32"/>
  <c r="AR313" i="32"/>
  <c r="AS313" i="32"/>
  <c r="AT313" i="32"/>
  <c r="AU313" i="32"/>
  <c r="AV313" i="32"/>
  <c r="AW313" i="32"/>
  <c r="AX313" i="32"/>
  <c r="AY313" i="32"/>
  <c r="AZ313" i="32"/>
  <c r="BA313" i="32"/>
  <c r="BB313" i="32"/>
  <c r="BC313" i="32"/>
  <c r="BD313" i="32"/>
  <c r="BE313" i="32"/>
  <c r="BF313" i="32"/>
  <c r="BG313" i="32"/>
  <c r="BH313" i="32"/>
  <c r="BI313" i="32"/>
  <c r="BJ313" i="32"/>
  <c r="BK313" i="32"/>
  <c r="BL313" i="32"/>
  <c r="BM313" i="32"/>
  <c r="BN313" i="32"/>
  <c r="BO313" i="32"/>
  <c r="BP313" i="32"/>
  <c r="BQ313" i="32"/>
  <c r="N314" i="32"/>
  <c r="O314" i="32"/>
  <c r="P314" i="32"/>
  <c r="Q314" i="32"/>
  <c r="R314" i="32"/>
  <c r="S314" i="32"/>
  <c r="T314" i="32"/>
  <c r="U314" i="32"/>
  <c r="V314" i="32"/>
  <c r="W314" i="32"/>
  <c r="X314" i="32"/>
  <c r="Y314" i="32"/>
  <c r="Z314" i="32"/>
  <c r="AA314" i="32"/>
  <c r="AB314" i="32"/>
  <c r="AC314" i="32"/>
  <c r="AD314" i="32"/>
  <c r="AE314" i="32"/>
  <c r="AF314" i="32"/>
  <c r="AG314" i="32"/>
  <c r="AH314" i="32"/>
  <c r="AI314" i="32"/>
  <c r="AJ314" i="32"/>
  <c r="AK314" i="32"/>
  <c r="AL314" i="32"/>
  <c r="AM314" i="32"/>
  <c r="AN314" i="32"/>
  <c r="AO314" i="32"/>
  <c r="AP314" i="32"/>
  <c r="AQ314" i="32"/>
  <c r="AR314" i="32"/>
  <c r="AS314" i="32"/>
  <c r="AT314" i="32"/>
  <c r="AU314" i="32"/>
  <c r="AV314" i="32"/>
  <c r="AW314" i="32"/>
  <c r="AX314" i="32"/>
  <c r="AY314" i="32"/>
  <c r="AZ314" i="32"/>
  <c r="BA314" i="32"/>
  <c r="BB314" i="32"/>
  <c r="BC314" i="32"/>
  <c r="BD314" i="32"/>
  <c r="BE314" i="32"/>
  <c r="BF314" i="32"/>
  <c r="BG314" i="32"/>
  <c r="BH314" i="32"/>
  <c r="BI314" i="32"/>
  <c r="BJ314" i="32"/>
  <c r="BK314" i="32"/>
  <c r="BL314" i="32"/>
  <c r="BM314" i="32"/>
  <c r="BN314" i="32"/>
  <c r="BO314" i="32"/>
  <c r="BP314" i="32"/>
  <c r="BQ314" i="32"/>
  <c r="N315" i="32"/>
  <c r="O315" i="32"/>
  <c r="P315" i="32"/>
  <c r="Q315" i="32"/>
  <c r="R315" i="32"/>
  <c r="S315" i="32"/>
  <c r="T315" i="32"/>
  <c r="U315" i="32"/>
  <c r="V315" i="32"/>
  <c r="W315" i="32"/>
  <c r="X315" i="32"/>
  <c r="Y315" i="32"/>
  <c r="Z315" i="32"/>
  <c r="AA315" i="32"/>
  <c r="AB315" i="32"/>
  <c r="AC315" i="32"/>
  <c r="AD315" i="32"/>
  <c r="AE315" i="32"/>
  <c r="AF315" i="32"/>
  <c r="AG315" i="32"/>
  <c r="AH315" i="32"/>
  <c r="AI315" i="32"/>
  <c r="AJ315" i="32"/>
  <c r="AK315" i="32"/>
  <c r="AL315" i="32"/>
  <c r="AM315" i="32"/>
  <c r="AN315" i="32"/>
  <c r="AO315" i="32"/>
  <c r="AP315" i="32"/>
  <c r="AQ315" i="32"/>
  <c r="AR315" i="32"/>
  <c r="AS315" i="32"/>
  <c r="AT315" i="32"/>
  <c r="AU315" i="32"/>
  <c r="AV315" i="32"/>
  <c r="AW315" i="32"/>
  <c r="AX315" i="32"/>
  <c r="AY315" i="32"/>
  <c r="AZ315" i="32"/>
  <c r="BA315" i="32"/>
  <c r="BB315" i="32"/>
  <c r="BC315" i="32"/>
  <c r="BD315" i="32"/>
  <c r="BE315" i="32"/>
  <c r="BF315" i="32"/>
  <c r="BG315" i="32"/>
  <c r="BH315" i="32"/>
  <c r="BI315" i="32"/>
  <c r="BJ315" i="32"/>
  <c r="BK315" i="32"/>
  <c r="BL315" i="32"/>
  <c r="BM315" i="32"/>
  <c r="BN315" i="32"/>
  <c r="BO315" i="32"/>
  <c r="BP315" i="32"/>
  <c r="BQ315" i="32"/>
  <c r="N316" i="32"/>
  <c r="O316" i="32"/>
  <c r="P316" i="32"/>
  <c r="Q316" i="32"/>
  <c r="R316" i="32"/>
  <c r="S316" i="32"/>
  <c r="T316" i="32"/>
  <c r="U316" i="32"/>
  <c r="V316" i="32"/>
  <c r="W316" i="32"/>
  <c r="X316" i="32"/>
  <c r="Y316" i="32"/>
  <c r="Z316" i="32"/>
  <c r="AA316" i="32"/>
  <c r="AB316" i="32"/>
  <c r="AC316" i="32"/>
  <c r="AD316" i="32"/>
  <c r="AE316" i="32"/>
  <c r="AF316" i="32"/>
  <c r="AG316" i="32"/>
  <c r="AH316" i="32"/>
  <c r="AI316" i="32"/>
  <c r="AJ316" i="32"/>
  <c r="AK316" i="32"/>
  <c r="AL316" i="32"/>
  <c r="AM316" i="32"/>
  <c r="AN316" i="32"/>
  <c r="AO316" i="32"/>
  <c r="AP316" i="32"/>
  <c r="AQ316" i="32"/>
  <c r="AR316" i="32"/>
  <c r="AS316" i="32"/>
  <c r="AT316" i="32"/>
  <c r="AU316" i="32"/>
  <c r="AV316" i="32"/>
  <c r="AW316" i="32"/>
  <c r="AX316" i="32"/>
  <c r="AY316" i="32"/>
  <c r="AZ316" i="32"/>
  <c r="BA316" i="32"/>
  <c r="BB316" i="32"/>
  <c r="BC316" i="32"/>
  <c r="BD316" i="32"/>
  <c r="BE316" i="32"/>
  <c r="BF316" i="32"/>
  <c r="BG316" i="32"/>
  <c r="BH316" i="32"/>
  <c r="BI316" i="32"/>
  <c r="BJ316" i="32"/>
  <c r="BK316" i="32"/>
  <c r="BL316" i="32"/>
  <c r="BM316" i="32"/>
  <c r="BN316" i="32"/>
  <c r="BO316" i="32"/>
  <c r="BP316" i="32"/>
  <c r="BQ316" i="32"/>
  <c r="N317" i="32"/>
  <c r="O317" i="32"/>
  <c r="P317" i="32"/>
  <c r="Q317" i="32"/>
  <c r="R317" i="32"/>
  <c r="S317" i="32"/>
  <c r="T317" i="32"/>
  <c r="U317" i="32"/>
  <c r="V317" i="32"/>
  <c r="W317" i="32"/>
  <c r="X317" i="32"/>
  <c r="Y317" i="32"/>
  <c r="Z317" i="32"/>
  <c r="AA317" i="32"/>
  <c r="AB317" i="32"/>
  <c r="AC317" i="32"/>
  <c r="AD317" i="32"/>
  <c r="AE317" i="32"/>
  <c r="AF317" i="32"/>
  <c r="AG317" i="32"/>
  <c r="AH317" i="32"/>
  <c r="AI317" i="32"/>
  <c r="AJ317" i="32"/>
  <c r="AK317" i="32"/>
  <c r="AL317" i="32"/>
  <c r="AM317" i="32"/>
  <c r="AN317" i="32"/>
  <c r="AO317" i="32"/>
  <c r="AP317" i="32"/>
  <c r="AQ317" i="32"/>
  <c r="AR317" i="32"/>
  <c r="AS317" i="32"/>
  <c r="AT317" i="32"/>
  <c r="AU317" i="32"/>
  <c r="AV317" i="32"/>
  <c r="AW317" i="32"/>
  <c r="AX317" i="32"/>
  <c r="AY317" i="32"/>
  <c r="AZ317" i="32"/>
  <c r="BA317" i="32"/>
  <c r="BB317" i="32"/>
  <c r="BC317" i="32"/>
  <c r="BD317" i="32"/>
  <c r="BE317" i="32"/>
  <c r="BF317" i="32"/>
  <c r="BG317" i="32"/>
  <c r="BH317" i="32"/>
  <c r="BI317" i="32"/>
  <c r="BJ317" i="32"/>
  <c r="BK317" i="32"/>
  <c r="BL317" i="32"/>
  <c r="BM317" i="32"/>
  <c r="BN317" i="32"/>
  <c r="BO317" i="32"/>
  <c r="BP317" i="32"/>
  <c r="BQ317" i="32"/>
  <c r="N318" i="32"/>
  <c r="O318" i="32"/>
  <c r="P318" i="32"/>
  <c r="Q318" i="32"/>
  <c r="R318" i="32"/>
  <c r="S318" i="32"/>
  <c r="T318" i="32"/>
  <c r="U318" i="32"/>
  <c r="V318" i="32"/>
  <c r="W318" i="32"/>
  <c r="X318" i="32"/>
  <c r="Y318" i="32"/>
  <c r="Z318" i="32"/>
  <c r="AA318" i="32"/>
  <c r="AB318" i="32"/>
  <c r="AC318" i="32"/>
  <c r="AD318" i="32"/>
  <c r="AE318" i="32"/>
  <c r="AF318" i="32"/>
  <c r="AG318" i="32"/>
  <c r="AH318" i="32"/>
  <c r="AI318" i="32"/>
  <c r="AJ318" i="32"/>
  <c r="AK318" i="32"/>
  <c r="AL318" i="32"/>
  <c r="AM318" i="32"/>
  <c r="AN318" i="32"/>
  <c r="AO318" i="32"/>
  <c r="AP318" i="32"/>
  <c r="AQ318" i="32"/>
  <c r="AR318" i="32"/>
  <c r="AS318" i="32"/>
  <c r="AT318" i="32"/>
  <c r="AU318" i="32"/>
  <c r="AV318" i="32"/>
  <c r="AW318" i="32"/>
  <c r="AX318" i="32"/>
  <c r="AY318" i="32"/>
  <c r="AZ318" i="32"/>
  <c r="BA318" i="32"/>
  <c r="BB318" i="32"/>
  <c r="BC318" i="32"/>
  <c r="BD318" i="32"/>
  <c r="BE318" i="32"/>
  <c r="BF318" i="32"/>
  <c r="BG318" i="32"/>
  <c r="BH318" i="32"/>
  <c r="BI318" i="32"/>
  <c r="BJ318" i="32"/>
  <c r="BK318" i="32"/>
  <c r="BL318" i="32"/>
  <c r="BM318" i="32"/>
  <c r="BN318" i="32"/>
  <c r="BO318" i="32"/>
  <c r="BP318" i="32"/>
  <c r="BQ318" i="32"/>
  <c r="N319" i="32"/>
  <c r="O319" i="32"/>
  <c r="P319" i="32"/>
  <c r="Q319" i="32"/>
  <c r="R319" i="32"/>
  <c r="S319" i="32"/>
  <c r="T319" i="32"/>
  <c r="U319" i="32"/>
  <c r="V319" i="32"/>
  <c r="W319" i="32"/>
  <c r="X319" i="32"/>
  <c r="Y319" i="32"/>
  <c r="Z319" i="32"/>
  <c r="AA319" i="32"/>
  <c r="AB319" i="32"/>
  <c r="AC319" i="32"/>
  <c r="AD319" i="32"/>
  <c r="AE319" i="32"/>
  <c r="AF319" i="32"/>
  <c r="AG319" i="32"/>
  <c r="AH319" i="32"/>
  <c r="AI319" i="32"/>
  <c r="AJ319" i="32"/>
  <c r="AK319" i="32"/>
  <c r="AL319" i="32"/>
  <c r="AM319" i="32"/>
  <c r="AN319" i="32"/>
  <c r="AO319" i="32"/>
  <c r="AP319" i="32"/>
  <c r="AQ319" i="32"/>
  <c r="AR319" i="32"/>
  <c r="AS319" i="32"/>
  <c r="AT319" i="32"/>
  <c r="AU319" i="32"/>
  <c r="AV319" i="32"/>
  <c r="AW319" i="32"/>
  <c r="AX319" i="32"/>
  <c r="AY319" i="32"/>
  <c r="AZ319" i="32"/>
  <c r="BA319" i="32"/>
  <c r="BB319" i="32"/>
  <c r="BC319" i="32"/>
  <c r="BD319" i="32"/>
  <c r="BE319" i="32"/>
  <c r="BF319" i="32"/>
  <c r="BG319" i="32"/>
  <c r="BH319" i="32"/>
  <c r="BI319" i="32"/>
  <c r="BJ319" i="32"/>
  <c r="BK319" i="32"/>
  <c r="BL319" i="32"/>
  <c r="BM319" i="32"/>
  <c r="BN319" i="32"/>
  <c r="BO319" i="32"/>
  <c r="BP319" i="32"/>
  <c r="BQ319" i="32"/>
  <c r="N320" i="32"/>
  <c r="O320" i="32"/>
  <c r="P320" i="32"/>
  <c r="Q320" i="32"/>
  <c r="R320" i="32"/>
  <c r="S320" i="32"/>
  <c r="T320" i="32"/>
  <c r="U320" i="32"/>
  <c r="V320" i="32"/>
  <c r="W320" i="32"/>
  <c r="X320" i="32"/>
  <c r="Y320" i="32"/>
  <c r="Z320" i="32"/>
  <c r="AA320" i="32"/>
  <c r="AB320" i="32"/>
  <c r="AC320" i="32"/>
  <c r="AD320" i="32"/>
  <c r="AE320" i="32"/>
  <c r="AF320" i="32"/>
  <c r="AG320" i="32"/>
  <c r="AH320" i="32"/>
  <c r="AI320" i="32"/>
  <c r="AJ320" i="32"/>
  <c r="AK320" i="32"/>
  <c r="AL320" i="32"/>
  <c r="AM320" i="32"/>
  <c r="AN320" i="32"/>
  <c r="AO320" i="32"/>
  <c r="AP320" i="32"/>
  <c r="AQ320" i="32"/>
  <c r="AR320" i="32"/>
  <c r="AS320" i="32"/>
  <c r="AT320" i="32"/>
  <c r="AU320" i="32"/>
  <c r="AV320" i="32"/>
  <c r="AW320" i="32"/>
  <c r="AX320" i="32"/>
  <c r="AY320" i="32"/>
  <c r="AZ320" i="32"/>
  <c r="BA320" i="32"/>
  <c r="BB320" i="32"/>
  <c r="BC320" i="32"/>
  <c r="BD320" i="32"/>
  <c r="BE320" i="32"/>
  <c r="BF320" i="32"/>
  <c r="BG320" i="32"/>
  <c r="BH320" i="32"/>
  <c r="BI320" i="32"/>
  <c r="BJ320" i="32"/>
  <c r="BK320" i="32"/>
  <c r="BL320" i="32"/>
  <c r="BM320" i="32"/>
  <c r="BN320" i="32"/>
  <c r="BO320" i="32"/>
  <c r="BP320" i="32"/>
  <c r="BQ320" i="32"/>
  <c r="N321" i="32"/>
  <c r="O321" i="32"/>
  <c r="P321" i="32"/>
  <c r="Q321" i="32"/>
  <c r="R321" i="32"/>
  <c r="S321" i="32"/>
  <c r="T321" i="32"/>
  <c r="U321" i="32"/>
  <c r="V321" i="32"/>
  <c r="W321" i="32"/>
  <c r="X321" i="32"/>
  <c r="Y321" i="32"/>
  <c r="Z321" i="32"/>
  <c r="AA321" i="32"/>
  <c r="AB321" i="32"/>
  <c r="AC321" i="32"/>
  <c r="AD321" i="32"/>
  <c r="AE321" i="32"/>
  <c r="AF321" i="32"/>
  <c r="AG321" i="32"/>
  <c r="AH321" i="32"/>
  <c r="AI321" i="32"/>
  <c r="AJ321" i="32"/>
  <c r="AK321" i="32"/>
  <c r="AL321" i="32"/>
  <c r="AM321" i="32"/>
  <c r="AN321" i="32"/>
  <c r="AO321" i="32"/>
  <c r="AP321" i="32"/>
  <c r="AQ321" i="32"/>
  <c r="AR321" i="32"/>
  <c r="AS321" i="32"/>
  <c r="AT321" i="32"/>
  <c r="AU321" i="32"/>
  <c r="AV321" i="32"/>
  <c r="AW321" i="32"/>
  <c r="AX321" i="32"/>
  <c r="AY321" i="32"/>
  <c r="AZ321" i="32"/>
  <c r="BA321" i="32"/>
  <c r="BB321" i="32"/>
  <c r="BC321" i="32"/>
  <c r="BD321" i="32"/>
  <c r="BE321" i="32"/>
  <c r="BF321" i="32"/>
  <c r="BG321" i="32"/>
  <c r="BH321" i="32"/>
  <c r="BI321" i="32"/>
  <c r="BJ321" i="32"/>
  <c r="BK321" i="32"/>
  <c r="BL321" i="32"/>
  <c r="BM321" i="32"/>
  <c r="BN321" i="32"/>
  <c r="BO321" i="32"/>
  <c r="BP321" i="32"/>
  <c r="BQ321" i="32"/>
  <c r="N322" i="32"/>
  <c r="O322" i="32"/>
  <c r="P322" i="32"/>
  <c r="Q322" i="32"/>
  <c r="R322" i="32"/>
  <c r="S322" i="32"/>
  <c r="T322" i="32"/>
  <c r="U322" i="32"/>
  <c r="V322" i="32"/>
  <c r="W322" i="32"/>
  <c r="X322" i="32"/>
  <c r="Y322" i="32"/>
  <c r="Z322" i="32"/>
  <c r="AA322" i="32"/>
  <c r="AB322" i="32"/>
  <c r="AC322" i="32"/>
  <c r="AD322" i="32"/>
  <c r="AE322" i="32"/>
  <c r="AF322" i="32"/>
  <c r="AG322" i="32"/>
  <c r="AH322" i="32"/>
  <c r="AI322" i="32"/>
  <c r="AJ322" i="32"/>
  <c r="AK322" i="32"/>
  <c r="AL322" i="32"/>
  <c r="AM322" i="32"/>
  <c r="AN322" i="32"/>
  <c r="AO322" i="32"/>
  <c r="AP322" i="32"/>
  <c r="AQ322" i="32"/>
  <c r="AR322" i="32"/>
  <c r="AS322" i="32"/>
  <c r="AT322" i="32"/>
  <c r="AU322" i="32"/>
  <c r="AV322" i="32"/>
  <c r="AW322" i="32"/>
  <c r="AX322" i="32"/>
  <c r="AY322" i="32"/>
  <c r="AZ322" i="32"/>
  <c r="BA322" i="32"/>
  <c r="BB322" i="32"/>
  <c r="BC322" i="32"/>
  <c r="BD322" i="32"/>
  <c r="BE322" i="32"/>
  <c r="BF322" i="32"/>
  <c r="BG322" i="32"/>
  <c r="BH322" i="32"/>
  <c r="BI322" i="32"/>
  <c r="BJ322" i="32"/>
  <c r="BK322" i="32"/>
  <c r="BL322" i="32"/>
  <c r="BM322" i="32"/>
  <c r="BN322" i="32"/>
  <c r="BO322" i="32"/>
  <c r="BP322" i="32"/>
  <c r="BQ322" i="32"/>
  <c r="N323" i="32"/>
  <c r="O323" i="32"/>
  <c r="P323" i="32"/>
  <c r="Q323" i="32"/>
  <c r="R323" i="32"/>
  <c r="S323" i="32"/>
  <c r="T323" i="32"/>
  <c r="U323" i="32"/>
  <c r="V323" i="32"/>
  <c r="W323" i="32"/>
  <c r="X323" i="32"/>
  <c r="Y323" i="32"/>
  <c r="Z323" i="32"/>
  <c r="AA323" i="32"/>
  <c r="AB323" i="32"/>
  <c r="AC323" i="32"/>
  <c r="AD323" i="32"/>
  <c r="AE323" i="32"/>
  <c r="AF323" i="32"/>
  <c r="AG323" i="32"/>
  <c r="AH323" i="32"/>
  <c r="AI323" i="32"/>
  <c r="AJ323" i="32"/>
  <c r="AK323" i="32"/>
  <c r="AL323" i="32"/>
  <c r="AM323" i="32"/>
  <c r="AN323" i="32"/>
  <c r="AO323" i="32"/>
  <c r="AP323" i="32"/>
  <c r="AQ323" i="32"/>
  <c r="AR323" i="32"/>
  <c r="AS323" i="32"/>
  <c r="AT323" i="32"/>
  <c r="AT337" i="32" s="1"/>
  <c r="AU323" i="32"/>
  <c r="AV323" i="32"/>
  <c r="AW323" i="32"/>
  <c r="AX323" i="32"/>
  <c r="AY323" i="32"/>
  <c r="AZ323" i="32"/>
  <c r="BA323" i="32"/>
  <c r="BB323" i="32"/>
  <c r="BC323" i="32"/>
  <c r="BD323" i="32"/>
  <c r="BE323" i="32"/>
  <c r="BF323" i="32"/>
  <c r="BG323" i="32"/>
  <c r="BH323" i="32"/>
  <c r="BI323" i="32"/>
  <c r="BJ323" i="32"/>
  <c r="BK323" i="32"/>
  <c r="BL323" i="32"/>
  <c r="BM323" i="32"/>
  <c r="BN323" i="32"/>
  <c r="BO323" i="32"/>
  <c r="BP323" i="32"/>
  <c r="BQ323" i="32"/>
  <c r="N324" i="32"/>
  <c r="O324" i="32"/>
  <c r="P324" i="32"/>
  <c r="Q324" i="32"/>
  <c r="R324" i="32"/>
  <c r="S324" i="32"/>
  <c r="T324" i="32"/>
  <c r="U324" i="32"/>
  <c r="V324" i="32"/>
  <c r="W324" i="32"/>
  <c r="X324" i="32"/>
  <c r="Y324" i="32"/>
  <c r="Z324" i="32"/>
  <c r="AA324" i="32"/>
  <c r="AB324" i="32"/>
  <c r="AC324" i="32"/>
  <c r="AD324" i="32"/>
  <c r="AE324" i="32"/>
  <c r="AF324" i="32"/>
  <c r="AG324" i="32"/>
  <c r="AH324" i="32"/>
  <c r="AI324" i="32"/>
  <c r="AJ324" i="32"/>
  <c r="AK324" i="32"/>
  <c r="AL324" i="32"/>
  <c r="AM324" i="32"/>
  <c r="AN324" i="32"/>
  <c r="AO324" i="32"/>
  <c r="AP324" i="32"/>
  <c r="AQ324" i="32"/>
  <c r="AR324" i="32"/>
  <c r="AS324" i="32"/>
  <c r="AT324" i="32"/>
  <c r="AU324" i="32"/>
  <c r="AV324" i="32"/>
  <c r="AW324" i="32"/>
  <c r="AX324" i="32"/>
  <c r="AY324" i="32"/>
  <c r="AZ324" i="32"/>
  <c r="BA324" i="32"/>
  <c r="BB324" i="32"/>
  <c r="BC324" i="32"/>
  <c r="BD324" i="32"/>
  <c r="BE324" i="32"/>
  <c r="BF324" i="32"/>
  <c r="BG324" i="32"/>
  <c r="BH324" i="32"/>
  <c r="BI324" i="32"/>
  <c r="BJ324" i="32"/>
  <c r="BJ337" i="32" s="1"/>
  <c r="BK324" i="32"/>
  <c r="BL324" i="32"/>
  <c r="BM324" i="32"/>
  <c r="BN324" i="32"/>
  <c r="BO324" i="32"/>
  <c r="BP324" i="32"/>
  <c r="BQ324" i="32"/>
  <c r="N325" i="32"/>
  <c r="O325" i="32"/>
  <c r="P325" i="32"/>
  <c r="Q325" i="32"/>
  <c r="R325" i="32"/>
  <c r="S325" i="32"/>
  <c r="T325" i="32"/>
  <c r="U325" i="32"/>
  <c r="V325" i="32"/>
  <c r="W325" i="32"/>
  <c r="X325" i="32"/>
  <c r="Y325" i="32"/>
  <c r="Z325" i="32"/>
  <c r="AA325" i="32"/>
  <c r="AB325" i="32"/>
  <c r="AC325" i="32"/>
  <c r="AD325" i="32"/>
  <c r="AE325" i="32"/>
  <c r="AF325" i="32"/>
  <c r="AG325" i="32"/>
  <c r="AH325" i="32"/>
  <c r="AI325" i="32"/>
  <c r="AJ325" i="32"/>
  <c r="AK325" i="32"/>
  <c r="AL325" i="32"/>
  <c r="AM325" i="32"/>
  <c r="AN325" i="32"/>
  <c r="AO325" i="32"/>
  <c r="AP325" i="32"/>
  <c r="AQ325" i="32"/>
  <c r="AR325" i="32"/>
  <c r="AS325" i="32"/>
  <c r="AT325" i="32"/>
  <c r="AU325" i="32"/>
  <c r="AV325" i="32"/>
  <c r="AW325" i="32"/>
  <c r="AX325" i="32"/>
  <c r="AY325" i="32"/>
  <c r="AZ325" i="32"/>
  <c r="BA325" i="32"/>
  <c r="BB325" i="32"/>
  <c r="BC325" i="32"/>
  <c r="BD325" i="32"/>
  <c r="BE325" i="32"/>
  <c r="BF325" i="32"/>
  <c r="BG325" i="32"/>
  <c r="BH325" i="32"/>
  <c r="BI325" i="32"/>
  <c r="BJ325" i="32"/>
  <c r="BK325" i="32"/>
  <c r="BL325" i="32"/>
  <c r="BM325" i="32"/>
  <c r="BN325" i="32"/>
  <c r="BO325" i="32"/>
  <c r="BP325" i="32"/>
  <c r="BQ325" i="32"/>
  <c r="N326" i="32"/>
  <c r="O326" i="32"/>
  <c r="P326" i="32"/>
  <c r="Q326" i="32"/>
  <c r="R326" i="32"/>
  <c r="S326" i="32"/>
  <c r="T326" i="32"/>
  <c r="U326" i="32"/>
  <c r="V326" i="32"/>
  <c r="W326" i="32"/>
  <c r="X326" i="32"/>
  <c r="Y326" i="32"/>
  <c r="Z326" i="32"/>
  <c r="AA326" i="32"/>
  <c r="AB326" i="32"/>
  <c r="AC326" i="32"/>
  <c r="AD326" i="32"/>
  <c r="AE326" i="32"/>
  <c r="AF326" i="32"/>
  <c r="AG326" i="32"/>
  <c r="AH326" i="32"/>
  <c r="AI326" i="32"/>
  <c r="AJ326" i="32"/>
  <c r="AK326" i="32"/>
  <c r="AL326" i="32"/>
  <c r="AM326" i="32"/>
  <c r="AN326" i="32"/>
  <c r="AO326" i="32"/>
  <c r="AP326" i="32"/>
  <c r="AQ326" i="32"/>
  <c r="AR326" i="32"/>
  <c r="AS326" i="32"/>
  <c r="AT326" i="32"/>
  <c r="AU326" i="32"/>
  <c r="AV326" i="32"/>
  <c r="AW326" i="32"/>
  <c r="AX326" i="32"/>
  <c r="AY326" i="32"/>
  <c r="AZ326" i="32"/>
  <c r="BA326" i="32"/>
  <c r="BB326" i="32"/>
  <c r="BC326" i="32"/>
  <c r="BD326" i="32"/>
  <c r="BE326" i="32"/>
  <c r="BF326" i="32"/>
  <c r="BG326" i="32"/>
  <c r="BH326" i="32"/>
  <c r="BI326" i="32"/>
  <c r="BJ326" i="32"/>
  <c r="BK326" i="32"/>
  <c r="BL326" i="32"/>
  <c r="BM326" i="32"/>
  <c r="BN326" i="32"/>
  <c r="BO326" i="32"/>
  <c r="BP326" i="32"/>
  <c r="BQ326" i="32"/>
  <c r="N327" i="32"/>
  <c r="O327" i="32"/>
  <c r="P327" i="32"/>
  <c r="Q327" i="32"/>
  <c r="R327" i="32"/>
  <c r="S327" i="32"/>
  <c r="T327" i="32"/>
  <c r="U327" i="32"/>
  <c r="V327" i="32"/>
  <c r="W327" i="32"/>
  <c r="X327" i="32"/>
  <c r="Y327" i="32"/>
  <c r="Z327" i="32"/>
  <c r="AA327" i="32"/>
  <c r="AB327" i="32"/>
  <c r="AC327" i="32"/>
  <c r="AD327" i="32"/>
  <c r="AE327" i="32"/>
  <c r="AF327" i="32"/>
  <c r="AG327" i="32"/>
  <c r="AH327" i="32"/>
  <c r="AI327" i="32"/>
  <c r="AJ327" i="32"/>
  <c r="AK327" i="32"/>
  <c r="AL327" i="32"/>
  <c r="AM327" i="32"/>
  <c r="AN327" i="32"/>
  <c r="AO327" i="32"/>
  <c r="AP327" i="32"/>
  <c r="AQ327" i="32"/>
  <c r="AR327" i="32"/>
  <c r="AS327" i="32"/>
  <c r="AT327" i="32"/>
  <c r="AU327" i="32"/>
  <c r="AV327" i="32"/>
  <c r="AW327" i="32"/>
  <c r="AX327" i="32"/>
  <c r="AY327" i="32"/>
  <c r="AZ327" i="32"/>
  <c r="BA327" i="32"/>
  <c r="BB327" i="32"/>
  <c r="BC327" i="32"/>
  <c r="BD327" i="32"/>
  <c r="BE327" i="32"/>
  <c r="BF327" i="32"/>
  <c r="BG327" i="32"/>
  <c r="BH327" i="32"/>
  <c r="BI327" i="32"/>
  <c r="BJ327" i="32"/>
  <c r="BK327" i="32"/>
  <c r="BL327" i="32"/>
  <c r="BM327" i="32"/>
  <c r="BN327" i="32"/>
  <c r="BO327" i="32"/>
  <c r="BP327" i="32"/>
  <c r="BQ327" i="32"/>
  <c r="N328" i="32"/>
  <c r="O328" i="32"/>
  <c r="P328" i="32"/>
  <c r="Q328" i="32"/>
  <c r="R328" i="32"/>
  <c r="S328" i="32"/>
  <c r="T328" i="32"/>
  <c r="U328" i="32"/>
  <c r="V328" i="32"/>
  <c r="W328" i="32"/>
  <c r="X328" i="32"/>
  <c r="Y328" i="32"/>
  <c r="Z328" i="32"/>
  <c r="AA328" i="32"/>
  <c r="AB328" i="32"/>
  <c r="AC328" i="32"/>
  <c r="AD328" i="32"/>
  <c r="AE328" i="32"/>
  <c r="AF328" i="32"/>
  <c r="AG328" i="32"/>
  <c r="AH328" i="32"/>
  <c r="AI328" i="32"/>
  <c r="AJ328" i="32"/>
  <c r="AK328" i="32"/>
  <c r="AL328" i="32"/>
  <c r="AM328" i="32"/>
  <c r="AN328" i="32"/>
  <c r="AO328" i="32"/>
  <c r="AP328" i="32"/>
  <c r="AQ328" i="32"/>
  <c r="AR328" i="32"/>
  <c r="AS328" i="32"/>
  <c r="AT328" i="32"/>
  <c r="AU328" i="32"/>
  <c r="AV328" i="32"/>
  <c r="AW328" i="32"/>
  <c r="AX328" i="32"/>
  <c r="AY328" i="32"/>
  <c r="AZ328" i="32"/>
  <c r="BA328" i="32"/>
  <c r="BB328" i="32"/>
  <c r="BC328" i="32"/>
  <c r="BD328" i="32"/>
  <c r="BE328" i="32"/>
  <c r="BF328" i="32"/>
  <c r="BG328" i="32"/>
  <c r="BH328" i="32"/>
  <c r="BI328" i="32"/>
  <c r="BJ328" i="32"/>
  <c r="BK328" i="32"/>
  <c r="BL328" i="32"/>
  <c r="BM328" i="32"/>
  <c r="BN328" i="32"/>
  <c r="BO328" i="32"/>
  <c r="BP328" i="32"/>
  <c r="BQ328" i="32"/>
  <c r="N329" i="32"/>
  <c r="O329" i="32"/>
  <c r="P329" i="32"/>
  <c r="Q329" i="32"/>
  <c r="R329" i="32"/>
  <c r="S329" i="32"/>
  <c r="T329" i="32"/>
  <c r="U329" i="32"/>
  <c r="V329" i="32"/>
  <c r="W329" i="32"/>
  <c r="X329" i="32"/>
  <c r="Y329" i="32"/>
  <c r="Z329" i="32"/>
  <c r="AA329" i="32"/>
  <c r="AB329" i="32"/>
  <c r="AC329" i="32"/>
  <c r="AD329" i="32"/>
  <c r="AE329" i="32"/>
  <c r="AF329" i="32"/>
  <c r="AG329" i="32"/>
  <c r="AH329" i="32"/>
  <c r="AI329" i="32"/>
  <c r="AJ329" i="32"/>
  <c r="AK329" i="32"/>
  <c r="AL329" i="32"/>
  <c r="AM329" i="32"/>
  <c r="AN329" i="32"/>
  <c r="AO329" i="32"/>
  <c r="AP329" i="32"/>
  <c r="AQ329" i="32"/>
  <c r="AR329" i="32"/>
  <c r="AS329" i="32"/>
  <c r="AT329" i="32"/>
  <c r="AU329" i="32"/>
  <c r="AV329" i="32"/>
  <c r="AW329" i="32"/>
  <c r="AX329" i="32"/>
  <c r="AY329" i="32"/>
  <c r="AZ329" i="32"/>
  <c r="BA329" i="32"/>
  <c r="BB329" i="32"/>
  <c r="BC329" i="32"/>
  <c r="BD329" i="32"/>
  <c r="BE329" i="32"/>
  <c r="BF329" i="32"/>
  <c r="BG329" i="32"/>
  <c r="BH329" i="32"/>
  <c r="BI329" i="32"/>
  <c r="BJ329" i="32"/>
  <c r="BK329" i="32"/>
  <c r="BL329" i="32"/>
  <c r="BM329" i="32"/>
  <c r="BN329" i="32"/>
  <c r="BO329" i="32"/>
  <c r="BP329" i="32"/>
  <c r="BQ329" i="32"/>
  <c r="N330" i="32"/>
  <c r="O330" i="32"/>
  <c r="P330" i="32"/>
  <c r="Q330" i="32"/>
  <c r="R330" i="32"/>
  <c r="S330" i="32"/>
  <c r="T330" i="32"/>
  <c r="U330" i="32"/>
  <c r="V330" i="32"/>
  <c r="W330" i="32"/>
  <c r="X330" i="32"/>
  <c r="Y330" i="32"/>
  <c r="Z330" i="32"/>
  <c r="AA330" i="32"/>
  <c r="AB330" i="32"/>
  <c r="AC330" i="32"/>
  <c r="AD330" i="32"/>
  <c r="AE330" i="32"/>
  <c r="AF330" i="32"/>
  <c r="AG330" i="32"/>
  <c r="AH330" i="32"/>
  <c r="AI330" i="32"/>
  <c r="AJ330" i="32"/>
  <c r="AK330" i="32"/>
  <c r="AL330" i="32"/>
  <c r="AM330" i="32"/>
  <c r="AN330" i="32"/>
  <c r="AO330" i="32"/>
  <c r="AP330" i="32"/>
  <c r="AQ330" i="32"/>
  <c r="AR330" i="32"/>
  <c r="AS330" i="32"/>
  <c r="AT330" i="32"/>
  <c r="AU330" i="32"/>
  <c r="AV330" i="32"/>
  <c r="AW330" i="32"/>
  <c r="AX330" i="32"/>
  <c r="AY330" i="32"/>
  <c r="AZ330" i="32"/>
  <c r="BA330" i="32"/>
  <c r="BB330" i="32"/>
  <c r="BC330" i="32"/>
  <c r="BD330" i="32"/>
  <c r="BE330" i="32"/>
  <c r="BF330" i="32"/>
  <c r="BG330" i="32"/>
  <c r="BH330" i="32"/>
  <c r="BI330" i="32"/>
  <c r="BJ330" i="32"/>
  <c r="BK330" i="32"/>
  <c r="BL330" i="32"/>
  <c r="BM330" i="32"/>
  <c r="BN330" i="32"/>
  <c r="BO330" i="32"/>
  <c r="BP330" i="32"/>
  <c r="BQ330" i="32"/>
  <c r="N331" i="32"/>
  <c r="O331" i="32"/>
  <c r="P331" i="32"/>
  <c r="Q331" i="32"/>
  <c r="R331" i="32"/>
  <c r="S331" i="32"/>
  <c r="T331" i="32"/>
  <c r="U331" i="32"/>
  <c r="V331" i="32"/>
  <c r="W331" i="32"/>
  <c r="X331" i="32"/>
  <c r="Y331" i="32"/>
  <c r="Z331" i="32"/>
  <c r="AA331" i="32"/>
  <c r="AB331" i="32"/>
  <c r="AC331" i="32"/>
  <c r="AD331" i="32"/>
  <c r="AE331" i="32"/>
  <c r="AF331" i="32"/>
  <c r="AG331" i="32"/>
  <c r="AH331" i="32"/>
  <c r="AI331" i="32"/>
  <c r="AJ331" i="32"/>
  <c r="AK331" i="32"/>
  <c r="AL331" i="32"/>
  <c r="AM331" i="32"/>
  <c r="AN331" i="32"/>
  <c r="AO331" i="32"/>
  <c r="AP331" i="32"/>
  <c r="AQ331" i="32"/>
  <c r="AR331" i="32"/>
  <c r="AS331" i="32"/>
  <c r="AT331" i="32"/>
  <c r="AU331" i="32"/>
  <c r="AV331" i="32"/>
  <c r="AW331" i="32"/>
  <c r="AX331" i="32"/>
  <c r="AY331" i="32"/>
  <c r="AZ331" i="32"/>
  <c r="BA331" i="32"/>
  <c r="BB331" i="32"/>
  <c r="BC331" i="32"/>
  <c r="BD331" i="32"/>
  <c r="BE331" i="32"/>
  <c r="BF331" i="32"/>
  <c r="BG331" i="32"/>
  <c r="BH331" i="32"/>
  <c r="BI331" i="32"/>
  <c r="BJ331" i="32"/>
  <c r="BK331" i="32"/>
  <c r="BL331" i="32"/>
  <c r="BM331" i="32"/>
  <c r="BN331" i="32"/>
  <c r="BO331" i="32"/>
  <c r="BP331" i="32"/>
  <c r="BQ331" i="32"/>
  <c r="N332" i="32"/>
  <c r="O332" i="32"/>
  <c r="P332" i="32"/>
  <c r="Q332" i="32"/>
  <c r="R332" i="32"/>
  <c r="S332" i="32"/>
  <c r="T332" i="32"/>
  <c r="U332" i="32"/>
  <c r="V332" i="32"/>
  <c r="W332" i="32"/>
  <c r="X332" i="32"/>
  <c r="Y332" i="32"/>
  <c r="Z332" i="32"/>
  <c r="AA332" i="32"/>
  <c r="AB332" i="32"/>
  <c r="AC332" i="32"/>
  <c r="AD332" i="32"/>
  <c r="AE332" i="32"/>
  <c r="AF332" i="32"/>
  <c r="AG332" i="32"/>
  <c r="AH332" i="32"/>
  <c r="AI332" i="32"/>
  <c r="AJ332" i="32"/>
  <c r="AK332" i="32"/>
  <c r="AL332" i="32"/>
  <c r="AM332" i="32"/>
  <c r="AN332" i="32"/>
  <c r="AO332" i="32"/>
  <c r="AP332" i="32"/>
  <c r="AQ332" i="32"/>
  <c r="AR332" i="32"/>
  <c r="AS332" i="32"/>
  <c r="AT332" i="32"/>
  <c r="AU332" i="32"/>
  <c r="AV332" i="32"/>
  <c r="AW332" i="32"/>
  <c r="AX332" i="32"/>
  <c r="AY332" i="32"/>
  <c r="AZ332" i="32"/>
  <c r="BA332" i="32"/>
  <c r="BB332" i="32"/>
  <c r="BC332" i="32"/>
  <c r="BD332" i="32"/>
  <c r="BE332" i="32"/>
  <c r="BF332" i="32"/>
  <c r="BG332" i="32"/>
  <c r="BH332" i="32"/>
  <c r="BI332" i="32"/>
  <c r="BJ332" i="32"/>
  <c r="BK332" i="32"/>
  <c r="BL332" i="32"/>
  <c r="BM332" i="32"/>
  <c r="BN332" i="32"/>
  <c r="BO332" i="32"/>
  <c r="BP332" i="32"/>
  <c r="BQ332" i="32"/>
  <c r="N333" i="32"/>
  <c r="O333" i="32"/>
  <c r="P333" i="32"/>
  <c r="Q333" i="32"/>
  <c r="R333" i="32"/>
  <c r="S333" i="32"/>
  <c r="T333" i="32"/>
  <c r="U333" i="32"/>
  <c r="V333" i="32"/>
  <c r="W333" i="32"/>
  <c r="X333" i="32"/>
  <c r="Y333" i="32"/>
  <c r="Z333" i="32"/>
  <c r="AA333" i="32"/>
  <c r="AB333" i="32"/>
  <c r="AC333" i="32"/>
  <c r="AD333" i="32"/>
  <c r="AE333" i="32"/>
  <c r="AF333" i="32"/>
  <c r="AG333" i="32"/>
  <c r="AH333" i="32"/>
  <c r="AI333" i="32"/>
  <c r="AJ333" i="32"/>
  <c r="AK333" i="32"/>
  <c r="AL333" i="32"/>
  <c r="AM333" i="32"/>
  <c r="AN333" i="32"/>
  <c r="AO333" i="32"/>
  <c r="AP333" i="32"/>
  <c r="AQ333" i="32"/>
  <c r="AR333" i="32"/>
  <c r="AS333" i="32"/>
  <c r="AT333" i="32"/>
  <c r="AU333" i="32"/>
  <c r="AV333" i="32"/>
  <c r="AW333" i="32"/>
  <c r="AX333" i="32"/>
  <c r="AY333" i="32"/>
  <c r="AZ333" i="32"/>
  <c r="BA333" i="32"/>
  <c r="BB333" i="32"/>
  <c r="BC333" i="32"/>
  <c r="BD333" i="32"/>
  <c r="BE333" i="32"/>
  <c r="BF333" i="32"/>
  <c r="BG333" i="32"/>
  <c r="BH333" i="32"/>
  <c r="BI333" i="32"/>
  <c r="BJ333" i="32"/>
  <c r="BK333" i="32"/>
  <c r="BL333" i="32"/>
  <c r="BM333" i="32"/>
  <c r="BN333" i="32"/>
  <c r="BO333" i="32"/>
  <c r="BP333" i="32"/>
  <c r="BQ333" i="32"/>
  <c r="N334" i="32"/>
  <c r="O334" i="32"/>
  <c r="P334" i="32"/>
  <c r="Q334" i="32"/>
  <c r="R334" i="32"/>
  <c r="S334" i="32"/>
  <c r="T334" i="32"/>
  <c r="U334" i="32"/>
  <c r="V334" i="32"/>
  <c r="W334" i="32"/>
  <c r="X334" i="32"/>
  <c r="Y334" i="32"/>
  <c r="Z334" i="32"/>
  <c r="AA334" i="32"/>
  <c r="AB334" i="32"/>
  <c r="AC334" i="32"/>
  <c r="AD334" i="32"/>
  <c r="AE334" i="32"/>
  <c r="AF334" i="32"/>
  <c r="AG334" i="32"/>
  <c r="AH334" i="32"/>
  <c r="AI334" i="32"/>
  <c r="AJ334" i="32"/>
  <c r="AK334" i="32"/>
  <c r="AL334" i="32"/>
  <c r="AM334" i="32"/>
  <c r="AN334" i="32"/>
  <c r="AO334" i="32"/>
  <c r="AP334" i="32"/>
  <c r="AQ334" i="32"/>
  <c r="AR334" i="32"/>
  <c r="AS334" i="32"/>
  <c r="AT334" i="32"/>
  <c r="AU334" i="32"/>
  <c r="AV334" i="32"/>
  <c r="AW334" i="32"/>
  <c r="AX334" i="32"/>
  <c r="AY334" i="32"/>
  <c r="AZ334" i="32"/>
  <c r="BA334" i="32"/>
  <c r="BB334" i="32"/>
  <c r="BC334" i="32"/>
  <c r="BD334" i="32"/>
  <c r="BE334" i="32"/>
  <c r="BF334" i="32"/>
  <c r="BG334" i="32"/>
  <c r="BH334" i="32"/>
  <c r="BI334" i="32"/>
  <c r="BJ334" i="32"/>
  <c r="BK334" i="32"/>
  <c r="BL334" i="32"/>
  <c r="BM334" i="32"/>
  <c r="BN334" i="32"/>
  <c r="BO334" i="32"/>
  <c r="BP334" i="32"/>
  <c r="BQ334" i="32"/>
  <c r="N335" i="32"/>
  <c r="O335" i="32"/>
  <c r="P335" i="32"/>
  <c r="Q335" i="32"/>
  <c r="R335" i="32"/>
  <c r="S335" i="32"/>
  <c r="T335" i="32"/>
  <c r="U335" i="32"/>
  <c r="V335" i="32"/>
  <c r="W335" i="32"/>
  <c r="X335" i="32"/>
  <c r="Y335" i="32"/>
  <c r="Z335" i="32"/>
  <c r="AA335" i="32"/>
  <c r="AB335" i="32"/>
  <c r="AC335" i="32"/>
  <c r="AD335" i="32"/>
  <c r="AE335" i="32"/>
  <c r="AF335" i="32"/>
  <c r="AG335" i="32"/>
  <c r="AH335" i="32"/>
  <c r="AI335" i="32"/>
  <c r="AJ335" i="32"/>
  <c r="AK335" i="32"/>
  <c r="AL335" i="32"/>
  <c r="AM335" i="32"/>
  <c r="AN335" i="32"/>
  <c r="AO335" i="32"/>
  <c r="AP335" i="32"/>
  <c r="AQ335" i="32"/>
  <c r="AR335" i="32"/>
  <c r="AS335" i="32"/>
  <c r="AT335" i="32"/>
  <c r="AU335" i="32"/>
  <c r="AV335" i="32"/>
  <c r="AW335" i="32"/>
  <c r="AX335" i="32"/>
  <c r="AY335" i="32"/>
  <c r="AZ335" i="32"/>
  <c r="BA335" i="32"/>
  <c r="BB335" i="32"/>
  <c r="BC335" i="32"/>
  <c r="BD335" i="32"/>
  <c r="BE335" i="32"/>
  <c r="BF335" i="32"/>
  <c r="BG335" i="32"/>
  <c r="BH335" i="32"/>
  <c r="BI335" i="32"/>
  <c r="BJ335" i="32"/>
  <c r="BK335" i="32"/>
  <c r="BL335" i="32"/>
  <c r="BM335" i="32"/>
  <c r="BN335" i="32"/>
  <c r="BO335" i="32"/>
  <c r="BP335" i="32"/>
  <c r="BQ335" i="32"/>
  <c r="N336" i="32"/>
  <c r="O336" i="32"/>
  <c r="P336" i="32"/>
  <c r="Q336" i="32"/>
  <c r="R336" i="32"/>
  <c r="S336" i="32"/>
  <c r="T336" i="32"/>
  <c r="U336" i="32"/>
  <c r="V336" i="32"/>
  <c r="W336" i="32"/>
  <c r="X336" i="32"/>
  <c r="Y336" i="32"/>
  <c r="Z336" i="32"/>
  <c r="AA336" i="32"/>
  <c r="AB336" i="32"/>
  <c r="AC336" i="32"/>
  <c r="AD336" i="32"/>
  <c r="AE336" i="32"/>
  <c r="AF336" i="32"/>
  <c r="AG336" i="32"/>
  <c r="AH336" i="32"/>
  <c r="AI336" i="32"/>
  <c r="AJ336" i="32"/>
  <c r="AK336" i="32"/>
  <c r="AL336" i="32"/>
  <c r="AM336" i="32"/>
  <c r="AN336" i="32"/>
  <c r="AO336" i="32"/>
  <c r="AP336" i="32"/>
  <c r="AQ336" i="32"/>
  <c r="AR336" i="32"/>
  <c r="AR337" i="32" s="1"/>
  <c r="AS336" i="32"/>
  <c r="AT336" i="32"/>
  <c r="AU336" i="32"/>
  <c r="AV336" i="32"/>
  <c r="AV337" i="32" s="1"/>
  <c r="AW336" i="32"/>
  <c r="AX336" i="32"/>
  <c r="AY336" i="32"/>
  <c r="AZ336" i="32"/>
  <c r="AZ337" i="32" s="1"/>
  <c r="BA336" i="32"/>
  <c r="BB336" i="32"/>
  <c r="BC336" i="32"/>
  <c r="BD336" i="32"/>
  <c r="BD337" i="32" s="1"/>
  <c r="BE336" i="32"/>
  <c r="BF336" i="32"/>
  <c r="BG336" i="32"/>
  <c r="BH336" i="32"/>
  <c r="BH337" i="32" s="1"/>
  <c r="BI336" i="32"/>
  <c r="BJ336" i="32"/>
  <c r="BK336" i="32"/>
  <c r="BL336" i="32"/>
  <c r="BL337" i="32" s="1"/>
  <c r="BM336" i="32"/>
  <c r="BN336" i="32"/>
  <c r="BO336" i="32"/>
  <c r="BP336" i="32"/>
  <c r="BP337" i="32" s="1"/>
  <c r="BQ336" i="32"/>
  <c r="N337" i="32"/>
  <c r="O337" i="32"/>
  <c r="P337" i="32"/>
  <c r="Q337" i="32"/>
  <c r="R337" i="32"/>
  <c r="S337" i="32"/>
  <c r="T337" i="32"/>
  <c r="U337" i="32"/>
  <c r="V337" i="32"/>
  <c r="W337" i="32"/>
  <c r="X337" i="32"/>
  <c r="Y337" i="32"/>
  <c r="Z337" i="32"/>
  <c r="AA337" i="32"/>
  <c r="AB337" i="32"/>
  <c r="AC337" i="32"/>
  <c r="AD337" i="32"/>
  <c r="AE337" i="32"/>
  <c r="AF337" i="32"/>
  <c r="AG337" i="32"/>
  <c r="AH337" i="32"/>
  <c r="AI337" i="32"/>
  <c r="AJ337" i="32"/>
  <c r="AK337" i="32"/>
  <c r="AL337" i="32"/>
  <c r="AM337" i="32"/>
  <c r="AN337" i="32"/>
  <c r="AP337" i="32"/>
  <c r="AU337" i="32"/>
  <c r="AX337" i="32"/>
  <c r="BA337" i="32"/>
  <c r="BB337" i="32"/>
  <c r="BC337" i="32"/>
  <c r="BF337" i="32"/>
  <c r="BK337" i="32"/>
  <c r="BO337" i="32"/>
  <c r="M335" i="32"/>
  <c r="M334" i="32"/>
  <c r="M333" i="32"/>
  <c r="M332" i="32"/>
  <c r="M331" i="32"/>
  <c r="M330" i="32"/>
  <c r="M329" i="32"/>
  <c r="M328" i="32"/>
  <c r="M327" i="32"/>
  <c r="M326" i="32"/>
  <c r="M325" i="32"/>
  <c r="M324" i="32"/>
  <c r="M323" i="32"/>
  <c r="M322" i="32"/>
  <c r="M321" i="32"/>
  <c r="M320" i="32"/>
  <c r="M319" i="32"/>
  <c r="M318" i="32"/>
  <c r="M317" i="32"/>
  <c r="M316" i="32"/>
  <c r="M315" i="32"/>
  <c r="M314" i="32"/>
  <c r="M313" i="32"/>
  <c r="M312" i="32"/>
  <c r="M311" i="32"/>
  <c r="M310" i="32"/>
  <c r="M309" i="32"/>
  <c r="M308" i="32"/>
  <c r="M307" i="32"/>
  <c r="M306" i="32"/>
  <c r="M305" i="32"/>
  <c r="M304" i="32"/>
  <c r="M303" i="32"/>
  <c r="M302" i="32"/>
  <c r="M301" i="32"/>
  <c r="M300" i="32"/>
  <c r="M299" i="32"/>
  <c r="M298" i="32"/>
  <c r="M297" i="32"/>
  <c r="M296" i="32"/>
  <c r="M295" i="32"/>
  <c r="M294" i="32"/>
  <c r="M293" i="32"/>
  <c r="M292" i="32"/>
  <c r="M291" i="32"/>
  <c r="M290" i="32"/>
  <c r="M289" i="32"/>
  <c r="M288" i="32"/>
  <c r="M287" i="32"/>
  <c r="M286" i="32"/>
  <c r="M285" i="32"/>
  <c r="M284" i="32"/>
  <c r="M283" i="32"/>
  <c r="M282" i="32"/>
  <c r="M281" i="32"/>
  <c r="M280" i="32"/>
  <c r="M279" i="32"/>
  <c r="M278" i="32"/>
  <c r="M277" i="32"/>
  <c r="M276" i="32"/>
  <c r="M275" i="32"/>
  <c r="M274" i="32"/>
  <c r="M273" i="32"/>
  <c r="M272" i="32"/>
  <c r="M271" i="32"/>
  <c r="M267" i="32"/>
  <c r="M266" i="32"/>
  <c r="M265" i="32"/>
  <c r="M264" i="32"/>
  <c r="M263" i="32"/>
  <c r="M262" i="32"/>
  <c r="M261" i="32"/>
  <c r="M260" i="32"/>
  <c r="M259" i="32"/>
  <c r="M258" i="32"/>
  <c r="M257" i="32"/>
  <c r="M256" i="32"/>
  <c r="M255" i="32"/>
  <c r="M254" i="32"/>
  <c r="M253" i="32"/>
  <c r="M252" i="32"/>
  <c r="M251" i="32"/>
  <c r="M250" i="32"/>
  <c r="M249" i="32"/>
  <c r="M248" i="32"/>
  <c r="M247" i="32"/>
  <c r="M246" i="32"/>
  <c r="M245" i="32"/>
  <c r="M244" i="32"/>
  <c r="M243" i="32"/>
  <c r="M242" i="32"/>
  <c r="M241" i="32"/>
  <c r="M240" i="32"/>
  <c r="M239" i="32"/>
  <c r="M238" i="32"/>
  <c r="M237" i="32"/>
  <c r="M236" i="32"/>
  <c r="M235" i="32"/>
  <c r="M234" i="32"/>
  <c r="M233" i="32"/>
  <c r="M232" i="32"/>
  <c r="M231" i="32"/>
  <c r="M230" i="32"/>
  <c r="M229" i="32"/>
  <c r="M228" i="32"/>
  <c r="M227" i="32"/>
  <c r="M226" i="32"/>
  <c r="M225" i="32"/>
  <c r="M224" i="32"/>
  <c r="M223" i="32"/>
  <c r="M222" i="32"/>
  <c r="M221" i="32"/>
  <c r="M220" i="32"/>
  <c r="M219" i="32"/>
  <c r="M218" i="32"/>
  <c r="M217" i="32"/>
  <c r="M216" i="32"/>
  <c r="M215" i="32"/>
  <c r="M214" i="32"/>
  <c r="M213" i="32"/>
  <c r="M212" i="32"/>
  <c r="M211" i="32"/>
  <c r="M210" i="32"/>
  <c r="M209" i="32"/>
  <c r="M208" i="32"/>
  <c r="M207" i="32"/>
  <c r="M206" i="32"/>
  <c r="M205" i="32"/>
  <c r="M204" i="32"/>
  <c r="M203" i="32"/>
  <c r="M336" i="32"/>
  <c r="M268" i="32"/>
  <c r="BM201" i="32"/>
  <c r="BN201" i="32"/>
  <c r="BO201" i="32"/>
  <c r="BP201" i="32"/>
  <c r="BQ201" i="32"/>
  <c r="BL8" i="32"/>
  <c r="BM9" i="32" s="1"/>
  <c r="BM8" i="32"/>
  <c r="BN8" i="32"/>
  <c r="BN9" i="32" s="1"/>
  <c r="BO8" i="32"/>
  <c r="BP8" i="32"/>
  <c r="BQ8" i="32"/>
  <c r="BL10" i="32"/>
  <c r="BM10" i="32"/>
  <c r="BM11" i="32" s="1"/>
  <c r="BN10" i="32"/>
  <c r="BO10" i="32"/>
  <c r="BP10" i="32"/>
  <c r="BQ10" i="32"/>
  <c r="BL12" i="32"/>
  <c r="BM108" i="32"/>
  <c r="BN108" i="32"/>
  <c r="BO108" i="32"/>
  <c r="BP108" i="32"/>
  <c r="BQ108" i="32"/>
  <c r="M227" i="66" l="1"/>
  <c r="P208" i="66"/>
  <c r="T144" i="68"/>
  <c r="T313" i="68"/>
  <c r="K216" i="66"/>
  <c r="K214" i="66"/>
  <c r="O212" i="66"/>
  <c r="M211" i="66"/>
  <c r="O228" i="66"/>
  <c r="O226" i="66"/>
  <c r="O224" i="66"/>
  <c r="O222" i="66"/>
  <c r="K220" i="66"/>
  <c r="O219" i="66"/>
  <c r="K219" i="66"/>
  <c r="P229" i="66"/>
  <c r="P225" i="66"/>
  <c r="P221" i="66"/>
  <c r="P217" i="66"/>
  <c r="P213" i="66"/>
  <c r="P209" i="66"/>
  <c r="N218" i="66"/>
  <c r="L217" i="66"/>
  <c r="N216" i="66"/>
  <c r="L215" i="66"/>
  <c r="N214" i="66"/>
  <c r="L213" i="66"/>
  <c r="N212" i="66"/>
  <c r="L211" i="66"/>
  <c r="N210" i="66"/>
  <c r="L209" i="66"/>
  <c r="L208" i="66"/>
  <c r="L229" i="66"/>
  <c r="N228" i="66"/>
  <c r="L227" i="66"/>
  <c r="N226" i="66"/>
  <c r="L225" i="66"/>
  <c r="N224" i="66"/>
  <c r="L223" i="66"/>
  <c r="N222" i="66"/>
  <c r="L221" i="66"/>
  <c r="N220" i="66"/>
  <c r="N219" i="66"/>
  <c r="P228" i="66"/>
  <c r="P224" i="66"/>
  <c r="P220" i="66"/>
  <c r="P219" i="66"/>
  <c r="P216" i="66"/>
  <c r="P212" i="66"/>
  <c r="O218" i="66"/>
  <c r="M213" i="66"/>
  <c r="K212" i="66"/>
  <c r="O210" i="66"/>
  <c r="M208" i="66"/>
  <c r="M229" i="66"/>
  <c r="K228" i="66"/>
  <c r="K226" i="66"/>
  <c r="K224" i="66"/>
  <c r="O220" i="66"/>
  <c r="BM12" i="32"/>
  <c r="M218" i="66"/>
  <c r="O217" i="66"/>
  <c r="K217" i="66"/>
  <c r="M216" i="66"/>
  <c r="O215" i="66"/>
  <c r="K215" i="66"/>
  <c r="M214" i="66"/>
  <c r="O213" i="66"/>
  <c r="K213" i="66"/>
  <c r="M212" i="66"/>
  <c r="O211" i="66"/>
  <c r="K211" i="66"/>
  <c r="M210" i="66"/>
  <c r="O209" i="66"/>
  <c r="K209" i="66"/>
  <c r="O208" i="66"/>
  <c r="K208" i="66"/>
  <c r="O229" i="66"/>
  <c r="K229" i="66"/>
  <c r="M228" i="66"/>
  <c r="O227" i="66"/>
  <c r="K227" i="66"/>
  <c r="M226" i="66"/>
  <c r="O225" i="66"/>
  <c r="K225" i="66"/>
  <c r="M224" i="66"/>
  <c r="O223" i="66"/>
  <c r="K223" i="66"/>
  <c r="M222" i="66"/>
  <c r="O221" i="66"/>
  <c r="K221" i="66"/>
  <c r="M220" i="66"/>
  <c r="M219" i="66"/>
  <c r="P227" i="66"/>
  <c r="P223" i="66"/>
  <c r="P215" i="66"/>
  <c r="P211" i="66"/>
  <c r="K218" i="66"/>
  <c r="M217" i="66"/>
  <c r="O216" i="66"/>
  <c r="M215" i="66"/>
  <c r="O214" i="66"/>
  <c r="K210" i="66"/>
  <c r="M209" i="66"/>
  <c r="M225" i="66"/>
  <c r="M223" i="66"/>
  <c r="K222" i="66"/>
  <c r="M221" i="66"/>
  <c r="BQ9" i="32"/>
  <c r="L218" i="66"/>
  <c r="N217" i="66"/>
  <c r="L216" i="66"/>
  <c r="N215" i="66"/>
  <c r="L214" i="66"/>
  <c r="N213" i="66"/>
  <c r="L212" i="66"/>
  <c r="N211" i="66"/>
  <c r="L210" i="66"/>
  <c r="N209" i="66"/>
  <c r="N208" i="66"/>
  <c r="N229" i="66"/>
  <c r="L228" i="66"/>
  <c r="N227" i="66"/>
  <c r="L226" i="66"/>
  <c r="N225" i="66"/>
  <c r="L224" i="66"/>
  <c r="N223" i="66"/>
  <c r="L222" i="66"/>
  <c r="N221" i="66"/>
  <c r="L220" i="66"/>
  <c r="L219" i="66"/>
  <c r="P226" i="66"/>
  <c r="P222" i="66"/>
  <c r="P218" i="66"/>
  <c r="P214" i="66"/>
  <c r="P210" i="66"/>
  <c r="BO12" i="32"/>
  <c r="BP12" i="32"/>
  <c r="BP13" i="32" s="1"/>
  <c r="BN337" i="32"/>
  <c r="AO337" i="32"/>
  <c r="BQ337" i="32"/>
  <c r="BN269" i="32"/>
  <c r="BQ269" i="32"/>
  <c r="BL269" i="32"/>
  <c r="BO269" i="32"/>
  <c r="T27" i="68"/>
  <c r="S392" i="68"/>
  <c r="T407" i="68"/>
  <c r="T392" i="68" s="1"/>
  <c r="S197" i="68"/>
  <c r="S196" i="68" s="1"/>
  <c r="P201" i="66"/>
  <c r="V9" i="66"/>
  <c r="W9" i="66" s="1"/>
  <c r="X9" i="66" s="1"/>
  <c r="Y9" i="66" s="1"/>
  <c r="Z9" i="66" s="1"/>
  <c r="AA9" i="66" s="1"/>
  <c r="AB9" i="66" s="1"/>
  <c r="AC9" i="66" s="1"/>
  <c r="AD9" i="66" s="1"/>
  <c r="AE9" i="66" s="1"/>
  <c r="AF9" i="66" s="1"/>
  <c r="AG9" i="66" s="1"/>
  <c r="AH9" i="66" s="1"/>
  <c r="AI9" i="66" s="1"/>
  <c r="AJ9" i="66" s="1"/>
  <c r="AK9" i="66" s="1"/>
  <c r="AL9" i="66" s="1"/>
  <c r="AM9" i="66" s="1"/>
  <c r="AN9" i="66" s="1"/>
  <c r="AO9" i="66" s="1"/>
  <c r="AP9" i="66" s="1"/>
  <c r="AQ9" i="66" s="1"/>
  <c r="AR9" i="66" s="1"/>
  <c r="AS9" i="66" s="1"/>
  <c r="AT9" i="66" s="1"/>
  <c r="AU9" i="66" s="1"/>
  <c r="AV9" i="66" s="1"/>
  <c r="AW9" i="66" s="1"/>
  <c r="AX9" i="66" s="1"/>
  <c r="AY9" i="66" s="1"/>
  <c r="AZ9" i="66" s="1"/>
  <c r="BA9" i="66" s="1"/>
  <c r="BB9" i="66" s="1"/>
  <c r="BC9" i="66" s="1"/>
  <c r="BD9" i="66" s="1"/>
  <c r="BE9" i="66" s="1"/>
  <c r="BF9" i="66" s="1"/>
  <c r="BG9" i="66" s="1"/>
  <c r="BH9" i="66" s="1"/>
  <c r="BI9" i="66" s="1"/>
  <c r="BJ9" i="66" s="1"/>
  <c r="BK9" i="66" s="1"/>
  <c r="BL9" i="66" s="1"/>
  <c r="BM9" i="66" s="1"/>
  <c r="U17" i="66"/>
  <c r="U18" i="66"/>
  <c r="U19" i="66"/>
  <c r="U20" i="66"/>
  <c r="U21" i="66"/>
  <c r="U22" i="66"/>
  <c r="U23" i="66"/>
  <c r="U24" i="66"/>
  <c r="U25" i="66"/>
  <c r="U26" i="66"/>
  <c r="U27" i="66"/>
  <c r="U28" i="66"/>
  <c r="U29" i="66"/>
  <c r="U30" i="66"/>
  <c r="U31" i="66"/>
  <c r="U32" i="66"/>
  <c r="U33" i="66"/>
  <c r="U34" i="66"/>
  <c r="U35" i="66"/>
  <c r="U36" i="66"/>
  <c r="U37" i="66"/>
  <c r="U38" i="66"/>
  <c r="U39" i="66"/>
  <c r="U40" i="66"/>
  <c r="U41" i="66"/>
  <c r="U42" i="66"/>
  <c r="U43" i="66"/>
  <c r="U44" i="66"/>
  <c r="U45" i="66"/>
  <c r="U46" i="66"/>
  <c r="U47" i="66"/>
  <c r="U48" i="66"/>
  <c r="U49" i="66"/>
  <c r="U50" i="66"/>
  <c r="U51" i="66"/>
  <c r="U52" i="66"/>
  <c r="U53" i="66"/>
  <c r="U54" i="66"/>
  <c r="U55" i="66"/>
  <c r="U56" i="66"/>
  <c r="U58" i="66"/>
  <c r="U62" i="66"/>
  <c r="U66" i="66"/>
  <c r="U70" i="66"/>
  <c r="U74" i="66"/>
  <c r="U110" i="66"/>
  <c r="U111" i="66"/>
  <c r="U112" i="66"/>
  <c r="U113" i="66"/>
  <c r="U114" i="66"/>
  <c r="U115" i="66"/>
  <c r="U116" i="66"/>
  <c r="U117" i="66"/>
  <c r="U118" i="66"/>
  <c r="U119" i="66"/>
  <c r="U120" i="66"/>
  <c r="U121" i="66"/>
  <c r="U122" i="66"/>
  <c r="U123" i="66"/>
  <c r="U124" i="66"/>
  <c r="U125" i="66"/>
  <c r="U126" i="66"/>
  <c r="U127" i="66"/>
  <c r="U128" i="66"/>
  <c r="U129" i="66"/>
  <c r="U130" i="66"/>
  <c r="U131" i="66"/>
  <c r="U132" i="66"/>
  <c r="U133" i="66"/>
  <c r="U134" i="66"/>
  <c r="U135" i="66"/>
  <c r="U136" i="66"/>
  <c r="U137" i="66"/>
  <c r="U138" i="66"/>
  <c r="U139" i="66"/>
  <c r="U140" i="66"/>
  <c r="U141" i="66"/>
  <c r="U142" i="66"/>
  <c r="U143" i="66"/>
  <c r="U144" i="66"/>
  <c r="U145" i="66"/>
  <c r="U146" i="66"/>
  <c r="U147" i="66"/>
  <c r="U148" i="66"/>
  <c r="U149" i="66"/>
  <c r="U150" i="66"/>
  <c r="U151" i="66"/>
  <c r="U152" i="66"/>
  <c r="U153" i="66"/>
  <c r="U154" i="66"/>
  <c r="U155" i="66"/>
  <c r="U156" i="66"/>
  <c r="U157" i="66"/>
  <c r="U158" i="66"/>
  <c r="U159" i="66"/>
  <c r="U160" i="66"/>
  <c r="U161" i="66"/>
  <c r="U162" i="66"/>
  <c r="U163" i="66"/>
  <c r="U164" i="66"/>
  <c r="U165" i="66"/>
  <c r="U166" i="66"/>
  <c r="U167" i="66"/>
  <c r="U168" i="66"/>
  <c r="U169" i="66"/>
  <c r="U170" i="66"/>
  <c r="U171" i="66"/>
  <c r="U172" i="66"/>
  <c r="U173" i="66"/>
  <c r="U174" i="66"/>
  <c r="U175" i="66"/>
  <c r="U176" i="66"/>
  <c r="U177" i="66"/>
  <c r="U178" i="66"/>
  <c r="U179" i="66"/>
  <c r="U180" i="66"/>
  <c r="U181" i="66"/>
  <c r="U182" i="66"/>
  <c r="U183" i="66"/>
  <c r="U184" i="66"/>
  <c r="U185" i="66"/>
  <c r="U186" i="66"/>
  <c r="U187" i="66"/>
  <c r="U188" i="66"/>
  <c r="U189" i="66"/>
  <c r="U190" i="66"/>
  <c r="U191" i="66"/>
  <c r="U192" i="66"/>
  <c r="U193" i="66"/>
  <c r="U194" i="66"/>
  <c r="U195" i="66"/>
  <c r="U196" i="66"/>
  <c r="U197" i="66"/>
  <c r="U198" i="66"/>
  <c r="U199" i="66"/>
  <c r="U200" i="66"/>
  <c r="U57" i="66"/>
  <c r="U61" i="66"/>
  <c r="U65" i="66"/>
  <c r="U69" i="66"/>
  <c r="U73" i="66"/>
  <c r="U77" i="66"/>
  <c r="U78" i="66"/>
  <c r="U79" i="66"/>
  <c r="U80" i="66"/>
  <c r="U81" i="66"/>
  <c r="U82" i="66"/>
  <c r="U83" i="66"/>
  <c r="U84" i="66"/>
  <c r="U85" i="66"/>
  <c r="U86" i="66"/>
  <c r="U87" i="66"/>
  <c r="U88" i="66"/>
  <c r="U89" i="66"/>
  <c r="U90" i="66"/>
  <c r="U91" i="66"/>
  <c r="U92" i="66"/>
  <c r="U93" i="66"/>
  <c r="U94" i="66"/>
  <c r="U95" i="66"/>
  <c r="U96" i="66"/>
  <c r="U97" i="66"/>
  <c r="U98" i="66"/>
  <c r="U99" i="66"/>
  <c r="U100" i="66"/>
  <c r="U101" i="66"/>
  <c r="U102" i="66"/>
  <c r="U103" i="66"/>
  <c r="U104" i="66"/>
  <c r="U105" i="66"/>
  <c r="U106" i="66"/>
  <c r="U107" i="66"/>
  <c r="U60" i="66"/>
  <c r="U64" i="66"/>
  <c r="U68" i="66"/>
  <c r="U72" i="66"/>
  <c r="U76" i="66"/>
  <c r="U67" i="66"/>
  <c r="U71" i="66"/>
  <c r="P108" i="66"/>
  <c r="U75" i="66"/>
  <c r="U59" i="66"/>
  <c r="BQ12" i="32"/>
  <c r="BQ14" i="32" s="1"/>
  <c r="BP269" i="32"/>
  <c r="BN12" i="32"/>
  <c r="BO13" i="32" s="1"/>
  <c r="BM269" i="32"/>
  <c r="BM13" i="32"/>
  <c r="BM14" i="32"/>
  <c r="BP14" i="32"/>
  <c r="BL14" i="32"/>
  <c r="BO14" i="32"/>
  <c r="BO9" i="32"/>
  <c r="BN11" i="32"/>
  <c r="BP11" i="32"/>
  <c r="BQ11" i="32"/>
  <c r="BO11" i="32"/>
  <c r="BP9" i="32"/>
  <c r="D198" i="64"/>
  <c r="F198" i="64"/>
  <c r="G198" i="64"/>
  <c r="H198" i="64"/>
  <c r="I198" i="64"/>
  <c r="D199" i="64"/>
  <c r="F199" i="64"/>
  <c r="G199" i="64"/>
  <c r="H199" i="64"/>
  <c r="I199" i="64"/>
  <c r="D200" i="64"/>
  <c r="F200" i="64"/>
  <c r="G200" i="64"/>
  <c r="H200" i="64"/>
  <c r="I200" i="64"/>
  <c r="D201" i="64"/>
  <c r="F201" i="64"/>
  <c r="G201" i="64"/>
  <c r="H201" i="64"/>
  <c r="I201" i="64"/>
  <c r="D202" i="64"/>
  <c r="F202" i="64"/>
  <c r="G202" i="64"/>
  <c r="H202" i="64"/>
  <c r="I202" i="64"/>
  <c r="B198" i="64"/>
  <c r="B199" i="64"/>
  <c r="B200" i="64"/>
  <c r="B201" i="64"/>
  <c r="B202" i="64"/>
  <c r="T195" i="68" l="1"/>
  <c r="BQ13" i="32"/>
  <c r="BN14" i="32"/>
  <c r="T194" i="68"/>
  <c r="U108" i="66"/>
  <c r="U201" i="66"/>
  <c r="J7" i="67"/>
  <c r="J53" i="67" s="1"/>
  <c r="BN9" i="66"/>
  <c r="BN13" i="32"/>
  <c r="F246" i="64"/>
  <c r="G246" i="64"/>
  <c r="H246" i="64"/>
  <c r="I246" i="64"/>
  <c r="F247" i="64"/>
  <c r="G247" i="64"/>
  <c r="H247" i="64"/>
  <c r="I247" i="64"/>
  <c r="T197" i="68" l="1"/>
  <c r="E245" i="64"/>
  <c r="J245" i="64"/>
  <c r="J68" i="67"/>
  <c r="J25" i="67"/>
  <c r="J56" i="67"/>
  <c r="J72" i="67"/>
  <c r="J21" i="67"/>
  <c r="J44" i="67"/>
  <c r="J13" i="67"/>
  <c r="J29" i="67"/>
  <c r="J60" i="67"/>
  <c r="J37" i="67"/>
  <c r="J17" i="67"/>
  <c r="J33" i="67"/>
  <c r="J64" i="67"/>
  <c r="J48" i="67"/>
  <c r="J93" i="67"/>
  <c r="J109" i="67"/>
  <c r="J125" i="67"/>
  <c r="J141" i="67"/>
  <c r="J69" i="67"/>
  <c r="J52" i="67"/>
  <c r="J90" i="67"/>
  <c r="J106" i="67"/>
  <c r="J122" i="67"/>
  <c r="J138" i="67"/>
  <c r="J20" i="67"/>
  <c r="J40" i="67"/>
  <c r="J81" i="67"/>
  <c r="J97" i="67"/>
  <c r="J113" i="67"/>
  <c r="J129" i="67"/>
  <c r="J57" i="67"/>
  <c r="J73" i="67"/>
  <c r="J78" i="67"/>
  <c r="J94" i="67"/>
  <c r="J110" i="67"/>
  <c r="J126" i="67"/>
  <c r="J142" i="67"/>
  <c r="J24" i="67"/>
  <c r="J45" i="67"/>
  <c r="BO9" i="66"/>
  <c r="J85" i="67"/>
  <c r="J101" i="67"/>
  <c r="J117" i="67"/>
  <c r="J133" i="67"/>
  <c r="J61" i="67"/>
  <c r="J49" i="67"/>
  <c r="J82" i="67"/>
  <c r="J98" i="67"/>
  <c r="J114" i="67"/>
  <c r="J130" i="67"/>
  <c r="J12" i="67"/>
  <c r="J28" i="67"/>
  <c r="J10" i="67"/>
  <c r="J41" i="67"/>
  <c r="J140" i="67"/>
  <c r="J124" i="67"/>
  <c r="J108" i="67"/>
  <c r="J92" i="67"/>
  <c r="J75" i="67"/>
  <c r="J59" i="67"/>
  <c r="J43" i="67"/>
  <c r="J27" i="67"/>
  <c r="J11" i="67"/>
  <c r="J131" i="67"/>
  <c r="J115" i="67"/>
  <c r="J99" i="67"/>
  <c r="J83" i="67"/>
  <c r="J66" i="67"/>
  <c r="J34" i="67"/>
  <c r="J18" i="67"/>
  <c r="J62" i="67"/>
  <c r="J136" i="67"/>
  <c r="J120" i="67"/>
  <c r="J104" i="67"/>
  <c r="J88" i="67"/>
  <c r="J71" i="67"/>
  <c r="J55" i="67"/>
  <c r="J39" i="67"/>
  <c r="J23" i="67"/>
  <c r="J143" i="67"/>
  <c r="J127" i="67"/>
  <c r="J111" i="67"/>
  <c r="J95" i="67"/>
  <c r="J46" i="67"/>
  <c r="J14" i="67"/>
  <c r="J132" i="67"/>
  <c r="J116" i="67"/>
  <c r="J100" i="67"/>
  <c r="J84" i="67"/>
  <c r="J67" i="67"/>
  <c r="J51" i="67"/>
  <c r="J35" i="67"/>
  <c r="J19" i="67"/>
  <c r="J139" i="67"/>
  <c r="J123" i="67"/>
  <c r="J107" i="67"/>
  <c r="J91" i="67"/>
  <c r="J74" i="67"/>
  <c r="J58" i="67"/>
  <c r="J42" i="67"/>
  <c r="J26" i="67"/>
  <c r="J30" i="67"/>
  <c r="J128" i="67"/>
  <c r="J112" i="67"/>
  <c r="J96" i="67"/>
  <c r="J80" i="67"/>
  <c r="J63" i="67"/>
  <c r="J47" i="67"/>
  <c r="J31" i="67"/>
  <c r="J15" i="67"/>
  <c r="J135" i="67"/>
  <c r="J119" i="67"/>
  <c r="J103" i="67"/>
  <c r="J87" i="67"/>
  <c r="J70" i="67"/>
  <c r="J54" i="67"/>
  <c r="J38" i="67"/>
  <c r="J22" i="67"/>
  <c r="J79" i="67"/>
  <c r="J89" i="67"/>
  <c r="J105" i="67"/>
  <c r="J121" i="67"/>
  <c r="J137" i="67"/>
  <c r="J65" i="67"/>
  <c r="J36" i="67"/>
  <c r="J86" i="67"/>
  <c r="J102" i="67"/>
  <c r="J118" i="67"/>
  <c r="J134" i="67"/>
  <c r="J16" i="67"/>
  <c r="J32" i="67"/>
  <c r="J50" i="67"/>
  <c r="H245" i="64"/>
  <c r="D245" i="64"/>
  <c r="F245" i="64"/>
  <c r="I245" i="64"/>
  <c r="G245" i="64"/>
  <c r="T196" i="68" l="1"/>
  <c r="J144" i="67"/>
  <c r="BP9" i="66"/>
  <c r="J76" i="67"/>
  <c r="F291" i="65"/>
  <c r="G291" i="65"/>
  <c r="H291" i="65"/>
  <c r="I291" i="65"/>
  <c r="D291" i="65"/>
  <c r="E291" i="65"/>
  <c r="F137" i="65"/>
  <c r="G137" i="65"/>
  <c r="H137" i="65"/>
  <c r="I137" i="65"/>
  <c r="E137" i="65"/>
  <c r="E139" i="65" s="1"/>
  <c r="BQ9" i="66" l="1"/>
  <c r="I165" i="64" l="1"/>
  <c r="H165" i="64"/>
  <c r="G165" i="64"/>
  <c r="F165" i="64"/>
  <c r="D165" i="64"/>
  <c r="I164" i="64"/>
  <c r="H164" i="64"/>
  <c r="G164" i="64"/>
  <c r="F164" i="64"/>
  <c r="D164" i="64"/>
  <c r="B493" i="64" l="1"/>
  <c r="F471" i="64"/>
  <c r="F472" i="64" s="1"/>
  <c r="F473" i="64" s="1"/>
  <c r="G471" i="64"/>
  <c r="G472" i="64" s="1"/>
  <c r="H471" i="64"/>
  <c r="H472" i="64" s="1"/>
  <c r="H473" i="64" s="1"/>
  <c r="I471" i="64"/>
  <c r="I472" i="64" s="1"/>
  <c r="I473" i="64" s="1"/>
  <c r="D471" i="64"/>
  <c r="D472" i="64" s="1"/>
  <c r="D473" i="64" s="1"/>
  <c r="F313" i="64"/>
  <c r="G313" i="64"/>
  <c r="H313" i="64"/>
  <c r="I313" i="64"/>
  <c r="D313" i="64"/>
  <c r="F141" i="64"/>
  <c r="G141" i="64"/>
  <c r="H141" i="64"/>
  <c r="I141" i="64"/>
  <c r="D141" i="64"/>
  <c r="F138" i="64"/>
  <c r="G138" i="64"/>
  <c r="G139" i="64" s="1"/>
  <c r="G140" i="64" s="1"/>
  <c r="H138" i="64"/>
  <c r="I138" i="64"/>
  <c r="D138" i="64"/>
  <c r="G142" i="64" l="1"/>
  <c r="G143" i="64" s="1"/>
  <c r="G473" i="64"/>
  <c r="F139" i="64"/>
  <c r="H139" i="64"/>
  <c r="H140" i="64" s="1"/>
  <c r="I139" i="64"/>
  <c r="I140" i="64" s="1"/>
  <c r="D139" i="64"/>
  <c r="D140" i="64" s="1"/>
  <c r="D142" i="64" s="1"/>
  <c r="D143" i="64" s="1"/>
  <c r="F140" i="64" l="1"/>
  <c r="F142" i="64" s="1"/>
  <c r="H142" i="64"/>
  <c r="H143" i="64" s="1"/>
  <c r="I142" i="64"/>
  <c r="I143" i="64" s="1"/>
  <c r="F143" i="64" l="1"/>
  <c r="I285" i="65" l="1"/>
  <c r="F221" i="65" l="1"/>
  <c r="G221" i="65"/>
  <c r="H221" i="65"/>
  <c r="I221" i="65"/>
  <c r="D221" i="65"/>
  <c r="E221" i="65"/>
  <c r="F418" i="64" l="1"/>
  <c r="G418" i="64"/>
  <c r="H418" i="64"/>
  <c r="I418" i="64"/>
  <c r="J422" i="64" s="1"/>
  <c r="J425" i="64" s="1"/>
  <c r="D418" i="64"/>
  <c r="F429" i="64"/>
  <c r="G429" i="64"/>
  <c r="H429" i="64"/>
  <c r="I429" i="64"/>
  <c r="F430" i="64"/>
  <c r="G430" i="64"/>
  <c r="H430" i="64"/>
  <c r="I430" i="64"/>
  <c r="D429" i="64"/>
  <c r="D430" i="64"/>
  <c r="E422" i="64" l="1"/>
  <c r="E425" i="64" s="1"/>
  <c r="F388" i="64" l="1"/>
  <c r="G388" i="64"/>
  <c r="H388" i="64"/>
  <c r="I388" i="64"/>
  <c r="D388" i="64"/>
  <c r="O27" i="25" l="1"/>
  <c r="V23" i="25" l="1"/>
  <c r="W23" i="25" s="1"/>
  <c r="X23" i="25" s="1"/>
  <c r="Y23" i="25" s="1"/>
  <c r="Z23" i="25" s="1"/>
  <c r="AA23" i="25" s="1"/>
  <c r="AB23" i="25" s="1"/>
  <c r="AC23" i="25" s="1"/>
  <c r="AD23" i="25" s="1"/>
  <c r="AE23" i="25" s="1"/>
  <c r="J377" i="68"/>
  <c r="V21" i="25"/>
  <c r="W21" i="25" s="1"/>
  <c r="X21" i="25" s="1"/>
  <c r="Y21" i="25" s="1"/>
  <c r="Z21" i="25" s="1"/>
  <c r="AA21" i="25" s="1"/>
  <c r="AB21" i="25" s="1"/>
  <c r="AC21" i="25" s="1"/>
  <c r="AD21" i="25" s="1"/>
  <c r="AE21" i="25" s="1"/>
  <c r="J86" i="68"/>
  <c r="J375" i="68"/>
  <c r="J85" i="68"/>
  <c r="V24" i="25"/>
  <c r="W24" i="25" s="1"/>
  <c r="X24" i="25" s="1"/>
  <c r="Y24" i="25" s="1"/>
  <c r="Z24" i="25" s="1"/>
  <c r="AA24" i="25" s="1"/>
  <c r="AB24" i="25" s="1"/>
  <c r="AC24" i="25" s="1"/>
  <c r="AD24" i="25" s="1"/>
  <c r="AE24" i="25" s="1"/>
  <c r="J378" i="68"/>
  <c r="K377" i="68" l="1"/>
  <c r="AE27" i="25"/>
  <c r="K378" i="68"/>
  <c r="J87" i="68"/>
  <c r="K375" i="68"/>
  <c r="J379" i="68"/>
  <c r="J382" i="68" s="1"/>
  <c r="J161" i="68"/>
  <c r="J163" i="68" s="1"/>
  <c r="J166" i="68" s="1"/>
  <c r="J172" i="68" s="1"/>
  <c r="J152" i="68"/>
  <c r="J154" i="68" s="1"/>
  <c r="AD27" i="25"/>
  <c r="J331" i="68"/>
  <c r="J333" i="68" s="1"/>
  <c r="J271" i="68"/>
  <c r="J276" i="68"/>
  <c r="A44" i="17"/>
  <c r="L377" i="68" l="1"/>
  <c r="L375" i="68"/>
  <c r="L378" i="68"/>
  <c r="J169" i="68"/>
  <c r="J171" i="68" s="1"/>
  <c r="J45" i="68" s="1"/>
  <c r="K379" i="68"/>
  <c r="K382" i="68" s="1"/>
  <c r="K271" i="68"/>
  <c r="J340" i="68"/>
  <c r="J337" i="68"/>
  <c r="J275" i="68"/>
  <c r="K152" i="68"/>
  <c r="K161" i="68"/>
  <c r="K331" i="68"/>
  <c r="J158" i="68"/>
  <c r="J35" i="68" s="1"/>
  <c r="N62" i="17"/>
  <c r="N9" i="17"/>
  <c r="N40" i="17" l="1"/>
  <c r="O10" i="17"/>
  <c r="M377" i="68"/>
  <c r="M375" i="68"/>
  <c r="M378" i="68"/>
  <c r="K169" i="68"/>
  <c r="L271" i="68"/>
  <c r="L379" i="68"/>
  <c r="L382" i="68" s="1"/>
  <c r="J37" i="68"/>
  <c r="J107" i="68"/>
  <c r="L152" i="68"/>
  <c r="L161" i="68"/>
  <c r="L331" i="68"/>
  <c r="N14" i="17"/>
  <c r="N22" i="17"/>
  <c r="N63" i="17"/>
  <c r="N18" i="17"/>
  <c r="N26" i="17"/>
  <c r="N34" i="17"/>
  <c r="N42" i="17"/>
  <c r="N20" i="17"/>
  <c r="N28" i="17"/>
  <c r="N36" i="17"/>
  <c r="N44" i="17"/>
  <c r="N30" i="17"/>
  <c r="N38" i="17"/>
  <c r="N16" i="17"/>
  <c r="N24" i="17"/>
  <c r="N32" i="17"/>
  <c r="N377" i="68" l="1"/>
  <c r="N375" i="68"/>
  <c r="N378" i="68"/>
  <c r="L169" i="68"/>
  <c r="M271" i="68"/>
  <c r="M379" i="68"/>
  <c r="M382" i="68" s="1"/>
  <c r="M331" i="68"/>
  <c r="M161" i="68"/>
  <c r="M152" i="68"/>
  <c r="B175" i="65"/>
  <c r="O377" i="68" l="1"/>
  <c r="O375" i="68"/>
  <c r="O378" i="68"/>
  <c r="M169" i="68"/>
  <c r="N331" i="68"/>
  <c r="N379" i="68"/>
  <c r="N382" i="68" s="1"/>
  <c r="N271" i="68"/>
  <c r="N161" i="68"/>
  <c r="N152" i="68"/>
  <c r="I57" i="64"/>
  <c r="I62" i="64"/>
  <c r="I82" i="64"/>
  <c r="I83" i="64"/>
  <c r="I84" i="64"/>
  <c r="I85" i="64"/>
  <c r="I86" i="64"/>
  <c r="I88" i="64"/>
  <c r="I89" i="64"/>
  <c r="I497" i="64"/>
  <c r="I147" i="64"/>
  <c r="I148" i="64"/>
  <c r="I155" i="64"/>
  <c r="I156" i="64"/>
  <c r="I157" i="64"/>
  <c r="I175" i="64"/>
  <c r="I176" i="64"/>
  <c r="I178" i="64"/>
  <c r="I179" i="64"/>
  <c r="I180" i="64"/>
  <c r="I182" i="64"/>
  <c r="I262" i="64" s="1"/>
  <c r="I184" i="64"/>
  <c r="I295" i="64" s="1"/>
  <c r="I185" i="64"/>
  <c r="I272" i="64" s="1"/>
  <c r="I187" i="64"/>
  <c r="I190" i="64"/>
  <c r="I194" i="64"/>
  <c r="I195" i="64"/>
  <c r="I196" i="64"/>
  <c r="I197" i="64"/>
  <c r="I205" i="64"/>
  <c r="I206" i="64"/>
  <c r="I207" i="64"/>
  <c r="I208" i="64"/>
  <c r="I212" i="64"/>
  <c r="I423" i="64" s="1"/>
  <c r="I213" i="64"/>
  <c r="I214" i="64"/>
  <c r="I218" i="64"/>
  <c r="I219" i="64"/>
  <c r="I109" i="64" s="1"/>
  <c r="I222" i="64"/>
  <c r="I223" i="64"/>
  <c r="I224" i="64"/>
  <c r="I225" i="64"/>
  <c r="I229" i="64"/>
  <c r="I230" i="64"/>
  <c r="I231" i="64"/>
  <c r="I232" i="64"/>
  <c r="I237" i="64"/>
  <c r="I238" i="64"/>
  <c r="I239" i="64"/>
  <c r="I241" i="64"/>
  <c r="I242" i="64"/>
  <c r="I249" i="64"/>
  <c r="I252" i="64"/>
  <c r="I253" i="64"/>
  <c r="I256" i="64"/>
  <c r="I257" i="64"/>
  <c r="I266" i="64"/>
  <c r="I273" i="64"/>
  <c r="I279" i="64"/>
  <c r="I280" i="64"/>
  <c r="I283" i="64"/>
  <c r="I284" i="64"/>
  <c r="I287" i="64"/>
  <c r="I288" i="64"/>
  <c r="I289" i="64"/>
  <c r="I298" i="64"/>
  <c r="I301" i="64"/>
  <c r="I302" i="64"/>
  <c r="I305" i="64"/>
  <c r="I306" i="64"/>
  <c r="I309" i="64"/>
  <c r="I310" i="64"/>
  <c r="I314" i="64"/>
  <c r="I316" i="64"/>
  <c r="I319" i="64"/>
  <c r="I320" i="64"/>
  <c r="I326" i="64"/>
  <c r="I327" i="64"/>
  <c r="I328" i="64"/>
  <c r="I334" i="64"/>
  <c r="I335" i="64"/>
  <c r="I347" i="64"/>
  <c r="I351" i="64"/>
  <c r="I354" i="64"/>
  <c r="I360" i="64"/>
  <c r="I361" i="64"/>
  <c r="I331" i="64"/>
  <c r="I489" i="64"/>
  <c r="I449" i="64"/>
  <c r="I263" i="64"/>
  <c r="I151" i="64"/>
  <c r="I411" i="64"/>
  <c r="I415" i="64"/>
  <c r="I419" i="64"/>
  <c r="I420" i="64"/>
  <c r="I433" i="64"/>
  <c r="I434" i="64"/>
  <c r="I435" i="64"/>
  <c r="I439" i="64"/>
  <c r="I440" i="64"/>
  <c r="I442" i="64"/>
  <c r="I443" i="64"/>
  <c r="I446" i="64"/>
  <c r="I450" i="64"/>
  <c r="I453" i="64"/>
  <c r="I456" i="64"/>
  <c r="I457" i="64"/>
  <c r="I460" i="64"/>
  <c r="I462" i="64" s="1"/>
  <c r="I461" i="64"/>
  <c r="I466" i="64"/>
  <c r="I467" i="64" s="1"/>
  <c r="I474" i="64"/>
  <c r="I477" i="64"/>
  <c r="I478" i="64"/>
  <c r="I479" i="64"/>
  <c r="I480" i="64"/>
  <c r="I481" i="64"/>
  <c r="I482" i="64"/>
  <c r="I486" i="64"/>
  <c r="I487" i="64"/>
  <c r="I488" i="64"/>
  <c r="I495" i="64"/>
  <c r="I496" i="64"/>
  <c r="I498" i="64"/>
  <c r="S376" i="64"/>
  <c r="S380" i="64"/>
  <c r="S489" i="64" s="1"/>
  <c r="S401" i="64"/>
  <c r="S402" i="64"/>
  <c r="S403" i="64"/>
  <c r="S263" i="64" s="1"/>
  <c r="S404" i="64"/>
  <c r="S405" i="64"/>
  <c r="S151" i="64" s="1"/>
  <c r="S406" i="64"/>
  <c r="I11" i="64"/>
  <c r="J12" i="64" s="1"/>
  <c r="I13" i="64"/>
  <c r="J14" i="64" s="1"/>
  <c r="I17" i="64"/>
  <c r="J18" i="64" s="1"/>
  <c r="I19" i="64"/>
  <c r="J20" i="64" s="1"/>
  <c r="I22" i="64"/>
  <c r="J23" i="64" s="1"/>
  <c r="I24" i="64"/>
  <c r="I25" i="64"/>
  <c r="I26" i="64"/>
  <c r="I27" i="64"/>
  <c r="I29" i="64"/>
  <c r="J30" i="64" s="1"/>
  <c r="I31" i="64"/>
  <c r="T9" i="66"/>
  <c r="P377" i="68" l="1"/>
  <c r="P375" i="68"/>
  <c r="P378" i="68"/>
  <c r="N169" i="68"/>
  <c r="O152" i="68"/>
  <c r="O161" i="68"/>
  <c r="O331" i="68"/>
  <c r="O379" i="68"/>
  <c r="O382" i="68" s="1"/>
  <c r="O271" i="68"/>
  <c r="J490" i="64"/>
  <c r="J491" i="64" s="1"/>
  <c r="J99" i="64"/>
  <c r="J100" i="64" s="1"/>
  <c r="T17" i="66"/>
  <c r="T18" i="66"/>
  <c r="T19" i="66"/>
  <c r="T20" i="66"/>
  <c r="T21" i="66"/>
  <c r="T22" i="66"/>
  <c r="T23" i="66"/>
  <c r="T24" i="66"/>
  <c r="T25" i="66"/>
  <c r="T26" i="66"/>
  <c r="T27" i="66"/>
  <c r="T28" i="66"/>
  <c r="T29" i="66"/>
  <c r="T30" i="66"/>
  <c r="T31" i="66"/>
  <c r="T32" i="66"/>
  <c r="T33" i="66"/>
  <c r="T34" i="66"/>
  <c r="T35" i="66"/>
  <c r="T36" i="66"/>
  <c r="T37" i="66"/>
  <c r="T38" i="66"/>
  <c r="T39" i="66"/>
  <c r="T40" i="66"/>
  <c r="T41" i="66"/>
  <c r="T42" i="66"/>
  <c r="T43" i="66"/>
  <c r="T44" i="66"/>
  <c r="T45" i="66"/>
  <c r="T46" i="66"/>
  <c r="T47" i="66"/>
  <c r="T48" i="66"/>
  <c r="T49" i="66"/>
  <c r="T50" i="66"/>
  <c r="T51" i="66"/>
  <c r="T52" i="66"/>
  <c r="T53" i="66"/>
  <c r="T54" i="66"/>
  <c r="T55" i="66"/>
  <c r="T56" i="66"/>
  <c r="T57" i="66"/>
  <c r="T58" i="66"/>
  <c r="T59" i="66"/>
  <c r="T60" i="66"/>
  <c r="T61" i="66"/>
  <c r="T62" i="66"/>
  <c r="T63" i="66"/>
  <c r="T64" i="66"/>
  <c r="T65" i="66"/>
  <c r="T66" i="66"/>
  <c r="T67" i="66"/>
  <c r="T68" i="66"/>
  <c r="T69" i="66"/>
  <c r="T70" i="66"/>
  <c r="T71" i="66"/>
  <c r="T72" i="66"/>
  <c r="T73" i="66"/>
  <c r="T74" i="66"/>
  <c r="T75" i="66"/>
  <c r="T76" i="66"/>
  <c r="T77" i="66"/>
  <c r="T78" i="66"/>
  <c r="T79" i="66"/>
  <c r="T80" i="66"/>
  <c r="T81" i="66"/>
  <c r="T82" i="66"/>
  <c r="T83" i="66"/>
  <c r="T84" i="66"/>
  <c r="T85" i="66"/>
  <c r="T86" i="66"/>
  <c r="T87" i="66"/>
  <c r="T88" i="66"/>
  <c r="T89" i="66"/>
  <c r="T90" i="66"/>
  <c r="T91" i="66"/>
  <c r="T92" i="66"/>
  <c r="T93" i="66"/>
  <c r="T94" i="66"/>
  <c r="T95" i="66"/>
  <c r="T96" i="66"/>
  <c r="T97" i="66"/>
  <c r="T98" i="66"/>
  <c r="T99" i="66"/>
  <c r="T100" i="66"/>
  <c r="T101" i="66"/>
  <c r="T102" i="66"/>
  <c r="T103" i="66"/>
  <c r="T104" i="66"/>
  <c r="T105" i="66"/>
  <c r="T106" i="66"/>
  <c r="T107" i="66"/>
  <c r="T113" i="66"/>
  <c r="T117" i="66"/>
  <c r="T121" i="66"/>
  <c r="T125" i="66"/>
  <c r="T129" i="66"/>
  <c r="T133" i="66"/>
  <c r="T137" i="66"/>
  <c r="T141" i="66"/>
  <c r="T145" i="66"/>
  <c r="T149" i="66"/>
  <c r="T153" i="66"/>
  <c r="T157" i="66"/>
  <c r="T161" i="66"/>
  <c r="T165" i="66"/>
  <c r="T169" i="66"/>
  <c r="T173" i="66"/>
  <c r="T177" i="66"/>
  <c r="T181" i="66"/>
  <c r="T185" i="66"/>
  <c r="T189" i="66"/>
  <c r="T193" i="66"/>
  <c r="T197" i="66"/>
  <c r="T110" i="66"/>
  <c r="T114" i="66"/>
  <c r="T118" i="66"/>
  <c r="T122" i="66"/>
  <c r="T126" i="66"/>
  <c r="T130" i="66"/>
  <c r="T134" i="66"/>
  <c r="T138" i="66"/>
  <c r="T142" i="66"/>
  <c r="T146" i="66"/>
  <c r="T150" i="66"/>
  <c r="T154" i="66"/>
  <c r="T158" i="66"/>
  <c r="T162" i="66"/>
  <c r="T166" i="66"/>
  <c r="T170" i="66"/>
  <c r="T174" i="66"/>
  <c r="T178" i="66"/>
  <c r="T182" i="66"/>
  <c r="T186" i="66"/>
  <c r="T190" i="66"/>
  <c r="T194" i="66"/>
  <c r="T198" i="66"/>
  <c r="T180" i="66"/>
  <c r="T196" i="66"/>
  <c r="T111" i="66"/>
  <c r="T115" i="66"/>
  <c r="T119" i="66"/>
  <c r="T123" i="66"/>
  <c r="T127" i="66"/>
  <c r="T131" i="66"/>
  <c r="T135" i="66"/>
  <c r="T139" i="66"/>
  <c r="T143" i="66"/>
  <c r="T147" i="66"/>
  <c r="T151" i="66"/>
  <c r="T155" i="66"/>
  <c r="T159" i="66"/>
  <c r="T163" i="66"/>
  <c r="T167" i="66"/>
  <c r="T171" i="66"/>
  <c r="T175" i="66"/>
  <c r="T179" i="66"/>
  <c r="T183" i="66"/>
  <c r="T187" i="66"/>
  <c r="T191" i="66"/>
  <c r="T195" i="66"/>
  <c r="T199" i="66"/>
  <c r="T112" i="66"/>
  <c r="T116" i="66"/>
  <c r="T120" i="66"/>
  <c r="T124" i="66"/>
  <c r="T128" i="66"/>
  <c r="T132" i="66"/>
  <c r="T136" i="66"/>
  <c r="T140" i="66"/>
  <c r="T144" i="66"/>
  <c r="T148" i="66"/>
  <c r="T152" i="66"/>
  <c r="T156" i="66"/>
  <c r="T160" i="66"/>
  <c r="T164" i="66"/>
  <c r="T168" i="66"/>
  <c r="T172" i="66"/>
  <c r="T176" i="66"/>
  <c r="T184" i="66"/>
  <c r="T188" i="66"/>
  <c r="T192" i="66"/>
  <c r="T200" i="66"/>
  <c r="I274" i="64"/>
  <c r="I336" i="64"/>
  <c r="I271" i="64"/>
  <c r="I276" i="64"/>
  <c r="I240" i="64"/>
  <c r="I294" i="64"/>
  <c r="I296" i="64" s="1"/>
  <c r="I297" i="64" s="1"/>
  <c r="I426" i="64"/>
  <c r="I422" i="64"/>
  <c r="I424" i="64"/>
  <c r="I87" i="64"/>
  <c r="I352" i="64"/>
  <c r="I353" i="64" s="1"/>
  <c r="I290" i="64"/>
  <c r="I291" i="64" s="1"/>
  <c r="I258" i="64"/>
  <c r="I499" i="64"/>
  <c r="I441" i="64"/>
  <c r="I209" i="64"/>
  <c r="I315" i="64"/>
  <c r="I15" i="64"/>
  <c r="I264" i="64"/>
  <c r="I226" i="64"/>
  <c r="I410" i="64"/>
  <c r="I414" i="64" s="1"/>
  <c r="I215" i="64"/>
  <c r="I108" i="64" s="1"/>
  <c r="I114" i="64" s="1"/>
  <c r="I451" i="64"/>
  <c r="I452" i="64" s="1"/>
  <c r="I63" i="64" s="1"/>
  <c r="I233" i="64"/>
  <c r="I181" i="64"/>
  <c r="I188" i="64" s="1"/>
  <c r="I189" i="64" s="1"/>
  <c r="I436" i="64"/>
  <c r="S110" i="64"/>
  <c r="I333" i="64"/>
  <c r="I340" i="64" s="1"/>
  <c r="I463" i="64"/>
  <c r="I468" i="64"/>
  <c r="I21" i="64"/>
  <c r="I388" i="65"/>
  <c r="I382" i="65"/>
  <c r="I378" i="65"/>
  <c r="I358" i="65"/>
  <c r="I342" i="65"/>
  <c r="I324" i="65"/>
  <c r="I307" i="65"/>
  <c r="I297" i="65"/>
  <c r="I281" i="65"/>
  <c r="I273" i="65"/>
  <c r="I268" i="65"/>
  <c r="I263" i="65"/>
  <c r="I257" i="65"/>
  <c r="I252" i="65"/>
  <c r="I247" i="65"/>
  <c r="I242" i="65"/>
  <c r="I231" i="65"/>
  <c r="I226" i="65"/>
  <c r="I216" i="65"/>
  <c r="I196" i="65"/>
  <c r="I191" i="65"/>
  <c r="I190" i="65"/>
  <c r="I182" i="65"/>
  <c r="I167" i="65"/>
  <c r="I160" i="65"/>
  <c r="I144" i="65"/>
  <c r="I152" i="65" s="1"/>
  <c r="I129" i="65"/>
  <c r="I105" i="65"/>
  <c r="I94" i="65"/>
  <c r="I87" i="65"/>
  <c r="I80" i="65"/>
  <c r="I76" i="65"/>
  <c r="I69" i="65"/>
  <c r="I52" i="65"/>
  <c r="I23" i="65"/>
  <c r="I14" i="65"/>
  <c r="U227" i="66" l="1"/>
  <c r="U217" i="66"/>
  <c r="U208" i="66"/>
  <c r="U224" i="66"/>
  <c r="U223" i="66"/>
  <c r="U216" i="66"/>
  <c r="U212" i="66"/>
  <c r="U222" i="66"/>
  <c r="U228" i="66"/>
  <c r="U213" i="66"/>
  <c r="U209" i="66"/>
  <c r="U229" i="66"/>
  <c r="U220" i="66"/>
  <c r="U215" i="66"/>
  <c r="U211" i="66"/>
  <c r="U221" i="66"/>
  <c r="U226" i="66"/>
  <c r="U225" i="66"/>
  <c r="U219" i="66"/>
  <c r="U218" i="66"/>
  <c r="U214" i="66"/>
  <c r="U210" i="66"/>
  <c r="Q377" i="68"/>
  <c r="Q375" i="68"/>
  <c r="Q378" i="68"/>
  <c r="O169" i="68"/>
  <c r="P331" i="68"/>
  <c r="P379" i="68"/>
  <c r="P382" i="68" s="1"/>
  <c r="P271" i="68"/>
  <c r="P161" i="68"/>
  <c r="P152" i="68"/>
  <c r="I31" i="65"/>
  <c r="I32" i="65"/>
  <c r="I275" i="64"/>
  <c r="T201" i="66"/>
  <c r="T108" i="66"/>
  <c r="I259" i="64"/>
  <c r="T206" i="66"/>
  <c r="T205" i="66"/>
  <c r="I389" i="65"/>
  <c r="I146" i="65"/>
  <c r="I183" i="64"/>
  <c r="I186" i="64" s="1"/>
  <c r="I425" i="64"/>
  <c r="I139" i="65"/>
  <c r="I384" i="65"/>
  <c r="I81" i="65"/>
  <c r="S512" i="64"/>
  <c r="I324" i="64"/>
  <c r="I265" i="64"/>
  <c r="I267" i="64" s="1"/>
  <c r="I191" i="64"/>
  <c r="I192" i="64" s="1"/>
  <c r="I323" i="64"/>
  <c r="I337" i="64"/>
  <c r="I55" i="64"/>
  <c r="R377" i="68" l="1"/>
  <c r="R375" i="68"/>
  <c r="R378" i="68"/>
  <c r="P169" i="68"/>
  <c r="Q331" i="68"/>
  <c r="Q152" i="68"/>
  <c r="Q161" i="68"/>
  <c r="Q271" i="68"/>
  <c r="Q379" i="68"/>
  <c r="Q382" i="68" s="1"/>
  <c r="I37" i="64"/>
  <c r="I107" i="64"/>
  <c r="I88" i="65"/>
  <c r="I95" i="65" s="1"/>
  <c r="I99" i="65"/>
  <c r="I114" i="65" s="1"/>
  <c r="I268" i="64"/>
  <c r="C1" i="64"/>
  <c r="F440" i="64"/>
  <c r="G440" i="64"/>
  <c r="H440" i="64"/>
  <c r="D440" i="64"/>
  <c r="L439" i="64" l="1"/>
  <c r="P439" i="64"/>
  <c r="T439" i="64"/>
  <c r="M439" i="64"/>
  <c r="Q439" i="64"/>
  <c r="K439" i="64"/>
  <c r="N439" i="64"/>
  <c r="R439" i="64"/>
  <c r="O439" i="64"/>
  <c r="S439" i="64"/>
  <c r="K113" i="64"/>
  <c r="L113" i="64" s="1"/>
  <c r="M113" i="64" s="1"/>
  <c r="N113" i="64" s="1"/>
  <c r="O113" i="64" s="1"/>
  <c r="P113" i="64" s="1"/>
  <c r="Q113" i="64" s="1"/>
  <c r="R113" i="64" s="1"/>
  <c r="S113" i="64" s="1"/>
  <c r="T113" i="64" s="1"/>
  <c r="S377" i="68"/>
  <c r="S375" i="68"/>
  <c r="Q169" i="68"/>
  <c r="S378" i="68"/>
  <c r="R379" i="68"/>
  <c r="R382" i="68" s="1"/>
  <c r="R271" i="68"/>
  <c r="R152" i="68"/>
  <c r="R161" i="68"/>
  <c r="R331" i="68"/>
  <c r="T111" i="64"/>
  <c r="K76" i="64"/>
  <c r="L76" i="64" s="1"/>
  <c r="M76" i="64" s="1"/>
  <c r="N76" i="64" s="1"/>
  <c r="O76" i="64" s="1"/>
  <c r="P76" i="64" s="1"/>
  <c r="Q76" i="64" s="1"/>
  <c r="R76" i="64" s="1"/>
  <c r="S76" i="64" s="1"/>
  <c r="T76" i="64" s="1"/>
  <c r="E344" i="64"/>
  <c r="E367" i="64" s="1"/>
  <c r="E358" i="64"/>
  <c r="E362" i="64" s="1"/>
  <c r="E162" i="64"/>
  <c r="E170" i="64" s="1"/>
  <c r="J162" i="64"/>
  <c r="J344" i="64"/>
  <c r="J358" i="64"/>
  <c r="J357" i="64"/>
  <c r="J153" i="64"/>
  <c r="J161" i="64"/>
  <c r="J152" i="64"/>
  <c r="E153" i="64"/>
  <c r="E357" i="64"/>
  <c r="E152" i="64"/>
  <c r="E161" i="64"/>
  <c r="T2" i="64"/>
  <c r="I153" i="64"/>
  <c r="I97" i="65"/>
  <c r="I358" i="64"/>
  <c r="H344" i="64"/>
  <c r="H162" i="64"/>
  <c r="D162" i="64"/>
  <c r="G344" i="64"/>
  <c r="H358" i="64"/>
  <c r="D358" i="64"/>
  <c r="I344" i="64"/>
  <c r="D344" i="64"/>
  <c r="G162" i="64"/>
  <c r="I161" i="64"/>
  <c r="G358" i="64"/>
  <c r="F344" i="64"/>
  <c r="F162" i="64"/>
  <c r="F358" i="64"/>
  <c r="I162" i="64"/>
  <c r="I357" i="64"/>
  <c r="I152" i="64"/>
  <c r="S2" i="64"/>
  <c r="S111" i="64"/>
  <c r="T377" i="68" l="1"/>
  <c r="T375" i="68"/>
  <c r="R169" i="68"/>
  <c r="T378" i="68"/>
  <c r="S161" i="68"/>
  <c r="S152" i="68"/>
  <c r="S331" i="68"/>
  <c r="S271" i="68"/>
  <c r="S379" i="68"/>
  <c r="S382" i="68" s="1"/>
  <c r="T393" i="64"/>
  <c r="J367" i="64"/>
  <c r="J170" i="64"/>
  <c r="J362" i="64"/>
  <c r="J359" i="64"/>
  <c r="K393" i="64"/>
  <c r="J163" i="64"/>
  <c r="E359" i="64"/>
  <c r="E363" i="64" s="1"/>
  <c r="J345" i="64"/>
  <c r="J366" i="64"/>
  <c r="E345" i="64"/>
  <c r="E346" i="64" s="1"/>
  <c r="E366" i="64"/>
  <c r="E368" i="64" s="1"/>
  <c r="E371" i="64" s="1"/>
  <c r="E372" i="64" s="1"/>
  <c r="E169" i="64"/>
  <c r="E171" i="64" s="1"/>
  <c r="E154" i="64"/>
  <c r="E158" i="64" s="1"/>
  <c r="E163" i="64"/>
  <c r="E166" i="64" s="1"/>
  <c r="E172" i="64" s="1"/>
  <c r="J169" i="64"/>
  <c r="J154" i="64"/>
  <c r="I367" i="64"/>
  <c r="I366" i="64"/>
  <c r="L393" i="64"/>
  <c r="I362" i="64"/>
  <c r="G170" i="64"/>
  <c r="H170" i="64"/>
  <c r="I170" i="64"/>
  <c r="K247" i="64"/>
  <c r="K31" i="64"/>
  <c r="K234" i="64" s="1"/>
  <c r="K386" i="64"/>
  <c r="F170" i="64"/>
  <c r="D170" i="64"/>
  <c r="K246" i="64"/>
  <c r="I169" i="64"/>
  <c r="I163" i="64"/>
  <c r="C17" i="66"/>
  <c r="D17" i="66"/>
  <c r="E17" i="66"/>
  <c r="F17" i="66"/>
  <c r="G17" i="66"/>
  <c r="H17" i="66"/>
  <c r="I17" i="66"/>
  <c r="C18" i="66"/>
  <c r="D18" i="66"/>
  <c r="E18" i="66"/>
  <c r="F18" i="66"/>
  <c r="G18" i="66"/>
  <c r="H18" i="66"/>
  <c r="I18" i="66"/>
  <c r="C19" i="66"/>
  <c r="D19" i="66"/>
  <c r="E19" i="66"/>
  <c r="F19" i="66"/>
  <c r="G19" i="66"/>
  <c r="H19" i="66"/>
  <c r="I19" i="66"/>
  <c r="C20" i="66"/>
  <c r="D20" i="66"/>
  <c r="E20" i="66"/>
  <c r="F20" i="66"/>
  <c r="G20" i="66"/>
  <c r="H20" i="66"/>
  <c r="I20" i="66"/>
  <c r="C21" i="66"/>
  <c r="D21" i="66"/>
  <c r="E21" i="66"/>
  <c r="F21" i="66"/>
  <c r="G21" i="66"/>
  <c r="H21" i="66"/>
  <c r="I21" i="66"/>
  <c r="C22" i="66"/>
  <c r="D22" i="66"/>
  <c r="E22" i="66"/>
  <c r="F22" i="66"/>
  <c r="G22" i="66"/>
  <c r="H22" i="66"/>
  <c r="I22" i="66"/>
  <c r="C23" i="66"/>
  <c r="D23" i="66"/>
  <c r="E23" i="66"/>
  <c r="F23" i="66"/>
  <c r="G23" i="66"/>
  <c r="H23" i="66"/>
  <c r="I23" i="66"/>
  <c r="C24" i="66"/>
  <c r="D24" i="66"/>
  <c r="E24" i="66"/>
  <c r="F24" i="66"/>
  <c r="G24" i="66"/>
  <c r="H24" i="66"/>
  <c r="I24" i="66"/>
  <c r="C25" i="66"/>
  <c r="D25" i="66"/>
  <c r="E25" i="66"/>
  <c r="F25" i="66"/>
  <c r="G25" i="66"/>
  <c r="H25" i="66"/>
  <c r="I25" i="66"/>
  <c r="C26" i="66"/>
  <c r="D26" i="66"/>
  <c r="E26" i="66"/>
  <c r="F26" i="66"/>
  <c r="G26" i="66"/>
  <c r="H26" i="66"/>
  <c r="I26" i="66"/>
  <c r="C27" i="66"/>
  <c r="D27" i="66"/>
  <c r="E27" i="66"/>
  <c r="F27" i="66"/>
  <c r="G27" i="66"/>
  <c r="H27" i="66"/>
  <c r="I27" i="66"/>
  <c r="C28" i="66"/>
  <c r="D28" i="66"/>
  <c r="E28" i="66"/>
  <c r="F28" i="66"/>
  <c r="G28" i="66"/>
  <c r="H28" i="66"/>
  <c r="I28" i="66"/>
  <c r="C29" i="66"/>
  <c r="D29" i="66"/>
  <c r="E29" i="66"/>
  <c r="F29" i="66"/>
  <c r="G29" i="66"/>
  <c r="H29" i="66"/>
  <c r="I29" i="66"/>
  <c r="C30" i="66"/>
  <c r="D30" i="66"/>
  <c r="E30" i="66"/>
  <c r="F30" i="66"/>
  <c r="G30" i="66"/>
  <c r="H30" i="66"/>
  <c r="I30" i="66"/>
  <c r="C31" i="66"/>
  <c r="D31" i="66"/>
  <c r="E31" i="66"/>
  <c r="F31" i="66"/>
  <c r="G31" i="66"/>
  <c r="H31" i="66"/>
  <c r="I31" i="66"/>
  <c r="C32" i="66"/>
  <c r="D32" i="66"/>
  <c r="E32" i="66"/>
  <c r="F32" i="66"/>
  <c r="G32" i="66"/>
  <c r="H32" i="66"/>
  <c r="I32" i="66"/>
  <c r="C33" i="66"/>
  <c r="D33" i="66"/>
  <c r="E33" i="66"/>
  <c r="F33" i="66"/>
  <c r="G33" i="66"/>
  <c r="H33" i="66"/>
  <c r="I33" i="66"/>
  <c r="C34" i="66"/>
  <c r="D34" i="66"/>
  <c r="E34" i="66"/>
  <c r="F34" i="66"/>
  <c r="G34" i="66"/>
  <c r="H34" i="66"/>
  <c r="I34" i="66"/>
  <c r="C35" i="66"/>
  <c r="D35" i="66"/>
  <c r="E35" i="66"/>
  <c r="F35" i="66"/>
  <c r="G35" i="66"/>
  <c r="H35" i="66"/>
  <c r="I35" i="66"/>
  <c r="C36" i="66"/>
  <c r="D36" i="66"/>
  <c r="E36" i="66"/>
  <c r="F36" i="66"/>
  <c r="G36" i="66"/>
  <c r="H36" i="66"/>
  <c r="I36" i="66"/>
  <c r="C37" i="66"/>
  <c r="D37" i="66"/>
  <c r="E37" i="66"/>
  <c r="F37" i="66"/>
  <c r="G37" i="66"/>
  <c r="H37" i="66"/>
  <c r="I37" i="66"/>
  <c r="C38" i="66"/>
  <c r="D38" i="66"/>
  <c r="E38" i="66"/>
  <c r="F38" i="66"/>
  <c r="G38" i="66"/>
  <c r="H38" i="66"/>
  <c r="I38" i="66"/>
  <c r="C39" i="66"/>
  <c r="D39" i="66"/>
  <c r="E39" i="66"/>
  <c r="F39" i="66"/>
  <c r="G39" i="66"/>
  <c r="H39" i="66"/>
  <c r="I39" i="66"/>
  <c r="C40" i="66"/>
  <c r="D40" i="66"/>
  <c r="E40" i="66"/>
  <c r="F40" i="66"/>
  <c r="G40" i="66"/>
  <c r="H40" i="66"/>
  <c r="I40" i="66"/>
  <c r="C41" i="66"/>
  <c r="D41" i="66"/>
  <c r="E41" i="66"/>
  <c r="F41" i="66"/>
  <c r="G41" i="66"/>
  <c r="H41" i="66"/>
  <c r="I41" i="66"/>
  <c r="C42" i="66"/>
  <c r="D42" i="66"/>
  <c r="E42" i="66"/>
  <c r="F42" i="66"/>
  <c r="G42" i="66"/>
  <c r="H42" i="66"/>
  <c r="I42" i="66"/>
  <c r="C43" i="66"/>
  <c r="D43" i="66"/>
  <c r="E43" i="66"/>
  <c r="F43" i="66"/>
  <c r="G43" i="66"/>
  <c r="H43" i="66"/>
  <c r="I43" i="66"/>
  <c r="C44" i="66"/>
  <c r="D44" i="66"/>
  <c r="E44" i="66"/>
  <c r="F44" i="66"/>
  <c r="G44" i="66"/>
  <c r="H44" i="66"/>
  <c r="I44" i="66"/>
  <c r="C45" i="66"/>
  <c r="D45" i="66"/>
  <c r="E45" i="66"/>
  <c r="F45" i="66"/>
  <c r="G45" i="66"/>
  <c r="H45" i="66"/>
  <c r="I45" i="66"/>
  <c r="C46" i="66"/>
  <c r="D46" i="66"/>
  <c r="E46" i="66"/>
  <c r="F46" i="66"/>
  <c r="G46" i="66"/>
  <c r="H46" i="66"/>
  <c r="I46" i="66"/>
  <c r="C47" i="66"/>
  <c r="D47" i="66"/>
  <c r="E47" i="66"/>
  <c r="F47" i="66"/>
  <c r="G47" i="66"/>
  <c r="H47" i="66"/>
  <c r="I47" i="66"/>
  <c r="C48" i="66"/>
  <c r="D48" i="66"/>
  <c r="E48" i="66"/>
  <c r="F48" i="66"/>
  <c r="G48" i="66"/>
  <c r="H48" i="66"/>
  <c r="I48" i="66"/>
  <c r="C49" i="66"/>
  <c r="D49" i="66"/>
  <c r="E49" i="66"/>
  <c r="F49" i="66"/>
  <c r="G49" i="66"/>
  <c r="H49" i="66"/>
  <c r="I49" i="66"/>
  <c r="C50" i="66"/>
  <c r="D50" i="66"/>
  <c r="E50" i="66"/>
  <c r="F50" i="66"/>
  <c r="G50" i="66"/>
  <c r="H50" i="66"/>
  <c r="I50" i="66"/>
  <c r="C51" i="66"/>
  <c r="D51" i="66"/>
  <c r="E51" i="66"/>
  <c r="F51" i="66"/>
  <c r="G51" i="66"/>
  <c r="H51" i="66"/>
  <c r="I51" i="66"/>
  <c r="C52" i="66"/>
  <c r="D52" i="66"/>
  <c r="E52" i="66"/>
  <c r="F52" i="66"/>
  <c r="G52" i="66"/>
  <c r="H52" i="66"/>
  <c r="I52" i="66"/>
  <c r="C53" i="66"/>
  <c r="D53" i="66"/>
  <c r="E53" i="66"/>
  <c r="F53" i="66"/>
  <c r="G53" i="66"/>
  <c r="H53" i="66"/>
  <c r="I53" i="66"/>
  <c r="C54" i="66"/>
  <c r="D54" i="66"/>
  <c r="E54" i="66"/>
  <c r="F54" i="66"/>
  <c r="G54" i="66"/>
  <c r="H54" i="66"/>
  <c r="I54" i="66"/>
  <c r="C55" i="66"/>
  <c r="D55" i="66"/>
  <c r="E55" i="66"/>
  <c r="F55" i="66"/>
  <c r="G55" i="66"/>
  <c r="H55" i="66"/>
  <c r="I55" i="66"/>
  <c r="C56" i="66"/>
  <c r="D56" i="66"/>
  <c r="E56" i="66"/>
  <c r="F56" i="66"/>
  <c r="G56" i="66"/>
  <c r="H56" i="66"/>
  <c r="I56" i="66"/>
  <c r="C57" i="66"/>
  <c r="D57" i="66"/>
  <c r="E57" i="66"/>
  <c r="F57" i="66"/>
  <c r="G57" i="66"/>
  <c r="H57" i="66"/>
  <c r="I57" i="66"/>
  <c r="C58" i="66"/>
  <c r="D58" i="66"/>
  <c r="E58" i="66"/>
  <c r="F58" i="66"/>
  <c r="G58" i="66"/>
  <c r="H58" i="66"/>
  <c r="I58" i="66"/>
  <c r="C59" i="66"/>
  <c r="D59" i="66"/>
  <c r="E59" i="66"/>
  <c r="F59" i="66"/>
  <c r="G59" i="66"/>
  <c r="H59" i="66"/>
  <c r="I59" i="66"/>
  <c r="C60" i="66"/>
  <c r="D60" i="66"/>
  <c r="E60" i="66"/>
  <c r="F60" i="66"/>
  <c r="G60" i="66"/>
  <c r="H60" i="66"/>
  <c r="I60" i="66"/>
  <c r="C61" i="66"/>
  <c r="D61" i="66"/>
  <c r="E61" i="66"/>
  <c r="F61" i="66"/>
  <c r="G61" i="66"/>
  <c r="H61" i="66"/>
  <c r="I61" i="66"/>
  <c r="C62" i="66"/>
  <c r="D62" i="66"/>
  <c r="E62" i="66"/>
  <c r="F62" i="66"/>
  <c r="G62" i="66"/>
  <c r="H62" i="66"/>
  <c r="I62" i="66"/>
  <c r="C63" i="66"/>
  <c r="D63" i="66"/>
  <c r="E63" i="66"/>
  <c r="F63" i="66"/>
  <c r="G63" i="66"/>
  <c r="H63" i="66"/>
  <c r="I63" i="66"/>
  <c r="C64" i="66"/>
  <c r="D64" i="66"/>
  <c r="E64" i="66"/>
  <c r="F64" i="66"/>
  <c r="G64" i="66"/>
  <c r="H64" i="66"/>
  <c r="I64" i="66"/>
  <c r="C65" i="66"/>
  <c r="D65" i="66"/>
  <c r="E65" i="66"/>
  <c r="F65" i="66"/>
  <c r="G65" i="66"/>
  <c r="H65" i="66"/>
  <c r="I65" i="66"/>
  <c r="C66" i="66"/>
  <c r="D66" i="66"/>
  <c r="E66" i="66"/>
  <c r="F66" i="66"/>
  <c r="G66" i="66"/>
  <c r="H66" i="66"/>
  <c r="I66" i="66"/>
  <c r="C67" i="66"/>
  <c r="D67" i="66"/>
  <c r="E67" i="66"/>
  <c r="F67" i="66"/>
  <c r="G67" i="66"/>
  <c r="H67" i="66"/>
  <c r="I67" i="66"/>
  <c r="C68" i="66"/>
  <c r="D68" i="66"/>
  <c r="E68" i="66"/>
  <c r="F68" i="66"/>
  <c r="G68" i="66"/>
  <c r="H68" i="66"/>
  <c r="I68" i="66"/>
  <c r="C69" i="66"/>
  <c r="D69" i="66"/>
  <c r="E69" i="66"/>
  <c r="F69" i="66"/>
  <c r="G69" i="66"/>
  <c r="H69" i="66"/>
  <c r="I69" i="66"/>
  <c r="C70" i="66"/>
  <c r="D70" i="66"/>
  <c r="E70" i="66"/>
  <c r="F70" i="66"/>
  <c r="G70" i="66"/>
  <c r="H70" i="66"/>
  <c r="I70" i="66"/>
  <c r="C71" i="66"/>
  <c r="D71" i="66"/>
  <c r="E71" i="66"/>
  <c r="F71" i="66"/>
  <c r="G71" i="66"/>
  <c r="H71" i="66"/>
  <c r="I71" i="66"/>
  <c r="C72" i="66"/>
  <c r="D72" i="66"/>
  <c r="E72" i="66"/>
  <c r="F72" i="66"/>
  <c r="G72" i="66"/>
  <c r="H72" i="66"/>
  <c r="I72" i="66"/>
  <c r="C73" i="66"/>
  <c r="D73" i="66"/>
  <c r="E73" i="66"/>
  <c r="F73" i="66"/>
  <c r="G73" i="66"/>
  <c r="H73" i="66"/>
  <c r="I73" i="66"/>
  <c r="C74" i="66"/>
  <c r="D74" i="66"/>
  <c r="E74" i="66"/>
  <c r="F74" i="66"/>
  <c r="G74" i="66"/>
  <c r="H74" i="66"/>
  <c r="I74" i="66"/>
  <c r="C75" i="66"/>
  <c r="D75" i="66"/>
  <c r="E75" i="66"/>
  <c r="F75" i="66"/>
  <c r="G75" i="66"/>
  <c r="H75" i="66"/>
  <c r="I75" i="66"/>
  <c r="C76" i="66"/>
  <c r="D76" i="66"/>
  <c r="E76" i="66"/>
  <c r="F76" i="66"/>
  <c r="G76" i="66"/>
  <c r="H76" i="66"/>
  <c r="I76" i="66"/>
  <c r="C77" i="66"/>
  <c r="D77" i="66"/>
  <c r="E77" i="66"/>
  <c r="F77" i="66"/>
  <c r="G77" i="66"/>
  <c r="H77" i="66"/>
  <c r="I77" i="66"/>
  <c r="C78" i="66"/>
  <c r="D78" i="66"/>
  <c r="E78" i="66"/>
  <c r="F78" i="66"/>
  <c r="G78" i="66"/>
  <c r="H78" i="66"/>
  <c r="I78" i="66"/>
  <c r="C79" i="66"/>
  <c r="D79" i="66"/>
  <c r="E79" i="66"/>
  <c r="F79" i="66"/>
  <c r="G79" i="66"/>
  <c r="H79" i="66"/>
  <c r="I79" i="66"/>
  <c r="C80" i="66"/>
  <c r="D80" i="66"/>
  <c r="E80" i="66"/>
  <c r="F80" i="66"/>
  <c r="G80" i="66"/>
  <c r="H80" i="66"/>
  <c r="I80" i="66"/>
  <c r="C81" i="66"/>
  <c r="D81" i="66"/>
  <c r="E81" i="66"/>
  <c r="F81" i="66"/>
  <c r="G81" i="66"/>
  <c r="H81" i="66"/>
  <c r="I81" i="66"/>
  <c r="C82" i="66"/>
  <c r="D82" i="66"/>
  <c r="E82" i="66"/>
  <c r="F82" i="66"/>
  <c r="G82" i="66"/>
  <c r="H82" i="66"/>
  <c r="I82" i="66"/>
  <c r="C83" i="66"/>
  <c r="D83" i="66"/>
  <c r="E83" i="66"/>
  <c r="F83" i="66"/>
  <c r="G83" i="66"/>
  <c r="H83" i="66"/>
  <c r="I83" i="66"/>
  <c r="C84" i="66"/>
  <c r="D84" i="66"/>
  <c r="E84" i="66"/>
  <c r="F84" i="66"/>
  <c r="G84" i="66"/>
  <c r="H84" i="66"/>
  <c r="I84" i="66"/>
  <c r="C85" i="66"/>
  <c r="D85" i="66"/>
  <c r="E85" i="66"/>
  <c r="F85" i="66"/>
  <c r="G85" i="66"/>
  <c r="H85" i="66"/>
  <c r="I85" i="66"/>
  <c r="C86" i="66"/>
  <c r="D86" i="66"/>
  <c r="E86" i="66"/>
  <c r="F86" i="66"/>
  <c r="G86" i="66"/>
  <c r="H86" i="66"/>
  <c r="I86" i="66"/>
  <c r="C87" i="66"/>
  <c r="D87" i="66"/>
  <c r="E87" i="66"/>
  <c r="F87" i="66"/>
  <c r="G87" i="66"/>
  <c r="H87" i="66"/>
  <c r="I87" i="66"/>
  <c r="C88" i="66"/>
  <c r="D88" i="66"/>
  <c r="E88" i="66"/>
  <c r="F88" i="66"/>
  <c r="G88" i="66"/>
  <c r="H88" i="66"/>
  <c r="I88" i="66"/>
  <c r="C89" i="66"/>
  <c r="D89" i="66"/>
  <c r="E89" i="66"/>
  <c r="F89" i="66"/>
  <c r="G89" i="66"/>
  <c r="H89" i="66"/>
  <c r="I89" i="66"/>
  <c r="C90" i="66"/>
  <c r="D90" i="66"/>
  <c r="E90" i="66"/>
  <c r="F90" i="66"/>
  <c r="G90" i="66"/>
  <c r="H90" i="66"/>
  <c r="I90" i="66"/>
  <c r="C91" i="66"/>
  <c r="D91" i="66"/>
  <c r="E91" i="66"/>
  <c r="F91" i="66"/>
  <c r="G91" i="66"/>
  <c r="H91" i="66"/>
  <c r="I91" i="66"/>
  <c r="C92" i="66"/>
  <c r="D92" i="66"/>
  <c r="E92" i="66"/>
  <c r="F92" i="66"/>
  <c r="G92" i="66"/>
  <c r="H92" i="66"/>
  <c r="I92" i="66"/>
  <c r="C93" i="66"/>
  <c r="D93" i="66"/>
  <c r="E93" i="66"/>
  <c r="F93" i="66"/>
  <c r="G93" i="66"/>
  <c r="H93" i="66"/>
  <c r="I93" i="66"/>
  <c r="C94" i="66"/>
  <c r="D94" i="66"/>
  <c r="E94" i="66"/>
  <c r="F94" i="66"/>
  <c r="G94" i="66"/>
  <c r="H94" i="66"/>
  <c r="I94" i="66"/>
  <c r="C95" i="66"/>
  <c r="D95" i="66"/>
  <c r="E95" i="66"/>
  <c r="F95" i="66"/>
  <c r="G95" i="66"/>
  <c r="H95" i="66"/>
  <c r="I95" i="66"/>
  <c r="C96" i="66"/>
  <c r="D96" i="66"/>
  <c r="E96" i="66"/>
  <c r="F96" i="66"/>
  <c r="G96" i="66"/>
  <c r="H96" i="66"/>
  <c r="I96" i="66"/>
  <c r="C97" i="66"/>
  <c r="D97" i="66"/>
  <c r="E97" i="66"/>
  <c r="F97" i="66"/>
  <c r="G97" i="66"/>
  <c r="H97" i="66"/>
  <c r="I97" i="66"/>
  <c r="C98" i="66"/>
  <c r="D98" i="66"/>
  <c r="E98" i="66"/>
  <c r="F98" i="66"/>
  <c r="G98" i="66"/>
  <c r="H98" i="66"/>
  <c r="I98" i="66"/>
  <c r="C99" i="66"/>
  <c r="D99" i="66"/>
  <c r="E99" i="66"/>
  <c r="F99" i="66"/>
  <c r="G99" i="66"/>
  <c r="H99" i="66"/>
  <c r="I99" i="66"/>
  <c r="C100" i="66"/>
  <c r="D100" i="66"/>
  <c r="E100" i="66"/>
  <c r="F100" i="66"/>
  <c r="G100" i="66"/>
  <c r="H100" i="66"/>
  <c r="I100" i="66"/>
  <c r="C101" i="66"/>
  <c r="D101" i="66"/>
  <c r="E101" i="66"/>
  <c r="F101" i="66"/>
  <c r="G101" i="66"/>
  <c r="H101" i="66"/>
  <c r="I101" i="66"/>
  <c r="C102" i="66"/>
  <c r="D102" i="66"/>
  <c r="E102" i="66"/>
  <c r="F102" i="66"/>
  <c r="G102" i="66"/>
  <c r="H102" i="66"/>
  <c r="I102" i="66"/>
  <c r="C103" i="66"/>
  <c r="D103" i="66"/>
  <c r="E103" i="66"/>
  <c r="F103" i="66"/>
  <c r="G103" i="66"/>
  <c r="H103" i="66"/>
  <c r="I103" i="66"/>
  <c r="C104" i="66"/>
  <c r="D104" i="66"/>
  <c r="E104" i="66"/>
  <c r="F104" i="66"/>
  <c r="G104" i="66"/>
  <c r="H104" i="66"/>
  <c r="I104" i="66"/>
  <c r="C105" i="66"/>
  <c r="D105" i="66"/>
  <c r="E105" i="66"/>
  <c r="F105" i="66"/>
  <c r="G105" i="66"/>
  <c r="H105" i="66"/>
  <c r="I105" i="66"/>
  <c r="C106" i="66"/>
  <c r="D106" i="66"/>
  <c r="E106" i="66"/>
  <c r="F106" i="66"/>
  <c r="G106" i="66"/>
  <c r="H106" i="66"/>
  <c r="I106" i="66"/>
  <c r="C107" i="66"/>
  <c r="D107" i="66"/>
  <c r="E107" i="66"/>
  <c r="F107" i="66"/>
  <c r="G107" i="66"/>
  <c r="H107" i="66"/>
  <c r="I107" i="66"/>
  <c r="C110" i="66"/>
  <c r="D110" i="66"/>
  <c r="E110" i="66"/>
  <c r="F110" i="66"/>
  <c r="G110" i="66"/>
  <c r="H110" i="66"/>
  <c r="I110" i="66"/>
  <c r="C111" i="66"/>
  <c r="D111" i="66"/>
  <c r="E111" i="66"/>
  <c r="F111" i="66"/>
  <c r="G111" i="66"/>
  <c r="H111" i="66"/>
  <c r="I111" i="66"/>
  <c r="C112" i="66"/>
  <c r="D112" i="66"/>
  <c r="E112" i="66"/>
  <c r="F112" i="66"/>
  <c r="G112" i="66"/>
  <c r="H112" i="66"/>
  <c r="I112" i="66"/>
  <c r="C113" i="66"/>
  <c r="D113" i="66"/>
  <c r="E113" i="66"/>
  <c r="F113" i="66"/>
  <c r="G113" i="66"/>
  <c r="H113" i="66"/>
  <c r="I113" i="66"/>
  <c r="C114" i="66"/>
  <c r="D114" i="66"/>
  <c r="E114" i="66"/>
  <c r="F114" i="66"/>
  <c r="G114" i="66"/>
  <c r="H114" i="66"/>
  <c r="I114" i="66"/>
  <c r="C115" i="66"/>
  <c r="D115" i="66"/>
  <c r="E115" i="66"/>
  <c r="F115" i="66"/>
  <c r="G115" i="66"/>
  <c r="H115" i="66"/>
  <c r="I115" i="66"/>
  <c r="C116" i="66"/>
  <c r="D116" i="66"/>
  <c r="E116" i="66"/>
  <c r="F116" i="66"/>
  <c r="G116" i="66"/>
  <c r="H116" i="66"/>
  <c r="I116" i="66"/>
  <c r="C117" i="66"/>
  <c r="D117" i="66"/>
  <c r="E117" i="66"/>
  <c r="F117" i="66"/>
  <c r="G117" i="66"/>
  <c r="H117" i="66"/>
  <c r="I117" i="66"/>
  <c r="C118" i="66"/>
  <c r="D118" i="66"/>
  <c r="E118" i="66"/>
  <c r="F118" i="66"/>
  <c r="G118" i="66"/>
  <c r="H118" i="66"/>
  <c r="I118" i="66"/>
  <c r="C119" i="66"/>
  <c r="D119" i="66"/>
  <c r="E119" i="66"/>
  <c r="F119" i="66"/>
  <c r="G119" i="66"/>
  <c r="H119" i="66"/>
  <c r="I119" i="66"/>
  <c r="C120" i="66"/>
  <c r="D120" i="66"/>
  <c r="E120" i="66"/>
  <c r="F120" i="66"/>
  <c r="G120" i="66"/>
  <c r="H120" i="66"/>
  <c r="I120" i="66"/>
  <c r="C121" i="66"/>
  <c r="D121" i="66"/>
  <c r="E121" i="66"/>
  <c r="F121" i="66"/>
  <c r="G121" i="66"/>
  <c r="H121" i="66"/>
  <c r="I121" i="66"/>
  <c r="C122" i="66"/>
  <c r="D122" i="66"/>
  <c r="E122" i="66"/>
  <c r="F122" i="66"/>
  <c r="G122" i="66"/>
  <c r="H122" i="66"/>
  <c r="I122" i="66"/>
  <c r="C123" i="66"/>
  <c r="D123" i="66"/>
  <c r="E123" i="66"/>
  <c r="F123" i="66"/>
  <c r="G123" i="66"/>
  <c r="H123" i="66"/>
  <c r="I123" i="66"/>
  <c r="C124" i="66"/>
  <c r="D124" i="66"/>
  <c r="E124" i="66"/>
  <c r="F124" i="66"/>
  <c r="G124" i="66"/>
  <c r="H124" i="66"/>
  <c r="I124" i="66"/>
  <c r="C125" i="66"/>
  <c r="D125" i="66"/>
  <c r="E125" i="66"/>
  <c r="F125" i="66"/>
  <c r="G125" i="66"/>
  <c r="H125" i="66"/>
  <c r="I125" i="66"/>
  <c r="C126" i="66"/>
  <c r="D126" i="66"/>
  <c r="E126" i="66"/>
  <c r="F126" i="66"/>
  <c r="G126" i="66"/>
  <c r="H126" i="66"/>
  <c r="I126" i="66"/>
  <c r="C127" i="66"/>
  <c r="D127" i="66"/>
  <c r="E127" i="66"/>
  <c r="F127" i="66"/>
  <c r="G127" i="66"/>
  <c r="H127" i="66"/>
  <c r="I127" i="66"/>
  <c r="C128" i="66"/>
  <c r="D128" i="66"/>
  <c r="E128" i="66"/>
  <c r="F128" i="66"/>
  <c r="G128" i="66"/>
  <c r="H128" i="66"/>
  <c r="I128" i="66"/>
  <c r="C129" i="66"/>
  <c r="D129" i="66"/>
  <c r="E129" i="66"/>
  <c r="F129" i="66"/>
  <c r="G129" i="66"/>
  <c r="H129" i="66"/>
  <c r="I129" i="66"/>
  <c r="C130" i="66"/>
  <c r="D130" i="66"/>
  <c r="E130" i="66"/>
  <c r="F130" i="66"/>
  <c r="G130" i="66"/>
  <c r="H130" i="66"/>
  <c r="I130" i="66"/>
  <c r="C131" i="66"/>
  <c r="D131" i="66"/>
  <c r="E131" i="66"/>
  <c r="F131" i="66"/>
  <c r="G131" i="66"/>
  <c r="H131" i="66"/>
  <c r="I131" i="66"/>
  <c r="C132" i="66"/>
  <c r="D132" i="66"/>
  <c r="E132" i="66"/>
  <c r="F132" i="66"/>
  <c r="G132" i="66"/>
  <c r="H132" i="66"/>
  <c r="I132" i="66"/>
  <c r="C133" i="66"/>
  <c r="D133" i="66"/>
  <c r="E133" i="66"/>
  <c r="F133" i="66"/>
  <c r="G133" i="66"/>
  <c r="H133" i="66"/>
  <c r="I133" i="66"/>
  <c r="C134" i="66"/>
  <c r="D134" i="66"/>
  <c r="E134" i="66"/>
  <c r="F134" i="66"/>
  <c r="G134" i="66"/>
  <c r="H134" i="66"/>
  <c r="I134" i="66"/>
  <c r="C135" i="66"/>
  <c r="D135" i="66"/>
  <c r="E135" i="66"/>
  <c r="F135" i="66"/>
  <c r="G135" i="66"/>
  <c r="H135" i="66"/>
  <c r="I135" i="66"/>
  <c r="C136" i="66"/>
  <c r="D136" i="66"/>
  <c r="E136" i="66"/>
  <c r="F136" i="66"/>
  <c r="G136" i="66"/>
  <c r="H136" i="66"/>
  <c r="I136" i="66"/>
  <c r="C137" i="66"/>
  <c r="D137" i="66"/>
  <c r="E137" i="66"/>
  <c r="F137" i="66"/>
  <c r="G137" i="66"/>
  <c r="H137" i="66"/>
  <c r="I137" i="66"/>
  <c r="C138" i="66"/>
  <c r="D138" i="66"/>
  <c r="E138" i="66"/>
  <c r="F138" i="66"/>
  <c r="G138" i="66"/>
  <c r="H138" i="66"/>
  <c r="I138" i="66"/>
  <c r="C139" i="66"/>
  <c r="D139" i="66"/>
  <c r="E139" i="66"/>
  <c r="F139" i="66"/>
  <c r="G139" i="66"/>
  <c r="H139" i="66"/>
  <c r="I139" i="66"/>
  <c r="C140" i="66"/>
  <c r="D140" i="66"/>
  <c r="E140" i="66"/>
  <c r="F140" i="66"/>
  <c r="G140" i="66"/>
  <c r="H140" i="66"/>
  <c r="I140" i="66"/>
  <c r="C141" i="66"/>
  <c r="D141" i="66"/>
  <c r="E141" i="66"/>
  <c r="F141" i="66"/>
  <c r="G141" i="66"/>
  <c r="H141" i="66"/>
  <c r="I141" i="66"/>
  <c r="C142" i="66"/>
  <c r="D142" i="66"/>
  <c r="E142" i="66"/>
  <c r="F142" i="66"/>
  <c r="G142" i="66"/>
  <c r="H142" i="66"/>
  <c r="I142" i="66"/>
  <c r="C143" i="66"/>
  <c r="D143" i="66"/>
  <c r="E143" i="66"/>
  <c r="F143" i="66"/>
  <c r="G143" i="66"/>
  <c r="H143" i="66"/>
  <c r="I143" i="66"/>
  <c r="C144" i="66"/>
  <c r="D144" i="66"/>
  <c r="E144" i="66"/>
  <c r="F144" i="66"/>
  <c r="G144" i="66"/>
  <c r="H144" i="66"/>
  <c r="I144" i="66"/>
  <c r="C145" i="66"/>
  <c r="D145" i="66"/>
  <c r="E145" i="66"/>
  <c r="F145" i="66"/>
  <c r="G145" i="66"/>
  <c r="H145" i="66"/>
  <c r="I145" i="66"/>
  <c r="C146" i="66"/>
  <c r="D146" i="66"/>
  <c r="E146" i="66"/>
  <c r="F146" i="66"/>
  <c r="G146" i="66"/>
  <c r="H146" i="66"/>
  <c r="I146" i="66"/>
  <c r="C147" i="66"/>
  <c r="D147" i="66"/>
  <c r="E147" i="66"/>
  <c r="F147" i="66"/>
  <c r="G147" i="66"/>
  <c r="H147" i="66"/>
  <c r="I147" i="66"/>
  <c r="C148" i="66"/>
  <c r="D148" i="66"/>
  <c r="E148" i="66"/>
  <c r="F148" i="66"/>
  <c r="G148" i="66"/>
  <c r="H148" i="66"/>
  <c r="I148" i="66"/>
  <c r="C149" i="66"/>
  <c r="D149" i="66"/>
  <c r="E149" i="66"/>
  <c r="F149" i="66"/>
  <c r="G149" i="66"/>
  <c r="H149" i="66"/>
  <c r="I149" i="66"/>
  <c r="C150" i="66"/>
  <c r="D150" i="66"/>
  <c r="E150" i="66"/>
  <c r="F150" i="66"/>
  <c r="G150" i="66"/>
  <c r="H150" i="66"/>
  <c r="I150" i="66"/>
  <c r="C151" i="66"/>
  <c r="D151" i="66"/>
  <c r="E151" i="66"/>
  <c r="F151" i="66"/>
  <c r="G151" i="66"/>
  <c r="H151" i="66"/>
  <c r="I151" i="66"/>
  <c r="C152" i="66"/>
  <c r="D152" i="66"/>
  <c r="E152" i="66"/>
  <c r="F152" i="66"/>
  <c r="G152" i="66"/>
  <c r="H152" i="66"/>
  <c r="I152" i="66"/>
  <c r="C153" i="66"/>
  <c r="D153" i="66"/>
  <c r="E153" i="66"/>
  <c r="F153" i="66"/>
  <c r="G153" i="66"/>
  <c r="H153" i="66"/>
  <c r="I153" i="66"/>
  <c r="C154" i="66"/>
  <c r="D154" i="66"/>
  <c r="E154" i="66"/>
  <c r="F154" i="66"/>
  <c r="G154" i="66"/>
  <c r="H154" i="66"/>
  <c r="I154" i="66"/>
  <c r="C155" i="66"/>
  <c r="D155" i="66"/>
  <c r="E155" i="66"/>
  <c r="F155" i="66"/>
  <c r="G155" i="66"/>
  <c r="H155" i="66"/>
  <c r="I155" i="66"/>
  <c r="C156" i="66"/>
  <c r="D156" i="66"/>
  <c r="E156" i="66"/>
  <c r="F156" i="66"/>
  <c r="G156" i="66"/>
  <c r="H156" i="66"/>
  <c r="I156" i="66"/>
  <c r="C157" i="66"/>
  <c r="D157" i="66"/>
  <c r="E157" i="66"/>
  <c r="F157" i="66"/>
  <c r="G157" i="66"/>
  <c r="H157" i="66"/>
  <c r="I157" i="66"/>
  <c r="C158" i="66"/>
  <c r="D158" i="66"/>
  <c r="E158" i="66"/>
  <c r="F158" i="66"/>
  <c r="G158" i="66"/>
  <c r="H158" i="66"/>
  <c r="I158" i="66"/>
  <c r="C159" i="66"/>
  <c r="D159" i="66"/>
  <c r="E159" i="66"/>
  <c r="F159" i="66"/>
  <c r="G159" i="66"/>
  <c r="H159" i="66"/>
  <c r="I159" i="66"/>
  <c r="C160" i="66"/>
  <c r="D160" i="66"/>
  <c r="E160" i="66"/>
  <c r="F160" i="66"/>
  <c r="G160" i="66"/>
  <c r="H160" i="66"/>
  <c r="I160" i="66"/>
  <c r="C161" i="66"/>
  <c r="D161" i="66"/>
  <c r="E161" i="66"/>
  <c r="F161" i="66"/>
  <c r="G161" i="66"/>
  <c r="H161" i="66"/>
  <c r="I161" i="66"/>
  <c r="C162" i="66"/>
  <c r="D162" i="66"/>
  <c r="E162" i="66"/>
  <c r="F162" i="66"/>
  <c r="G162" i="66"/>
  <c r="H162" i="66"/>
  <c r="I162" i="66"/>
  <c r="C163" i="66"/>
  <c r="D163" i="66"/>
  <c r="E163" i="66"/>
  <c r="F163" i="66"/>
  <c r="G163" i="66"/>
  <c r="H163" i="66"/>
  <c r="I163" i="66"/>
  <c r="C164" i="66"/>
  <c r="D164" i="66"/>
  <c r="E164" i="66"/>
  <c r="F164" i="66"/>
  <c r="G164" i="66"/>
  <c r="H164" i="66"/>
  <c r="I164" i="66"/>
  <c r="C165" i="66"/>
  <c r="D165" i="66"/>
  <c r="E165" i="66"/>
  <c r="F165" i="66"/>
  <c r="G165" i="66"/>
  <c r="H165" i="66"/>
  <c r="I165" i="66"/>
  <c r="C166" i="66"/>
  <c r="D166" i="66"/>
  <c r="E166" i="66"/>
  <c r="F166" i="66"/>
  <c r="G166" i="66"/>
  <c r="H166" i="66"/>
  <c r="I166" i="66"/>
  <c r="C167" i="66"/>
  <c r="D167" i="66"/>
  <c r="E167" i="66"/>
  <c r="F167" i="66"/>
  <c r="G167" i="66"/>
  <c r="H167" i="66"/>
  <c r="I167" i="66"/>
  <c r="C168" i="66"/>
  <c r="D168" i="66"/>
  <c r="E168" i="66"/>
  <c r="F168" i="66"/>
  <c r="G168" i="66"/>
  <c r="H168" i="66"/>
  <c r="I168" i="66"/>
  <c r="C169" i="66"/>
  <c r="D169" i="66"/>
  <c r="E169" i="66"/>
  <c r="F169" i="66"/>
  <c r="G169" i="66"/>
  <c r="H169" i="66"/>
  <c r="I169" i="66"/>
  <c r="C170" i="66"/>
  <c r="D170" i="66"/>
  <c r="E170" i="66"/>
  <c r="F170" i="66"/>
  <c r="G170" i="66"/>
  <c r="H170" i="66"/>
  <c r="I170" i="66"/>
  <c r="C171" i="66"/>
  <c r="D171" i="66"/>
  <c r="E171" i="66"/>
  <c r="F171" i="66"/>
  <c r="G171" i="66"/>
  <c r="H171" i="66"/>
  <c r="I171" i="66"/>
  <c r="C172" i="66"/>
  <c r="D172" i="66"/>
  <c r="E172" i="66"/>
  <c r="F172" i="66"/>
  <c r="G172" i="66"/>
  <c r="H172" i="66"/>
  <c r="I172" i="66"/>
  <c r="C173" i="66"/>
  <c r="D173" i="66"/>
  <c r="E173" i="66"/>
  <c r="F173" i="66"/>
  <c r="G173" i="66"/>
  <c r="H173" i="66"/>
  <c r="I173" i="66"/>
  <c r="C174" i="66"/>
  <c r="D174" i="66"/>
  <c r="E174" i="66"/>
  <c r="F174" i="66"/>
  <c r="G174" i="66"/>
  <c r="H174" i="66"/>
  <c r="I174" i="66"/>
  <c r="C175" i="66"/>
  <c r="D175" i="66"/>
  <c r="E175" i="66"/>
  <c r="F175" i="66"/>
  <c r="G175" i="66"/>
  <c r="H175" i="66"/>
  <c r="I175" i="66"/>
  <c r="C176" i="66"/>
  <c r="D176" i="66"/>
  <c r="E176" i="66"/>
  <c r="F176" i="66"/>
  <c r="G176" i="66"/>
  <c r="H176" i="66"/>
  <c r="I176" i="66"/>
  <c r="C177" i="66"/>
  <c r="D177" i="66"/>
  <c r="E177" i="66"/>
  <c r="F177" i="66"/>
  <c r="G177" i="66"/>
  <c r="H177" i="66"/>
  <c r="I177" i="66"/>
  <c r="C178" i="66"/>
  <c r="D178" i="66"/>
  <c r="E178" i="66"/>
  <c r="F178" i="66"/>
  <c r="G178" i="66"/>
  <c r="H178" i="66"/>
  <c r="I178" i="66"/>
  <c r="C179" i="66"/>
  <c r="D179" i="66"/>
  <c r="E179" i="66"/>
  <c r="F179" i="66"/>
  <c r="G179" i="66"/>
  <c r="H179" i="66"/>
  <c r="I179" i="66"/>
  <c r="C180" i="66"/>
  <c r="D180" i="66"/>
  <c r="E180" i="66"/>
  <c r="F180" i="66"/>
  <c r="G180" i="66"/>
  <c r="H180" i="66"/>
  <c r="I180" i="66"/>
  <c r="C181" i="66"/>
  <c r="D181" i="66"/>
  <c r="E181" i="66"/>
  <c r="F181" i="66"/>
  <c r="G181" i="66"/>
  <c r="H181" i="66"/>
  <c r="I181" i="66"/>
  <c r="C182" i="66"/>
  <c r="D182" i="66"/>
  <c r="E182" i="66"/>
  <c r="F182" i="66"/>
  <c r="G182" i="66"/>
  <c r="H182" i="66"/>
  <c r="I182" i="66"/>
  <c r="C183" i="66"/>
  <c r="D183" i="66"/>
  <c r="E183" i="66"/>
  <c r="F183" i="66"/>
  <c r="G183" i="66"/>
  <c r="H183" i="66"/>
  <c r="I183" i="66"/>
  <c r="C184" i="66"/>
  <c r="D184" i="66"/>
  <c r="E184" i="66"/>
  <c r="F184" i="66"/>
  <c r="G184" i="66"/>
  <c r="H184" i="66"/>
  <c r="I184" i="66"/>
  <c r="C185" i="66"/>
  <c r="D185" i="66"/>
  <c r="E185" i="66"/>
  <c r="F185" i="66"/>
  <c r="G185" i="66"/>
  <c r="H185" i="66"/>
  <c r="I185" i="66"/>
  <c r="C186" i="66"/>
  <c r="D186" i="66"/>
  <c r="E186" i="66"/>
  <c r="F186" i="66"/>
  <c r="G186" i="66"/>
  <c r="H186" i="66"/>
  <c r="I186" i="66"/>
  <c r="C187" i="66"/>
  <c r="D187" i="66"/>
  <c r="E187" i="66"/>
  <c r="F187" i="66"/>
  <c r="G187" i="66"/>
  <c r="H187" i="66"/>
  <c r="I187" i="66"/>
  <c r="C188" i="66"/>
  <c r="D188" i="66"/>
  <c r="E188" i="66"/>
  <c r="F188" i="66"/>
  <c r="G188" i="66"/>
  <c r="H188" i="66"/>
  <c r="I188" i="66"/>
  <c r="C189" i="66"/>
  <c r="D189" i="66"/>
  <c r="E189" i="66"/>
  <c r="F189" i="66"/>
  <c r="G189" i="66"/>
  <c r="H189" i="66"/>
  <c r="I189" i="66"/>
  <c r="C190" i="66"/>
  <c r="D190" i="66"/>
  <c r="E190" i="66"/>
  <c r="F190" i="66"/>
  <c r="G190" i="66"/>
  <c r="H190" i="66"/>
  <c r="I190" i="66"/>
  <c r="C191" i="66"/>
  <c r="D191" i="66"/>
  <c r="E191" i="66"/>
  <c r="F191" i="66"/>
  <c r="G191" i="66"/>
  <c r="H191" i="66"/>
  <c r="I191" i="66"/>
  <c r="C192" i="66"/>
  <c r="D192" i="66"/>
  <c r="E192" i="66"/>
  <c r="F192" i="66"/>
  <c r="G192" i="66"/>
  <c r="H192" i="66"/>
  <c r="I192" i="66"/>
  <c r="C193" i="66"/>
  <c r="D193" i="66"/>
  <c r="E193" i="66"/>
  <c r="F193" i="66"/>
  <c r="G193" i="66"/>
  <c r="H193" i="66"/>
  <c r="I193" i="66"/>
  <c r="C194" i="66"/>
  <c r="D194" i="66"/>
  <c r="E194" i="66"/>
  <c r="F194" i="66"/>
  <c r="G194" i="66"/>
  <c r="H194" i="66"/>
  <c r="I194" i="66"/>
  <c r="C195" i="66"/>
  <c r="D195" i="66"/>
  <c r="E195" i="66"/>
  <c r="F195" i="66"/>
  <c r="G195" i="66"/>
  <c r="H195" i="66"/>
  <c r="I195" i="66"/>
  <c r="C196" i="66"/>
  <c r="D196" i="66"/>
  <c r="E196" i="66"/>
  <c r="F196" i="66"/>
  <c r="G196" i="66"/>
  <c r="H196" i="66"/>
  <c r="I196" i="66"/>
  <c r="C197" i="66"/>
  <c r="D197" i="66"/>
  <c r="E197" i="66"/>
  <c r="F197" i="66"/>
  <c r="G197" i="66"/>
  <c r="H197" i="66"/>
  <c r="I197" i="66"/>
  <c r="C198" i="66"/>
  <c r="D198" i="66"/>
  <c r="E198" i="66"/>
  <c r="F198" i="66"/>
  <c r="G198" i="66"/>
  <c r="H198" i="66"/>
  <c r="I198" i="66"/>
  <c r="C199" i="66"/>
  <c r="D199" i="66"/>
  <c r="E199" i="66"/>
  <c r="F199" i="66"/>
  <c r="G199" i="66"/>
  <c r="H199" i="66"/>
  <c r="I199" i="66"/>
  <c r="C200" i="66"/>
  <c r="D200" i="66"/>
  <c r="E200" i="66"/>
  <c r="F200" i="66"/>
  <c r="G200" i="66"/>
  <c r="H200" i="66"/>
  <c r="I200" i="66"/>
  <c r="B107" i="66"/>
  <c r="B106" i="66"/>
  <c r="B105" i="66"/>
  <c r="B104" i="66"/>
  <c r="B103" i="66"/>
  <c r="B102" i="66"/>
  <c r="B101" i="66"/>
  <c r="B100" i="66"/>
  <c r="B99" i="66"/>
  <c r="B98" i="66"/>
  <c r="B97" i="66"/>
  <c r="B96" i="66"/>
  <c r="B95" i="66"/>
  <c r="B94" i="66"/>
  <c r="B93" i="66"/>
  <c r="B92" i="66"/>
  <c r="B91" i="66"/>
  <c r="B90" i="66"/>
  <c r="B89" i="66"/>
  <c r="B88" i="66"/>
  <c r="B87" i="66"/>
  <c r="B86" i="66"/>
  <c r="B85" i="66"/>
  <c r="B84" i="66"/>
  <c r="B83" i="66"/>
  <c r="B82" i="66"/>
  <c r="B81" i="66"/>
  <c r="B80" i="66"/>
  <c r="B79" i="66"/>
  <c r="B78" i="66"/>
  <c r="B77" i="66"/>
  <c r="B76" i="66"/>
  <c r="B75" i="66"/>
  <c r="B74" i="66"/>
  <c r="B73" i="66"/>
  <c r="B72" i="66"/>
  <c r="B71" i="66"/>
  <c r="B70" i="66"/>
  <c r="B69" i="66"/>
  <c r="B68" i="66"/>
  <c r="B67" i="66"/>
  <c r="B66" i="66"/>
  <c r="B65" i="66"/>
  <c r="B64" i="66"/>
  <c r="B63" i="66"/>
  <c r="B62" i="66"/>
  <c r="B61" i="66"/>
  <c r="B60" i="66"/>
  <c r="B59" i="66"/>
  <c r="B58" i="66"/>
  <c r="B57" i="66"/>
  <c r="B56" i="66"/>
  <c r="B55" i="66"/>
  <c r="B54" i="66"/>
  <c r="B53" i="66"/>
  <c r="B52" i="66"/>
  <c r="B51" i="66"/>
  <c r="B50" i="66"/>
  <c r="B49" i="66"/>
  <c r="B48" i="66"/>
  <c r="B47" i="66"/>
  <c r="B46" i="66"/>
  <c r="B45" i="66"/>
  <c r="B44" i="66"/>
  <c r="B43" i="66"/>
  <c r="B42" i="66"/>
  <c r="B41" i="66"/>
  <c r="B40" i="66"/>
  <c r="B39" i="66"/>
  <c r="B38" i="66"/>
  <c r="B37" i="66"/>
  <c r="B36" i="66"/>
  <c r="B35" i="66"/>
  <c r="B34" i="66"/>
  <c r="B33" i="66"/>
  <c r="B32" i="66"/>
  <c r="B200" i="66"/>
  <c r="B199" i="66"/>
  <c r="B198" i="66"/>
  <c r="B197" i="66"/>
  <c r="B196" i="66"/>
  <c r="B195" i="66"/>
  <c r="B194" i="66"/>
  <c r="B193" i="66"/>
  <c r="B192" i="66"/>
  <c r="B191" i="66"/>
  <c r="B190" i="66"/>
  <c r="B189" i="66"/>
  <c r="B188" i="66"/>
  <c r="B187" i="66"/>
  <c r="B186" i="66"/>
  <c r="B185" i="66"/>
  <c r="B184" i="66"/>
  <c r="B183" i="66"/>
  <c r="B182" i="66"/>
  <c r="B181" i="66"/>
  <c r="B180" i="66"/>
  <c r="B179" i="66"/>
  <c r="B178" i="66"/>
  <c r="B177" i="66"/>
  <c r="B176" i="66"/>
  <c r="B175" i="66"/>
  <c r="B174" i="66"/>
  <c r="B173" i="66"/>
  <c r="B172" i="66"/>
  <c r="B171" i="66"/>
  <c r="B170" i="66"/>
  <c r="B169" i="66"/>
  <c r="B168" i="66"/>
  <c r="B167" i="66"/>
  <c r="B166" i="66"/>
  <c r="B165" i="66"/>
  <c r="B164" i="66"/>
  <c r="B163" i="66"/>
  <c r="B162" i="66"/>
  <c r="B161" i="66"/>
  <c r="B160" i="66"/>
  <c r="B159" i="66"/>
  <c r="B158" i="66"/>
  <c r="B157" i="66"/>
  <c r="B156" i="66"/>
  <c r="B155" i="66"/>
  <c r="B154" i="66"/>
  <c r="B153" i="66"/>
  <c r="B152" i="66"/>
  <c r="B151" i="66"/>
  <c r="B150" i="66"/>
  <c r="B149" i="66"/>
  <c r="B148" i="66"/>
  <c r="B147" i="66"/>
  <c r="B146" i="66"/>
  <c r="B145" i="66"/>
  <c r="B144" i="66"/>
  <c r="B143" i="66"/>
  <c r="B142" i="66"/>
  <c r="B141" i="66"/>
  <c r="B140" i="66"/>
  <c r="B139" i="66"/>
  <c r="B138" i="66"/>
  <c r="B137" i="66"/>
  <c r="B136" i="66"/>
  <c r="B135" i="66"/>
  <c r="B134" i="66"/>
  <c r="B133" i="66"/>
  <c r="B132" i="66"/>
  <c r="B131" i="66"/>
  <c r="B130" i="66"/>
  <c r="B129" i="66"/>
  <c r="B128" i="66"/>
  <c r="B127" i="66"/>
  <c r="B126" i="66"/>
  <c r="B125" i="66"/>
  <c r="B124" i="66"/>
  <c r="B123" i="66"/>
  <c r="B122" i="66"/>
  <c r="B121" i="66"/>
  <c r="B120" i="66"/>
  <c r="B119" i="66"/>
  <c r="B118" i="66"/>
  <c r="B117" i="66"/>
  <c r="B116" i="66"/>
  <c r="B115" i="66"/>
  <c r="B114" i="66"/>
  <c r="B113" i="66"/>
  <c r="B112" i="66"/>
  <c r="B111" i="66"/>
  <c r="B110" i="66"/>
  <c r="B31" i="66"/>
  <c r="B30" i="66"/>
  <c r="B29" i="66"/>
  <c r="B28" i="66"/>
  <c r="B27" i="66"/>
  <c r="B26" i="66"/>
  <c r="B25" i="66"/>
  <c r="B24" i="66"/>
  <c r="B23" i="66"/>
  <c r="B22" i="66"/>
  <c r="B21" i="66"/>
  <c r="B20" i="66"/>
  <c r="B19" i="66"/>
  <c r="B18" i="66"/>
  <c r="B17" i="66"/>
  <c r="Q162" i="66"/>
  <c r="R9" i="66"/>
  <c r="S9" i="66"/>
  <c r="I229" i="66" l="1"/>
  <c r="J229" i="66"/>
  <c r="H228" i="66"/>
  <c r="H224" i="66"/>
  <c r="G223" i="66"/>
  <c r="E221" i="66"/>
  <c r="D220" i="66"/>
  <c r="H219" i="66"/>
  <c r="F218" i="66"/>
  <c r="I217" i="66"/>
  <c r="J217" i="66"/>
  <c r="D216" i="66"/>
  <c r="G215" i="66"/>
  <c r="I213" i="66"/>
  <c r="J213" i="66"/>
  <c r="H212" i="66"/>
  <c r="C211" i="66"/>
  <c r="E209" i="66"/>
  <c r="E208" i="66"/>
  <c r="H229" i="66"/>
  <c r="D229" i="66"/>
  <c r="G228" i="66"/>
  <c r="C228" i="66"/>
  <c r="F227" i="66"/>
  <c r="I226" i="66"/>
  <c r="J226" i="66"/>
  <c r="E226" i="66"/>
  <c r="H225" i="66"/>
  <c r="D225" i="66"/>
  <c r="G224" i="66"/>
  <c r="C224" i="66"/>
  <c r="F223" i="66"/>
  <c r="I222" i="66"/>
  <c r="J222" i="66"/>
  <c r="E222" i="66"/>
  <c r="H221" i="66"/>
  <c r="D221" i="66"/>
  <c r="G220" i="66"/>
  <c r="C220" i="66"/>
  <c r="G219" i="66"/>
  <c r="C219" i="66"/>
  <c r="I218" i="66"/>
  <c r="J218" i="66"/>
  <c r="E218" i="66"/>
  <c r="H217" i="66"/>
  <c r="D217" i="66"/>
  <c r="G216" i="66"/>
  <c r="C216" i="66"/>
  <c r="F215" i="66"/>
  <c r="I214" i="66"/>
  <c r="J214" i="66"/>
  <c r="E214" i="66"/>
  <c r="H213" i="66"/>
  <c r="D213" i="66"/>
  <c r="G212" i="66"/>
  <c r="C212" i="66"/>
  <c r="F211" i="66"/>
  <c r="I210" i="66"/>
  <c r="J210" i="66"/>
  <c r="E210" i="66"/>
  <c r="H209" i="66"/>
  <c r="D209" i="66"/>
  <c r="H208" i="66"/>
  <c r="D208" i="66"/>
  <c r="D228" i="66"/>
  <c r="C227" i="66"/>
  <c r="F226" i="66"/>
  <c r="E225" i="66"/>
  <c r="D224" i="66"/>
  <c r="C223" i="66"/>
  <c r="F222" i="66"/>
  <c r="I221" i="66"/>
  <c r="J221" i="66"/>
  <c r="H220" i="66"/>
  <c r="D219" i="66"/>
  <c r="E217" i="66"/>
  <c r="H216" i="66"/>
  <c r="C215" i="66"/>
  <c r="F214" i="66"/>
  <c r="E213" i="66"/>
  <c r="D212" i="66"/>
  <c r="G211" i="66"/>
  <c r="F210" i="66"/>
  <c r="I209" i="66"/>
  <c r="J209" i="66"/>
  <c r="I208" i="66"/>
  <c r="J208" i="66"/>
  <c r="G229" i="66"/>
  <c r="C229" i="66"/>
  <c r="F228" i="66"/>
  <c r="I227" i="66"/>
  <c r="J227" i="66"/>
  <c r="E227" i="66"/>
  <c r="H226" i="66"/>
  <c r="D226" i="66"/>
  <c r="G225" i="66"/>
  <c r="C225" i="66"/>
  <c r="F224" i="66"/>
  <c r="I223" i="66"/>
  <c r="J223" i="66"/>
  <c r="E223" i="66"/>
  <c r="H222" i="66"/>
  <c r="D222" i="66"/>
  <c r="G221" i="66"/>
  <c r="C221" i="66"/>
  <c r="F220" i="66"/>
  <c r="F219" i="66"/>
  <c r="H218" i="66"/>
  <c r="D218" i="66"/>
  <c r="G217" i="66"/>
  <c r="C217" i="66"/>
  <c r="F216" i="66"/>
  <c r="I215" i="66"/>
  <c r="J215" i="66"/>
  <c r="E215" i="66"/>
  <c r="H214" i="66"/>
  <c r="D214" i="66"/>
  <c r="G213" i="66"/>
  <c r="C213" i="66"/>
  <c r="F212" i="66"/>
  <c r="I211" i="66"/>
  <c r="J211" i="66"/>
  <c r="E211" i="66"/>
  <c r="H210" i="66"/>
  <c r="D210" i="66"/>
  <c r="G209" i="66"/>
  <c r="C209" i="66"/>
  <c r="G208" i="66"/>
  <c r="C208" i="66"/>
  <c r="E229" i="66"/>
  <c r="G227" i="66"/>
  <c r="I225" i="66"/>
  <c r="J225" i="66"/>
  <c r="F229" i="66"/>
  <c r="I228" i="66"/>
  <c r="J228" i="66"/>
  <c r="E228" i="66"/>
  <c r="H227" i="66"/>
  <c r="D227" i="66"/>
  <c r="G226" i="66"/>
  <c r="C226" i="66"/>
  <c r="F225" i="66"/>
  <c r="I224" i="66"/>
  <c r="J224" i="66"/>
  <c r="E224" i="66"/>
  <c r="H223" i="66"/>
  <c r="D223" i="66"/>
  <c r="G222" i="66"/>
  <c r="C222" i="66"/>
  <c r="F221" i="66"/>
  <c r="I220" i="66"/>
  <c r="J220" i="66"/>
  <c r="E220" i="66"/>
  <c r="I219" i="66"/>
  <c r="J219" i="66"/>
  <c r="E219" i="66"/>
  <c r="G218" i="66"/>
  <c r="C218" i="66"/>
  <c r="F217" i="66"/>
  <c r="I216" i="66"/>
  <c r="J216" i="66"/>
  <c r="E216" i="66"/>
  <c r="H215" i="66"/>
  <c r="D215" i="66"/>
  <c r="G214" i="66"/>
  <c r="C214" i="66"/>
  <c r="F213" i="66"/>
  <c r="I212" i="66"/>
  <c r="J212" i="66"/>
  <c r="E212" i="66"/>
  <c r="H211" i="66"/>
  <c r="D211" i="66"/>
  <c r="G210" i="66"/>
  <c r="C210" i="66"/>
  <c r="F209" i="66"/>
  <c r="F208" i="66"/>
  <c r="T331" i="68"/>
  <c r="S169" i="68"/>
  <c r="T271" i="68"/>
  <c r="T379" i="68"/>
  <c r="T152" i="68"/>
  <c r="T161" i="68"/>
  <c r="J368" i="64"/>
  <c r="J171" i="64"/>
  <c r="J45" i="64" s="1"/>
  <c r="J346" i="64"/>
  <c r="J363" i="64"/>
  <c r="J166" i="64"/>
  <c r="J158" i="64"/>
  <c r="I368" i="64"/>
  <c r="I371" i="64" s="1"/>
  <c r="I372" i="64" s="1"/>
  <c r="M393" i="64"/>
  <c r="S17" i="66"/>
  <c r="S18" i="66"/>
  <c r="S19" i="66"/>
  <c r="S20" i="66"/>
  <c r="S21" i="66"/>
  <c r="S22" i="66"/>
  <c r="S23" i="66"/>
  <c r="S24" i="66"/>
  <c r="S25" i="66"/>
  <c r="S26" i="66"/>
  <c r="S27" i="66"/>
  <c r="S28" i="66"/>
  <c r="S29" i="66"/>
  <c r="S30" i="66"/>
  <c r="S31" i="66"/>
  <c r="S32" i="66"/>
  <c r="S33" i="66"/>
  <c r="S34" i="66"/>
  <c r="S35" i="66"/>
  <c r="S36" i="66"/>
  <c r="S37" i="66"/>
  <c r="S38" i="66"/>
  <c r="S39" i="66"/>
  <c r="S40" i="66"/>
  <c r="S41" i="66"/>
  <c r="S43" i="66"/>
  <c r="S45" i="66"/>
  <c r="S47" i="66"/>
  <c r="S49" i="66"/>
  <c r="S51" i="66"/>
  <c r="S53" i="66"/>
  <c r="S55" i="66"/>
  <c r="S57" i="66"/>
  <c r="S61" i="66"/>
  <c r="S65" i="66"/>
  <c r="S69" i="66"/>
  <c r="S73" i="66"/>
  <c r="S77" i="66"/>
  <c r="S60" i="66"/>
  <c r="S64" i="66"/>
  <c r="S68" i="66"/>
  <c r="S72" i="66"/>
  <c r="S76" i="66"/>
  <c r="S42" i="66"/>
  <c r="S44" i="66"/>
  <c r="S46" i="66"/>
  <c r="S48" i="66"/>
  <c r="S50" i="66"/>
  <c r="S52" i="66"/>
  <c r="S54" i="66"/>
  <c r="S56" i="66"/>
  <c r="S59" i="66"/>
  <c r="S63" i="66"/>
  <c r="S67" i="66"/>
  <c r="S71" i="66"/>
  <c r="S75" i="66"/>
  <c r="S110" i="66"/>
  <c r="S111" i="66"/>
  <c r="S112" i="66"/>
  <c r="S113" i="66"/>
  <c r="S114" i="66"/>
  <c r="S115" i="66"/>
  <c r="S116" i="66"/>
  <c r="S117" i="66"/>
  <c r="S118" i="66"/>
  <c r="S119" i="66"/>
  <c r="S120" i="66"/>
  <c r="S121" i="66"/>
  <c r="S122" i="66"/>
  <c r="S123" i="66"/>
  <c r="S124" i="66"/>
  <c r="S125" i="66"/>
  <c r="S126" i="66"/>
  <c r="S127" i="66"/>
  <c r="S128" i="66"/>
  <c r="S129" i="66"/>
  <c r="S130" i="66"/>
  <c r="S131" i="66"/>
  <c r="S132" i="66"/>
  <c r="S133" i="66"/>
  <c r="S134" i="66"/>
  <c r="S135" i="66"/>
  <c r="S136" i="66"/>
  <c r="S137" i="66"/>
  <c r="S138" i="66"/>
  <c r="S139" i="66"/>
  <c r="S140" i="66"/>
  <c r="S141" i="66"/>
  <c r="S142" i="66"/>
  <c r="S143" i="66"/>
  <c r="S144" i="66"/>
  <c r="S145" i="66"/>
  <c r="S146" i="66"/>
  <c r="S147" i="66"/>
  <c r="S148" i="66"/>
  <c r="S149" i="66"/>
  <c r="S150" i="66"/>
  <c r="S151" i="66"/>
  <c r="S152" i="66"/>
  <c r="S153" i="66"/>
  <c r="S154" i="66"/>
  <c r="S155" i="66"/>
  <c r="S156" i="66"/>
  <c r="S157" i="66"/>
  <c r="S158" i="66"/>
  <c r="S159" i="66"/>
  <c r="S160" i="66"/>
  <c r="S161" i="66"/>
  <c r="S162" i="66"/>
  <c r="S163" i="66"/>
  <c r="S164" i="66"/>
  <c r="S165" i="66"/>
  <c r="S166" i="66"/>
  <c r="S167" i="66"/>
  <c r="S168" i="66"/>
  <c r="S169" i="66"/>
  <c r="S170" i="66"/>
  <c r="S171" i="66"/>
  <c r="S172" i="66"/>
  <c r="S173" i="66"/>
  <c r="S174" i="66"/>
  <c r="S175" i="66"/>
  <c r="S176" i="66"/>
  <c r="S177" i="66"/>
  <c r="S178" i="66"/>
  <c r="S179" i="66"/>
  <c r="S180" i="66"/>
  <c r="S181" i="66"/>
  <c r="S182" i="66"/>
  <c r="S183" i="66"/>
  <c r="S184" i="66"/>
  <c r="S185" i="66"/>
  <c r="S186" i="66"/>
  <c r="S187" i="66"/>
  <c r="S188" i="66"/>
  <c r="S189" i="66"/>
  <c r="S190" i="66"/>
  <c r="S191" i="66"/>
  <c r="S192" i="66"/>
  <c r="S193" i="66"/>
  <c r="S194" i="66"/>
  <c r="S195" i="66"/>
  <c r="S196" i="66"/>
  <c r="S197" i="66"/>
  <c r="S198" i="66"/>
  <c r="S199" i="66"/>
  <c r="S200" i="66"/>
  <c r="S70" i="66"/>
  <c r="S80" i="66"/>
  <c r="S84" i="66"/>
  <c r="S88" i="66"/>
  <c r="S92" i="66"/>
  <c r="S96" i="66"/>
  <c r="S100" i="66"/>
  <c r="S104" i="66"/>
  <c r="S66" i="66"/>
  <c r="S81" i="66"/>
  <c r="S85" i="66"/>
  <c r="S89" i="66"/>
  <c r="S93" i="66"/>
  <c r="S97" i="66"/>
  <c r="S101" i="66"/>
  <c r="S105" i="66"/>
  <c r="S62" i="66"/>
  <c r="S78" i="66"/>
  <c r="S82" i="66"/>
  <c r="S86" i="66"/>
  <c r="S90" i="66"/>
  <c r="S94" i="66"/>
  <c r="S98" i="66"/>
  <c r="S102" i="66"/>
  <c r="S106" i="66"/>
  <c r="S58" i="66"/>
  <c r="S74" i="66"/>
  <c r="S79" i="66"/>
  <c r="S83" i="66"/>
  <c r="S87" i="66"/>
  <c r="S91" i="66"/>
  <c r="S95" i="66"/>
  <c r="S99" i="66"/>
  <c r="S103" i="66"/>
  <c r="S107" i="66"/>
  <c r="R17" i="66"/>
  <c r="R21" i="66"/>
  <c r="R25" i="66"/>
  <c r="R29" i="66"/>
  <c r="R33" i="66"/>
  <c r="R37" i="66"/>
  <c r="R41" i="66"/>
  <c r="R60" i="66"/>
  <c r="R64" i="66"/>
  <c r="R68" i="66"/>
  <c r="R72" i="66"/>
  <c r="R76" i="66"/>
  <c r="R18" i="66"/>
  <c r="R22" i="66"/>
  <c r="R26" i="66"/>
  <c r="R30" i="66"/>
  <c r="R34" i="66"/>
  <c r="R38" i="66"/>
  <c r="R42" i="66"/>
  <c r="R44" i="66"/>
  <c r="R46" i="66"/>
  <c r="R48" i="66"/>
  <c r="R50" i="66"/>
  <c r="R52" i="66"/>
  <c r="R54" i="66"/>
  <c r="R56" i="66"/>
  <c r="R59" i="66"/>
  <c r="R63" i="66"/>
  <c r="R67" i="66"/>
  <c r="R71" i="66"/>
  <c r="R75" i="66"/>
  <c r="R110" i="66"/>
  <c r="R111" i="66"/>
  <c r="R112" i="66"/>
  <c r="R113" i="66"/>
  <c r="R114" i="66"/>
  <c r="R115" i="66"/>
  <c r="R116" i="66"/>
  <c r="R117" i="66"/>
  <c r="R118" i="66"/>
  <c r="R119" i="66"/>
  <c r="R120" i="66"/>
  <c r="R121" i="66"/>
  <c r="R122" i="66"/>
  <c r="R123" i="66"/>
  <c r="R124" i="66"/>
  <c r="R125" i="66"/>
  <c r="R126" i="66"/>
  <c r="R127" i="66"/>
  <c r="R128" i="66"/>
  <c r="R129" i="66"/>
  <c r="R130" i="66"/>
  <c r="R131" i="66"/>
  <c r="R132" i="66"/>
  <c r="R133" i="66"/>
  <c r="R134" i="66"/>
  <c r="R135" i="66"/>
  <c r="R136" i="66"/>
  <c r="R137" i="66"/>
  <c r="R138" i="66"/>
  <c r="R139" i="66"/>
  <c r="R140" i="66"/>
  <c r="R141" i="66"/>
  <c r="R142" i="66"/>
  <c r="R143" i="66"/>
  <c r="R144" i="66"/>
  <c r="R145" i="66"/>
  <c r="R146" i="66"/>
  <c r="R147" i="66"/>
  <c r="R148" i="66"/>
  <c r="R149" i="66"/>
  <c r="R150" i="66"/>
  <c r="R151" i="66"/>
  <c r="R152" i="66"/>
  <c r="R153" i="66"/>
  <c r="R154" i="66"/>
  <c r="R155" i="66"/>
  <c r="R156" i="66"/>
  <c r="R157" i="66"/>
  <c r="R158" i="66"/>
  <c r="R159" i="66"/>
  <c r="R160" i="66"/>
  <c r="R161" i="66"/>
  <c r="R162" i="66"/>
  <c r="R163" i="66"/>
  <c r="R164" i="66"/>
  <c r="R165" i="66"/>
  <c r="R166" i="66"/>
  <c r="R167" i="66"/>
  <c r="R168" i="66"/>
  <c r="R169" i="66"/>
  <c r="R170" i="66"/>
  <c r="R171" i="66"/>
  <c r="R172" i="66"/>
  <c r="R173" i="66"/>
  <c r="R174" i="66"/>
  <c r="R175" i="66"/>
  <c r="R176" i="66"/>
  <c r="R177" i="66"/>
  <c r="R178" i="66"/>
  <c r="R179" i="66"/>
  <c r="R180" i="66"/>
  <c r="R181" i="66"/>
  <c r="R182" i="66"/>
  <c r="R183" i="66"/>
  <c r="R184" i="66"/>
  <c r="R185" i="66"/>
  <c r="R186" i="66"/>
  <c r="R187" i="66"/>
  <c r="R188" i="66"/>
  <c r="R189" i="66"/>
  <c r="R190" i="66"/>
  <c r="R191" i="66"/>
  <c r="R192" i="66"/>
  <c r="R193" i="66"/>
  <c r="R194" i="66"/>
  <c r="R195" i="66"/>
  <c r="R196" i="66"/>
  <c r="R197" i="66"/>
  <c r="R198" i="66"/>
  <c r="R199" i="66"/>
  <c r="R200" i="66"/>
  <c r="R19" i="66"/>
  <c r="R23" i="66"/>
  <c r="R27" i="66"/>
  <c r="R31" i="66"/>
  <c r="R35" i="66"/>
  <c r="R39" i="66"/>
  <c r="R58" i="66"/>
  <c r="R62" i="66"/>
  <c r="R66" i="66"/>
  <c r="R70" i="66"/>
  <c r="R74" i="66"/>
  <c r="R78" i="66"/>
  <c r="R79" i="66"/>
  <c r="R80" i="66"/>
  <c r="R81" i="66"/>
  <c r="R82" i="66"/>
  <c r="R83" i="66"/>
  <c r="R84" i="66"/>
  <c r="R85" i="66"/>
  <c r="R86" i="66"/>
  <c r="R87" i="66"/>
  <c r="R88" i="66"/>
  <c r="R89" i="66"/>
  <c r="R90" i="66"/>
  <c r="R91" i="66"/>
  <c r="R92" i="66"/>
  <c r="R93" i="66"/>
  <c r="R94" i="66"/>
  <c r="R95" i="66"/>
  <c r="R96" i="66"/>
  <c r="R97" i="66"/>
  <c r="R98" i="66"/>
  <c r="R99" i="66"/>
  <c r="R100" i="66"/>
  <c r="R101" i="66"/>
  <c r="R102" i="66"/>
  <c r="R103" i="66"/>
  <c r="R104" i="66"/>
  <c r="R105" i="66"/>
  <c r="R106" i="66"/>
  <c r="R107" i="66"/>
  <c r="R32" i="66"/>
  <c r="R45" i="66"/>
  <c r="R53" i="66"/>
  <c r="R65" i="66"/>
  <c r="R20" i="66"/>
  <c r="R36" i="66"/>
  <c r="R47" i="66"/>
  <c r="R55" i="66"/>
  <c r="R61" i="66"/>
  <c r="R77" i="66"/>
  <c r="R51" i="66"/>
  <c r="R24" i="66"/>
  <c r="R40" i="66"/>
  <c r="R49" i="66"/>
  <c r="R57" i="66"/>
  <c r="R73" i="66"/>
  <c r="R28" i="66"/>
  <c r="R43" i="66"/>
  <c r="R69" i="66"/>
  <c r="I166" i="64"/>
  <c r="L31" i="64"/>
  <c r="L234" i="64" s="1"/>
  <c r="L247" i="64"/>
  <c r="I171" i="64"/>
  <c r="L246" i="64"/>
  <c r="L386" i="64"/>
  <c r="J206" i="66"/>
  <c r="F205" i="66"/>
  <c r="I206" i="66"/>
  <c r="E206" i="66"/>
  <c r="I205" i="66"/>
  <c r="E205" i="66"/>
  <c r="F206" i="66"/>
  <c r="J205" i="66"/>
  <c r="L206" i="66"/>
  <c r="H206" i="66"/>
  <c r="D206" i="66"/>
  <c r="L205" i="66"/>
  <c r="H205" i="66"/>
  <c r="D205" i="66"/>
  <c r="K206" i="66"/>
  <c r="G206" i="66"/>
  <c r="C206" i="66"/>
  <c r="K205" i="66"/>
  <c r="G205" i="66"/>
  <c r="C205" i="66"/>
  <c r="K245" i="64"/>
  <c r="H108" i="66"/>
  <c r="L108" i="66"/>
  <c r="D108" i="66"/>
  <c r="K108" i="66"/>
  <c r="G108" i="66"/>
  <c r="C108" i="66"/>
  <c r="Q155" i="66"/>
  <c r="Q148" i="66"/>
  <c r="J108" i="66"/>
  <c r="F108" i="66"/>
  <c r="Q107" i="66"/>
  <c r="Q105" i="66"/>
  <c r="Q103" i="66"/>
  <c r="Q101" i="66"/>
  <c r="Q99" i="66"/>
  <c r="Q97" i="66"/>
  <c r="Q93" i="66"/>
  <c r="Q89" i="66"/>
  <c r="Q85" i="66"/>
  <c r="Q81" i="66"/>
  <c r="Q77" i="66"/>
  <c r="Q73" i="66"/>
  <c r="Q69" i="66"/>
  <c r="Q65" i="66"/>
  <c r="Q61" i="66"/>
  <c r="Q57" i="66"/>
  <c r="Q53" i="66"/>
  <c r="Q49" i="66"/>
  <c r="Q45" i="66"/>
  <c r="Q41" i="66"/>
  <c r="Q37" i="66"/>
  <c r="Q33" i="66"/>
  <c r="Q29" i="66"/>
  <c r="Q25" i="66"/>
  <c r="Q21" i="66"/>
  <c r="Q17" i="66"/>
  <c r="Q194" i="66"/>
  <c r="Q186" i="66"/>
  <c r="Q179" i="66"/>
  <c r="Q111" i="66"/>
  <c r="Q113" i="66"/>
  <c r="Q110" i="66"/>
  <c r="Q117" i="66"/>
  <c r="Q118" i="66"/>
  <c r="Q125" i="66"/>
  <c r="Q126" i="66"/>
  <c r="Q133" i="66"/>
  <c r="Q134" i="66"/>
  <c r="Q141" i="66"/>
  <c r="Q142" i="66"/>
  <c r="Q149" i="66"/>
  <c r="Q150" i="66"/>
  <c r="Q157" i="66"/>
  <c r="Q158" i="66"/>
  <c r="Q165" i="66"/>
  <c r="Q166" i="66"/>
  <c r="Q168" i="66"/>
  <c r="Q170" i="66"/>
  <c r="Q172" i="66"/>
  <c r="Q174" i="66"/>
  <c r="Q176" i="66"/>
  <c r="Q178" i="66"/>
  <c r="Q180" i="66"/>
  <c r="Q182" i="66"/>
  <c r="Q119" i="66"/>
  <c r="Q120" i="66"/>
  <c r="Q127" i="66"/>
  <c r="Q128" i="66"/>
  <c r="Q135" i="66"/>
  <c r="Q136" i="66"/>
  <c r="Q143" i="66"/>
  <c r="Q144" i="66"/>
  <c r="Q151" i="66"/>
  <c r="Q152" i="66"/>
  <c r="Q159" i="66"/>
  <c r="Q160" i="66"/>
  <c r="Q122" i="66"/>
  <c r="Q129" i="66"/>
  <c r="Q138" i="66"/>
  <c r="Q145" i="66"/>
  <c r="Q154" i="66"/>
  <c r="Q161" i="66"/>
  <c r="Q169" i="66"/>
  <c r="Q173" i="66"/>
  <c r="Q177" i="66"/>
  <c r="Q181" i="66"/>
  <c r="Q183" i="66"/>
  <c r="Q185" i="66"/>
  <c r="Q187" i="66"/>
  <c r="Q189" i="66"/>
  <c r="Q191" i="66"/>
  <c r="Q193" i="66"/>
  <c r="Q195" i="66"/>
  <c r="Q197" i="66"/>
  <c r="Q199" i="66"/>
  <c r="Q112" i="66"/>
  <c r="Q115" i="66"/>
  <c r="Q124" i="66"/>
  <c r="Q131" i="66"/>
  <c r="Q140" i="66"/>
  <c r="Q147" i="66"/>
  <c r="Q156" i="66"/>
  <c r="Q163" i="66"/>
  <c r="Q114" i="66"/>
  <c r="Q121" i="66"/>
  <c r="Q146" i="66"/>
  <c r="Q153" i="66"/>
  <c r="Q167" i="66"/>
  <c r="Q175" i="66"/>
  <c r="Q184" i="66"/>
  <c r="Q188" i="66"/>
  <c r="Q192" i="66"/>
  <c r="Q196" i="66"/>
  <c r="Q200" i="66"/>
  <c r="Q18" i="66"/>
  <c r="Q20" i="66"/>
  <c r="Q22" i="66"/>
  <c r="Q24" i="66"/>
  <c r="Q26" i="66"/>
  <c r="Q28" i="66"/>
  <c r="Q30" i="66"/>
  <c r="Q32" i="66"/>
  <c r="Q34" i="66"/>
  <c r="Q36" i="66"/>
  <c r="Q38" i="66"/>
  <c r="Q40" i="66"/>
  <c r="Q42" i="66"/>
  <c r="Q44" i="66"/>
  <c r="Q46" i="66"/>
  <c r="Q48" i="66"/>
  <c r="Q50" i="66"/>
  <c r="Q52" i="66"/>
  <c r="Q54" i="66"/>
  <c r="Q56" i="66"/>
  <c r="Q58" i="66"/>
  <c r="Q60" i="66"/>
  <c r="Q62" i="66"/>
  <c r="Q64" i="66"/>
  <c r="Q66" i="66"/>
  <c r="Q68" i="66"/>
  <c r="Q70" i="66"/>
  <c r="Q72" i="66"/>
  <c r="Q74" i="66"/>
  <c r="Q76" i="66"/>
  <c r="Q78" i="66"/>
  <c r="Q80" i="66"/>
  <c r="Q82" i="66"/>
  <c r="Q84" i="66"/>
  <c r="Q86" i="66"/>
  <c r="Q88" i="66"/>
  <c r="Q90" i="66"/>
  <c r="Q92" i="66"/>
  <c r="Q94" i="66"/>
  <c r="Q96" i="66"/>
  <c r="Q98" i="66"/>
  <c r="Q132" i="66"/>
  <c r="Q139" i="66"/>
  <c r="Q164" i="66"/>
  <c r="I108" i="66"/>
  <c r="E108" i="66"/>
  <c r="Q123" i="66"/>
  <c r="Q116" i="66"/>
  <c r="Q106" i="66"/>
  <c r="Q104" i="66"/>
  <c r="Q102" i="66"/>
  <c r="Q100" i="66"/>
  <c r="Q95" i="66"/>
  <c r="Q91" i="66"/>
  <c r="Q87" i="66"/>
  <c r="Q83" i="66"/>
  <c r="Q79" i="66"/>
  <c r="Q75" i="66"/>
  <c r="Q71" i="66"/>
  <c r="Q67" i="66"/>
  <c r="Q63" i="66"/>
  <c r="Q59" i="66"/>
  <c r="Q55" i="66"/>
  <c r="Q51" i="66"/>
  <c r="Q47" i="66"/>
  <c r="Q43" i="66"/>
  <c r="Q39" i="66"/>
  <c r="Q35" i="66"/>
  <c r="Q31" i="66"/>
  <c r="Q27" i="66"/>
  <c r="Q23" i="66"/>
  <c r="Q19" i="66"/>
  <c r="Q198" i="66"/>
  <c r="Q190" i="66"/>
  <c r="Q171" i="66"/>
  <c r="Q137" i="66"/>
  <c r="Q130" i="66"/>
  <c r="S225" i="66" l="1"/>
  <c r="T225" i="66"/>
  <c r="S215" i="66"/>
  <c r="T215" i="66"/>
  <c r="S217" i="66"/>
  <c r="T217" i="66"/>
  <c r="S228" i="66"/>
  <c r="T228" i="66"/>
  <c r="S224" i="66"/>
  <c r="T224" i="66"/>
  <c r="S220" i="66"/>
  <c r="T220" i="66"/>
  <c r="S219" i="66"/>
  <c r="T219" i="66"/>
  <c r="S212" i="66"/>
  <c r="T212" i="66"/>
  <c r="S213" i="66"/>
  <c r="T213" i="66"/>
  <c r="S209" i="66"/>
  <c r="T209" i="66"/>
  <c r="S208" i="66"/>
  <c r="T208" i="66"/>
  <c r="S218" i="66"/>
  <c r="T218" i="66"/>
  <c r="S229" i="66"/>
  <c r="T229" i="66"/>
  <c r="S221" i="66"/>
  <c r="T221" i="66"/>
  <c r="S216" i="66"/>
  <c r="T216" i="66"/>
  <c r="S214" i="66"/>
  <c r="T214" i="66"/>
  <c r="S227" i="66"/>
  <c r="T227" i="66"/>
  <c r="S223" i="66"/>
  <c r="T223" i="66"/>
  <c r="S210" i="66"/>
  <c r="T210" i="66"/>
  <c r="S211" i="66"/>
  <c r="T211" i="66"/>
  <c r="S226" i="66"/>
  <c r="T226" i="66"/>
  <c r="S222" i="66"/>
  <c r="T222" i="66"/>
  <c r="Q214" i="66"/>
  <c r="R214" i="66"/>
  <c r="Q221" i="66"/>
  <c r="R221" i="66"/>
  <c r="Q217" i="66"/>
  <c r="R217" i="66"/>
  <c r="Q229" i="66"/>
  <c r="R229" i="66"/>
  <c r="Q212" i="66"/>
  <c r="R212" i="66"/>
  <c r="Q222" i="66"/>
  <c r="R222" i="66"/>
  <c r="Q223" i="66"/>
  <c r="R223" i="66"/>
  <c r="Q226" i="66"/>
  <c r="R226" i="66"/>
  <c r="Q224" i="66"/>
  <c r="R224" i="66"/>
  <c r="Q208" i="66"/>
  <c r="R208" i="66"/>
  <c r="Q220" i="66"/>
  <c r="R220" i="66"/>
  <c r="Q218" i="66"/>
  <c r="R218" i="66"/>
  <c r="Q210" i="66"/>
  <c r="R210" i="66"/>
  <c r="Q227" i="66"/>
  <c r="R227" i="66"/>
  <c r="Q209" i="66"/>
  <c r="R209" i="66"/>
  <c r="Q225" i="66"/>
  <c r="R225" i="66"/>
  <c r="Q211" i="66"/>
  <c r="R211" i="66"/>
  <c r="Q215" i="66"/>
  <c r="R215" i="66"/>
  <c r="Q216" i="66"/>
  <c r="R216" i="66"/>
  <c r="R228" i="66"/>
  <c r="Q228" i="66"/>
  <c r="Q219" i="66"/>
  <c r="R219" i="66"/>
  <c r="Q213" i="66"/>
  <c r="R213" i="66"/>
  <c r="T382" i="68"/>
  <c r="T169" i="68"/>
  <c r="J172" i="64"/>
  <c r="J371" i="64"/>
  <c r="N393" i="64"/>
  <c r="R108" i="66"/>
  <c r="R201" i="66"/>
  <c r="S201" i="66"/>
  <c r="S108" i="66"/>
  <c r="L245" i="64"/>
  <c r="M31" i="64"/>
  <c r="M234" i="64" s="1"/>
  <c r="M386" i="64"/>
  <c r="M246" i="64"/>
  <c r="M247" i="64"/>
  <c r="I172" i="64"/>
  <c r="Q205" i="66"/>
  <c r="M205" i="66"/>
  <c r="O205" i="66"/>
  <c r="R206" i="66"/>
  <c r="N205" i="66"/>
  <c r="Q206" i="66"/>
  <c r="P205" i="66"/>
  <c r="N206" i="66"/>
  <c r="S205" i="66"/>
  <c r="P206" i="66"/>
  <c r="R205" i="66"/>
  <c r="M206" i="66"/>
  <c r="O206" i="66"/>
  <c r="S206" i="66"/>
  <c r="N108" i="66"/>
  <c r="M108" i="66"/>
  <c r="Q201" i="66"/>
  <c r="O201" i="66"/>
  <c r="O108" i="66"/>
  <c r="Q108" i="66"/>
  <c r="N201" i="66"/>
  <c r="J372" i="64" l="1"/>
  <c r="J35" i="64"/>
  <c r="O393" i="64"/>
  <c r="N246" i="64"/>
  <c r="M245" i="64"/>
  <c r="N247" i="64"/>
  <c r="N386" i="64"/>
  <c r="N31" i="64"/>
  <c r="N234" i="64" s="1"/>
  <c r="P393" i="64" l="1"/>
  <c r="N245" i="64"/>
  <c r="O386" i="64"/>
  <c r="O31" i="64"/>
  <c r="O234" i="64" s="1"/>
  <c r="O247" i="64"/>
  <c r="O246" i="64"/>
  <c r="F285" i="65"/>
  <c r="G285" i="65"/>
  <c r="H285" i="65"/>
  <c r="D285" i="65"/>
  <c r="Q393" i="64" l="1"/>
  <c r="P246" i="64"/>
  <c r="O245" i="64"/>
  <c r="P31" i="64"/>
  <c r="P234" i="64" s="1"/>
  <c r="P247" i="64"/>
  <c r="P386" i="64"/>
  <c r="M62" i="17"/>
  <c r="M9" i="17"/>
  <c r="S393" i="64" l="1"/>
  <c r="R393" i="64"/>
  <c r="P245" i="64"/>
  <c r="Q386" i="64"/>
  <c r="Q31" i="64"/>
  <c r="Q234" i="64" s="1"/>
  <c r="Q247" i="64"/>
  <c r="Q246" i="64"/>
  <c r="M14" i="17"/>
  <c r="N10" i="17"/>
  <c r="M28" i="17"/>
  <c r="M44" i="17"/>
  <c r="M36" i="17"/>
  <c r="M20" i="17"/>
  <c r="M42" i="17"/>
  <c r="M34" i="17"/>
  <c r="M26" i="17"/>
  <c r="M18" i="17"/>
  <c r="M40" i="17"/>
  <c r="M32" i="17"/>
  <c r="M24" i="17"/>
  <c r="M16" i="17"/>
  <c r="M63" i="17"/>
  <c r="M38" i="17"/>
  <c r="M30" i="17"/>
  <c r="M22" i="17"/>
  <c r="R246" i="64" l="1"/>
  <c r="Q245" i="64"/>
  <c r="R31" i="64"/>
  <c r="R234" i="64" s="1"/>
  <c r="R247" i="64"/>
  <c r="R386" i="64"/>
  <c r="N27" i="25"/>
  <c r="R245" i="64" l="1"/>
  <c r="S386" i="64"/>
  <c r="T386" i="64" s="1"/>
  <c r="S31" i="64"/>
  <c r="T31" i="64" s="1"/>
  <c r="S247" i="64"/>
  <c r="T247" i="64" s="1"/>
  <c r="S246" i="64"/>
  <c r="T246" i="64" s="1"/>
  <c r="S234" i="64" l="1"/>
  <c r="T234" i="64" s="1"/>
  <c r="T245" i="64"/>
  <c r="S245" i="64"/>
  <c r="R376" i="64" l="1"/>
  <c r="R380" i="64"/>
  <c r="R489" i="64" s="1"/>
  <c r="R401" i="64"/>
  <c r="R402" i="64"/>
  <c r="R403" i="64"/>
  <c r="R263" i="64" s="1"/>
  <c r="R404" i="64"/>
  <c r="R405" i="64"/>
  <c r="R151" i="64" s="1"/>
  <c r="R406" i="64"/>
  <c r="R512" i="64" l="1"/>
  <c r="R110" i="64" l="1"/>
  <c r="H442" i="64"/>
  <c r="H443" i="64"/>
  <c r="I99" i="64" l="1"/>
  <c r="I100" i="64" s="1"/>
  <c r="I490" i="64"/>
  <c r="I491" i="64" s="1"/>
  <c r="H486" i="64"/>
  <c r="H487" i="64"/>
  <c r="H488" i="64"/>
  <c r="H495" i="64"/>
  <c r="H496" i="64"/>
  <c r="H498" i="64"/>
  <c r="H460" i="64"/>
  <c r="H462" i="64" s="1"/>
  <c r="H461" i="64"/>
  <c r="H466" i="64"/>
  <c r="H467" i="64" s="1"/>
  <c r="H474" i="64"/>
  <c r="H477" i="64"/>
  <c r="H478" i="64"/>
  <c r="H479" i="64"/>
  <c r="H480" i="64"/>
  <c r="H481" i="64"/>
  <c r="H482" i="64"/>
  <c r="H446" i="64"/>
  <c r="H450" i="64"/>
  <c r="H453" i="64"/>
  <c r="H456" i="64"/>
  <c r="H457" i="64"/>
  <c r="H433" i="64"/>
  <c r="H434" i="64"/>
  <c r="H435" i="64"/>
  <c r="H439" i="64"/>
  <c r="H419" i="64"/>
  <c r="H420" i="64"/>
  <c r="F406" i="64"/>
  <c r="D406" i="64"/>
  <c r="H263" i="64"/>
  <c r="H151" i="64"/>
  <c r="H153" i="64" s="1"/>
  <c r="H411" i="64"/>
  <c r="H415" i="64"/>
  <c r="H161" i="64"/>
  <c r="H276" i="64"/>
  <c r="H489" i="64"/>
  <c r="H351" i="64"/>
  <c r="H354" i="64"/>
  <c r="H360" i="64"/>
  <c r="H361" i="64"/>
  <c r="H328" i="64"/>
  <c r="H334" i="64"/>
  <c r="H335" i="64"/>
  <c r="H347" i="64"/>
  <c r="H309" i="64"/>
  <c r="H310" i="64"/>
  <c r="H314" i="64"/>
  <c r="H316" i="64"/>
  <c r="H319" i="64"/>
  <c r="H320" i="64"/>
  <c r="H326" i="64"/>
  <c r="H327" i="64"/>
  <c r="H287" i="64"/>
  <c r="H288" i="64"/>
  <c r="H289" i="64"/>
  <c r="H298" i="64"/>
  <c r="H301" i="64"/>
  <c r="H302" i="64"/>
  <c r="H305" i="64"/>
  <c r="H306" i="64"/>
  <c r="H266" i="64"/>
  <c r="H273" i="64"/>
  <c r="H279" i="64"/>
  <c r="H280" i="64"/>
  <c r="H283" i="64"/>
  <c r="H284" i="64"/>
  <c r="H249" i="64"/>
  <c r="H252" i="64"/>
  <c r="H253" i="64"/>
  <c r="H256" i="64"/>
  <c r="H257" i="64"/>
  <c r="H218" i="64"/>
  <c r="H219" i="64"/>
  <c r="H109" i="64" s="1"/>
  <c r="H222" i="64"/>
  <c r="H223" i="64"/>
  <c r="H224" i="64"/>
  <c r="H225" i="64"/>
  <c r="H229" i="64"/>
  <c r="H230" i="64"/>
  <c r="H231" i="64"/>
  <c r="H232" i="64"/>
  <c r="H237" i="64"/>
  <c r="H294" i="64" s="1"/>
  <c r="H238" i="64"/>
  <c r="H239" i="64"/>
  <c r="H241" i="64"/>
  <c r="H242" i="64"/>
  <c r="H205" i="64"/>
  <c r="H206" i="64"/>
  <c r="H207" i="64"/>
  <c r="H208" i="64"/>
  <c r="H212" i="64"/>
  <c r="H423" i="64" s="1"/>
  <c r="H213" i="64"/>
  <c r="H214" i="64"/>
  <c r="H175" i="64"/>
  <c r="H176" i="64"/>
  <c r="H178" i="64"/>
  <c r="H179" i="64"/>
  <c r="H180" i="64"/>
  <c r="H182" i="64"/>
  <c r="H262" i="64" s="1"/>
  <c r="H184" i="64"/>
  <c r="H185" i="64"/>
  <c r="H272" i="64" s="1"/>
  <c r="H187" i="64"/>
  <c r="H190" i="64"/>
  <c r="H147" i="64"/>
  <c r="H148" i="64"/>
  <c r="H155" i="64"/>
  <c r="H156" i="64"/>
  <c r="H157" i="64"/>
  <c r="H82" i="64"/>
  <c r="H83" i="64"/>
  <c r="H84" i="64"/>
  <c r="H85" i="64"/>
  <c r="H86" i="64"/>
  <c r="H88" i="64"/>
  <c r="H89" i="64"/>
  <c r="H497" i="64"/>
  <c r="H367" i="64"/>
  <c r="H57" i="64"/>
  <c r="H62" i="64"/>
  <c r="H362" i="64" l="1"/>
  <c r="H163" i="64"/>
  <c r="H336" i="64"/>
  <c r="H274" i="64"/>
  <c r="H426" i="64"/>
  <c r="H422" i="64"/>
  <c r="H424" i="64"/>
  <c r="H357" i="64"/>
  <c r="H366" i="64" s="1"/>
  <c r="H368" i="64" s="1"/>
  <c r="H258" i="64"/>
  <c r="H259" i="64" s="1"/>
  <c r="H264" i="64"/>
  <c r="H265" i="64" s="1"/>
  <c r="H295" i="64"/>
  <c r="H296" i="64" s="1"/>
  <c r="H297" i="64" s="1"/>
  <c r="H499" i="64"/>
  <c r="H233" i="64"/>
  <c r="H410" i="64"/>
  <c r="H414" i="64" s="1"/>
  <c r="H240" i="64"/>
  <c r="H449" i="64"/>
  <c r="H451" i="64" s="1"/>
  <c r="H452" i="64" s="1"/>
  <c r="H290" i="64"/>
  <c r="H291" i="64" s="1"/>
  <c r="H436" i="64"/>
  <c r="H226" i="64"/>
  <c r="H315" i="64"/>
  <c r="H463" i="64"/>
  <c r="H87" i="64"/>
  <c r="H209" i="64"/>
  <c r="H468" i="64"/>
  <c r="H181" i="64"/>
  <c r="H188" i="64" s="1"/>
  <c r="H215" i="64"/>
  <c r="H108" i="64" s="1"/>
  <c r="H114" i="64" s="1"/>
  <c r="H388" i="65"/>
  <c r="H382" i="65"/>
  <c r="H378" i="65"/>
  <c r="H358" i="65"/>
  <c r="H342" i="65"/>
  <c r="H324" i="65"/>
  <c r="H307" i="65"/>
  <c r="H297" i="65"/>
  <c r="H281" i="65"/>
  <c r="H273" i="65"/>
  <c r="H268" i="65"/>
  <c r="H263" i="65"/>
  <c r="H257" i="65"/>
  <c r="H252" i="65"/>
  <c r="H247" i="65"/>
  <c r="H242" i="65"/>
  <c r="H231" i="65"/>
  <c r="H226" i="65"/>
  <c r="H216" i="65"/>
  <c r="F196" i="65"/>
  <c r="G196" i="65"/>
  <c r="H196" i="65"/>
  <c r="H190" i="65"/>
  <c r="H191" i="65"/>
  <c r="H182" i="65"/>
  <c r="H167" i="65"/>
  <c r="H160" i="65"/>
  <c r="H144" i="65"/>
  <c r="H152" i="65" s="1"/>
  <c r="H129" i="65"/>
  <c r="H105" i="65"/>
  <c r="H94" i="65"/>
  <c r="H87" i="65"/>
  <c r="H80" i="65"/>
  <c r="H76" i="65"/>
  <c r="H69" i="65"/>
  <c r="H52" i="65"/>
  <c r="H23" i="65"/>
  <c r="H14" i="65"/>
  <c r="H371" i="64" l="1"/>
  <c r="H372" i="64" s="1"/>
  <c r="H31" i="65"/>
  <c r="H32" i="65"/>
  <c r="H166" i="64"/>
  <c r="H389" i="65"/>
  <c r="H146" i="65"/>
  <c r="H425" i="64"/>
  <c r="H139" i="65"/>
  <c r="H81" i="65"/>
  <c r="H99" i="65" s="1"/>
  <c r="H114" i="65" s="1"/>
  <c r="H183" i="64"/>
  <c r="H186" i="64" s="1"/>
  <c r="H189" i="64"/>
  <c r="H191" i="64" s="1"/>
  <c r="H192" i="64" s="1"/>
  <c r="H267" i="64"/>
  <c r="H268" i="64" s="1"/>
  <c r="H384" i="65"/>
  <c r="H172" i="64" l="1"/>
  <c r="H88" i="65"/>
  <c r="H194" i="64"/>
  <c r="H195" i="64"/>
  <c r="H196" i="64"/>
  <c r="H197" i="64"/>
  <c r="H11" i="64"/>
  <c r="I12" i="64" s="1"/>
  <c r="H13" i="64"/>
  <c r="I14" i="64" s="1"/>
  <c r="H17" i="64"/>
  <c r="I18" i="64" s="1"/>
  <c r="H19" i="64"/>
  <c r="I20" i="64" s="1"/>
  <c r="H22" i="64"/>
  <c r="I23" i="64" s="1"/>
  <c r="H24" i="64"/>
  <c r="H25" i="64"/>
  <c r="H26" i="64"/>
  <c r="H27" i="64"/>
  <c r="H29" i="64"/>
  <c r="I30" i="64" s="1"/>
  <c r="H31" i="64"/>
  <c r="H95" i="65" l="1"/>
  <c r="H15" i="64"/>
  <c r="H21" i="64"/>
  <c r="A473" i="32"/>
  <c r="A472" i="32"/>
  <c r="A471" i="32"/>
  <c r="A470" i="32"/>
  <c r="A469" i="32"/>
  <c r="A468" i="32"/>
  <c r="A467" i="32"/>
  <c r="A466" i="32"/>
  <c r="A465" i="32"/>
  <c r="A464" i="32"/>
  <c r="A463" i="32"/>
  <c r="A462" i="32"/>
  <c r="A461" i="32"/>
  <c r="A460" i="32"/>
  <c r="A459" i="32"/>
  <c r="A458" i="32"/>
  <c r="A457" i="32"/>
  <c r="A456" i="32"/>
  <c r="A455" i="32"/>
  <c r="A454" i="32"/>
  <c r="A453" i="32"/>
  <c r="A452" i="32"/>
  <c r="A451" i="32"/>
  <c r="A450" i="32"/>
  <c r="A449" i="32"/>
  <c r="A448" i="32"/>
  <c r="A447" i="32"/>
  <c r="A446" i="32"/>
  <c r="A445" i="32"/>
  <c r="A444" i="32"/>
  <c r="A443" i="32"/>
  <c r="A442" i="32"/>
  <c r="A441" i="32"/>
  <c r="A440" i="32"/>
  <c r="A439" i="32"/>
  <c r="A438" i="32"/>
  <c r="A437" i="32"/>
  <c r="A436" i="32"/>
  <c r="A435" i="32"/>
  <c r="A434" i="32"/>
  <c r="A433" i="32"/>
  <c r="A432" i="32"/>
  <c r="A431" i="32"/>
  <c r="A430" i="32"/>
  <c r="A429" i="32"/>
  <c r="A428" i="32"/>
  <c r="A427" i="32"/>
  <c r="A426" i="32"/>
  <c r="A425" i="32"/>
  <c r="A424" i="32"/>
  <c r="A423" i="32"/>
  <c r="A422" i="32"/>
  <c r="A421" i="32"/>
  <c r="A420" i="32"/>
  <c r="A419" i="32"/>
  <c r="A418" i="32"/>
  <c r="A417" i="32"/>
  <c r="A416" i="32"/>
  <c r="A415" i="32"/>
  <c r="A414" i="32"/>
  <c r="A413" i="32"/>
  <c r="A412" i="32"/>
  <c r="A411" i="32"/>
  <c r="A410" i="32"/>
  <c r="A409" i="32"/>
  <c r="A408" i="32"/>
  <c r="A407" i="32"/>
  <c r="A405" i="32"/>
  <c r="A403" i="32"/>
  <c r="A402" i="32"/>
  <c r="A401" i="32"/>
  <c r="A400" i="32"/>
  <c r="A399" i="32"/>
  <c r="A398" i="32"/>
  <c r="A397" i="32"/>
  <c r="A396" i="32"/>
  <c r="A395" i="32"/>
  <c r="A394" i="32"/>
  <c r="A393" i="32"/>
  <c r="A392" i="32"/>
  <c r="A391" i="32"/>
  <c r="A390" i="32"/>
  <c r="A389" i="32"/>
  <c r="A388" i="32"/>
  <c r="A387" i="32"/>
  <c r="A386" i="32"/>
  <c r="A385" i="32"/>
  <c r="A384" i="32"/>
  <c r="A383" i="32"/>
  <c r="A382" i="32"/>
  <c r="A381" i="32"/>
  <c r="A380" i="32"/>
  <c r="A379" i="32"/>
  <c r="A378" i="32"/>
  <c r="A377" i="32"/>
  <c r="A376" i="32"/>
  <c r="A375" i="32"/>
  <c r="A374" i="32"/>
  <c r="A373" i="32"/>
  <c r="A372" i="32"/>
  <c r="A371" i="32"/>
  <c r="A370" i="32"/>
  <c r="A369" i="32"/>
  <c r="A368" i="32"/>
  <c r="A367" i="32"/>
  <c r="A366" i="32"/>
  <c r="A365" i="32"/>
  <c r="A364" i="32"/>
  <c r="A363" i="32"/>
  <c r="A362" i="32"/>
  <c r="A361" i="32"/>
  <c r="A360" i="32"/>
  <c r="A359" i="32"/>
  <c r="A358" i="32"/>
  <c r="A357" i="32"/>
  <c r="A356" i="32"/>
  <c r="A355" i="32"/>
  <c r="A354" i="32"/>
  <c r="A353" i="32"/>
  <c r="A352" i="32"/>
  <c r="A351" i="32"/>
  <c r="A350" i="32"/>
  <c r="A349" i="32"/>
  <c r="A348" i="32"/>
  <c r="A347" i="32"/>
  <c r="A346" i="32"/>
  <c r="A345" i="32"/>
  <c r="A344" i="32"/>
  <c r="A343" i="32"/>
  <c r="A342" i="32"/>
  <c r="A341" i="32"/>
  <c r="A340" i="32"/>
  <c r="A339" i="32"/>
  <c r="I7" i="67" l="1"/>
  <c r="I108" i="67" s="1"/>
  <c r="H97" i="65"/>
  <c r="A143" i="67"/>
  <c r="A142" i="67"/>
  <c r="A141" i="67"/>
  <c r="A140" i="67"/>
  <c r="A139" i="67"/>
  <c r="A138" i="67"/>
  <c r="A137" i="67"/>
  <c r="A136" i="67"/>
  <c r="A135" i="67"/>
  <c r="A134" i="67"/>
  <c r="A133" i="67"/>
  <c r="A132" i="67"/>
  <c r="A131" i="67"/>
  <c r="A130" i="67"/>
  <c r="A129" i="67"/>
  <c r="A128" i="67"/>
  <c r="A127" i="67"/>
  <c r="A126" i="67"/>
  <c r="A125" i="67"/>
  <c r="A124" i="67"/>
  <c r="A123" i="67"/>
  <c r="A122" i="67"/>
  <c r="A121" i="67"/>
  <c r="A120" i="67"/>
  <c r="A119" i="67"/>
  <c r="A118" i="67"/>
  <c r="A117" i="67"/>
  <c r="A116" i="67"/>
  <c r="A115" i="67"/>
  <c r="A114" i="67"/>
  <c r="A113" i="67"/>
  <c r="A112" i="67"/>
  <c r="A111" i="67"/>
  <c r="A110" i="67"/>
  <c r="A109" i="67"/>
  <c r="A108" i="67"/>
  <c r="A107" i="67"/>
  <c r="A106" i="67"/>
  <c r="A105" i="67"/>
  <c r="A104" i="67"/>
  <c r="A103" i="67"/>
  <c r="A102" i="67"/>
  <c r="A101" i="67"/>
  <c r="A100" i="67"/>
  <c r="A99" i="67"/>
  <c r="A98" i="67"/>
  <c r="A97" i="67"/>
  <c r="A96" i="67"/>
  <c r="A95" i="67"/>
  <c r="A94" i="67"/>
  <c r="A93" i="67"/>
  <c r="A92" i="67"/>
  <c r="A91" i="67"/>
  <c r="A90" i="67"/>
  <c r="A89" i="67"/>
  <c r="A88" i="67"/>
  <c r="A87" i="67"/>
  <c r="A86" i="67"/>
  <c r="A85" i="67"/>
  <c r="A84" i="67"/>
  <c r="A83" i="67"/>
  <c r="A82" i="67"/>
  <c r="A81" i="67"/>
  <c r="A80" i="67"/>
  <c r="A79" i="67"/>
  <c r="A78" i="67"/>
  <c r="I26" i="67" l="1"/>
  <c r="I42" i="67"/>
  <c r="I58" i="67"/>
  <c r="I74" i="67"/>
  <c r="I91" i="67"/>
  <c r="I107" i="67"/>
  <c r="I123" i="67"/>
  <c r="I139" i="67"/>
  <c r="I17" i="67"/>
  <c r="I33" i="67"/>
  <c r="I49" i="67"/>
  <c r="I65" i="67"/>
  <c r="I82" i="67"/>
  <c r="I98" i="67"/>
  <c r="I114" i="67"/>
  <c r="I130" i="67"/>
  <c r="I12" i="67"/>
  <c r="I28" i="67"/>
  <c r="I44" i="67"/>
  <c r="I60" i="67"/>
  <c r="I81" i="67"/>
  <c r="I97" i="67"/>
  <c r="I113" i="67"/>
  <c r="I129" i="67"/>
  <c r="I140" i="67"/>
  <c r="I23" i="67"/>
  <c r="I39" i="67"/>
  <c r="I55" i="67"/>
  <c r="I71" i="67"/>
  <c r="I88" i="67"/>
  <c r="I104" i="67"/>
  <c r="I124" i="67"/>
  <c r="I14" i="67"/>
  <c r="I30" i="67"/>
  <c r="I46" i="67"/>
  <c r="I62" i="67"/>
  <c r="I79" i="67"/>
  <c r="I95" i="67"/>
  <c r="I111" i="67"/>
  <c r="I127" i="67"/>
  <c r="I143" i="67"/>
  <c r="I21" i="67"/>
  <c r="I37" i="67"/>
  <c r="I53" i="67"/>
  <c r="I69" i="67"/>
  <c r="I86" i="67"/>
  <c r="I102" i="67"/>
  <c r="I118" i="67"/>
  <c r="I134" i="67"/>
  <c r="I16" i="67"/>
  <c r="I32" i="67"/>
  <c r="I48" i="67"/>
  <c r="I64" i="67"/>
  <c r="I85" i="67"/>
  <c r="I101" i="67"/>
  <c r="I117" i="67"/>
  <c r="I133" i="67"/>
  <c r="I11" i="67"/>
  <c r="I27" i="67"/>
  <c r="I43" i="67"/>
  <c r="I59" i="67"/>
  <c r="I75" i="67"/>
  <c r="I92" i="67"/>
  <c r="I112" i="67"/>
  <c r="I128" i="67"/>
  <c r="I18" i="67"/>
  <c r="I34" i="67"/>
  <c r="I50" i="67"/>
  <c r="I66" i="67"/>
  <c r="I83" i="67"/>
  <c r="I99" i="67"/>
  <c r="I115" i="67"/>
  <c r="I131" i="67"/>
  <c r="I25" i="67"/>
  <c r="I41" i="67"/>
  <c r="I57" i="67"/>
  <c r="I73" i="67"/>
  <c r="I90" i="67"/>
  <c r="I106" i="67"/>
  <c r="I122" i="67"/>
  <c r="I138" i="67"/>
  <c r="I20" i="67"/>
  <c r="I36" i="67"/>
  <c r="I52" i="67"/>
  <c r="I68" i="67"/>
  <c r="I89" i="67"/>
  <c r="I105" i="67"/>
  <c r="I121" i="67"/>
  <c r="I137" i="67"/>
  <c r="I15" i="67"/>
  <c r="I31" i="67"/>
  <c r="I47" i="67"/>
  <c r="I63" i="67"/>
  <c r="I80" i="67"/>
  <c r="I96" i="67"/>
  <c r="I116" i="67"/>
  <c r="I132" i="67"/>
  <c r="I10" i="67"/>
  <c r="I22" i="67"/>
  <c r="I38" i="67"/>
  <c r="I54" i="67"/>
  <c r="I70" i="67"/>
  <c r="I87" i="67"/>
  <c r="I103" i="67"/>
  <c r="I119" i="67"/>
  <c r="I135" i="67"/>
  <c r="I13" i="67"/>
  <c r="I29" i="67"/>
  <c r="I45" i="67"/>
  <c r="I61" i="67"/>
  <c r="I78" i="67"/>
  <c r="I94" i="67"/>
  <c r="I110" i="67"/>
  <c r="I126" i="67"/>
  <c r="I142" i="67"/>
  <c r="I24" i="67"/>
  <c r="I40" i="67"/>
  <c r="I56" i="67"/>
  <c r="I72" i="67"/>
  <c r="I93" i="67"/>
  <c r="I109" i="67"/>
  <c r="I125" i="67"/>
  <c r="I141" i="67"/>
  <c r="I19" i="67"/>
  <c r="I35" i="67"/>
  <c r="I51" i="67"/>
  <c r="I67" i="67"/>
  <c r="I84" i="67"/>
  <c r="I100" i="67"/>
  <c r="I120" i="67"/>
  <c r="I136" i="67"/>
  <c r="R13" i="66"/>
  <c r="R14" i="66"/>
  <c r="A200" i="66"/>
  <c r="A199" i="66"/>
  <c r="A198" i="66"/>
  <c r="A197" i="66"/>
  <c r="A196" i="66"/>
  <c r="A195" i="66"/>
  <c r="A194" i="66"/>
  <c r="A193" i="66"/>
  <c r="A192" i="66"/>
  <c r="A191" i="66"/>
  <c r="A190" i="66"/>
  <c r="A189" i="66"/>
  <c r="A188" i="66"/>
  <c r="A187" i="66"/>
  <c r="A186" i="66"/>
  <c r="A185" i="66"/>
  <c r="A184" i="66"/>
  <c r="A183" i="66"/>
  <c r="A182" i="66"/>
  <c r="A181" i="66"/>
  <c r="A180" i="66"/>
  <c r="A179" i="66"/>
  <c r="A178" i="66"/>
  <c r="A177" i="66"/>
  <c r="A176" i="66"/>
  <c r="A175" i="66"/>
  <c r="A174" i="66"/>
  <c r="A173" i="66"/>
  <c r="A172" i="66"/>
  <c r="A171" i="66"/>
  <c r="A170" i="66"/>
  <c r="A169" i="66"/>
  <c r="A168" i="66"/>
  <c r="A167" i="66"/>
  <c r="A166" i="66"/>
  <c r="A165" i="66"/>
  <c r="A164" i="66"/>
  <c r="A163" i="66"/>
  <c r="A162" i="66"/>
  <c r="A161" i="66"/>
  <c r="A160" i="66"/>
  <c r="A159" i="66"/>
  <c r="A158" i="66"/>
  <c r="A157" i="66"/>
  <c r="A156" i="66"/>
  <c r="A155" i="66"/>
  <c r="A154" i="66"/>
  <c r="A153" i="66"/>
  <c r="A152" i="66"/>
  <c r="A151" i="66"/>
  <c r="A150" i="66"/>
  <c r="A149" i="66"/>
  <c r="A148" i="66"/>
  <c r="A147" i="66"/>
  <c r="A146" i="66"/>
  <c r="A145" i="66"/>
  <c r="A144" i="66"/>
  <c r="A143" i="66"/>
  <c r="A142" i="66"/>
  <c r="A141" i="66"/>
  <c r="A140" i="66"/>
  <c r="A139" i="66"/>
  <c r="A138" i="66"/>
  <c r="A137" i="66"/>
  <c r="A136" i="66"/>
  <c r="A135" i="66"/>
  <c r="A134" i="66"/>
  <c r="A133" i="66"/>
  <c r="A132" i="66"/>
  <c r="A131" i="66"/>
  <c r="A130" i="66"/>
  <c r="A129" i="66"/>
  <c r="A128" i="66"/>
  <c r="A127" i="66"/>
  <c r="A126" i="66"/>
  <c r="A125" i="66"/>
  <c r="A124" i="66"/>
  <c r="A123" i="66"/>
  <c r="A122" i="66"/>
  <c r="A121" i="66"/>
  <c r="A120" i="66"/>
  <c r="A119" i="66"/>
  <c r="A118" i="66"/>
  <c r="A117" i="66"/>
  <c r="A116" i="66"/>
  <c r="A115" i="66"/>
  <c r="A114" i="66"/>
  <c r="A113" i="66"/>
  <c r="A112" i="66"/>
  <c r="A111" i="66"/>
  <c r="A110" i="66"/>
  <c r="O12" i="32"/>
  <c r="P12" i="32"/>
  <c r="Q12" i="32"/>
  <c r="Q13" i="32" s="1"/>
  <c r="R12" i="32"/>
  <c r="S12" i="32"/>
  <c r="T12" i="32"/>
  <c r="U12" i="32"/>
  <c r="U13" i="32" s="1"/>
  <c r="V12" i="32"/>
  <c r="W12" i="32"/>
  <c r="X12" i="32"/>
  <c r="Y12" i="32"/>
  <c r="Y13" i="32" s="1"/>
  <c r="Z12" i="32"/>
  <c r="AA12" i="32"/>
  <c r="AB12" i="32"/>
  <c r="AC12" i="32"/>
  <c r="AC13" i="32" s="1"/>
  <c r="AD12" i="32"/>
  <c r="AE12" i="32"/>
  <c r="AF12" i="32"/>
  <c r="AG12" i="32"/>
  <c r="AG13" i="32" s="1"/>
  <c r="AH12" i="32"/>
  <c r="AI12" i="32"/>
  <c r="AJ12" i="32"/>
  <c r="AK12" i="32"/>
  <c r="AK13" i="32" s="1"/>
  <c r="AL12" i="32"/>
  <c r="AM12" i="32"/>
  <c r="AN12" i="32"/>
  <c r="AO12" i="32"/>
  <c r="AO13" i="32" s="1"/>
  <c r="AP12" i="32"/>
  <c r="AQ12" i="32"/>
  <c r="AR12" i="32"/>
  <c r="AS12" i="32"/>
  <c r="AS13" i="32" s="1"/>
  <c r="AT12" i="32"/>
  <c r="AU12" i="32"/>
  <c r="AV12" i="32"/>
  <c r="AW12" i="32"/>
  <c r="AW13" i="32" s="1"/>
  <c r="AX12" i="32"/>
  <c r="AY12" i="32"/>
  <c r="AZ12" i="32"/>
  <c r="BA12" i="32"/>
  <c r="BA13" i="32" s="1"/>
  <c r="BB12" i="32"/>
  <c r="BC12" i="32"/>
  <c r="BD13" i="32" s="1"/>
  <c r="BD12" i="32"/>
  <c r="BE12" i="32"/>
  <c r="BE13" i="32" s="1"/>
  <c r="BF12" i="32"/>
  <c r="BG12" i="32"/>
  <c r="BH12" i="32"/>
  <c r="BI12" i="32"/>
  <c r="BI13" i="32" s="1"/>
  <c r="BJ12" i="32"/>
  <c r="BK12" i="32"/>
  <c r="BL13" i="32" s="1"/>
  <c r="P13" i="32"/>
  <c r="X13" i="32"/>
  <c r="AF13" i="32"/>
  <c r="AN13" i="32"/>
  <c r="AV13" i="32"/>
  <c r="N12" i="32"/>
  <c r="M12" i="32"/>
  <c r="M337" i="32"/>
  <c r="M269" i="32"/>
  <c r="A337" i="32"/>
  <c r="A336" i="32"/>
  <c r="A335" i="32"/>
  <c r="A334" i="32"/>
  <c r="A333" i="32"/>
  <c r="A332" i="32"/>
  <c r="A331" i="32"/>
  <c r="A330" i="32"/>
  <c r="A329" i="32"/>
  <c r="A328" i="32"/>
  <c r="A327" i="32"/>
  <c r="A326" i="32"/>
  <c r="A325" i="32"/>
  <c r="A324" i="32"/>
  <c r="A323" i="32"/>
  <c r="A322" i="32"/>
  <c r="A321" i="32"/>
  <c r="A320" i="32"/>
  <c r="A319" i="32"/>
  <c r="A318" i="32"/>
  <c r="A317" i="32"/>
  <c r="A316" i="32"/>
  <c r="A315" i="32"/>
  <c r="A314" i="32"/>
  <c r="A313" i="32"/>
  <c r="A312" i="32"/>
  <c r="A311" i="32"/>
  <c r="A310" i="32"/>
  <c r="A309" i="32"/>
  <c r="A308" i="32"/>
  <c r="A307" i="32"/>
  <c r="A306" i="32"/>
  <c r="A305" i="32"/>
  <c r="A304" i="32"/>
  <c r="A303" i="32"/>
  <c r="A302" i="32"/>
  <c r="A301" i="32"/>
  <c r="A300" i="32"/>
  <c r="A299" i="32"/>
  <c r="A298" i="32"/>
  <c r="A297" i="32"/>
  <c r="A296" i="32"/>
  <c r="A295" i="32"/>
  <c r="A294" i="32"/>
  <c r="A293" i="32"/>
  <c r="A292" i="32"/>
  <c r="A291" i="32"/>
  <c r="A290" i="32"/>
  <c r="A289" i="32"/>
  <c r="A288" i="32"/>
  <c r="A287" i="32"/>
  <c r="A286" i="32"/>
  <c r="A285" i="32"/>
  <c r="A284" i="32"/>
  <c r="A283" i="32"/>
  <c r="A282" i="32"/>
  <c r="A281" i="32"/>
  <c r="A280" i="32"/>
  <c r="A279" i="32"/>
  <c r="A278" i="32"/>
  <c r="A277" i="32"/>
  <c r="A276" i="32"/>
  <c r="A275" i="32"/>
  <c r="A274" i="32"/>
  <c r="A273" i="32"/>
  <c r="A272" i="32"/>
  <c r="A271" i="32"/>
  <c r="A269" i="32"/>
  <c r="A267" i="32"/>
  <c r="A266" i="32"/>
  <c r="A265" i="32"/>
  <c r="A264" i="32"/>
  <c r="A263" i="32"/>
  <c r="A262" i="32"/>
  <c r="A261" i="32"/>
  <c r="A260" i="32"/>
  <c r="A259" i="32"/>
  <c r="A258" i="32"/>
  <c r="A257" i="32"/>
  <c r="A256" i="32"/>
  <c r="A255" i="32"/>
  <c r="A254" i="32"/>
  <c r="A253" i="32"/>
  <c r="A252" i="32"/>
  <c r="A251" i="32"/>
  <c r="A250" i="32"/>
  <c r="A249" i="32"/>
  <c r="A248" i="32"/>
  <c r="A247" i="32"/>
  <c r="A246" i="32"/>
  <c r="A245" i="32"/>
  <c r="A244" i="32"/>
  <c r="A243" i="32"/>
  <c r="A242" i="32"/>
  <c r="A241" i="32"/>
  <c r="A240" i="32"/>
  <c r="A239" i="32"/>
  <c r="A238" i="32"/>
  <c r="A237" i="32"/>
  <c r="A236" i="32"/>
  <c r="A235" i="32"/>
  <c r="A234" i="32"/>
  <c r="A233" i="32"/>
  <c r="A232" i="32"/>
  <c r="A231" i="32"/>
  <c r="A230" i="32"/>
  <c r="A229" i="32"/>
  <c r="A228" i="32"/>
  <c r="A227" i="32"/>
  <c r="A226" i="32"/>
  <c r="A225" i="32"/>
  <c r="A224" i="32"/>
  <c r="A223" i="32"/>
  <c r="A222" i="32"/>
  <c r="A221" i="32"/>
  <c r="A220" i="32"/>
  <c r="A219" i="32"/>
  <c r="A218" i="32"/>
  <c r="A217" i="32"/>
  <c r="A216" i="32"/>
  <c r="A215" i="32"/>
  <c r="A214" i="32"/>
  <c r="A213" i="32"/>
  <c r="A212" i="32"/>
  <c r="A211" i="32"/>
  <c r="A210" i="32"/>
  <c r="A209" i="32"/>
  <c r="A208" i="32"/>
  <c r="A207" i="32"/>
  <c r="A206" i="32"/>
  <c r="A205" i="32"/>
  <c r="A204" i="32"/>
  <c r="A203" i="32"/>
  <c r="A200" i="32"/>
  <c r="A199" i="32"/>
  <c r="A198" i="32"/>
  <c r="A197" i="32"/>
  <c r="A196" i="32"/>
  <c r="A195" i="32"/>
  <c r="A194" i="32"/>
  <c r="A193" i="32"/>
  <c r="A192" i="32"/>
  <c r="A191" i="32"/>
  <c r="A190" i="32"/>
  <c r="A189" i="32"/>
  <c r="A188" i="32"/>
  <c r="A187" i="32"/>
  <c r="A186" i="32"/>
  <c r="A185" i="32"/>
  <c r="A184" i="32"/>
  <c r="A183" i="32"/>
  <c r="A182" i="32"/>
  <c r="A181" i="32"/>
  <c r="A180" i="32"/>
  <c r="A179" i="32"/>
  <c r="A178" i="32"/>
  <c r="A177" i="32"/>
  <c r="A176" i="32"/>
  <c r="A175" i="32"/>
  <c r="A174" i="32"/>
  <c r="A173" i="32"/>
  <c r="A172" i="32"/>
  <c r="A171" i="32"/>
  <c r="A170" i="32"/>
  <c r="A169" i="32"/>
  <c r="A168" i="32"/>
  <c r="A167" i="32"/>
  <c r="A166" i="32"/>
  <c r="A165" i="32"/>
  <c r="A164" i="32"/>
  <c r="A163" i="32"/>
  <c r="A162" i="32"/>
  <c r="A161" i="32"/>
  <c r="A160" i="32"/>
  <c r="A159" i="32"/>
  <c r="A158" i="32"/>
  <c r="A157" i="32"/>
  <c r="A156" i="32"/>
  <c r="A155" i="32"/>
  <c r="A154" i="32"/>
  <c r="A153" i="32"/>
  <c r="A152" i="32"/>
  <c r="A151" i="32"/>
  <c r="A150" i="32"/>
  <c r="A149" i="32"/>
  <c r="A148" i="32"/>
  <c r="A147" i="32"/>
  <c r="A146" i="32"/>
  <c r="A145" i="32"/>
  <c r="A144" i="32"/>
  <c r="A143" i="32"/>
  <c r="A142" i="32"/>
  <c r="A141" i="32"/>
  <c r="A140" i="32"/>
  <c r="A139" i="32"/>
  <c r="A138" i="32"/>
  <c r="A137" i="32"/>
  <c r="A136" i="32"/>
  <c r="A135" i="32"/>
  <c r="A134" i="32"/>
  <c r="A133" i="32"/>
  <c r="A132" i="32"/>
  <c r="A131" i="32"/>
  <c r="A130" i="32"/>
  <c r="A129" i="32"/>
  <c r="A128" i="32"/>
  <c r="A127" i="32"/>
  <c r="A126" i="32"/>
  <c r="A125" i="32"/>
  <c r="A124" i="32"/>
  <c r="A123" i="32"/>
  <c r="A122" i="32"/>
  <c r="A121" i="32"/>
  <c r="A120" i="32"/>
  <c r="A119" i="32"/>
  <c r="A118" i="32"/>
  <c r="A117" i="32"/>
  <c r="A116" i="32"/>
  <c r="A115" i="32"/>
  <c r="A114" i="32"/>
  <c r="A113" i="32"/>
  <c r="A112" i="32"/>
  <c r="A111" i="32"/>
  <c r="A110" i="32"/>
  <c r="A13" i="32"/>
  <c r="D10" i="32"/>
  <c r="E11" i="32" s="1"/>
  <c r="E10" i="32"/>
  <c r="F10" i="32"/>
  <c r="G10" i="32"/>
  <c r="H10" i="32"/>
  <c r="I11" i="32" s="1"/>
  <c r="I10" i="32"/>
  <c r="J10" i="32"/>
  <c r="K10" i="32"/>
  <c r="L10" i="32"/>
  <c r="M11" i="32" s="1"/>
  <c r="M10" i="32"/>
  <c r="N10" i="32"/>
  <c r="O10" i="32"/>
  <c r="P10" i="32"/>
  <c r="Q10" i="32"/>
  <c r="R10" i="32"/>
  <c r="S10" i="32"/>
  <c r="T10" i="32"/>
  <c r="U10" i="32"/>
  <c r="V10" i="32"/>
  <c r="W10" i="32"/>
  <c r="W14" i="32" s="1"/>
  <c r="X10" i="32"/>
  <c r="Y11" i="32" s="1"/>
  <c r="Y10" i="32"/>
  <c r="Z10" i="32"/>
  <c r="AA10" i="32"/>
  <c r="AA14" i="32" s="1"/>
  <c r="AB10" i="32"/>
  <c r="AC10" i="32"/>
  <c r="AD10" i="32"/>
  <c r="AE10" i="32"/>
  <c r="AE14" i="32" s="1"/>
  <c r="AF10" i="32"/>
  <c r="AG10" i="32"/>
  <c r="AH10" i="32"/>
  <c r="AI10" i="32"/>
  <c r="AI14" i="32" s="1"/>
  <c r="AJ10" i="32"/>
  <c r="AK10" i="32"/>
  <c r="AL10" i="32"/>
  <c r="AM10" i="32"/>
  <c r="AM14" i="32" s="1"/>
  <c r="AN10" i="32"/>
  <c r="AO10" i="32"/>
  <c r="AP10" i="32"/>
  <c r="AQ10" i="32"/>
  <c r="AQ14" i="32" s="1"/>
  <c r="AR10" i="32"/>
  <c r="AS10" i="32"/>
  <c r="AT10" i="32"/>
  <c r="AU10" i="32"/>
  <c r="AU14" i="32" s="1"/>
  <c r="AV10" i="32"/>
  <c r="AW10" i="32"/>
  <c r="AX10" i="32"/>
  <c r="AY10" i="32"/>
  <c r="AY14" i="32" s="1"/>
  <c r="AZ10" i="32"/>
  <c r="BA10" i="32"/>
  <c r="BB10" i="32"/>
  <c r="BC10" i="32"/>
  <c r="BC14" i="32" s="1"/>
  <c r="BD10" i="32"/>
  <c r="BE10" i="32"/>
  <c r="BF10" i="32"/>
  <c r="BG10" i="32"/>
  <c r="BG14" i="32" s="1"/>
  <c r="BH10" i="32"/>
  <c r="BI10" i="32"/>
  <c r="BJ10" i="32"/>
  <c r="BK10" i="32"/>
  <c r="U11" i="32"/>
  <c r="B10" i="32"/>
  <c r="C10" i="32"/>
  <c r="A11" i="32"/>
  <c r="C201" i="32"/>
  <c r="D201" i="32"/>
  <c r="E201" i="32"/>
  <c r="F201" i="32"/>
  <c r="G201" i="32"/>
  <c r="H201" i="32"/>
  <c r="I201" i="32"/>
  <c r="J201" i="32"/>
  <c r="K201" i="32"/>
  <c r="L201" i="32"/>
  <c r="M201" i="32"/>
  <c r="N201" i="32"/>
  <c r="O201" i="32"/>
  <c r="P201" i="32"/>
  <c r="Q201" i="32"/>
  <c r="R201" i="32"/>
  <c r="S201" i="32"/>
  <c r="T201" i="32"/>
  <c r="U201" i="32"/>
  <c r="V201" i="32"/>
  <c r="W201" i="32"/>
  <c r="X201" i="32"/>
  <c r="Y201" i="32"/>
  <c r="Z201" i="32"/>
  <c r="AA201" i="32"/>
  <c r="AB201" i="32"/>
  <c r="AC201" i="32"/>
  <c r="AD201" i="32"/>
  <c r="AE201" i="32"/>
  <c r="AF201" i="32"/>
  <c r="AG201" i="32"/>
  <c r="AH201" i="32"/>
  <c r="AI201" i="32"/>
  <c r="AJ201" i="32"/>
  <c r="AK201" i="32"/>
  <c r="AL201" i="32"/>
  <c r="AM201" i="32"/>
  <c r="AN201" i="32"/>
  <c r="AO201" i="32"/>
  <c r="AP201" i="32"/>
  <c r="AQ201" i="32"/>
  <c r="AR201" i="32"/>
  <c r="AS201" i="32"/>
  <c r="AT201" i="32"/>
  <c r="AU201" i="32"/>
  <c r="AV201" i="32"/>
  <c r="AW201" i="32"/>
  <c r="AX201" i="32"/>
  <c r="AY201" i="32"/>
  <c r="AZ201" i="32"/>
  <c r="BA201" i="32"/>
  <c r="BB201" i="32"/>
  <c r="BC201" i="32"/>
  <c r="BD201" i="32"/>
  <c r="BE201" i="32"/>
  <c r="BF201" i="32"/>
  <c r="BG201" i="32"/>
  <c r="BH201" i="32"/>
  <c r="BI201" i="32"/>
  <c r="BJ201" i="32"/>
  <c r="BK201" i="32"/>
  <c r="BL201" i="32"/>
  <c r="AO11" i="32" l="1"/>
  <c r="BI11" i="32"/>
  <c r="AS11" i="32"/>
  <c r="BK14" i="32"/>
  <c r="BL11" i="32"/>
  <c r="BF11" i="32"/>
  <c r="BB11" i="32"/>
  <c r="AX11" i="32"/>
  <c r="AP11" i="32"/>
  <c r="AL11" i="32"/>
  <c r="AH11" i="32"/>
  <c r="Z11" i="32"/>
  <c r="V11" i="32"/>
  <c r="BH13" i="32"/>
  <c r="AZ13" i="32"/>
  <c r="AR13" i="32"/>
  <c r="AJ13" i="32"/>
  <c r="AB13" i="32"/>
  <c r="T13" i="32"/>
  <c r="I144" i="67"/>
  <c r="I76" i="67"/>
  <c r="AD11" i="32"/>
  <c r="AD14" i="32"/>
  <c r="BJ11" i="32"/>
  <c r="BJ14" i="32"/>
  <c r="AT11" i="32"/>
  <c r="AT14" i="32"/>
  <c r="BB14" i="32"/>
  <c r="M14" i="32"/>
  <c r="O14" i="32"/>
  <c r="N11" i="32"/>
  <c r="F11" i="32"/>
  <c r="AP14" i="32"/>
  <c r="BI14" i="32"/>
  <c r="BE11" i="32"/>
  <c r="BA11" i="32"/>
  <c r="AW11" i="32"/>
  <c r="AS14" i="32"/>
  <c r="AO14" i="32"/>
  <c r="AK11" i="32"/>
  <c r="AG11" i="32"/>
  <c r="AC14" i="32"/>
  <c r="Y14" i="32"/>
  <c r="U14" i="32"/>
  <c r="Q11" i="32"/>
  <c r="N13" i="32"/>
  <c r="AL14" i="32"/>
  <c r="V14" i="32"/>
  <c r="S14" i="32"/>
  <c r="V39" i="66"/>
  <c r="W39" i="66" s="1"/>
  <c r="X39" i="66" s="1"/>
  <c r="Y39" i="66" s="1"/>
  <c r="Z39" i="66" s="1"/>
  <c r="AA39" i="66" s="1"/>
  <c r="AB39" i="66" s="1"/>
  <c r="AC39" i="66" s="1"/>
  <c r="AD39" i="66" s="1"/>
  <c r="AE39" i="66" s="1"/>
  <c r="AF39" i="66" s="1"/>
  <c r="AG39" i="66" s="1"/>
  <c r="AH39" i="66" s="1"/>
  <c r="AI39" i="66" s="1"/>
  <c r="AJ39" i="66" s="1"/>
  <c r="AK39" i="66" s="1"/>
  <c r="AL39" i="66" s="1"/>
  <c r="AM39" i="66" s="1"/>
  <c r="AN39" i="66" s="1"/>
  <c r="AO39" i="66" s="1"/>
  <c r="AP39" i="66" s="1"/>
  <c r="AQ39" i="66" s="1"/>
  <c r="AR39" i="66" s="1"/>
  <c r="AS39" i="66" s="1"/>
  <c r="AT39" i="66" s="1"/>
  <c r="AU39" i="66" s="1"/>
  <c r="AV39" i="66" s="1"/>
  <c r="AW39" i="66" s="1"/>
  <c r="AX39" i="66" s="1"/>
  <c r="AY39" i="66" s="1"/>
  <c r="AZ39" i="66" s="1"/>
  <c r="BA39" i="66" s="1"/>
  <c r="BB39" i="66" s="1"/>
  <c r="BC39" i="66" s="1"/>
  <c r="BD39" i="66" s="1"/>
  <c r="BE39" i="66" s="1"/>
  <c r="BF39" i="66" s="1"/>
  <c r="BG39" i="66" s="1"/>
  <c r="BH39" i="66" s="1"/>
  <c r="BI39" i="66" s="1"/>
  <c r="BJ39" i="66" s="1"/>
  <c r="BK39" i="66" s="1"/>
  <c r="BL39" i="66" s="1"/>
  <c r="BM39" i="66" s="1"/>
  <c r="BN39" i="66" s="1"/>
  <c r="BO39" i="66" s="1"/>
  <c r="BP39" i="66" s="1"/>
  <c r="BQ39" i="66" s="1"/>
  <c r="V55" i="66"/>
  <c r="W55" i="66" s="1"/>
  <c r="X55" i="66" s="1"/>
  <c r="Y55" i="66" s="1"/>
  <c r="Z55" i="66" s="1"/>
  <c r="AA55" i="66" s="1"/>
  <c r="AB55" i="66" s="1"/>
  <c r="AC55" i="66" s="1"/>
  <c r="AD55" i="66" s="1"/>
  <c r="AE55" i="66" s="1"/>
  <c r="AF55" i="66" s="1"/>
  <c r="AG55" i="66" s="1"/>
  <c r="AH55" i="66" s="1"/>
  <c r="AI55" i="66" s="1"/>
  <c r="AJ55" i="66" s="1"/>
  <c r="AK55" i="66" s="1"/>
  <c r="AL55" i="66" s="1"/>
  <c r="AM55" i="66" s="1"/>
  <c r="AN55" i="66" s="1"/>
  <c r="AO55" i="66" s="1"/>
  <c r="AP55" i="66" s="1"/>
  <c r="AQ55" i="66" s="1"/>
  <c r="AR55" i="66" s="1"/>
  <c r="AS55" i="66" s="1"/>
  <c r="AT55" i="66" s="1"/>
  <c r="AU55" i="66" s="1"/>
  <c r="AV55" i="66" s="1"/>
  <c r="AW55" i="66" s="1"/>
  <c r="AX55" i="66" s="1"/>
  <c r="AY55" i="66" s="1"/>
  <c r="AZ55" i="66" s="1"/>
  <c r="BA55" i="66" s="1"/>
  <c r="BB55" i="66" s="1"/>
  <c r="BC55" i="66" s="1"/>
  <c r="BD55" i="66" s="1"/>
  <c r="BE55" i="66" s="1"/>
  <c r="BF55" i="66" s="1"/>
  <c r="BG55" i="66" s="1"/>
  <c r="BH55" i="66" s="1"/>
  <c r="BI55" i="66" s="1"/>
  <c r="BJ55" i="66" s="1"/>
  <c r="BK55" i="66" s="1"/>
  <c r="BL55" i="66" s="1"/>
  <c r="BM55" i="66" s="1"/>
  <c r="BN55" i="66" s="1"/>
  <c r="BO55" i="66" s="1"/>
  <c r="BP55" i="66" s="1"/>
  <c r="BQ55" i="66" s="1"/>
  <c r="V61" i="66"/>
  <c r="W61" i="66" s="1"/>
  <c r="X61" i="66" s="1"/>
  <c r="Y61" i="66" s="1"/>
  <c r="Z61" i="66" s="1"/>
  <c r="AA61" i="66" s="1"/>
  <c r="AB61" i="66" s="1"/>
  <c r="AC61" i="66" s="1"/>
  <c r="AD61" i="66" s="1"/>
  <c r="AE61" i="66" s="1"/>
  <c r="AF61" i="66" s="1"/>
  <c r="AG61" i="66" s="1"/>
  <c r="AH61" i="66" s="1"/>
  <c r="AI61" i="66" s="1"/>
  <c r="AJ61" i="66" s="1"/>
  <c r="AK61" i="66" s="1"/>
  <c r="AL61" i="66" s="1"/>
  <c r="AM61" i="66" s="1"/>
  <c r="AN61" i="66" s="1"/>
  <c r="AO61" i="66" s="1"/>
  <c r="AP61" i="66" s="1"/>
  <c r="AQ61" i="66" s="1"/>
  <c r="AR61" i="66" s="1"/>
  <c r="AS61" i="66" s="1"/>
  <c r="AT61" i="66" s="1"/>
  <c r="AU61" i="66" s="1"/>
  <c r="AV61" i="66" s="1"/>
  <c r="AW61" i="66" s="1"/>
  <c r="AX61" i="66" s="1"/>
  <c r="AY61" i="66" s="1"/>
  <c r="AZ61" i="66" s="1"/>
  <c r="BA61" i="66" s="1"/>
  <c r="BB61" i="66" s="1"/>
  <c r="BC61" i="66" s="1"/>
  <c r="BD61" i="66" s="1"/>
  <c r="BE61" i="66" s="1"/>
  <c r="BF61" i="66" s="1"/>
  <c r="BG61" i="66" s="1"/>
  <c r="BH61" i="66" s="1"/>
  <c r="BI61" i="66" s="1"/>
  <c r="BJ61" i="66" s="1"/>
  <c r="BK61" i="66" s="1"/>
  <c r="BL61" i="66" s="1"/>
  <c r="BM61" i="66" s="1"/>
  <c r="BN61" i="66" s="1"/>
  <c r="BO61" i="66" s="1"/>
  <c r="BP61" i="66" s="1"/>
  <c r="BQ61" i="66" s="1"/>
  <c r="V69" i="66"/>
  <c r="W69" i="66" s="1"/>
  <c r="X69" i="66" s="1"/>
  <c r="Y69" i="66" s="1"/>
  <c r="Z69" i="66" s="1"/>
  <c r="AA69" i="66" s="1"/>
  <c r="AB69" i="66" s="1"/>
  <c r="AC69" i="66" s="1"/>
  <c r="AD69" i="66" s="1"/>
  <c r="AE69" i="66" s="1"/>
  <c r="AF69" i="66" s="1"/>
  <c r="AG69" i="66" s="1"/>
  <c r="AH69" i="66" s="1"/>
  <c r="AI69" i="66" s="1"/>
  <c r="AJ69" i="66" s="1"/>
  <c r="AK69" i="66" s="1"/>
  <c r="AL69" i="66" s="1"/>
  <c r="AM69" i="66" s="1"/>
  <c r="AN69" i="66" s="1"/>
  <c r="AO69" i="66" s="1"/>
  <c r="AP69" i="66" s="1"/>
  <c r="AQ69" i="66" s="1"/>
  <c r="AR69" i="66" s="1"/>
  <c r="AS69" i="66" s="1"/>
  <c r="AT69" i="66" s="1"/>
  <c r="AU69" i="66" s="1"/>
  <c r="AV69" i="66" s="1"/>
  <c r="AW69" i="66" s="1"/>
  <c r="AX69" i="66" s="1"/>
  <c r="AY69" i="66" s="1"/>
  <c r="AZ69" i="66" s="1"/>
  <c r="BA69" i="66" s="1"/>
  <c r="BB69" i="66" s="1"/>
  <c r="BC69" i="66" s="1"/>
  <c r="BD69" i="66" s="1"/>
  <c r="BE69" i="66" s="1"/>
  <c r="BF69" i="66" s="1"/>
  <c r="BG69" i="66" s="1"/>
  <c r="BH69" i="66" s="1"/>
  <c r="BI69" i="66" s="1"/>
  <c r="BJ69" i="66" s="1"/>
  <c r="BK69" i="66" s="1"/>
  <c r="BL69" i="66" s="1"/>
  <c r="BM69" i="66" s="1"/>
  <c r="BN69" i="66" s="1"/>
  <c r="BO69" i="66" s="1"/>
  <c r="BP69" i="66" s="1"/>
  <c r="BQ69" i="66" s="1"/>
  <c r="V38" i="66"/>
  <c r="W38" i="66" s="1"/>
  <c r="V54" i="66"/>
  <c r="W54" i="66" s="1"/>
  <c r="X54" i="66" s="1"/>
  <c r="Y54" i="66" s="1"/>
  <c r="Z54" i="66" s="1"/>
  <c r="AA54" i="66" s="1"/>
  <c r="AB54" i="66" s="1"/>
  <c r="AC54" i="66" s="1"/>
  <c r="AD54" i="66" s="1"/>
  <c r="AE54" i="66" s="1"/>
  <c r="AF54" i="66" s="1"/>
  <c r="AG54" i="66" s="1"/>
  <c r="AH54" i="66" s="1"/>
  <c r="AI54" i="66" s="1"/>
  <c r="AJ54" i="66" s="1"/>
  <c r="AK54" i="66" s="1"/>
  <c r="AL54" i="66" s="1"/>
  <c r="AM54" i="66" s="1"/>
  <c r="AN54" i="66" s="1"/>
  <c r="AO54" i="66" s="1"/>
  <c r="AP54" i="66" s="1"/>
  <c r="AQ54" i="66" s="1"/>
  <c r="AR54" i="66" s="1"/>
  <c r="AS54" i="66" s="1"/>
  <c r="AT54" i="66" s="1"/>
  <c r="AU54" i="66" s="1"/>
  <c r="AV54" i="66" s="1"/>
  <c r="AW54" i="66" s="1"/>
  <c r="AX54" i="66" s="1"/>
  <c r="AY54" i="66" s="1"/>
  <c r="AZ54" i="66" s="1"/>
  <c r="BA54" i="66" s="1"/>
  <c r="BB54" i="66" s="1"/>
  <c r="BC54" i="66" s="1"/>
  <c r="BD54" i="66" s="1"/>
  <c r="BE54" i="66" s="1"/>
  <c r="BF54" i="66" s="1"/>
  <c r="BG54" i="66" s="1"/>
  <c r="BH54" i="66" s="1"/>
  <c r="BI54" i="66" s="1"/>
  <c r="BJ54" i="66" s="1"/>
  <c r="BK54" i="66" s="1"/>
  <c r="BL54" i="66" s="1"/>
  <c r="BM54" i="66" s="1"/>
  <c r="BN54" i="66" s="1"/>
  <c r="BO54" i="66" s="1"/>
  <c r="BP54" i="66" s="1"/>
  <c r="BQ54" i="66" s="1"/>
  <c r="V66" i="66"/>
  <c r="W66" i="66" s="1"/>
  <c r="X66" i="66" s="1"/>
  <c r="Y66" i="66" s="1"/>
  <c r="Z66" i="66" s="1"/>
  <c r="AA66" i="66" s="1"/>
  <c r="AB66" i="66" s="1"/>
  <c r="AC66" i="66" s="1"/>
  <c r="AD66" i="66" s="1"/>
  <c r="AE66" i="66" s="1"/>
  <c r="AF66" i="66" s="1"/>
  <c r="AG66" i="66" s="1"/>
  <c r="AH66" i="66" s="1"/>
  <c r="AI66" i="66" s="1"/>
  <c r="AJ66" i="66" s="1"/>
  <c r="AK66" i="66" s="1"/>
  <c r="AL66" i="66" s="1"/>
  <c r="AM66" i="66" s="1"/>
  <c r="AN66" i="66" s="1"/>
  <c r="AO66" i="66" s="1"/>
  <c r="AP66" i="66" s="1"/>
  <c r="AQ66" i="66" s="1"/>
  <c r="AR66" i="66" s="1"/>
  <c r="AS66" i="66" s="1"/>
  <c r="AT66" i="66" s="1"/>
  <c r="AU66" i="66" s="1"/>
  <c r="AV66" i="66" s="1"/>
  <c r="AW66" i="66" s="1"/>
  <c r="AX66" i="66" s="1"/>
  <c r="AY66" i="66" s="1"/>
  <c r="AZ66" i="66" s="1"/>
  <c r="BA66" i="66" s="1"/>
  <c r="BB66" i="66" s="1"/>
  <c r="BC66" i="66" s="1"/>
  <c r="BD66" i="66" s="1"/>
  <c r="BE66" i="66" s="1"/>
  <c r="BF66" i="66" s="1"/>
  <c r="BG66" i="66" s="1"/>
  <c r="BH66" i="66" s="1"/>
  <c r="BI66" i="66" s="1"/>
  <c r="BJ66" i="66" s="1"/>
  <c r="BK66" i="66" s="1"/>
  <c r="BL66" i="66" s="1"/>
  <c r="BM66" i="66" s="1"/>
  <c r="BN66" i="66" s="1"/>
  <c r="BO66" i="66" s="1"/>
  <c r="BP66" i="66" s="1"/>
  <c r="BQ66" i="66" s="1"/>
  <c r="V81" i="66"/>
  <c r="W81" i="66" s="1"/>
  <c r="X81" i="66" s="1"/>
  <c r="Y81" i="66" s="1"/>
  <c r="Z81" i="66" s="1"/>
  <c r="AA81" i="66" s="1"/>
  <c r="AB81" i="66" s="1"/>
  <c r="AC81" i="66" s="1"/>
  <c r="AD81" i="66" s="1"/>
  <c r="AE81" i="66" s="1"/>
  <c r="AF81" i="66" s="1"/>
  <c r="AG81" i="66" s="1"/>
  <c r="AH81" i="66" s="1"/>
  <c r="AI81" i="66" s="1"/>
  <c r="AJ81" i="66" s="1"/>
  <c r="AK81" i="66" s="1"/>
  <c r="AL81" i="66" s="1"/>
  <c r="AM81" i="66" s="1"/>
  <c r="AN81" i="66" s="1"/>
  <c r="AO81" i="66" s="1"/>
  <c r="AP81" i="66" s="1"/>
  <c r="AQ81" i="66" s="1"/>
  <c r="AR81" i="66" s="1"/>
  <c r="AS81" i="66" s="1"/>
  <c r="AT81" i="66" s="1"/>
  <c r="AU81" i="66" s="1"/>
  <c r="AV81" i="66" s="1"/>
  <c r="AW81" i="66" s="1"/>
  <c r="AX81" i="66" s="1"/>
  <c r="AY81" i="66" s="1"/>
  <c r="AZ81" i="66" s="1"/>
  <c r="BA81" i="66" s="1"/>
  <c r="BB81" i="66" s="1"/>
  <c r="BC81" i="66" s="1"/>
  <c r="BD81" i="66" s="1"/>
  <c r="BE81" i="66" s="1"/>
  <c r="BF81" i="66" s="1"/>
  <c r="BG81" i="66" s="1"/>
  <c r="BH81" i="66" s="1"/>
  <c r="BI81" i="66" s="1"/>
  <c r="BJ81" i="66" s="1"/>
  <c r="BK81" i="66" s="1"/>
  <c r="BL81" i="66" s="1"/>
  <c r="BM81" i="66" s="1"/>
  <c r="BN81" i="66" s="1"/>
  <c r="BO81" i="66" s="1"/>
  <c r="BP81" i="66" s="1"/>
  <c r="BQ81" i="66" s="1"/>
  <c r="V89" i="66"/>
  <c r="W89" i="66" s="1"/>
  <c r="X89" i="66" s="1"/>
  <c r="Y89" i="66" s="1"/>
  <c r="Z89" i="66" s="1"/>
  <c r="AA89" i="66" s="1"/>
  <c r="AB89" i="66" s="1"/>
  <c r="AC89" i="66" s="1"/>
  <c r="AD89" i="66" s="1"/>
  <c r="AE89" i="66" s="1"/>
  <c r="AF89" i="66" s="1"/>
  <c r="AG89" i="66" s="1"/>
  <c r="AH89" i="66" s="1"/>
  <c r="AI89" i="66" s="1"/>
  <c r="AJ89" i="66" s="1"/>
  <c r="AK89" i="66" s="1"/>
  <c r="AL89" i="66" s="1"/>
  <c r="AM89" i="66" s="1"/>
  <c r="AN89" i="66" s="1"/>
  <c r="AO89" i="66" s="1"/>
  <c r="AP89" i="66" s="1"/>
  <c r="AQ89" i="66" s="1"/>
  <c r="AR89" i="66" s="1"/>
  <c r="AS89" i="66" s="1"/>
  <c r="AT89" i="66" s="1"/>
  <c r="AU89" i="66" s="1"/>
  <c r="AV89" i="66" s="1"/>
  <c r="AW89" i="66" s="1"/>
  <c r="AX89" i="66" s="1"/>
  <c r="AY89" i="66" s="1"/>
  <c r="AZ89" i="66" s="1"/>
  <c r="BA89" i="66" s="1"/>
  <c r="BB89" i="66" s="1"/>
  <c r="BC89" i="66" s="1"/>
  <c r="BD89" i="66" s="1"/>
  <c r="BE89" i="66" s="1"/>
  <c r="BF89" i="66" s="1"/>
  <c r="BG89" i="66" s="1"/>
  <c r="BH89" i="66" s="1"/>
  <c r="BI89" i="66" s="1"/>
  <c r="BJ89" i="66" s="1"/>
  <c r="BK89" i="66" s="1"/>
  <c r="BL89" i="66" s="1"/>
  <c r="BM89" i="66" s="1"/>
  <c r="BN89" i="66" s="1"/>
  <c r="BO89" i="66" s="1"/>
  <c r="BP89" i="66" s="1"/>
  <c r="BQ89" i="66" s="1"/>
  <c r="V93" i="66"/>
  <c r="W93" i="66" s="1"/>
  <c r="X93" i="66" s="1"/>
  <c r="Y93" i="66" s="1"/>
  <c r="Z93" i="66" s="1"/>
  <c r="AA93" i="66" s="1"/>
  <c r="AB93" i="66" s="1"/>
  <c r="AC93" i="66" s="1"/>
  <c r="AD93" i="66" s="1"/>
  <c r="AE93" i="66" s="1"/>
  <c r="AF93" i="66" s="1"/>
  <c r="AG93" i="66" s="1"/>
  <c r="AH93" i="66" s="1"/>
  <c r="AI93" i="66" s="1"/>
  <c r="AJ93" i="66" s="1"/>
  <c r="AK93" i="66" s="1"/>
  <c r="AL93" i="66" s="1"/>
  <c r="AM93" i="66" s="1"/>
  <c r="AN93" i="66" s="1"/>
  <c r="AO93" i="66" s="1"/>
  <c r="AP93" i="66" s="1"/>
  <c r="AQ93" i="66" s="1"/>
  <c r="AR93" i="66" s="1"/>
  <c r="AS93" i="66" s="1"/>
  <c r="AT93" i="66" s="1"/>
  <c r="AU93" i="66" s="1"/>
  <c r="AV93" i="66" s="1"/>
  <c r="AW93" i="66" s="1"/>
  <c r="AX93" i="66" s="1"/>
  <c r="AY93" i="66" s="1"/>
  <c r="AZ93" i="66" s="1"/>
  <c r="BA93" i="66" s="1"/>
  <c r="BB93" i="66" s="1"/>
  <c r="BC93" i="66" s="1"/>
  <c r="BD93" i="66" s="1"/>
  <c r="BE93" i="66" s="1"/>
  <c r="BF93" i="66" s="1"/>
  <c r="BG93" i="66" s="1"/>
  <c r="BH93" i="66" s="1"/>
  <c r="BI93" i="66" s="1"/>
  <c r="BJ93" i="66" s="1"/>
  <c r="BK93" i="66" s="1"/>
  <c r="BL93" i="66" s="1"/>
  <c r="BM93" i="66" s="1"/>
  <c r="BN93" i="66" s="1"/>
  <c r="BO93" i="66" s="1"/>
  <c r="BP93" i="66" s="1"/>
  <c r="BQ93" i="66" s="1"/>
  <c r="V97" i="66"/>
  <c r="W97" i="66" s="1"/>
  <c r="X97" i="66" s="1"/>
  <c r="Y97" i="66" s="1"/>
  <c r="Z97" i="66" s="1"/>
  <c r="AA97" i="66" s="1"/>
  <c r="AB97" i="66" s="1"/>
  <c r="AC97" i="66" s="1"/>
  <c r="AD97" i="66" s="1"/>
  <c r="AE97" i="66" s="1"/>
  <c r="AF97" i="66" s="1"/>
  <c r="AG97" i="66" s="1"/>
  <c r="AH97" i="66" s="1"/>
  <c r="AI97" i="66" s="1"/>
  <c r="AJ97" i="66" s="1"/>
  <c r="AK97" i="66" s="1"/>
  <c r="AL97" i="66" s="1"/>
  <c r="AM97" i="66" s="1"/>
  <c r="AN97" i="66" s="1"/>
  <c r="AO97" i="66" s="1"/>
  <c r="AP97" i="66" s="1"/>
  <c r="AQ97" i="66" s="1"/>
  <c r="AR97" i="66" s="1"/>
  <c r="AS97" i="66" s="1"/>
  <c r="AT97" i="66" s="1"/>
  <c r="AU97" i="66" s="1"/>
  <c r="AV97" i="66" s="1"/>
  <c r="AW97" i="66" s="1"/>
  <c r="AX97" i="66" s="1"/>
  <c r="AY97" i="66" s="1"/>
  <c r="AZ97" i="66" s="1"/>
  <c r="BA97" i="66" s="1"/>
  <c r="BB97" i="66" s="1"/>
  <c r="BC97" i="66" s="1"/>
  <c r="BD97" i="66" s="1"/>
  <c r="BE97" i="66" s="1"/>
  <c r="BF97" i="66" s="1"/>
  <c r="BG97" i="66" s="1"/>
  <c r="BH97" i="66" s="1"/>
  <c r="BI97" i="66" s="1"/>
  <c r="BJ97" i="66" s="1"/>
  <c r="BK97" i="66" s="1"/>
  <c r="BL97" i="66" s="1"/>
  <c r="BM97" i="66" s="1"/>
  <c r="BN97" i="66" s="1"/>
  <c r="BO97" i="66" s="1"/>
  <c r="BP97" i="66" s="1"/>
  <c r="BQ97" i="66" s="1"/>
  <c r="V99" i="66"/>
  <c r="W99" i="66" s="1"/>
  <c r="X99" i="66" s="1"/>
  <c r="Y99" i="66" s="1"/>
  <c r="Z99" i="66" s="1"/>
  <c r="AA99" i="66" s="1"/>
  <c r="AB99" i="66" s="1"/>
  <c r="AC99" i="66" s="1"/>
  <c r="AD99" i="66" s="1"/>
  <c r="AE99" i="66" s="1"/>
  <c r="AF99" i="66" s="1"/>
  <c r="AG99" i="66" s="1"/>
  <c r="AH99" i="66" s="1"/>
  <c r="AI99" i="66" s="1"/>
  <c r="AJ99" i="66" s="1"/>
  <c r="AK99" i="66" s="1"/>
  <c r="AL99" i="66" s="1"/>
  <c r="AM99" i="66" s="1"/>
  <c r="AN99" i="66" s="1"/>
  <c r="AO99" i="66" s="1"/>
  <c r="AP99" i="66" s="1"/>
  <c r="AQ99" i="66" s="1"/>
  <c r="AR99" i="66" s="1"/>
  <c r="AS99" i="66" s="1"/>
  <c r="AT99" i="66" s="1"/>
  <c r="AU99" i="66" s="1"/>
  <c r="AV99" i="66" s="1"/>
  <c r="AW99" i="66" s="1"/>
  <c r="AX99" i="66" s="1"/>
  <c r="AY99" i="66" s="1"/>
  <c r="AZ99" i="66" s="1"/>
  <c r="BA99" i="66" s="1"/>
  <c r="BB99" i="66" s="1"/>
  <c r="BC99" i="66" s="1"/>
  <c r="BD99" i="66" s="1"/>
  <c r="BE99" i="66" s="1"/>
  <c r="BF99" i="66" s="1"/>
  <c r="BG99" i="66" s="1"/>
  <c r="BH99" i="66" s="1"/>
  <c r="BI99" i="66" s="1"/>
  <c r="BJ99" i="66" s="1"/>
  <c r="BK99" i="66" s="1"/>
  <c r="BL99" i="66" s="1"/>
  <c r="BM99" i="66" s="1"/>
  <c r="BN99" i="66" s="1"/>
  <c r="BO99" i="66" s="1"/>
  <c r="BP99" i="66" s="1"/>
  <c r="BQ99" i="66" s="1"/>
  <c r="V101" i="66"/>
  <c r="W101" i="66" s="1"/>
  <c r="X101" i="66" s="1"/>
  <c r="Y101" i="66" s="1"/>
  <c r="Z101" i="66" s="1"/>
  <c r="AA101" i="66" s="1"/>
  <c r="AB101" i="66" s="1"/>
  <c r="AC101" i="66" s="1"/>
  <c r="AD101" i="66" s="1"/>
  <c r="AE101" i="66" s="1"/>
  <c r="AF101" i="66" s="1"/>
  <c r="AG101" i="66" s="1"/>
  <c r="AH101" i="66" s="1"/>
  <c r="AI101" i="66" s="1"/>
  <c r="AJ101" i="66" s="1"/>
  <c r="AK101" i="66" s="1"/>
  <c r="AL101" i="66" s="1"/>
  <c r="AM101" i="66" s="1"/>
  <c r="AN101" i="66" s="1"/>
  <c r="AO101" i="66" s="1"/>
  <c r="AP101" i="66" s="1"/>
  <c r="AQ101" i="66" s="1"/>
  <c r="AR101" i="66" s="1"/>
  <c r="AS101" i="66" s="1"/>
  <c r="AT101" i="66" s="1"/>
  <c r="AU101" i="66" s="1"/>
  <c r="AV101" i="66" s="1"/>
  <c r="AW101" i="66" s="1"/>
  <c r="AX101" i="66" s="1"/>
  <c r="AY101" i="66" s="1"/>
  <c r="AZ101" i="66" s="1"/>
  <c r="BA101" i="66" s="1"/>
  <c r="BB101" i="66" s="1"/>
  <c r="BC101" i="66" s="1"/>
  <c r="BD101" i="66" s="1"/>
  <c r="BE101" i="66" s="1"/>
  <c r="BF101" i="66" s="1"/>
  <c r="BG101" i="66" s="1"/>
  <c r="BH101" i="66" s="1"/>
  <c r="BI101" i="66" s="1"/>
  <c r="BJ101" i="66" s="1"/>
  <c r="BK101" i="66" s="1"/>
  <c r="BL101" i="66" s="1"/>
  <c r="BM101" i="66" s="1"/>
  <c r="BN101" i="66" s="1"/>
  <c r="BO101" i="66" s="1"/>
  <c r="BP101" i="66" s="1"/>
  <c r="BQ101" i="66" s="1"/>
  <c r="V44" i="66"/>
  <c r="W44" i="66" s="1"/>
  <c r="X44" i="66" s="1"/>
  <c r="Y44" i="66" s="1"/>
  <c r="Z44" i="66" s="1"/>
  <c r="AA44" i="66" s="1"/>
  <c r="AB44" i="66" s="1"/>
  <c r="AC44" i="66" s="1"/>
  <c r="AD44" i="66" s="1"/>
  <c r="AE44" i="66" s="1"/>
  <c r="AF44" i="66" s="1"/>
  <c r="AG44" i="66" s="1"/>
  <c r="AH44" i="66" s="1"/>
  <c r="AI44" i="66" s="1"/>
  <c r="AJ44" i="66" s="1"/>
  <c r="AK44" i="66" s="1"/>
  <c r="AL44" i="66" s="1"/>
  <c r="AM44" i="66" s="1"/>
  <c r="AN44" i="66" s="1"/>
  <c r="AO44" i="66" s="1"/>
  <c r="AP44" i="66" s="1"/>
  <c r="AQ44" i="66" s="1"/>
  <c r="AR44" i="66" s="1"/>
  <c r="AS44" i="66" s="1"/>
  <c r="AT44" i="66" s="1"/>
  <c r="AU44" i="66" s="1"/>
  <c r="AV44" i="66" s="1"/>
  <c r="AW44" i="66" s="1"/>
  <c r="AX44" i="66" s="1"/>
  <c r="AY44" i="66" s="1"/>
  <c r="AZ44" i="66" s="1"/>
  <c r="BA44" i="66" s="1"/>
  <c r="BB44" i="66" s="1"/>
  <c r="BC44" i="66" s="1"/>
  <c r="BD44" i="66" s="1"/>
  <c r="BE44" i="66" s="1"/>
  <c r="BF44" i="66" s="1"/>
  <c r="BG44" i="66" s="1"/>
  <c r="BH44" i="66" s="1"/>
  <c r="BI44" i="66" s="1"/>
  <c r="BJ44" i="66" s="1"/>
  <c r="BK44" i="66" s="1"/>
  <c r="BL44" i="66" s="1"/>
  <c r="BM44" i="66" s="1"/>
  <c r="BN44" i="66" s="1"/>
  <c r="BO44" i="66" s="1"/>
  <c r="BP44" i="66" s="1"/>
  <c r="BQ44" i="66" s="1"/>
  <c r="V88" i="66"/>
  <c r="W88" i="66" s="1"/>
  <c r="X88" i="66" s="1"/>
  <c r="Y88" i="66" s="1"/>
  <c r="Z88" i="66" s="1"/>
  <c r="AA88" i="66" s="1"/>
  <c r="AB88" i="66" s="1"/>
  <c r="AC88" i="66" s="1"/>
  <c r="AD88" i="66" s="1"/>
  <c r="AE88" i="66" s="1"/>
  <c r="AF88" i="66" s="1"/>
  <c r="AG88" i="66" s="1"/>
  <c r="AH88" i="66" s="1"/>
  <c r="AI88" i="66" s="1"/>
  <c r="AJ88" i="66" s="1"/>
  <c r="AK88" i="66" s="1"/>
  <c r="AL88" i="66" s="1"/>
  <c r="AM88" i="66" s="1"/>
  <c r="AN88" i="66" s="1"/>
  <c r="AO88" i="66" s="1"/>
  <c r="AP88" i="66" s="1"/>
  <c r="AQ88" i="66" s="1"/>
  <c r="AR88" i="66" s="1"/>
  <c r="AS88" i="66" s="1"/>
  <c r="AT88" i="66" s="1"/>
  <c r="AU88" i="66" s="1"/>
  <c r="AV88" i="66" s="1"/>
  <c r="AW88" i="66" s="1"/>
  <c r="AX88" i="66" s="1"/>
  <c r="AY88" i="66" s="1"/>
  <c r="AZ88" i="66" s="1"/>
  <c r="BA88" i="66" s="1"/>
  <c r="BB88" i="66" s="1"/>
  <c r="BC88" i="66" s="1"/>
  <c r="BD88" i="66" s="1"/>
  <c r="BE88" i="66" s="1"/>
  <c r="BF88" i="66" s="1"/>
  <c r="BG88" i="66" s="1"/>
  <c r="BH88" i="66" s="1"/>
  <c r="BI88" i="66" s="1"/>
  <c r="BJ88" i="66" s="1"/>
  <c r="BK88" i="66" s="1"/>
  <c r="BL88" i="66" s="1"/>
  <c r="BM88" i="66" s="1"/>
  <c r="BN88" i="66" s="1"/>
  <c r="BO88" i="66" s="1"/>
  <c r="BP88" i="66" s="1"/>
  <c r="BQ88" i="66" s="1"/>
  <c r="V96" i="66"/>
  <c r="W96" i="66" s="1"/>
  <c r="X96" i="66" s="1"/>
  <c r="Y96" i="66" s="1"/>
  <c r="Z96" i="66" s="1"/>
  <c r="AA96" i="66" s="1"/>
  <c r="AB96" i="66" s="1"/>
  <c r="AC96" i="66" s="1"/>
  <c r="AD96" i="66" s="1"/>
  <c r="AE96" i="66" s="1"/>
  <c r="AF96" i="66" s="1"/>
  <c r="AG96" i="66" s="1"/>
  <c r="AH96" i="66" s="1"/>
  <c r="AI96" i="66" s="1"/>
  <c r="AJ96" i="66" s="1"/>
  <c r="AK96" i="66" s="1"/>
  <c r="AL96" i="66" s="1"/>
  <c r="AM96" i="66" s="1"/>
  <c r="AN96" i="66" s="1"/>
  <c r="AO96" i="66" s="1"/>
  <c r="AP96" i="66" s="1"/>
  <c r="AQ96" i="66" s="1"/>
  <c r="AR96" i="66" s="1"/>
  <c r="AS96" i="66" s="1"/>
  <c r="AT96" i="66" s="1"/>
  <c r="AU96" i="66" s="1"/>
  <c r="AV96" i="66" s="1"/>
  <c r="AW96" i="66" s="1"/>
  <c r="AX96" i="66" s="1"/>
  <c r="AY96" i="66" s="1"/>
  <c r="AZ96" i="66" s="1"/>
  <c r="BA96" i="66" s="1"/>
  <c r="BB96" i="66" s="1"/>
  <c r="BC96" i="66" s="1"/>
  <c r="BD96" i="66" s="1"/>
  <c r="BE96" i="66" s="1"/>
  <c r="BF96" i="66" s="1"/>
  <c r="BG96" i="66" s="1"/>
  <c r="BH96" i="66" s="1"/>
  <c r="BI96" i="66" s="1"/>
  <c r="BJ96" i="66" s="1"/>
  <c r="BK96" i="66" s="1"/>
  <c r="BL96" i="66" s="1"/>
  <c r="BM96" i="66" s="1"/>
  <c r="BN96" i="66" s="1"/>
  <c r="BO96" i="66" s="1"/>
  <c r="BP96" i="66" s="1"/>
  <c r="BQ96" i="66" s="1"/>
  <c r="V102" i="66"/>
  <c r="W102" i="66" s="1"/>
  <c r="X102" i="66" s="1"/>
  <c r="Y102" i="66" s="1"/>
  <c r="Z102" i="66" s="1"/>
  <c r="AA102" i="66" s="1"/>
  <c r="AB102" i="66" s="1"/>
  <c r="AC102" i="66" s="1"/>
  <c r="AD102" i="66" s="1"/>
  <c r="AE102" i="66" s="1"/>
  <c r="AF102" i="66" s="1"/>
  <c r="AG102" i="66" s="1"/>
  <c r="AH102" i="66" s="1"/>
  <c r="AI102" i="66" s="1"/>
  <c r="AJ102" i="66" s="1"/>
  <c r="AK102" i="66" s="1"/>
  <c r="AL102" i="66" s="1"/>
  <c r="AM102" i="66" s="1"/>
  <c r="AN102" i="66" s="1"/>
  <c r="AO102" i="66" s="1"/>
  <c r="AP102" i="66" s="1"/>
  <c r="AQ102" i="66" s="1"/>
  <c r="AR102" i="66" s="1"/>
  <c r="AS102" i="66" s="1"/>
  <c r="AT102" i="66" s="1"/>
  <c r="AU102" i="66" s="1"/>
  <c r="AV102" i="66" s="1"/>
  <c r="AW102" i="66" s="1"/>
  <c r="AX102" i="66" s="1"/>
  <c r="AY102" i="66" s="1"/>
  <c r="AZ102" i="66" s="1"/>
  <c r="BA102" i="66" s="1"/>
  <c r="BB102" i="66" s="1"/>
  <c r="BC102" i="66" s="1"/>
  <c r="BD102" i="66" s="1"/>
  <c r="BE102" i="66" s="1"/>
  <c r="BF102" i="66" s="1"/>
  <c r="BG102" i="66" s="1"/>
  <c r="BH102" i="66" s="1"/>
  <c r="BI102" i="66" s="1"/>
  <c r="BJ102" i="66" s="1"/>
  <c r="BK102" i="66" s="1"/>
  <c r="BL102" i="66" s="1"/>
  <c r="BM102" i="66" s="1"/>
  <c r="BN102" i="66" s="1"/>
  <c r="BO102" i="66" s="1"/>
  <c r="BP102" i="66" s="1"/>
  <c r="BQ102" i="66" s="1"/>
  <c r="V104" i="66"/>
  <c r="W104" i="66" s="1"/>
  <c r="X104" i="66" s="1"/>
  <c r="Y104" i="66" s="1"/>
  <c r="Z104" i="66" s="1"/>
  <c r="AA104" i="66" s="1"/>
  <c r="AB104" i="66" s="1"/>
  <c r="AC104" i="66" s="1"/>
  <c r="AD104" i="66" s="1"/>
  <c r="AE104" i="66" s="1"/>
  <c r="AF104" i="66" s="1"/>
  <c r="AG104" i="66" s="1"/>
  <c r="AH104" i="66" s="1"/>
  <c r="AI104" i="66" s="1"/>
  <c r="AJ104" i="66" s="1"/>
  <c r="AK104" i="66" s="1"/>
  <c r="AL104" i="66" s="1"/>
  <c r="AM104" i="66" s="1"/>
  <c r="AN104" i="66" s="1"/>
  <c r="AO104" i="66" s="1"/>
  <c r="AP104" i="66" s="1"/>
  <c r="AQ104" i="66" s="1"/>
  <c r="AR104" i="66" s="1"/>
  <c r="AS104" i="66" s="1"/>
  <c r="AT104" i="66" s="1"/>
  <c r="AU104" i="66" s="1"/>
  <c r="AV104" i="66" s="1"/>
  <c r="AW104" i="66" s="1"/>
  <c r="AX104" i="66" s="1"/>
  <c r="AY104" i="66" s="1"/>
  <c r="AZ104" i="66" s="1"/>
  <c r="BA104" i="66" s="1"/>
  <c r="BB104" i="66" s="1"/>
  <c r="BC104" i="66" s="1"/>
  <c r="BD104" i="66" s="1"/>
  <c r="BE104" i="66" s="1"/>
  <c r="BF104" i="66" s="1"/>
  <c r="BG104" i="66" s="1"/>
  <c r="BH104" i="66" s="1"/>
  <c r="BI104" i="66" s="1"/>
  <c r="BJ104" i="66" s="1"/>
  <c r="BK104" i="66" s="1"/>
  <c r="BL104" i="66" s="1"/>
  <c r="BM104" i="66" s="1"/>
  <c r="BN104" i="66" s="1"/>
  <c r="BO104" i="66" s="1"/>
  <c r="BP104" i="66" s="1"/>
  <c r="BQ104" i="66" s="1"/>
  <c r="V106" i="66"/>
  <c r="W106" i="66" s="1"/>
  <c r="X106" i="66" s="1"/>
  <c r="Y106" i="66" s="1"/>
  <c r="Z106" i="66" s="1"/>
  <c r="AA106" i="66" s="1"/>
  <c r="AB106" i="66" s="1"/>
  <c r="AC106" i="66" s="1"/>
  <c r="AD106" i="66" s="1"/>
  <c r="AE106" i="66" s="1"/>
  <c r="AF106" i="66" s="1"/>
  <c r="AG106" i="66" s="1"/>
  <c r="AH106" i="66" s="1"/>
  <c r="AI106" i="66" s="1"/>
  <c r="AJ106" i="66" s="1"/>
  <c r="AK106" i="66" s="1"/>
  <c r="AL106" i="66" s="1"/>
  <c r="AM106" i="66" s="1"/>
  <c r="AN106" i="66" s="1"/>
  <c r="AO106" i="66" s="1"/>
  <c r="AP106" i="66" s="1"/>
  <c r="AQ106" i="66" s="1"/>
  <c r="AR106" i="66" s="1"/>
  <c r="AS106" i="66" s="1"/>
  <c r="AT106" i="66" s="1"/>
  <c r="AU106" i="66" s="1"/>
  <c r="AV106" i="66" s="1"/>
  <c r="AW106" i="66" s="1"/>
  <c r="AX106" i="66" s="1"/>
  <c r="AY106" i="66" s="1"/>
  <c r="AZ106" i="66" s="1"/>
  <c r="BA106" i="66" s="1"/>
  <c r="BB106" i="66" s="1"/>
  <c r="BC106" i="66" s="1"/>
  <c r="BD106" i="66" s="1"/>
  <c r="BE106" i="66" s="1"/>
  <c r="BF106" i="66" s="1"/>
  <c r="BG106" i="66" s="1"/>
  <c r="BH106" i="66" s="1"/>
  <c r="BI106" i="66" s="1"/>
  <c r="BJ106" i="66" s="1"/>
  <c r="BK106" i="66" s="1"/>
  <c r="BL106" i="66" s="1"/>
  <c r="BM106" i="66" s="1"/>
  <c r="BN106" i="66" s="1"/>
  <c r="BO106" i="66" s="1"/>
  <c r="BP106" i="66" s="1"/>
  <c r="BQ106" i="66" s="1"/>
  <c r="V126" i="66"/>
  <c r="V136" i="66"/>
  <c r="W136" i="66" s="1"/>
  <c r="X136" i="66" s="1"/>
  <c r="Y136" i="66" s="1"/>
  <c r="Z136" i="66" s="1"/>
  <c r="AA136" i="66" s="1"/>
  <c r="AB136" i="66" s="1"/>
  <c r="AC136" i="66" s="1"/>
  <c r="AD136" i="66" s="1"/>
  <c r="AE136" i="66" s="1"/>
  <c r="AF136" i="66" s="1"/>
  <c r="AG136" i="66" s="1"/>
  <c r="AH136" i="66" s="1"/>
  <c r="AI136" i="66" s="1"/>
  <c r="AJ136" i="66" s="1"/>
  <c r="AK136" i="66" s="1"/>
  <c r="AL136" i="66" s="1"/>
  <c r="AM136" i="66" s="1"/>
  <c r="AN136" i="66" s="1"/>
  <c r="AO136" i="66" s="1"/>
  <c r="AP136" i="66" s="1"/>
  <c r="AQ136" i="66" s="1"/>
  <c r="AR136" i="66" s="1"/>
  <c r="AS136" i="66" s="1"/>
  <c r="AT136" i="66" s="1"/>
  <c r="AU136" i="66" s="1"/>
  <c r="AV136" i="66" s="1"/>
  <c r="AW136" i="66" s="1"/>
  <c r="AX136" i="66" s="1"/>
  <c r="AY136" i="66" s="1"/>
  <c r="AZ136" i="66" s="1"/>
  <c r="BA136" i="66" s="1"/>
  <c r="BB136" i="66" s="1"/>
  <c r="BC136" i="66" s="1"/>
  <c r="BD136" i="66" s="1"/>
  <c r="BE136" i="66" s="1"/>
  <c r="BF136" i="66" s="1"/>
  <c r="BG136" i="66" s="1"/>
  <c r="BH136" i="66" s="1"/>
  <c r="BI136" i="66" s="1"/>
  <c r="BJ136" i="66" s="1"/>
  <c r="BK136" i="66" s="1"/>
  <c r="BL136" i="66" s="1"/>
  <c r="BM136" i="66" s="1"/>
  <c r="BN136" i="66" s="1"/>
  <c r="BO136" i="66" s="1"/>
  <c r="BP136" i="66" s="1"/>
  <c r="BQ136" i="66" s="1"/>
  <c r="V140" i="66"/>
  <c r="V142" i="66"/>
  <c r="W142" i="66" s="1"/>
  <c r="X142" i="66" s="1"/>
  <c r="Y142" i="66" s="1"/>
  <c r="Z142" i="66" s="1"/>
  <c r="AA142" i="66" s="1"/>
  <c r="AB142" i="66" s="1"/>
  <c r="AC142" i="66" s="1"/>
  <c r="AD142" i="66" s="1"/>
  <c r="AE142" i="66" s="1"/>
  <c r="AF142" i="66" s="1"/>
  <c r="AG142" i="66" s="1"/>
  <c r="AH142" i="66" s="1"/>
  <c r="AI142" i="66" s="1"/>
  <c r="AJ142" i="66" s="1"/>
  <c r="AK142" i="66" s="1"/>
  <c r="AL142" i="66" s="1"/>
  <c r="AM142" i="66" s="1"/>
  <c r="AN142" i="66" s="1"/>
  <c r="AO142" i="66" s="1"/>
  <c r="AP142" i="66" s="1"/>
  <c r="AQ142" i="66" s="1"/>
  <c r="AR142" i="66" s="1"/>
  <c r="AS142" i="66" s="1"/>
  <c r="AT142" i="66" s="1"/>
  <c r="AU142" i="66" s="1"/>
  <c r="AV142" i="66" s="1"/>
  <c r="AW142" i="66" s="1"/>
  <c r="AX142" i="66" s="1"/>
  <c r="AY142" i="66" s="1"/>
  <c r="AZ142" i="66" s="1"/>
  <c r="BA142" i="66" s="1"/>
  <c r="BB142" i="66" s="1"/>
  <c r="BC142" i="66" s="1"/>
  <c r="BD142" i="66" s="1"/>
  <c r="BE142" i="66" s="1"/>
  <c r="BF142" i="66" s="1"/>
  <c r="BG142" i="66" s="1"/>
  <c r="BH142" i="66" s="1"/>
  <c r="BI142" i="66" s="1"/>
  <c r="BJ142" i="66" s="1"/>
  <c r="BK142" i="66" s="1"/>
  <c r="BL142" i="66" s="1"/>
  <c r="BM142" i="66" s="1"/>
  <c r="BN142" i="66" s="1"/>
  <c r="BO142" i="66" s="1"/>
  <c r="BP142" i="66" s="1"/>
  <c r="BQ142" i="66" s="1"/>
  <c r="V148" i="66"/>
  <c r="W148" i="66" s="1"/>
  <c r="X148" i="66" s="1"/>
  <c r="Y148" i="66" s="1"/>
  <c r="Z148" i="66" s="1"/>
  <c r="AA148" i="66" s="1"/>
  <c r="AB148" i="66" s="1"/>
  <c r="AC148" i="66" s="1"/>
  <c r="AD148" i="66" s="1"/>
  <c r="AE148" i="66" s="1"/>
  <c r="AF148" i="66" s="1"/>
  <c r="AG148" i="66" s="1"/>
  <c r="AH148" i="66" s="1"/>
  <c r="AI148" i="66" s="1"/>
  <c r="AJ148" i="66" s="1"/>
  <c r="AK148" i="66" s="1"/>
  <c r="AL148" i="66" s="1"/>
  <c r="AM148" i="66" s="1"/>
  <c r="AN148" i="66" s="1"/>
  <c r="AO148" i="66" s="1"/>
  <c r="AP148" i="66" s="1"/>
  <c r="AQ148" i="66" s="1"/>
  <c r="AR148" i="66" s="1"/>
  <c r="AS148" i="66" s="1"/>
  <c r="AT148" i="66" s="1"/>
  <c r="AU148" i="66" s="1"/>
  <c r="AV148" i="66" s="1"/>
  <c r="AW148" i="66" s="1"/>
  <c r="AX148" i="66" s="1"/>
  <c r="AY148" i="66" s="1"/>
  <c r="AZ148" i="66" s="1"/>
  <c r="BA148" i="66" s="1"/>
  <c r="BB148" i="66" s="1"/>
  <c r="BC148" i="66" s="1"/>
  <c r="BD148" i="66" s="1"/>
  <c r="BE148" i="66" s="1"/>
  <c r="BF148" i="66" s="1"/>
  <c r="BG148" i="66" s="1"/>
  <c r="BH148" i="66" s="1"/>
  <c r="BI148" i="66" s="1"/>
  <c r="BJ148" i="66" s="1"/>
  <c r="BK148" i="66" s="1"/>
  <c r="BL148" i="66" s="1"/>
  <c r="BM148" i="66" s="1"/>
  <c r="BN148" i="66" s="1"/>
  <c r="BO148" i="66" s="1"/>
  <c r="BP148" i="66" s="1"/>
  <c r="BQ148" i="66" s="1"/>
  <c r="V150" i="66"/>
  <c r="V152" i="66"/>
  <c r="W152" i="66" s="1"/>
  <c r="X152" i="66" s="1"/>
  <c r="Y152" i="66" s="1"/>
  <c r="Z152" i="66" s="1"/>
  <c r="AA152" i="66" s="1"/>
  <c r="AB152" i="66" s="1"/>
  <c r="AC152" i="66" s="1"/>
  <c r="AD152" i="66" s="1"/>
  <c r="AE152" i="66" s="1"/>
  <c r="AF152" i="66" s="1"/>
  <c r="AG152" i="66" s="1"/>
  <c r="AH152" i="66" s="1"/>
  <c r="AI152" i="66" s="1"/>
  <c r="AJ152" i="66" s="1"/>
  <c r="AK152" i="66" s="1"/>
  <c r="AL152" i="66" s="1"/>
  <c r="AM152" i="66" s="1"/>
  <c r="AN152" i="66" s="1"/>
  <c r="AO152" i="66" s="1"/>
  <c r="AP152" i="66" s="1"/>
  <c r="AQ152" i="66" s="1"/>
  <c r="AR152" i="66" s="1"/>
  <c r="AS152" i="66" s="1"/>
  <c r="AT152" i="66" s="1"/>
  <c r="AU152" i="66" s="1"/>
  <c r="AV152" i="66" s="1"/>
  <c r="AW152" i="66" s="1"/>
  <c r="AX152" i="66" s="1"/>
  <c r="AY152" i="66" s="1"/>
  <c r="AZ152" i="66" s="1"/>
  <c r="BA152" i="66" s="1"/>
  <c r="BB152" i="66" s="1"/>
  <c r="BC152" i="66" s="1"/>
  <c r="BD152" i="66" s="1"/>
  <c r="BE152" i="66" s="1"/>
  <c r="BF152" i="66" s="1"/>
  <c r="BG152" i="66" s="1"/>
  <c r="BH152" i="66" s="1"/>
  <c r="BI152" i="66" s="1"/>
  <c r="BJ152" i="66" s="1"/>
  <c r="BK152" i="66" s="1"/>
  <c r="BL152" i="66" s="1"/>
  <c r="BM152" i="66" s="1"/>
  <c r="BN152" i="66" s="1"/>
  <c r="BO152" i="66" s="1"/>
  <c r="BP152" i="66" s="1"/>
  <c r="BQ152" i="66" s="1"/>
  <c r="V156" i="66"/>
  <c r="W156" i="66" s="1"/>
  <c r="X156" i="66" s="1"/>
  <c r="Y156" i="66" s="1"/>
  <c r="Z156" i="66" s="1"/>
  <c r="AA156" i="66" s="1"/>
  <c r="AB156" i="66" s="1"/>
  <c r="AC156" i="66" s="1"/>
  <c r="AD156" i="66" s="1"/>
  <c r="AE156" i="66" s="1"/>
  <c r="AF156" i="66" s="1"/>
  <c r="AG156" i="66" s="1"/>
  <c r="AH156" i="66" s="1"/>
  <c r="AI156" i="66" s="1"/>
  <c r="AJ156" i="66" s="1"/>
  <c r="AK156" i="66" s="1"/>
  <c r="AL156" i="66" s="1"/>
  <c r="AM156" i="66" s="1"/>
  <c r="AN156" i="66" s="1"/>
  <c r="AO156" i="66" s="1"/>
  <c r="AP156" i="66" s="1"/>
  <c r="AQ156" i="66" s="1"/>
  <c r="AR156" i="66" s="1"/>
  <c r="AS156" i="66" s="1"/>
  <c r="AT156" i="66" s="1"/>
  <c r="AU156" i="66" s="1"/>
  <c r="AV156" i="66" s="1"/>
  <c r="AW156" i="66" s="1"/>
  <c r="AX156" i="66" s="1"/>
  <c r="AY156" i="66" s="1"/>
  <c r="AZ156" i="66" s="1"/>
  <c r="BA156" i="66" s="1"/>
  <c r="BB156" i="66" s="1"/>
  <c r="BC156" i="66" s="1"/>
  <c r="BD156" i="66" s="1"/>
  <c r="BE156" i="66" s="1"/>
  <c r="BF156" i="66" s="1"/>
  <c r="BG156" i="66" s="1"/>
  <c r="BH156" i="66" s="1"/>
  <c r="BI156" i="66" s="1"/>
  <c r="BJ156" i="66" s="1"/>
  <c r="BK156" i="66" s="1"/>
  <c r="BL156" i="66" s="1"/>
  <c r="BM156" i="66" s="1"/>
  <c r="BN156" i="66" s="1"/>
  <c r="BO156" i="66" s="1"/>
  <c r="BP156" i="66" s="1"/>
  <c r="BQ156" i="66" s="1"/>
  <c r="V158" i="66"/>
  <c r="W158" i="66" s="1"/>
  <c r="X158" i="66" s="1"/>
  <c r="Y158" i="66" s="1"/>
  <c r="Z158" i="66" s="1"/>
  <c r="AA158" i="66" s="1"/>
  <c r="AB158" i="66" s="1"/>
  <c r="AC158" i="66" s="1"/>
  <c r="AD158" i="66" s="1"/>
  <c r="AE158" i="66" s="1"/>
  <c r="AF158" i="66" s="1"/>
  <c r="AG158" i="66" s="1"/>
  <c r="AH158" i="66" s="1"/>
  <c r="AI158" i="66" s="1"/>
  <c r="AJ158" i="66" s="1"/>
  <c r="AK158" i="66" s="1"/>
  <c r="AL158" i="66" s="1"/>
  <c r="AM158" i="66" s="1"/>
  <c r="AN158" i="66" s="1"/>
  <c r="AO158" i="66" s="1"/>
  <c r="AP158" i="66" s="1"/>
  <c r="AQ158" i="66" s="1"/>
  <c r="AR158" i="66" s="1"/>
  <c r="AS158" i="66" s="1"/>
  <c r="AT158" i="66" s="1"/>
  <c r="AU158" i="66" s="1"/>
  <c r="AV158" i="66" s="1"/>
  <c r="AW158" i="66" s="1"/>
  <c r="AX158" i="66" s="1"/>
  <c r="AY158" i="66" s="1"/>
  <c r="AZ158" i="66" s="1"/>
  <c r="BA158" i="66" s="1"/>
  <c r="BB158" i="66" s="1"/>
  <c r="BC158" i="66" s="1"/>
  <c r="BD158" i="66" s="1"/>
  <c r="BE158" i="66" s="1"/>
  <c r="BF158" i="66" s="1"/>
  <c r="BG158" i="66" s="1"/>
  <c r="BH158" i="66" s="1"/>
  <c r="BI158" i="66" s="1"/>
  <c r="BJ158" i="66" s="1"/>
  <c r="BK158" i="66" s="1"/>
  <c r="BL158" i="66" s="1"/>
  <c r="BM158" i="66" s="1"/>
  <c r="BN158" i="66" s="1"/>
  <c r="BO158" i="66" s="1"/>
  <c r="BP158" i="66" s="1"/>
  <c r="BQ158" i="66" s="1"/>
  <c r="V164" i="66"/>
  <c r="W164" i="66" s="1"/>
  <c r="X164" i="66" s="1"/>
  <c r="Y164" i="66" s="1"/>
  <c r="Z164" i="66" s="1"/>
  <c r="AA164" i="66" s="1"/>
  <c r="AB164" i="66" s="1"/>
  <c r="AC164" i="66" s="1"/>
  <c r="AD164" i="66" s="1"/>
  <c r="AE164" i="66" s="1"/>
  <c r="AF164" i="66" s="1"/>
  <c r="AG164" i="66" s="1"/>
  <c r="AH164" i="66" s="1"/>
  <c r="AI164" i="66" s="1"/>
  <c r="AJ164" i="66" s="1"/>
  <c r="AK164" i="66" s="1"/>
  <c r="AL164" i="66" s="1"/>
  <c r="AM164" i="66" s="1"/>
  <c r="AN164" i="66" s="1"/>
  <c r="AO164" i="66" s="1"/>
  <c r="AP164" i="66" s="1"/>
  <c r="AQ164" i="66" s="1"/>
  <c r="AR164" i="66" s="1"/>
  <c r="AS164" i="66" s="1"/>
  <c r="AT164" i="66" s="1"/>
  <c r="AU164" i="66" s="1"/>
  <c r="AV164" i="66" s="1"/>
  <c r="AW164" i="66" s="1"/>
  <c r="AX164" i="66" s="1"/>
  <c r="AY164" i="66" s="1"/>
  <c r="AZ164" i="66" s="1"/>
  <c r="BA164" i="66" s="1"/>
  <c r="BB164" i="66" s="1"/>
  <c r="BC164" i="66" s="1"/>
  <c r="BD164" i="66" s="1"/>
  <c r="BE164" i="66" s="1"/>
  <c r="BF164" i="66" s="1"/>
  <c r="BG164" i="66" s="1"/>
  <c r="BH164" i="66" s="1"/>
  <c r="BI164" i="66" s="1"/>
  <c r="BJ164" i="66" s="1"/>
  <c r="BK164" i="66" s="1"/>
  <c r="BL164" i="66" s="1"/>
  <c r="BM164" i="66" s="1"/>
  <c r="BN164" i="66" s="1"/>
  <c r="BO164" i="66" s="1"/>
  <c r="BP164" i="66" s="1"/>
  <c r="BQ164" i="66" s="1"/>
  <c r="V166" i="66"/>
  <c r="W166" i="66" s="1"/>
  <c r="X166" i="66" s="1"/>
  <c r="Y166" i="66" s="1"/>
  <c r="Z166" i="66" s="1"/>
  <c r="AA166" i="66" s="1"/>
  <c r="AB166" i="66" s="1"/>
  <c r="AC166" i="66" s="1"/>
  <c r="AD166" i="66" s="1"/>
  <c r="AE166" i="66" s="1"/>
  <c r="AF166" i="66" s="1"/>
  <c r="AG166" i="66" s="1"/>
  <c r="AH166" i="66" s="1"/>
  <c r="AI166" i="66" s="1"/>
  <c r="AJ166" i="66" s="1"/>
  <c r="AK166" i="66" s="1"/>
  <c r="AL166" i="66" s="1"/>
  <c r="AM166" i="66" s="1"/>
  <c r="AN166" i="66" s="1"/>
  <c r="AO166" i="66" s="1"/>
  <c r="AP166" i="66" s="1"/>
  <c r="AQ166" i="66" s="1"/>
  <c r="AR166" i="66" s="1"/>
  <c r="AS166" i="66" s="1"/>
  <c r="AT166" i="66" s="1"/>
  <c r="AU166" i="66" s="1"/>
  <c r="AV166" i="66" s="1"/>
  <c r="AW166" i="66" s="1"/>
  <c r="AX166" i="66" s="1"/>
  <c r="AY166" i="66" s="1"/>
  <c r="AZ166" i="66" s="1"/>
  <c r="BA166" i="66" s="1"/>
  <c r="BB166" i="66" s="1"/>
  <c r="BC166" i="66" s="1"/>
  <c r="BD166" i="66" s="1"/>
  <c r="BE166" i="66" s="1"/>
  <c r="BF166" i="66" s="1"/>
  <c r="BG166" i="66" s="1"/>
  <c r="BH166" i="66" s="1"/>
  <c r="BI166" i="66" s="1"/>
  <c r="BJ166" i="66" s="1"/>
  <c r="BK166" i="66" s="1"/>
  <c r="BL166" i="66" s="1"/>
  <c r="BM166" i="66" s="1"/>
  <c r="BN166" i="66" s="1"/>
  <c r="BO166" i="66" s="1"/>
  <c r="BP166" i="66" s="1"/>
  <c r="BQ166" i="66" s="1"/>
  <c r="V40" i="66"/>
  <c r="W40" i="66" s="1"/>
  <c r="X40" i="66" s="1"/>
  <c r="Y40" i="66" s="1"/>
  <c r="Z40" i="66" s="1"/>
  <c r="AA40" i="66" s="1"/>
  <c r="AB40" i="66" s="1"/>
  <c r="AC40" i="66" s="1"/>
  <c r="AD40" i="66" s="1"/>
  <c r="AE40" i="66" s="1"/>
  <c r="AF40" i="66" s="1"/>
  <c r="AG40" i="66" s="1"/>
  <c r="AH40" i="66" s="1"/>
  <c r="AI40" i="66" s="1"/>
  <c r="AJ40" i="66" s="1"/>
  <c r="AK40" i="66" s="1"/>
  <c r="AL40" i="66" s="1"/>
  <c r="AM40" i="66" s="1"/>
  <c r="AN40" i="66" s="1"/>
  <c r="AO40" i="66" s="1"/>
  <c r="AP40" i="66" s="1"/>
  <c r="AQ40" i="66" s="1"/>
  <c r="AR40" i="66" s="1"/>
  <c r="AS40" i="66" s="1"/>
  <c r="AT40" i="66" s="1"/>
  <c r="AU40" i="66" s="1"/>
  <c r="AV40" i="66" s="1"/>
  <c r="AW40" i="66" s="1"/>
  <c r="AX40" i="66" s="1"/>
  <c r="AY40" i="66" s="1"/>
  <c r="AZ40" i="66" s="1"/>
  <c r="BA40" i="66" s="1"/>
  <c r="BB40" i="66" s="1"/>
  <c r="BC40" i="66" s="1"/>
  <c r="BD40" i="66" s="1"/>
  <c r="BE40" i="66" s="1"/>
  <c r="BF40" i="66" s="1"/>
  <c r="BG40" i="66" s="1"/>
  <c r="BH40" i="66" s="1"/>
  <c r="BI40" i="66" s="1"/>
  <c r="BJ40" i="66" s="1"/>
  <c r="BK40" i="66" s="1"/>
  <c r="BL40" i="66" s="1"/>
  <c r="BM40" i="66" s="1"/>
  <c r="BN40" i="66" s="1"/>
  <c r="BO40" i="66" s="1"/>
  <c r="BP40" i="66" s="1"/>
  <c r="BQ40" i="66" s="1"/>
  <c r="V94" i="66"/>
  <c r="W94" i="66" s="1"/>
  <c r="X94" i="66" s="1"/>
  <c r="Y94" i="66" s="1"/>
  <c r="Z94" i="66" s="1"/>
  <c r="AA94" i="66" s="1"/>
  <c r="AB94" i="66" s="1"/>
  <c r="AC94" i="66" s="1"/>
  <c r="AD94" i="66" s="1"/>
  <c r="AE94" i="66" s="1"/>
  <c r="AF94" i="66" s="1"/>
  <c r="AG94" i="66" s="1"/>
  <c r="AH94" i="66" s="1"/>
  <c r="AI94" i="66" s="1"/>
  <c r="AJ94" i="66" s="1"/>
  <c r="AK94" i="66" s="1"/>
  <c r="AL94" i="66" s="1"/>
  <c r="AM94" i="66" s="1"/>
  <c r="AN94" i="66" s="1"/>
  <c r="AO94" i="66" s="1"/>
  <c r="AP94" i="66" s="1"/>
  <c r="AQ94" i="66" s="1"/>
  <c r="AR94" i="66" s="1"/>
  <c r="AS94" i="66" s="1"/>
  <c r="AT94" i="66" s="1"/>
  <c r="AU94" i="66" s="1"/>
  <c r="AV94" i="66" s="1"/>
  <c r="AW94" i="66" s="1"/>
  <c r="AX94" i="66" s="1"/>
  <c r="AY94" i="66" s="1"/>
  <c r="AZ94" i="66" s="1"/>
  <c r="BA94" i="66" s="1"/>
  <c r="BB94" i="66" s="1"/>
  <c r="BC94" i="66" s="1"/>
  <c r="BD94" i="66" s="1"/>
  <c r="BE94" i="66" s="1"/>
  <c r="BF94" i="66" s="1"/>
  <c r="BG94" i="66" s="1"/>
  <c r="BH94" i="66" s="1"/>
  <c r="BI94" i="66" s="1"/>
  <c r="BJ94" i="66" s="1"/>
  <c r="BK94" i="66" s="1"/>
  <c r="BL94" i="66" s="1"/>
  <c r="BM94" i="66" s="1"/>
  <c r="BN94" i="66" s="1"/>
  <c r="BO94" i="66" s="1"/>
  <c r="BP94" i="66" s="1"/>
  <c r="BQ94" i="66" s="1"/>
  <c r="V52" i="66"/>
  <c r="V92" i="66"/>
  <c r="W92" i="66" s="1"/>
  <c r="X92" i="66" s="1"/>
  <c r="Y92" i="66" s="1"/>
  <c r="Z92" i="66" s="1"/>
  <c r="AA92" i="66" s="1"/>
  <c r="AB92" i="66" s="1"/>
  <c r="AC92" i="66" s="1"/>
  <c r="AD92" i="66" s="1"/>
  <c r="AE92" i="66" s="1"/>
  <c r="AF92" i="66" s="1"/>
  <c r="AG92" i="66" s="1"/>
  <c r="AH92" i="66" s="1"/>
  <c r="AI92" i="66" s="1"/>
  <c r="AJ92" i="66" s="1"/>
  <c r="AK92" i="66" s="1"/>
  <c r="AL92" i="66" s="1"/>
  <c r="AM92" i="66" s="1"/>
  <c r="AN92" i="66" s="1"/>
  <c r="AO92" i="66" s="1"/>
  <c r="AP92" i="66" s="1"/>
  <c r="AQ92" i="66" s="1"/>
  <c r="AR92" i="66" s="1"/>
  <c r="AS92" i="66" s="1"/>
  <c r="AT92" i="66" s="1"/>
  <c r="AU92" i="66" s="1"/>
  <c r="AV92" i="66" s="1"/>
  <c r="AW92" i="66" s="1"/>
  <c r="AX92" i="66" s="1"/>
  <c r="AY92" i="66" s="1"/>
  <c r="AZ92" i="66" s="1"/>
  <c r="BA92" i="66" s="1"/>
  <c r="BB92" i="66" s="1"/>
  <c r="BC92" i="66" s="1"/>
  <c r="BD92" i="66" s="1"/>
  <c r="BE92" i="66" s="1"/>
  <c r="BF92" i="66" s="1"/>
  <c r="BG92" i="66" s="1"/>
  <c r="BH92" i="66" s="1"/>
  <c r="BI92" i="66" s="1"/>
  <c r="BJ92" i="66" s="1"/>
  <c r="BK92" i="66" s="1"/>
  <c r="BL92" i="66" s="1"/>
  <c r="BM92" i="66" s="1"/>
  <c r="BN92" i="66" s="1"/>
  <c r="BO92" i="66" s="1"/>
  <c r="BP92" i="66" s="1"/>
  <c r="BQ92" i="66" s="1"/>
  <c r="V105" i="66"/>
  <c r="W105" i="66" s="1"/>
  <c r="X105" i="66" s="1"/>
  <c r="Y105" i="66" s="1"/>
  <c r="Z105" i="66" s="1"/>
  <c r="AA105" i="66" s="1"/>
  <c r="AB105" i="66" s="1"/>
  <c r="AC105" i="66" s="1"/>
  <c r="AD105" i="66" s="1"/>
  <c r="AE105" i="66" s="1"/>
  <c r="AF105" i="66" s="1"/>
  <c r="AG105" i="66" s="1"/>
  <c r="AH105" i="66" s="1"/>
  <c r="AI105" i="66" s="1"/>
  <c r="AJ105" i="66" s="1"/>
  <c r="AK105" i="66" s="1"/>
  <c r="AL105" i="66" s="1"/>
  <c r="AM105" i="66" s="1"/>
  <c r="AN105" i="66" s="1"/>
  <c r="AO105" i="66" s="1"/>
  <c r="AP105" i="66" s="1"/>
  <c r="AQ105" i="66" s="1"/>
  <c r="AR105" i="66" s="1"/>
  <c r="AS105" i="66" s="1"/>
  <c r="AT105" i="66" s="1"/>
  <c r="AU105" i="66" s="1"/>
  <c r="AV105" i="66" s="1"/>
  <c r="AW105" i="66" s="1"/>
  <c r="AX105" i="66" s="1"/>
  <c r="AY105" i="66" s="1"/>
  <c r="AZ105" i="66" s="1"/>
  <c r="BA105" i="66" s="1"/>
  <c r="BB105" i="66" s="1"/>
  <c r="BC105" i="66" s="1"/>
  <c r="BD105" i="66" s="1"/>
  <c r="BE105" i="66" s="1"/>
  <c r="BF105" i="66" s="1"/>
  <c r="BG105" i="66" s="1"/>
  <c r="BH105" i="66" s="1"/>
  <c r="BI105" i="66" s="1"/>
  <c r="BJ105" i="66" s="1"/>
  <c r="BK105" i="66" s="1"/>
  <c r="BL105" i="66" s="1"/>
  <c r="BM105" i="66" s="1"/>
  <c r="BN105" i="66" s="1"/>
  <c r="BO105" i="66" s="1"/>
  <c r="BP105" i="66" s="1"/>
  <c r="BQ105" i="66" s="1"/>
  <c r="V135" i="66"/>
  <c r="V139" i="66"/>
  <c r="W139" i="66" s="1"/>
  <c r="V151" i="66"/>
  <c r="W151" i="66" s="1"/>
  <c r="X151" i="66" s="1"/>
  <c r="Y151" i="66" s="1"/>
  <c r="Z151" i="66" s="1"/>
  <c r="AA151" i="66" s="1"/>
  <c r="AB151" i="66" s="1"/>
  <c r="AC151" i="66" s="1"/>
  <c r="AD151" i="66" s="1"/>
  <c r="AE151" i="66" s="1"/>
  <c r="AF151" i="66" s="1"/>
  <c r="AG151" i="66" s="1"/>
  <c r="AH151" i="66" s="1"/>
  <c r="AI151" i="66" s="1"/>
  <c r="AJ151" i="66" s="1"/>
  <c r="AK151" i="66" s="1"/>
  <c r="AL151" i="66" s="1"/>
  <c r="AM151" i="66" s="1"/>
  <c r="AN151" i="66" s="1"/>
  <c r="AO151" i="66" s="1"/>
  <c r="AP151" i="66" s="1"/>
  <c r="AQ151" i="66" s="1"/>
  <c r="AR151" i="66" s="1"/>
  <c r="AS151" i="66" s="1"/>
  <c r="AT151" i="66" s="1"/>
  <c r="AU151" i="66" s="1"/>
  <c r="AV151" i="66" s="1"/>
  <c r="AW151" i="66" s="1"/>
  <c r="AX151" i="66" s="1"/>
  <c r="AY151" i="66" s="1"/>
  <c r="AZ151" i="66" s="1"/>
  <c r="BA151" i="66" s="1"/>
  <c r="BB151" i="66" s="1"/>
  <c r="BC151" i="66" s="1"/>
  <c r="BD151" i="66" s="1"/>
  <c r="BE151" i="66" s="1"/>
  <c r="BF151" i="66" s="1"/>
  <c r="BG151" i="66" s="1"/>
  <c r="BH151" i="66" s="1"/>
  <c r="BI151" i="66" s="1"/>
  <c r="BJ151" i="66" s="1"/>
  <c r="BK151" i="66" s="1"/>
  <c r="BL151" i="66" s="1"/>
  <c r="BM151" i="66" s="1"/>
  <c r="BN151" i="66" s="1"/>
  <c r="BO151" i="66" s="1"/>
  <c r="BP151" i="66" s="1"/>
  <c r="BQ151" i="66" s="1"/>
  <c r="V167" i="66"/>
  <c r="W167" i="66" s="1"/>
  <c r="X167" i="66" s="1"/>
  <c r="Y167" i="66" s="1"/>
  <c r="Z167" i="66" s="1"/>
  <c r="AA167" i="66" s="1"/>
  <c r="AB167" i="66" s="1"/>
  <c r="AC167" i="66" s="1"/>
  <c r="AD167" i="66" s="1"/>
  <c r="AE167" i="66" s="1"/>
  <c r="AF167" i="66" s="1"/>
  <c r="AG167" i="66" s="1"/>
  <c r="AH167" i="66" s="1"/>
  <c r="AI167" i="66" s="1"/>
  <c r="AJ167" i="66" s="1"/>
  <c r="AK167" i="66" s="1"/>
  <c r="AL167" i="66" s="1"/>
  <c r="AM167" i="66" s="1"/>
  <c r="AN167" i="66" s="1"/>
  <c r="AO167" i="66" s="1"/>
  <c r="AP167" i="66" s="1"/>
  <c r="AQ167" i="66" s="1"/>
  <c r="AR167" i="66" s="1"/>
  <c r="AS167" i="66" s="1"/>
  <c r="AT167" i="66" s="1"/>
  <c r="AU167" i="66" s="1"/>
  <c r="AV167" i="66" s="1"/>
  <c r="AW167" i="66" s="1"/>
  <c r="AX167" i="66" s="1"/>
  <c r="AY167" i="66" s="1"/>
  <c r="AZ167" i="66" s="1"/>
  <c r="BA167" i="66" s="1"/>
  <c r="BB167" i="66" s="1"/>
  <c r="BC167" i="66" s="1"/>
  <c r="BD167" i="66" s="1"/>
  <c r="BE167" i="66" s="1"/>
  <c r="BF167" i="66" s="1"/>
  <c r="BG167" i="66" s="1"/>
  <c r="BH167" i="66" s="1"/>
  <c r="BI167" i="66" s="1"/>
  <c r="BJ167" i="66" s="1"/>
  <c r="BK167" i="66" s="1"/>
  <c r="BL167" i="66" s="1"/>
  <c r="BM167" i="66" s="1"/>
  <c r="BN167" i="66" s="1"/>
  <c r="BO167" i="66" s="1"/>
  <c r="BP167" i="66" s="1"/>
  <c r="BQ167" i="66" s="1"/>
  <c r="V182" i="66"/>
  <c r="W182" i="66" s="1"/>
  <c r="X182" i="66" s="1"/>
  <c r="Y182" i="66" s="1"/>
  <c r="Z182" i="66" s="1"/>
  <c r="AA182" i="66" s="1"/>
  <c r="AB182" i="66" s="1"/>
  <c r="AC182" i="66" s="1"/>
  <c r="AD182" i="66" s="1"/>
  <c r="AE182" i="66" s="1"/>
  <c r="AF182" i="66" s="1"/>
  <c r="AG182" i="66" s="1"/>
  <c r="AH182" i="66" s="1"/>
  <c r="AI182" i="66" s="1"/>
  <c r="AJ182" i="66" s="1"/>
  <c r="AK182" i="66" s="1"/>
  <c r="AL182" i="66" s="1"/>
  <c r="AM182" i="66" s="1"/>
  <c r="AN182" i="66" s="1"/>
  <c r="AO182" i="66" s="1"/>
  <c r="AP182" i="66" s="1"/>
  <c r="AQ182" i="66" s="1"/>
  <c r="AR182" i="66" s="1"/>
  <c r="AS182" i="66" s="1"/>
  <c r="AT182" i="66" s="1"/>
  <c r="AU182" i="66" s="1"/>
  <c r="AV182" i="66" s="1"/>
  <c r="AW182" i="66" s="1"/>
  <c r="AX182" i="66" s="1"/>
  <c r="AY182" i="66" s="1"/>
  <c r="AZ182" i="66" s="1"/>
  <c r="BA182" i="66" s="1"/>
  <c r="BB182" i="66" s="1"/>
  <c r="BC182" i="66" s="1"/>
  <c r="BD182" i="66" s="1"/>
  <c r="BE182" i="66" s="1"/>
  <c r="BF182" i="66" s="1"/>
  <c r="BG182" i="66" s="1"/>
  <c r="BH182" i="66" s="1"/>
  <c r="BI182" i="66" s="1"/>
  <c r="BJ182" i="66" s="1"/>
  <c r="BK182" i="66" s="1"/>
  <c r="BL182" i="66" s="1"/>
  <c r="BM182" i="66" s="1"/>
  <c r="BN182" i="66" s="1"/>
  <c r="BO182" i="66" s="1"/>
  <c r="BP182" i="66" s="1"/>
  <c r="BQ182" i="66" s="1"/>
  <c r="V191" i="66"/>
  <c r="W191" i="66" s="1"/>
  <c r="X191" i="66" s="1"/>
  <c r="Y191" i="66" s="1"/>
  <c r="Z191" i="66" s="1"/>
  <c r="AA191" i="66" s="1"/>
  <c r="AB191" i="66" s="1"/>
  <c r="AC191" i="66" s="1"/>
  <c r="AD191" i="66" s="1"/>
  <c r="AE191" i="66" s="1"/>
  <c r="AF191" i="66" s="1"/>
  <c r="AG191" i="66" s="1"/>
  <c r="AH191" i="66" s="1"/>
  <c r="AI191" i="66" s="1"/>
  <c r="AJ191" i="66" s="1"/>
  <c r="AK191" i="66" s="1"/>
  <c r="AL191" i="66" s="1"/>
  <c r="AM191" i="66" s="1"/>
  <c r="AN191" i="66" s="1"/>
  <c r="AO191" i="66" s="1"/>
  <c r="AP191" i="66" s="1"/>
  <c r="AQ191" i="66" s="1"/>
  <c r="AR191" i="66" s="1"/>
  <c r="AS191" i="66" s="1"/>
  <c r="AT191" i="66" s="1"/>
  <c r="AU191" i="66" s="1"/>
  <c r="AV191" i="66" s="1"/>
  <c r="AW191" i="66" s="1"/>
  <c r="AX191" i="66" s="1"/>
  <c r="AY191" i="66" s="1"/>
  <c r="AZ191" i="66" s="1"/>
  <c r="BA191" i="66" s="1"/>
  <c r="BB191" i="66" s="1"/>
  <c r="BC191" i="66" s="1"/>
  <c r="BD191" i="66" s="1"/>
  <c r="BE191" i="66" s="1"/>
  <c r="BF191" i="66" s="1"/>
  <c r="BG191" i="66" s="1"/>
  <c r="BH191" i="66" s="1"/>
  <c r="BI191" i="66" s="1"/>
  <c r="BJ191" i="66" s="1"/>
  <c r="BK191" i="66" s="1"/>
  <c r="BL191" i="66" s="1"/>
  <c r="BM191" i="66" s="1"/>
  <c r="BN191" i="66" s="1"/>
  <c r="BO191" i="66" s="1"/>
  <c r="BP191" i="66" s="1"/>
  <c r="BQ191" i="66" s="1"/>
  <c r="V198" i="66"/>
  <c r="W198" i="66" s="1"/>
  <c r="X198" i="66" s="1"/>
  <c r="Y198" i="66" s="1"/>
  <c r="Z198" i="66" s="1"/>
  <c r="AA198" i="66" s="1"/>
  <c r="AB198" i="66" s="1"/>
  <c r="AC198" i="66" s="1"/>
  <c r="AD198" i="66" s="1"/>
  <c r="AE198" i="66" s="1"/>
  <c r="AF198" i="66" s="1"/>
  <c r="AG198" i="66" s="1"/>
  <c r="AH198" i="66" s="1"/>
  <c r="AI198" i="66" s="1"/>
  <c r="AJ198" i="66" s="1"/>
  <c r="AK198" i="66" s="1"/>
  <c r="AL198" i="66" s="1"/>
  <c r="AM198" i="66" s="1"/>
  <c r="AN198" i="66" s="1"/>
  <c r="AO198" i="66" s="1"/>
  <c r="AP198" i="66" s="1"/>
  <c r="AQ198" i="66" s="1"/>
  <c r="AR198" i="66" s="1"/>
  <c r="AS198" i="66" s="1"/>
  <c r="AT198" i="66" s="1"/>
  <c r="AU198" i="66" s="1"/>
  <c r="AV198" i="66" s="1"/>
  <c r="AW198" i="66" s="1"/>
  <c r="AX198" i="66" s="1"/>
  <c r="AY198" i="66" s="1"/>
  <c r="AZ198" i="66" s="1"/>
  <c r="BA198" i="66" s="1"/>
  <c r="BB198" i="66" s="1"/>
  <c r="BC198" i="66" s="1"/>
  <c r="BD198" i="66" s="1"/>
  <c r="BE198" i="66" s="1"/>
  <c r="BF198" i="66" s="1"/>
  <c r="BG198" i="66" s="1"/>
  <c r="BH198" i="66" s="1"/>
  <c r="BI198" i="66" s="1"/>
  <c r="BJ198" i="66" s="1"/>
  <c r="BK198" i="66" s="1"/>
  <c r="BL198" i="66" s="1"/>
  <c r="BM198" i="66" s="1"/>
  <c r="BN198" i="66" s="1"/>
  <c r="BO198" i="66" s="1"/>
  <c r="BP198" i="66" s="1"/>
  <c r="BQ198" i="66" s="1"/>
  <c r="V199" i="66"/>
  <c r="W199" i="66" s="1"/>
  <c r="X199" i="66" s="1"/>
  <c r="Y199" i="66" s="1"/>
  <c r="Z199" i="66" s="1"/>
  <c r="AA199" i="66" s="1"/>
  <c r="AB199" i="66" s="1"/>
  <c r="AC199" i="66" s="1"/>
  <c r="AD199" i="66" s="1"/>
  <c r="AE199" i="66" s="1"/>
  <c r="AF199" i="66" s="1"/>
  <c r="AG199" i="66" s="1"/>
  <c r="AH199" i="66" s="1"/>
  <c r="AI199" i="66" s="1"/>
  <c r="AJ199" i="66" s="1"/>
  <c r="AK199" i="66" s="1"/>
  <c r="AL199" i="66" s="1"/>
  <c r="AM199" i="66" s="1"/>
  <c r="AN199" i="66" s="1"/>
  <c r="AO199" i="66" s="1"/>
  <c r="AP199" i="66" s="1"/>
  <c r="AQ199" i="66" s="1"/>
  <c r="AR199" i="66" s="1"/>
  <c r="AS199" i="66" s="1"/>
  <c r="AT199" i="66" s="1"/>
  <c r="AU199" i="66" s="1"/>
  <c r="AV199" i="66" s="1"/>
  <c r="AW199" i="66" s="1"/>
  <c r="AX199" i="66" s="1"/>
  <c r="AY199" i="66" s="1"/>
  <c r="AZ199" i="66" s="1"/>
  <c r="BA199" i="66" s="1"/>
  <c r="BB199" i="66" s="1"/>
  <c r="BC199" i="66" s="1"/>
  <c r="BD199" i="66" s="1"/>
  <c r="BE199" i="66" s="1"/>
  <c r="BF199" i="66" s="1"/>
  <c r="BG199" i="66" s="1"/>
  <c r="BH199" i="66" s="1"/>
  <c r="BI199" i="66" s="1"/>
  <c r="BJ199" i="66" s="1"/>
  <c r="BK199" i="66" s="1"/>
  <c r="BL199" i="66" s="1"/>
  <c r="BM199" i="66" s="1"/>
  <c r="BN199" i="66" s="1"/>
  <c r="BO199" i="66" s="1"/>
  <c r="BP199" i="66" s="1"/>
  <c r="BQ199" i="66" s="1"/>
  <c r="V84" i="66"/>
  <c r="W84" i="66" s="1"/>
  <c r="X84" i="66" s="1"/>
  <c r="Y84" i="66" s="1"/>
  <c r="Z84" i="66" s="1"/>
  <c r="AA84" i="66" s="1"/>
  <c r="AB84" i="66" s="1"/>
  <c r="AC84" i="66" s="1"/>
  <c r="V98" i="66"/>
  <c r="W98" i="66" s="1"/>
  <c r="X98" i="66" s="1"/>
  <c r="Y98" i="66" s="1"/>
  <c r="Z98" i="66" s="1"/>
  <c r="AA98" i="66" s="1"/>
  <c r="AB98" i="66" s="1"/>
  <c r="AC98" i="66" s="1"/>
  <c r="AD98" i="66" s="1"/>
  <c r="AE98" i="66" s="1"/>
  <c r="AF98" i="66" s="1"/>
  <c r="AG98" i="66" s="1"/>
  <c r="AH98" i="66" s="1"/>
  <c r="AI98" i="66" s="1"/>
  <c r="AJ98" i="66" s="1"/>
  <c r="AK98" i="66" s="1"/>
  <c r="AL98" i="66" s="1"/>
  <c r="AM98" i="66" s="1"/>
  <c r="AN98" i="66" s="1"/>
  <c r="AO98" i="66" s="1"/>
  <c r="AP98" i="66" s="1"/>
  <c r="AQ98" i="66" s="1"/>
  <c r="AR98" i="66" s="1"/>
  <c r="AS98" i="66" s="1"/>
  <c r="AT98" i="66" s="1"/>
  <c r="AU98" i="66" s="1"/>
  <c r="AV98" i="66" s="1"/>
  <c r="AW98" i="66" s="1"/>
  <c r="AX98" i="66" s="1"/>
  <c r="AY98" i="66" s="1"/>
  <c r="AZ98" i="66" s="1"/>
  <c r="BA98" i="66" s="1"/>
  <c r="BB98" i="66" s="1"/>
  <c r="BC98" i="66" s="1"/>
  <c r="BD98" i="66" s="1"/>
  <c r="BE98" i="66" s="1"/>
  <c r="BF98" i="66" s="1"/>
  <c r="BG98" i="66" s="1"/>
  <c r="BH98" i="66" s="1"/>
  <c r="BI98" i="66" s="1"/>
  <c r="BJ98" i="66" s="1"/>
  <c r="BK98" i="66" s="1"/>
  <c r="BL98" i="66" s="1"/>
  <c r="BM98" i="66" s="1"/>
  <c r="BN98" i="66" s="1"/>
  <c r="BO98" i="66" s="1"/>
  <c r="BP98" i="66" s="1"/>
  <c r="BQ98" i="66" s="1"/>
  <c r="V100" i="66"/>
  <c r="W100" i="66" s="1"/>
  <c r="X100" i="66" s="1"/>
  <c r="Y100" i="66" s="1"/>
  <c r="Z100" i="66" s="1"/>
  <c r="AA100" i="66" s="1"/>
  <c r="AB100" i="66" s="1"/>
  <c r="AC100" i="66" s="1"/>
  <c r="AD100" i="66" s="1"/>
  <c r="AE100" i="66" s="1"/>
  <c r="AF100" i="66" s="1"/>
  <c r="AG100" i="66" s="1"/>
  <c r="AH100" i="66" s="1"/>
  <c r="AI100" i="66" s="1"/>
  <c r="AJ100" i="66" s="1"/>
  <c r="AK100" i="66" s="1"/>
  <c r="AL100" i="66" s="1"/>
  <c r="AM100" i="66" s="1"/>
  <c r="AN100" i="66" s="1"/>
  <c r="AO100" i="66" s="1"/>
  <c r="AP100" i="66" s="1"/>
  <c r="AQ100" i="66" s="1"/>
  <c r="AR100" i="66" s="1"/>
  <c r="AS100" i="66" s="1"/>
  <c r="AT100" i="66" s="1"/>
  <c r="AU100" i="66" s="1"/>
  <c r="AV100" i="66" s="1"/>
  <c r="AW100" i="66" s="1"/>
  <c r="AX100" i="66" s="1"/>
  <c r="AY100" i="66" s="1"/>
  <c r="AZ100" i="66" s="1"/>
  <c r="BA100" i="66" s="1"/>
  <c r="BB100" i="66" s="1"/>
  <c r="BC100" i="66" s="1"/>
  <c r="BD100" i="66" s="1"/>
  <c r="BE100" i="66" s="1"/>
  <c r="BF100" i="66" s="1"/>
  <c r="BG100" i="66" s="1"/>
  <c r="BH100" i="66" s="1"/>
  <c r="BI100" i="66" s="1"/>
  <c r="BJ100" i="66" s="1"/>
  <c r="BK100" i="66" s="1"/>
  <c r="BL100" i="66" s="1"/>
  <c r="BM100" i="66" s="1"/>
  <c r="BN100" i="66" s="1"/>
  <c r="BO100" i="66" s="1"/>
  <c r="BP100" i="66" s="1"/>
  <c r="BQ100" i="66" s="1"/>
  <c r="V103" i="66"/>
  <c r="W103" i="66" s="1"/>
  <c r="X103" i="66" s="1"/>
  <c r="Y103" i="66" s="1"/>
  <c r="Z103" i="66" s="1"/>
  <c r="AA103" i="66" s="1"/>
  <c r="AB103" i="66" s="1"/>
  <c r="AC103" i="66" s="1"/>
  <c r="AD103" i="66" s="1"/>
  <c r="AE103" i="66" s="1"/>
  <c r="AF103" i="66" s="1"/>
  <c r="AG103" i="66" s="1"/>
  <c r="AH103" i="66" s="1"/>
  <c r="AI103" i="66" s="1"/>
  <c r="AJ103" i="66" s="1"/>
  <c r="AK103" i="66" s="1"/>
  <c r="AL103" i="66" s="1"/>
  <c r="AM103" i="66" s="1"/>
  <c r="AN103" i="66" s="1"/>
  <c r="AO103" i="66" s="1"/>
  <c r="AP103" i="66" s="1"/>
  <c r="AQ103" i="66" s="1"/>
  <c r="AR103" i="66" s="1"/>
  <c r="AS103" i="66" s="1"/>
  <c r="AT103" i="66" s="1"/>
  <c r="AU103" i="66" s="1"/>
  <c r="AV103" i="66" s="1"/>
  <c r="AW103" i="66" s="1"/>
  <c r="AX103" i="66" s="1"/>
  <c r="AY103" i="66" s="1"/>
  <c r="AZ103" i="66" s="1"/>
  <c r="BA103" i="66" s="1"/>
  <c r="BB103" i="66" s="1"/>
  <c r="BC103" i="66" s="1"/>
  <c r="BD103" i="66" s="1"/>
  <c r="BE103" i="66" s="1"/>
  <c r="BF103" i="66" s="1"/>
  <c r="BG103" i="66" s="1"/>
  <c r="BH103" i="66" s="1"/>
  <c r="BI103" i="66" s="1"/>
  <c r="BJ103" i="66" s="1"/>
  <c r="BK103" i="66" s="1"/>
  <c r="BL103" i="66" s="1"/>
  <c r="BM103" i="66" s="1"/>
  <c r="BN103" i="66" s="1"/>
  <c r="BO103" i="66" s="1"/>
  <c r="BP103" i="66" s="1"/>
  <c r="BQ103" i="66" s="1"/>
  <c r="V107" i="66"/>
  <c r="W107" i="66" s="1"/>
  <c r="X107" i="66" s="1"/>
  <c r="Y107" i="66" s="1"/>
  <c r="Z107" i="66" s="1"/>
  <c r="AA107" i="66" s="1"/>
  <c r="AB107" i="66" s="1"/>
  <c r="AC107" i="66" s="1"/>
  <c r="AD107" i="66" s="1"/>
  <c r="AE107" i="66" s="1"/>
  <c r="AF107" i="66" s="1"/>
  <c r="AG107" i="66" s="1"/>
  <c r="AH107" i="66" s="1"/>
  <c r="AI107" i="66" s="1"/>
  <c r="AJ107" i="66" s="1"/>
  <c r="AK107" i="66" s="1"/>
  <c r="AL107" i="66" s="1"/>
  <c r="AM107" i="66" s="1"/>
  <c r="AN107" i="66" s="1"/>
  <c r="AO107" i="66" s="1"/>
  <c r="AP107" i="66" s="1"/>
  <c r="AQ107" i="66" s="1"/>
  <c r="AR107" i="66" s="1"/>
  <c r="AS107" i="66" s="1"/>
  <c r="AT107" i="66" s="1"/>
  <c r="AU107" i="66" s="1"/>
  <c r="AV107" i="66" s="1"/>
  <c r="AW107" i="66" s="1"/>
  <c r="AX107" i="66" s="1"/>
  <c r="AY107" i="66" s="1"/>
  <c r="AZ107" i="66" s="1"/>
  <c r="BA107" i="66" s="1"/>
  <c r="BB107" i="66" s="1"/>
  <c r="BC107" i="66" s="1"/>
  <c r="BD107" i="66" s="1"/>
  <c r="BE107" i="66" s="1"/>
  <c r="BF107" i="66" s="1"/>
  <c r="BG107" i="66" s="1"/>
  <c r="BH107" i="66" s="1"/>
  <c r="BI107" i="66" s="1"/>
  <c r="BJ107" i="66" s="1"/>
  <c r="BK107" i="66" s="1"/>
  <c r="BL107" i="66" s="1"/>
  <c r="BM107" i="66" s="1"/>
  <c r="BN107" i="66" s="1"/>
  <c r="BO107" i="66" s="1"/>
  <c r="BP107" i="66" s="1"/>
  <c r="BQ107" i="66" s="1"/>
  <c r="V125" i="66"/>
  <c r="W125" i="66" s="1"/>
  <c r="X125" i="66" s="1"/>
  <c r="Y125" i="66" s="1"/>
  <c r="Z125" i="66" s="1"/>
  <c r="AA125" i="66" s="1"/>
  <c r="AB125" i="66" s="1"/>
  <c r="AC125" i="66" s="1"/>
  <c r="AD125" i="66" s="1"/>
  <c r="AE125" i="66" s="1"/>
  <c r="AF125" i="66" s="1"/>
  <c r="AG125" i="66" s="1"/>
  <c r="AH125" i="66" s="1"/>
  <c r="AI125" i="66" s="1"/>
  <c r="AJ125" i="66" s="1"/>
  <c r="AK125" i="66" s="1"/>
  <c r="AL125" i="66" s="1"/>
  <c r="AM125" i="66" s="1"/>
  <c r="AN125" i="66" s="1"/>
  <c r="AO125" i="66" s="1"/>
  <c r="AP125" i="66" s="1"/>
  <c r="AQ125" i="66" s="1"/>
  <c r="AR125" i="66" s="1"/>
  <c r="AS125" i="66" s="1"/>
  <c r="AT125" i="66" s="1"/>
  <c r="AU125" i="66" s="1"/>
  <c r="AV125" i="66" s="1"/>
  <c r="AW125" i="66" s="1"/>
  <c r="AX125" i="66" s="1"/>
  <c r="AY125" i="66" s="1"/>
  <c r="AZ125" i="66" s="1"/>
  <c r="BA125" i="66" s="1"/>
  <c r="BB125" i="66" s="1"/>
  <c r="BC125" i="66" s="1"/>
  <c r="BD125" i="66" s="1"/>
  <c r="BE125" i="66" s="1"/>
  <c r="BF125" i="66" s="1"/>
  <c r="BG125" i="66" s="1"/>
  <c r="BH125" i="66" s="1"/>
  <c r="BI125" i="66" s="1"/>
  <c r="BJ125" i="66" s="1"/>
  <c r="BK125" i="66" s="1"/>
  <c r="BL125" i="66" s="1"/>
  <c r="BM125" i="66" s="1"/>
  <c r="BN125" i="66" s="1"/>
  <c r="BO125" i="66" s="1"/>
  <c r="BP125" i="66" s="1"/>
  <c r="BQ125" i="66" s="1"/>
  <c r="V129" i="66"/>
  <c r="W129" i="66" s="1"/>
  <c r="X129" i="66" s="1"/>
  <c r="Y129" i="66" s="1"/>
  <c r="Z129" i="66" s="1"/>
  <c r="AA129" i="66" s="1"/>
  <c r="AB129" i="66" s="1"/>
  <c r="AC129" i="66" s="1"/>
  <c r="AD129" i="66" s="1"/>
  <c r="AE129" i="66" s="1"/>
  <c r="AF129" i="66" s="1"/>
  <c r="AG129" i="66" s="1"/>
  <c r="AH129" i="66" s="1"/>
  <c r="AI129" i="66" s="1"/>
  <c r="AJ129" i="66" s="1"/>
  <c r="AK129" i="66" s="1"/>
  <c r="AL129" i="66" s="1"/>
  <c r="AM129" i="66" s="1"/>
  <c r="AN129" i="66" s="1"/>
  <c r="AO129" i="66" s="1"/>
  <c r="AP129" i="66" s="1"/>
  <c r="AQ129" i="66" s="1"/>
  <c r="AR129" i="66" s="1"/>
  <c r="AS129" i="66" s="1"/>
  <c r="AT129" i="66" s="1"/>
  <c r="AU129" i="66" s="1"/>
  <c r="AV129" i="66" s="1"/>
  <c r="AW129" i="66" s="1"/>
  <c r="AX129" i="66" s="1"/>
  <c r="AY129" i="66" s="1"/>
  <c r="AZ129" i="66" s="1"/>
  <c r="BA129" i="66" s="1"/>
  <c r="BB129" i="66" s="1"/>
  <c r="BC129" i="66" s="1"/>
  <c r="BD129" i="66" s="1"/>
  <c r="BE129" i="66" s="1"/>
  <c r="BF129" i="66" s="1"/>
  <c r="BG129" i="66" s="1"/>
  <c r="BH129" i="66" s="1"/>
  <c r="BI129" i="66" s="1"/>
  <c r="BJ129" i="66" s="1"/>
  <c r="BK129" i="66" s="1"/>
  <c r="BL129" i="66" s="1"/>
  <c r="BM129" i="66" s="1"/>
  <c r="BN129" i="66" s="1"/>
  <c r="BO129" i="66" s="1"/>
  <c r="BP129" i="66" s="1"/>
  <c r="BQ129" i="66" s="1"/>
  <c r="V141" i="66"/>
  <c r="W141" i="66" s="1"/>
  <c r="X141" i="66" s="1"/>
  <c r="V187" i="66"/>
  <c r="W187" i="66" s="1"/>
  <c r="X187" i="66" s="1"/>
  <c r="Y187" i="66" s="1"/>
  <c r="Z187" i="66" s="1"/>
  <c r="AA187" i="66" s="1"/>
  <c r="AB187" i="66" s="1"/>
  <c r="AC187" i="66" s="1"/>
  <c r="AD187" i="66" s="1"/>
  <c r="AE187" i="66" s="1"/>
  <c r="AF187" i="66" s="1"/>
  <c r="AG187" i="66" s="1"/>
  <c r="AH187" i="66" s="1"/>
  <c r="AI187" i="66" s="1"/>
  <c r="AJ187" i="66" s="1"/>
  <c r="AK187" i="66" s="1"/>
  <c r="AL187" i="66" s="1"/>
  <c r="AM187" i="66" s="1"/>
  <c r="AN187" i="66" s="1"/>
  <c r="AO187" i="66" s="1"/>
  <c r="AP187" i="66" s="1"/>
  <c r="AQ187" i="66" s="1"/>
  <c r="AR187" i="66" s="1"/>
  <c r="AS187" i="66" s="1"/>
  <c r="AT187" i="66" s="1"/>
  <c r="AU187" i="66" s="1"/>
  <c r="AV187" i="66" s="1"/>
  <c r="AW187" i="66" s="1"/>
  <c r="AX187" i="66" s="1"/>
  <c r="AY187" i="66" s="1"/>
  <c r="AZ187" i="66" s="1"/>
  <c r="BA187" i="66" s="1"/>
  <c r="BB187" i="66" s="1"/>
  <c r="BC187" i="66" s="1"/>
  <c r="BD187" i="66" s="1"/>
  <c r="BE187" i="66" s="1"/>
  <c r="BF187" i="66" s="1"/>
  <c r="BG187" i="66" s="1"/>
  <c r="BH187" i="66" s="1"/>
  <c r="BI187" i="66" s="1"/>
  <c r="BJ187" i="66" s="1"/>
  <c r="BK187" i="66" s="1"/>
  <c r="BL187" i="66" s="1"/>
  <c r="BM187" i="66" s="1"/>
  <c r="BN187" i="66" s="1"/>
  <c r="BO187" i="66" s="1"/>
  <c r="BP187" i="66" s="1"/>
  <c r="BQ187" i="66" s="1"/>
  <c r="V188" i="66"/>
  <c r="W188" i="66" s="1"/>
  <c r="X188" i="66" s="1"/>
  <c r="Y188" i="66" s="1"/>
  <c r="Z188" i="66" s="1"/>
  <c r="AA188" i="66" s="1"/>
  <c r="AB188" i="66" s="1"/>
  <c r="AC188" i="66" s="1"/>
  <c r="AD188" i="66" s="1"/>
  <c r="AE188" i="66" s="1"/>
  <c r="AF188" i="66" s="1"/>
  <c r="AG188" i="66" s="1"/>
  <c r="AH188" i="66" s="1"/>
  <c r="AI188" i="66" s="1"/>
  <c r="AJ188" i="66" s="1"/>
  <c r="AK188" i="66" s="1"/>
  <c r="AL188" i="66" s="1"/>
  <c r="AM188" i="66" s="1"/>
  <c r="AN188" i="66" s="1"/>
  <c r="AO188" i="66" s="1"/>
  <c r="AP188" i="66" s="1"/>
  <c r="AQ188" i="66" s="1"/>
  <c r="AR188" i="66" s="1"/>
  <c r="AS188" i="66" s="1"/>
  <c r="AT188" i="66" s="1"/>
  <c r="AU188" i="66" s="1"/>
  <c r="AV188" i="66" s="1"/>
  <c r="AW188" i="66" s="1"/>
  <c r="AX188" i="66" s="1"/>
  <c r="AY188" i="66" s="1"/>
  <c r="AZ188" i="66" s="1"/>
  <c r="BA188" i="66" s="1"/>
  <c r="BB188" i="66" s="1"/>
  <c r="BC188" i="66" s="1"/>
  <c r="BD188" i="66" s="1"/>
  <c r="BE188" i="66" s="1"/>
  <c r="BF188" i="66" s="1"/>
  <c r="BG188" i="66" s="1"/>
  <c r="BH188" i="66" s="1"/>
  <c r="BI188" i="66" s="1"/>
  <c r="BJ188" i="66" s="1"/>
  <c r="BK188" i="66" s="1"/>
  <c r="BL188" i="66" s="1"/>
  <c r="BM188" i="66" s="1"/>
  <c r="BN188" i="66" s="1"/>
  <c r="BO188" i="66" s="1"/>
  <c r="BP188" i="66" s="1"/>
  <c r="BQ188" i="66" s="1"/>
  <c r="V193" i="66"/>
  <c r="W193" i="66" s="1"/>
  <c r="X193" i="66" s="1"/>
  <c r="Y193" i="66" s="1"/>
  <c r="Z193" i="66" s="1"/>
  <c r="AA193" i="66" s="1"/>
  <c r="AB193" i="66" s="1"/>
  <c r="AC193" i="66" s="1"/>
  <c r="AD193" i="66" s="1"/>
  <c r="AE193" i="66" s="1"/>
  <c r="AF193" i="66" s="1"/>
  <c r="AG193" i="66" s="1"/>
  <c r="AH193" i="66" s="1"/>
  <c r="AI193" i="66" s="1"/>
  <c r="AJ193" i="66" s="1"/>
  <c r="AK193" i="66" s="1"/>
  <c r="AL193" i="66" s="1"/>
  <c r="AM193" i="66" s="1"/>
  <c r="AN193" i="66" s="1"/>
  <c r="AO193" i="66" s="1"/>
  <c r="AP193" i="66" s="1"/>
  <c r="AQ193" i="66" s="1"/>
  <c r="AR193" i="66" s="1"/>
  <c r="AS193" i="66" s="1"/>
  <c r="AT193" i="66" s="1"/>
  <c r="AU193" i="66" s="1"/>
  <c r="AV193" i="66" s="1"/>
  <c r="AW193" i="66" s="1"/>
  <c r="AX193" i="66" s="1"/>
  <c r="AY193" i="66" s="1"/>
  <c r="AZ193" i="66" s="1"/>
  <c r="BA193" i="66" s="1"/>
  <c r="BB193" i="66" s="1"/>
  <c r="BC193" i="66" s="1"/>
  <c r="BD193" i="66" s="1"/>
  <c r="BE193" i="66" s="1"/>
  <c r="BF193" i="66" s="1"/>
  <c r="BG193" i="66" s="1"/>
  <c r="BH193" i="66" s="1"/>
  <c r="BI193" i="66" s="1"/>
  <c r="BJ193" i="66" s="1"/>
  <c r="BK193" i="66" s="1"/>
  <c r="BL193" i="66" s="1"/>
  <c r="BM193" i="66" s="1"/>
  <c r="BN193" i="66" s="1"/>
  <c r="BO193" i="66" s="1"/>
  <c r="BP193" i="66" s="1"/>
  <c r="BQ193" i="66" s="1"/>
  <c r="V194" i="66"/>
  <c r="W194" i="66" s="1"/>
  <c r="X194" i="66" s="1"/>
  <c r="Y194" i="66" s="1"/>
  <c r="Z194" i="66" s="1"/>
  <c r="AA194" i="66" s="1"/>
  <c r="AB194" i="66" s="1"/>
  <c r="AC194" i="66" s="1"/>
  <c r="AD194" i="66" s="1"/>
  <c r="AE194" i="66" s="1"/>
  <c r="AF194" i="66" s="1"/>
  <c r="AG194" i="66" s="1"/>
  <c r="AH194" i="66" s="1"/>
  <c r="AI194" i="66" s="1"/>
  <c r="AJ194" i="66" s="1"/>
  <c r="AK194" i="66" s="1"/>
  <c r="AL194" i="66" s="1"/>
  <c r="AM194" i="66" s="1"/>
  <c r="AN194" i="66" s="1"/>
  <c r="AO194" i="66" s="1"/>
  <c r="AP194" i="66" s="1"/>
  <c r="AQ194" i="66" s="1"/>
  <c r="AR194" i="66" s="1"/>
  <c r="AS194" i="66" s="1"/>
  <c r="AT194" i="66" s="1"/>
  <c r="AU194" i="66" s="1"/>
  <c r="AV194" i="66" s="1"/>
  <c r="AW194" i="66" s="1"/>
  <c r="AX194" i="66" s="1"/>
  <c r="AY194" i="66" s="1"/>
  <c r="AZ194" i="66" s="1"/>
  <c r="BA194" i="66" s="1"/>
  <c r="BB194" i="66" s="1"/>
  <c r="BC194" i="66" s="1"/>
  <c r="BD194" i="66" s="1"/>
  <c r="BE194" i="66" s="1"/>
  <c r="BF194" i="66" s="1"/>
  <c r="BG194" i="66" s="1"/>
  <c r="BH194" i="66" s="1"/>
  <c r="BI194" i="66" s="1"/>
  <c r="BJ194" i="66" s="1"/>
  <c r="BK194" i="66" s="1"/>
  <c r="BL194" i="66" s="1"/>
  <c r="BM194" i="66" s="1"/>
  <c r="BN194" i="66" s="1"/>
  <c r="BO194" i="66" s="1"/>
  <c r="BP194" i="66" s="1"/>
  <c r="BQ194" i="66" s="1"/>
  <c r="V200" i="66"/>
  <c r="W200" i="66" s="1"/>
  <c r="X200" i="66" s="1"/>
  <c r="Y200" i="66" s="1"/>
  <c r="Z200" i="66" s="1"/>
  <c r="AA200" i="66" s="1"/>
  <c r="AB200" i="66" s="1"/>
  <c r="AC200" i="66" s="1"/>
  <c r="AD200" i="66" s="1"/>
  <c r="AE200" i="66" s="1"/>
  <c r="AF200" i="66" s="1"/>
  <c r="AG200" i="66" s="1"/>
  <c r="AH200" i="66" s="1"/>
  <c r="AI200" i="66" s="1"/>
  <c r="AJ200" i="66" s="1"/>
  <c r="AK200" i="66" s="1"/>
  <c r="AL200" i="66" s="1"/>
  <c r="AM200" i="66" s="1"/>
  <c r="AN200" i="66" s="1"/>
  <c r="AO200" i="66" s="1"/>
  <c r="AP200" i="66" s="1"/>
  <c r="AQ200" i="66" s="1"/>
  <c r="AR200" i="66" s="1"/>
  <c r="AS200" i="66" s="1"/>
  <c r="AT200" i="66" s="1"/>
  <c r="AU200" i="66" s="1"/>
  <c r="AV200" i="66" s="1"/>
  <c r="AW200" i="66" s="1"/>
  <c r="AX200" i="66" s="1"/>
  <c r="AY200" i="66" s="1"/>
  <c r="AZ200" i="66" s="1"/>
  <c r="BA200" i="66" s="1"/>
  <c r="BB200" i="66" s="1"/>
  <c r="BC200" i="66" s="1"/>
  <c r="BD200" i="66" s="1"/>
  <c r="BE200" i="66" s="1"/>
  <c r="BF200" i="66" s="1"/>
  <c r="BG200" i="66" s="1"/>
  <c r="BH200" i="66" s="1"/>
  <c r="BI200" i="66" s="1"/>
  <c r="BJ200" i="66" s="1"/>
  <c r="BK200" i="66" s="1"/>
  <c r="BL200" i="66" s="1"/>
  <c r="BM200" i="66" s="1"/>
  <c r="BN200" i="66" s="1"/>
  <c r="BO200" i="66" s="1"/>
  <c r="BP200" i="66" s="1"/>
  <c r="BQ200" i="66" s="1"/>
  <c r="V165" i="66"/>
  <c r="V177" i="66"/>
  <c r="W177" i="66" s="1"/>
  <c r="X177" i="66" s="1"/>
  <c r="Y177" i="66" s="1"/>
  <c r="Z177" i="66" s="1"/>
  <c r="AA177" i="66" s="1"/>
  <c r="AB177" i="66" s="1"/>
  <c r="AC177" i="66" s="1"/>
  <c r="AD177" i="66" s="1"/>
  <c r="AE177" i="66" s="1"/>
  <c r="AF177" i="66" s="1"/>
  <c r="AG177" i="66" s="1"/>
  <c r="AH177" i="66" s="1"/>
  <c r="AI177" i="66" s="1"/>
  <c r="AJ177" i="66" s="1"/>
  <c r="AK177" i="66" s="1"/>
  <c r="AL177" i="66" s="1"/>
  <c r="AM177" i="66" s="1"/>
  <c r="AN177" i="66" s="1"/>
  <c r="AO177" i="66" s="1"/>
  <c r="AP177" i="66" s="1"/>
  <c r="AQ177" i="66" s="1"/>
  <c r="AR177" i="66" s="1"/>
  <c r="AS177" i="66" s="1"/>
  <c r="AT177" i="66" s="1"/>
  <c r="AU177" i="66" s="1"/>
  <c r="AV177" i="66" s="1"/>
  <c r="AW177" i="66" s="1"/>
  <c r="AX177" i="66" s="1"/>
  <c r="AY177" i="66" s="1"/>
  <c r="AZ177" i="66" s="1"/>
  <c r="BA177" i="66" s="1"/>
  <c r="BB177" i="66" s="1"/>
  <c r="BC177" i="66" s="1"/>
  <c r="BD177" i="66" s="1"/>
  <c r="BE177" i="66" s="1"/>
  <c r="BF177" i="66" s="1"/>
  <c r="BG177" i="66" s="1"/>
  <c r="BH177" i="66" s="1"/>
  <c r="BI177" i="66" s="1"/>
  <c r="BJ177" i="66" s="1"/>
  <c r="BK177" i="66" s="1"/>
  <c r="BL177" i="66" s="1"/>
  <c r="BM177" i="66" s="1"/>
  <c r="BN177" i="66" s="1"/>
  <c r="BO177" i="66" s="1"/>
  <c r="BP177" i="66" s="1"/>
  <c r="BQ177" i="66" s="1"/>
  <c r="V197" i="66"/>
  <c r="W197" i="66" s="1"/>
  <c r="X197" i="66" s="1"/>
  <c r="Y197" i="66" s="1"/>
  <c r="Z197" i="66" s="1"/>
  <c r="AA197" i="66" s="1"/>
  <c r="AB197" i="66" s="1"/>
  <c r="AC197" i="66" s="1"/>
  <c r="AD197" i="66" s="1"/>
  <c r="AE197" i="66" s="1"/>
  <c r="AF197" i="66" s="1"/>
  <c r="AG197" i="66" s="1"/>
  <c r="AH197" i="66" s="1"/>
  <c r="AI197" i="66" s="1"/>
  <c r="AJ197" i="66" s="1"/>
  <c r="AK197" i="66" s="1"/>
  <c r="AL197" i="66" s="1"/>
  <c r="AM197" i="66" s="1"/>
  <c r="AN197" i="66" s="1"/>
  <c r="AO197" i="66" s="1"/>
  <c r="AP197" i="66" s="1"/>
  <c r="AQ197" i="66" s="1"/>
  <c r="AR197" i="66" s="1"/>
  <c r="AS197" i="66" s="1"/>
  <c r="AT197" i="66" s="1"/>
  <c r="AU197" i="66" s="1"/>
  <c r="AV197" i="66" s="1"/>
  <c r="AW197" i="66" s="1"/>
  <c r="AX197" i="66" s="1"/>
  <c r="AY197" i="66" s="1"/>
  <c r="AZ197" i="66" s="1"/>
  <c r="BA197" i="66" s="1"/>
  <c r="BB197" i="66" s="1"/>
  <c r="BC197" i="66" s="1"/>
  <c r="BD197" i="66" s="1"/>
  <c r="BE197" i="66" s="1"/>
  <c r="BF197" i="66" s="1"/>
  <c r="BG197" i="66" s="1"/>
  <c r="BH197" i="66" s="1"/>
  <c r="BI197" i="66" s="1"/>
  <c r="BJ197" i="66" s="1"/>
  <c r="BK197" i="66" s="1"/>
  <c r="BL197" i="66" s="1"/>
  <c r="BM197" i="66" s="1"/>
  <c r="BN197" i="66" s="1"/>
  <c r="BO197" i="66" s="1"/>
  <c r="BP197" i="66" s="1"/>
  <c r="BQ197" i="66" s="1"/>
  <c r="V90" i="66"/>
  <c r="W90" i="66" s="1"/>
  <c r="X90" i="66" s="1"/>
  <c r="Y90" i="66" s="1"/>
  <c r="Z90" i="66" s="1"/>
  <c r="AA90" i="66" s="1"/>
  <c r="AB90" i="66" s="1"/>
  <c r="AC90" i="66" s="1"/>
  <c r="AD90" i="66" s="1"/>
  <c r="AE90" i="66" s="1"/>
  <c r="AF90" i="66" s="1"/>
  <c r="AG90" i="66" s="1"/>
  <c r="AH90" i="66" s="1"/>
  <c r="AI90" i="66" s="1"/>
  <c r="AJ90" i="66" s="1"/>
  <c r="AK90" i="66" s="1"/>
  <c r="AL90" i="66" s="1"/>
  <c r="AM90" i="66" s="1"/>
  <c r="AN90" i="66" s="1"/>
  <c r="AO90" i="66" s="1"/>
  <c r="AP90" i="66" s="1"/>
  <c r="AQ90" i="66" s="1"/>
  <c r="AR90" i="66" s="1"/>
  <c r="AS90" i="66" s="1"/>
  <c r="AT90" i="66" s="1"/>
  <c r="AU90" i="66" s="1"/>
  <c r="AV90" i="66" s="1"/>
  <c r="AW90" i="66" s="1"/>
  <c r="AX90" i="66" s="1"/>
  <c r="AY90" i="66" s="1"/>
  <c r="AZ90" i="66" s="1"/>
  <c r="BA90" i="66" s="1"/>
  <c r="BB90" i="66" s="1"/>
  <c r="BC90" i="66" s="1"/>
  <c r="BD90" i="66" s="1"/>
  <c r="BE90" i="66" s="1"/>
  <c r="BF90" i="66" s="1"/>
  <c r="BG90" i="66" s="1"/>
  <c r="BH90" i="66" s="1"/>
  <c r="BI90" i="66" s="1"/>
  <c r="BJ90" i="66" s="1"/>
  <c r="BK90" i="66" s="1"/>
  <c r="BL90" i="66" s="1"/>
  <c r="BM90" i="66" s="1"/>
  <c r="BN90" i="66" s="1"/>
  <c r="BO90" i="66" s="1"/>
  <c r="BP90" i="66" s="1"/>
  <c r="BQ90" i="66" s="1"/>
  <c r="V180" i="66"/>
  <c r="W180" i="66" s="1"/>
  <c r="X180" i="66" s="1"/>
  <c r="Y180" i="66" s="1"/>
  <c r="Z180" i="66" s="1"/>
  <c r="AA180" i="66" s="1"/>
  <c r="AB180" i="66" s="1"/>
  <c r="AC180" i="66" s="1"/>
  <c r="AD180" i="66" s="1"/>
  <c r="AE180" i="66" s="1"/>
  <c r="AF180" i="66" s="1"/>
  <c r="AG180" i="66" s="1"/>
  <c r="AH180" i="66" s="1"/>
  <c r="AI180" i="66" s="1"/>
  <c r="AJ180" i="66" s="1"/>
  <c r="AK180" i="66" s="1"/>
  <c r="AL180" i="66" s="1"/>
  <c r="AM180" i="66" s="1"/>
  <c r="AN180" i="66" s="1"/>
  <c r="AO180" i="66" s="1"/>
  <c r="AP180" i="66" s="1"/>
  <c r="AQ180" i="66" s="1"/>
  <c r="AR180" i="66" s="1"/>
  <c r="AS180" i="66" s="1"/>
  <c r="AT180" i="66" s="1"/>
  <c r="AU180" i="66" s="1"/>
  <c r="AV180" i="66" s="1"/>
  <c r="AW180" i="66" s="1"/>
  <c r="AX180" i="66" s="1"/>
  <c r="AY180" i="66" s="1"/>
  <c r="AZ180" i="66" s="1"/>
  <c r="BA180" i="66" s="1"/>
  <c r="BB180" i="66" s="1"/>
  <c r="BC180" i="66" s="1"/>
  <c r="BD180" i="66" s="1"/>
  <c r="BE180" i="66" s="1"/>
  <c r="BF180" i="66" s="1"/>
  <c r="BG180" i="66" s="1"/>
  <c r="BH180" i="66" s="1"/>
  <c r="BI180" i="66" s="1"/>
  <c r="BJ180" i="66" s="1"/>
  <c r="BK180" i="66" s="1"/>
  <c r="BL180" i="66" s="1"/>
  <c r="BM180" i="66" s="1"/>
  <c r="BN180" i="66" s="1"/>
  <c r="BO180" i="66" s="1"/>
  <c r="BP180" i="66" s="1"/>
  <c r="BQ180" i="66" s="1"/>
  <c r="V185" i="66"/>
  <c r="W185" i="66" s="1"/>
  <c r="X185" i="66" s="1"/>
  <c r="Y185" i="66" s="1"/>
  <c r="Z185" i="66" s="1"/>
  <c r="AA185" i="66" s="1"/>
  <c r="AB185" i="66" s="1"/>
  <c r="AC185" i="66" s="1"/>
  <c r="AD185" i="66" s="1"/>
  <c r="AE185" i="66" s="1"/>
  <c r="AF185" i="66" s="1"/>
  <c r="AG185" i="66" s="1"/>
  <c r="AH185" i="66" s="1"/>
  <c r="AI185" i="66" s="1"/>
  <c r="AJ185" i="66" s="1"/>
  <c r="AK185" i="66" s="1"/>
  <c r="AL185" i="66" s="1"/>
  <c r="AM185" i="66" s="1"/>
  <c r="AN185" i="66" s="1"/>
  <c r="AO185" i="66" s="1"/>
  <c r="AP185" i="66" s="1"/>
  <c r="AQ185" i="66" s="1"/>
  <c r="AR185" i="66" s="1"/>
  <c r="AS185" i="66" s="1"/>
  <c r="AT185" i="66" s="1"/>
  <c r="AU185" i="66" s="1"/>
  <c r="AV185" i="66" s="1"/>
  <c r="AW185" i="66" s="1"/>
  <c r="AX185" i="66" s="1"/>
  <c r="AY185" i="66" s="1"/>
  <c r="AZ185" i="66" s="1"/>
  <c r="BA185" i="66" s="1"/>
  <c r="BB185" i="66" s="1"/>
  <c r="BC185" i="66" s="1"/>
  <c r="BD185" i="66" s="1"/>
  <c r="BE185" i="66" s="1"/>
  <c r="BF185" i="66" s="1"/>
  <c r="BG185" i="66" s="1"/>
  <c r="BH185" i="66" s="1"/>
  <c r="BI185" i="66" s="1"/>
  <c r="BJ185" i="66" s="1"/>
  <c r="BK185" i="66" s="1"/>
  <c r="BL185" i="66" s="1"/>
  <c r="BM185" i="66" s="1"/>
  <c r="BN185" i="66" s="1"/>
  <c r="BO185" i="66" s="1"/>
  <c r="BP185" i="66" s="1"/>
  <c r="BQ185" i="66" s="1"/>
  <c r="V192" i="66"/>
  <c r="W192" i="66" s="1"/>
  <c r="X192" i="66" s="1"/>
  <c r="Y192" i="66" s="1"/>
  <c r="Z192" i="66" s="1"/>
  <c r="AA192" i="66" s="1"/>
  <c r="AB192" i="66" s="1"/>
  <c r="AC192" i="66" s="1"/>
  <c r="AD192" i="66" s="1"/>
  <c r="AE192" i="66" s="1"/>
  <c r="AF192" i="66" s="1"/>
  <c r="AG192" i="66" s="1"/>
  <c r="AH192" i="66" s="1"/>
  <c r="AI192" i="66" s="1"/>
  <c r="AJ192" i="66" s="1"/>
  <c r="AK192" i="66" s="1"/>
  <c r="AL192" i="66" s="1"/>
  <c r="AM192" i="66" s="1"/>
  <c r="AN192" i="66" s="1"/>
  <c r="AO192" i="66" s="1"/>
  <c r="AP192" i="66" s="1"/>
  <c r="AQ192" i="66" s="1"/>
  <c r="AR192" i="66" s="1"/>
  <c r="AS192" i="66" s="1"/>
  <c r="AT192" i="66" s="1"/>
  <c r="AU192" i="66" s="1"/>
  <c r="AV192" i="66" s="1"/>
  <c r="AW192" i="66" s="1"/>
  <c r="AX192" i="66" s="1"/>
  <c r="AY192" i="66" s="1"/>
  <c r="AZ192" i="66" s="1"/>
  <c r="BA192" i="66" s="1"/>
  <c r="BB192" i="66" s="1"/>
  <c r="BC192" i="66" s="1"/>
  <c r="BD192" i="66" s="1"/>
  <c r="BE192" i="66" s="1"/>
  <c r="BF192" i="66" s="1"/>
  <c r="BG192" i="66" s="1"/>
  <c r="BH192" i="66" s="1"/>
  <c r="BI192" i="66" s="1"/>
  <c r="BJ192" i="66" s="1"/>
  <c r="BK192" i="66" s="1"/>
  <c r="BL192" i="66" s="1"/>
  <c r="BM192" i="66" s="1"/>
  <c r="BN192" i="66" s="1"/>
  <c r="BO192" i="66" s="1"/>
  <c r="BP192" i="66" s="1"/>
  <c r="BQ192" i="66" s="1"/>
  <c r="V176" i="66"/>
  <c r="W176" i="66" s="1"/>
  <c r="X176" i="66" s="1"/>
  <c r="Y176" i="66" s="1"/>
  <c r="Z176" i="66" s="1"/>
  <c r="AA176" i="66" s="1"/>
  <c r="AB176" i="66" s="1"/>
  <c r="AC176" i="66" s="1"/>
  <c r="AD176" i="66" s="1"/>
  <c r="AE176" i="66" s="1"/>
  <c r="AF176" i="66" s="1"/>
  <c r="AG176" i="66" s="1"/>
  <c r="AH176" i="66" s="1"/>
  <c r="AI176" i="66" s="1"/>
  <c r="AJ176" i="66" s="1"/>
  <c r="AK176" i="66" s="1"/>
  <c r="AL176" i="66" s="1"/>
  <c r="AM176" i="66" s="1"/>
  <c r="AN176" i="66" s="1"/>
  <c r="AO176" i="66" s="1"/>
  <c r="AP176" i="66" s="1"/>
  <c r="AQ176" i="66" s="1"/>
  <c r="AR176" i="66" s="1"/>
  <c r="AS176" i="66" s="1"/>
  <c r="AT176" i="66" s="1"/>
  <c r="AU176" i="66" s="1"/>
  <c r="AV176" i="66" s="1"/>
  <c r="AW176" i="66" s="1"/>
  <c r="AX176" i="66" s="1"/>
  <c r="AY176" i="66" s="1"/>
  <c r="AZ176" i="66" s="1"/>
  <c r="BA176" i="66" s="1"/>
  <c r="BB176" i="66" s="1"/>
  <c r="BC176" i="66" s="1"/>
  <c r="BD176" i="66" s="1"/>
  <c r="BE176" i="66" s="1"/>
  <c r="BF176" i="66" s="1"/>
  <c r="BG176" i="66" s="1"/>
  <c r="BH176" i="66" s="1"/>
  <c r="BI176" i="66" s="1"/>
  <c r="BJ176" i="66" s="1"/>
  <c r="BK176" i="66" s="1"/>
  <c r="BL176" i="66" s="1"/>
  <c r="BM176" i="66" s="1"/>
  <c r="BN176" i="66" s="1"/>
  <c r="BO176" i="66" s="1"/>
  <c r="BP176" i="66" s="1"/>
  <c r="BQ176" i="66" s="1"/>
  <c r="V195" i="66"/>
  <c r="W195" i="66" s="1"/>
  <c r="X195" i="66" s="1"/>
  <c r="Y195" i="66" s="1"/>
  <c r="Z195" i="66" s="1"/>
  <c r="AA195" i="66" s="1"/>
  <c r="AB195" i="66" s="1"/>
  <c r="AC195" i="66" s="1"/>
  <c r="AD195" i="66" s="1"/>
  <c r="AE195" i="66" s="1"/>
  <c r="AF195" i="66" s="1"/>
  <c r="AG195" i="66" s="1"/>
  <c r="AH195" i="66" s="1"/>
  <c r="AI195" i="66" s="1"/>
  <c r="AJ195" i="66" s="1"/>
  <c r="AK195" i="66" s="1"/>
  <c r="AL195" i="66" s="1"/>
  <c r="AM195" i="66" s="1"/>
  <c r="AN195" i="66" s="1"/>
  <c r="AO195" i="66" s="1"/>
  <c r="AP195" i="66" s="1"/>
  <c r="AQ195" i="66" s="1"/>
  <c r="AR195" i="66" s="1"/>
  <c r="AS195" i="66" s="1"/>
  <c r="AT195" i="66" s="1"/>
  <c r="AU195" i="66" s="1"/>
  <c r="AV195" i="66" s="1"/>
  <c r="AW195" i="66" s="1"/>
  <c r="AX195" i="66" s="1"/>
  <c r="AY195" i="66" s="1"/>
  <c r="AZ195" i="66" s="1"/>
  <c r="BA195" i="66" s="1"/>
  <c r="BB195" i="66" s="1"/>
  <c r="BC195" i="66" s="1"/>
  <c r="BD195" i="66" s="1"/>
  <c r="BE195" i="66" s="1"/>
  <c r="BF195" i="66" s="1"/>
  <c r="BG195" i="66" s="1"/>
  <c r="BH195" i="66" s="1"/>
  <c r="BI195" i="66" s="1"/>
  <c r="BJ195" i="66" s="1"/>
  <c r="BK195" i="66" s="1"/>
  <c r="BL195" i="66" s="1"/>
  <c r="BM195" i="66" s="1"/>
  <c r="BN195" i="66" s="1"/>
  <c r="BO195" i="66" s="1"/>
  <c r="BP195" i="66" s="1"/>
  <c r="BQ195" i="66" s="1"/>
  <c r="V186" i="66"/>
  <c r="W186" i="66" s="1"/>
  <c r="X186" i="66" s="1"/>
  <c r="Y186" i="66" s="1"/>
  <c r="Z186" i="66" s="1"/>
  <c r="AA186" i="66" s="1"/>
  <c r="AB186" i="66" s="1"/>
  <c r="AC186" i="66" s="1"/>
  <c r="AD186" i="66" s="1"/>
  <c r="AE186" i="66" s="1"/>
  <c r="AF186" i="66" s="1"/>
  <c r="AG186" i="66" s="1"/>
  <c r="AH186" i="66" s="1"/>
  <c r="AI186" i="66" s="1"/>
  <c r="AJ186" i="66" s="1"/>
  <c r="AK186" i="66" s="1"/>
  <c r="AL186" i="66" s="1"/>
  <c r="AM186" i="66" s="1"/>
  <c r="AN186" i="66" s="1"/>
  <c r="AO186" i="66" s="1"/>
  <c r="AP186" i="66" s="1"/>
  <c r="AQ186" i="66" s="1"/>
  <c r="AR186" i="66" s="1"/>
  <c r="AS186" i="66" s="1"/>
  <c r="AT186" i="66" s="1"/>
  <c r="AU186" i="66" s="1"/>
  <c r="AV186" i="66" s="1"/>
  <c r="AW186" i="66" s="1"/>
  <c r="AX186" i="66" s="1"/>
  <c r="AY186" i="66" s="1"/>
  <c r="AZ186" i="66" s="1"/>
  <c r="BA186" i="66" s="1"/>
  <c r="BB186" i="66" s="1"/>
  <c r="BC186" i="66" s="1"/>
  <c r="BD186" i="66" s="1"/>
  <c r="BE186" i="66" s="1"/>
  <c r="BF186" i="66" s="1"/>
  <c r="BG186" i="66" s="1"/>
  <c r="BH186" i="66" s="1"/>
  <c r="BI186" i="66" s="1"/>
  <c r="BJ186" i="66" s="1"/>
  <c r="BK186" i="66" s="1"/>
  <c r="BL186" i="66" s="1"/>
  <c r="BM186" i="66" s="1"/>
  <c r="BN186" i="66" s="1"/>
  <c r="BO186" i="66" s="1"/>
  <c r="BP186" i="66" s="1"/>
  <c r="BQ186" i="66" s="1"/>
  <c r="V196" i="66"/>
  <c r="W196" i="66" s="1"/>
  <c r="X196" i="66" s="1"/>
  <c r="Y196" i="66" s="1"/>
  <c r="Z196" i="66" s="1"/>
  <c r="AA196" i="66" s="1"/>
  <c r="AB196" i="66" s="1"/>
  <c r="AC196" i="66" s="1"/>
  <c r="AD196" i="66" s="1"/>
  <c r="AE196" i="66" s="1"/>
  <c r="AF196" i="66" s="1"/>
  <c r="AG196" i="66" s="1"/>
  <c r="AH196" i="66" s="1"/>
  <c r="AI196" i="66" s="1"/>
  <c r="AJ196" i="66" s="1"/>
  <c r="AK196" i="66" s="1"/>
  <c r="AL196" i="66" s="1"/>
  <c r="AM196" i="66" s="1"/>
  <c r="AN196" i="66" s="1"/>
  <c r="AO196" i="66" s="1"/>
  <c r="AP196" i="66" s="1"/>
  <c r="AQ196" i="66" s="1"/>
  <c r="AR196" i="66" s="1"/>
  <c r="AS196" i="66" s="1"/>
  <c r="AT196" i="66" s="1"/>
  <c r="AU196" i="66" s="1"/>
  <c r="AV196" i="66" s="1"/>
  <c r="AW196" i="66" s="1"/>
  <c r="AX196" i="66" s="1"/>
  <c r="AY196" i="66" s="1"/>
  <c r="AZ196" i="66" s="1"/>
  <c r="BA196" i="66" s="1"/>
  <c r="BB196" i="66" s="1"/>
  <c r="BC196" i="66" s="1"/>
  <c r="BD196" i="66" s="1"/>
  <c r="BE196" i="66" s="1"/>
  <c r="BF196" i="66" s="1"/>
  <c r="BG196" i="66" s="1"/>
  <c r="BH196" i="66" s="1"/>
  <c r="BI196" i="66" s="1"/>
  <c r="BJ196" i="66" s="1"/>
  <c r="BK196" i="66" s="1"/>
  <c r="BL196" i="66" s="1"/>
  <c r="BM196" i="66" s="1"/>
  <c r="BN196" i="66" s="1"/>
  <c r="BO196" i="66" s="1"/>
  <c r="BP196" i="66" s="1"/>
  <c r="BQ196" i="66" s="1"/>
  <c r="R11" i="32"/>
  <c r="J11" i="32"/>
  <c r="BF14" i="32"/>
  <c r="Z14" i="32"/>
  <c r="BH14" i="32"/>
  <c r="BD14" i="32"/>
  <c r="AZ14" i="32"/>
  <c r="AV14" i="32"/>
  <c r="AR14" i="32"/>
  <c r="AN14" i="32"/>
  <c r="AJ14" i="32"/>
  <c r="AF14" i="32"/>
  <c r="AB14" i="32"/>
  <c r="X14" i="32"/>
  <c r="T14" i="32"/>
  <c r="P14" i="32"/>
  <c r="AX14" i="32"/>
  <c r="AH14" i="32"/>
  <c r="R14" i="32"/>
  <c r="BJ13" i="32"/>
  <c r="BF13" i="32"/>
  <c r="BB13" i="32"/>
  <c r="AX13" i="32"/>
  <c r="AT13" i="32"/>
  <c r="AP13" i="32"/>
  <c r="AL13" i="32"/>
  <c r="AH13" i="32"/>
  <c r="AD13" i="32"/>
  <c r="Z13" i="32"/>
  <c r="V13" i="32"/>
  <c r="R13" i="32"/>
  <c r="J203" i="66"/>
  <c r="V179" i="66"/>
  <c r="W179" i="66" s="1"/>
  <c r="X179" i="66" s="1"/>
  <c r="Y179" i="66" s="1"/>
  <c r="Z179" i="66" s="1"/>
  <c r="AA179" i="66" s="1"/>
  <c r="AB179" i="66" s="1"/>
  <c r="AC179" i="66" s="1"/>
  <c r="AD179" i="66" s="1"/>
  <c r="AE179" i="66" s="1"/>
  <c r="AF179" i="66" s="1"/>
  <c r="AG179" i="66" s="1"/>
  <c r="AH179" i="66" s="1"/>
  <c r="AI179" i="66" s="1"/>
  <c r="AJ179" i="66" s="1"/>
  <c r="AK179" i="66" s="1"/>
  <c r="AL179" i="66" s="1"/>
  <c r="AM179" i="66" s="1"/>
  <c r="AN179" i="66" s="1"/>
  <c r="AO179" i="66" s="1"/>
  <c r="AP179" i="66" s="1"/>
  <c r="AQ179" i="66" s="1"/>
  <c r="AR179" i="66" s="1"/>
  <c r="AS179" i="66" s="1"/>
  <c r="AT179" i="66" s="1"/>
  <c r="AU179" i="66" s="1"/>
  <c r="AV179" i="66" s="1"/>
  <c r="AW179" i="66" s="1"/>
  <c r="AX179" i="66" s="1"/>
  <c r="AY179" i="66" s="1"/>
  <c r="AZ179" i="66" s="1"/>
  <c r="BA179" i="66" s="1"/>
  <c r="BB179" i="66" s="1"/>
  <c r="BC179" i="66" s="1"/>
  <c r="BD179" i="66" s="1"/>
  <c r="BE179" i="66" s="1"/>
  <c r="BF179" i="66" s="1"/>
  <c r="BG179" i="66" s="1"/>
  <c r="BH179" i="66" s="1"/>
  <c r="BI179" i="66" s="1"/>
  <c r="BJ179" i="66" s="1"/>
  <c r="BK179" i="66" s="1"/>
  <c r="BL179" i="66" s="1"/>
  <c r="BM179" i="66" s="1"/>
  <c r="BN179" i="66" s="1"/>
  <c r="BO179" i="66" s="1"/>
  <c r="BP179" i="66" s="1"/>
  <c r="BQ179" i="66" s="1"/>
  <c r="V184" i="66"/>
  <c r="W184" i="66" s="1"/>
  <c r="X184" i="66" s="1"/>
  <c r="Y184" i="66" s="1"/>
  <c r="Z184" i="66" s="1"/>
  <c r="AA184" i="66" s="1"/>
  <c r="AB184" i="66" s="1"/>
  <c r="AC184" i="66" s="1"/>
  <c r="AD184" i="66" s="1"/>
  <c r="AE184" i="66" s="1"/>
  <c r="AF184" i="66" s="1"/>
  <c r="AG184" i="66" s="1"/>
  <c r="AH184" i="66" s="1"/>
  <c r="AI184" i="66" s="1"/>
  <c r="AJ184" i="66" s="1"/>
  <c r="AK184" i="66" s="1"/>
  <c r="AL184" i="66" s="1"/>
  <c r="AM184" i="66" s="1"/>
  <c r="AN184" i="66" s="1"/>
  <c r="AO184" i="66" s="1"/>
  <c r="AP184" i="66" s="1"/>
  <c r="AQ184" i="66" s="1"/>
  <c r="AR184" i="66" s="1"/>
  <c r="AS184" i="66" s="1"/>
  <c r="AT184" i="66" s="1"/>
  <c r="AU184" i="66" s="1"/>
  <c r="AV184" i="66" s="1"/>
  <c r="AW184" i="66" s="1"/>
  <c r="AX184" i="66" s="1"/>
  <c r="AY184" i="66" s="1"/>
  <c r="AZ184" i="66" s="1"/>
  <c r="BA184" i="66" s="1"/>
  <c r="BB184" i="66" s="1"/>
  <c r="BC184" i="66" s="1"/>
  <c r="BD184" i="66" s="1"/>
  <c r="BE184" i="66" s="1"/>
  <c r="BF184" i="66" s="1"/>
  <c r="BG184" i="66" s="1"/>
  <c r="BH184" i="66" s="1"/>
  <c r="BI184" i="66" s="1"/>
  <c r="BJ184" i="66" s="1"/>
  <c r="BK184" i="66" s="1"/>
  <c r="BL184" i="66" s="1"/>
  <c r="BM184" i="66" s="1"/>
  <c r="BN184" i="66" s="1"/>
  <c r="BO184" i="66" s="1"/>
  <c r="BP184" i="66" s="1"/>
  <c r="BQ184" i="66" s="1"/>
  <c r="V178" i="66"/>
  <c r="W178" i="66" s="1"/>
  <c r="X178" i="66" s="1"/>
  <c r="Y178" i="66" s="1"/>
  <c r="Z178" i="66" s="1"/>
  <c r="AA178" i="66" s="1"/>
  <c r="AB178" i="66" s="1"/>
  <c r="AC178" i="66" s="1"/>
  <c r="AD178" i="66" s="1"/>
  <c r="AE178" i="66" s="1"/>
  <c r="AF178" i="66" s="1"/>
  <c r="AG178" i="66" s="1"/>
  <c r="AH178" i="66" s="1"/>
  <c r="AI178" i="66" s="1"/>
  <c r="AJ178" i="66" s="1"/>
  <c r="AK178" i="66" s="1"/>
  <c r="AL178" i="66" s="1"/>
  <c r="AM178" i="66" s="1"/>
  <c r="AN178" i="66" s="1"/>
  <c r="AO178" i="66" s="1"/>
  <c r="AP178" i="66" s="1"/>
  <c r="AQ178" i="66" s="1"/>
  <c r="AR178" i="66" s="1"/>
  <c r="AS178" i="66" s="1"/>
  <c r="AT178" i="66" s="1"/>
  <c r="AU178" i="66" s="1"/>
  <c r="AV178" i="66" s="1"/>
  <c r="AW178" i="66" s="1"/>
  <c r="AX178" i="66" s="1"/>
  <c r="AY178" i="66" s="1"/>
  <c r="AZ178" i="66" s="1"/>
  <c r="BA178" i="66" s="1"/>
  <c r="BB178" i="66" s="1"/>
  <c r="BC178" i="66" s="1"/>
  <c r="BD178" i="66" s="1"/>
  <c r="BE178" i="66" s="1"/>
  <c r="BF178" i="66" s="1"/>
  <c r="BG178" i="66" s="1"/>
  <c r="BH178" i="66" s="1"/>
  <c r="BI178" i="66" s="1"/>
  <c r="BJ178" i="66" s="1"/>
  <c r="BK178" i="66" s="1"/>
  <c r="BL178" i="66" s="1"/>
  <c r="BM178" i="66" s="1"/>
  <c r="BN178" i="66" s="1"/>
  <c r="BO178" i="66" s="1"/>
  <c r="BP178" i="66" s="1"/>
  <c r="BQ178" i="66" s="1"/>
  <c r="V172" i="66"/>
  <c r="W172" i="66" s="1"/>
  <c r="X172" i="66" s="1"/>
  <c r="Y172" i="66" s="1"/>
  <c r="Z172" i="66" s="1"/>
  <c r="AA172" i="66" s="1"/>
  <c r="AB172" i="66" s="1"/>
  <c r="AC172" i="66" s="1"/>
  <c r="AD172" i="66" s="1"/>
  <c r="AE172" i="66" s="1"/>
  <c r="AF172" i="66" s="1"/>
  <c r="AG172" i="66" s="1"/>
  <c r="AH172" i="66" s="1"/>
  <c r="AI172" i="66" s="1"/>
  <c r="AJ172" i="66" s="1"/>
  <c r="AK172" i="66" s="1"/>
  <c r="AL172" i="66" s="1"/>
  <c r="AM172" i="66" s="1"/>
  <c r="AN172" i="66" s="1"/>
  <c r="AO172" i="66" s="1"/>
  <c r="AP172" i="66" s="1"/>
  <c r="AQ172" i="66" s="1"/>
  <c r="AR172" i="66" s="1"/>
  <c r="AS172" i="66" s="1"/>
  <c r="AT172" i="66" s="1"/>
  <c r="AU172" i="66" s="1"/>
  <c r="AV172" i="66" s="1"/>
  <c r="AW172" i="66" s="1"/>
  <c r="AX172" i="66" s="1"/>
  <c r="AY172" i="66" s="1"/>
  <c r="AZ172" i="66" s="1"/>
  <c r="BA172" i="66" s="1"/>
  <c r="BB172" i="66" s="1"/>
  <c r="BC172" i="66" s="1"/>
  <c r="BD172" i="66" s="1"/>
  <c r="BE172" i="66" s="1"/>
  <c r="BF172" i="66" s="1"/>
  <c r="BG172" i="66" s="1"/>
  <c r="BH172" i="66" s="1"/>
  <c r="BI172" i="66" s="1"/>
  <c r="BJ172" i="66" s="1"/>
  <c r="BK172" i="66" s="1"/>
  <c r="BL172" i="66" s="1"/>
  <c r="BM172" i="66" s="1"/>
  <c r="BN172" i="66" s="1"/>
  <c r="BO172" i="66" s="1"/>
  <c r="BP172" i="66" s="1"/>
  <c r="BQ172" i="66" s="1"/>
  <c r="V170" i="66"/>
  <c r="V162" i="66"/>
  <c r="W162" i="66" s="1"/>
  <c r="X162" i="66" s="1"/>
  <c r="Y162" i="66" s="1"/>
  <c r="Z162" i="66" s="1"/>
  <c r="AA162" i="66" s="1"/>
  <c r="AB162" i="66" s="1"/>
  <c r="AC162" i="66" s="1"/>
  <c r="AD162" i="66" s="1"/>
  <c r="AE162" i="66" s="1"/>
  <c r="AF162" i="66" s="1"/>
  <c r="AG162" i="66" s="1"/>
  <c r="AH162" i="66" s="1"/>
  <c r="AI162" i="66" s="1"/>
  <c r="AJ162" i="66" s="1"/>
  <c r="AK162" i="66" s="1"/>
  <c r="AL162" i="66" s="1"/>
  <c r="AM162" i="66" s="1"/>
  <c r="AN162" i="66" s="1"/>
  <c r="AO162" i="66" s="1"/>
  <c r="AP162" i="66" s="1"/>
  <c r="AQ162" i="66" s="1"/>
  <c r="AR162" i="66" s="1"/>
  <c r="AS162" i="66" s="1"/>
  <c r="AT162" i="66" s="1"/>
  <c r="AU162" i="66" s="1"/>
  <c r="AV162" i="66" s="1"/>
  <c r="AW162" i="66" s="1"/>
  <c r="AX162" i="66" s="1"/>
  <c r="AY162" i="66" s="1"/>
  <c r="AZ162" i="66" s="1"/>
  <c r="BA162" i="66" s="1"/>
  <c r="BB162" i="66" s="1"/>
  <c r="BC162" i="66" s="1"/>
  <c r="BD162" i="66" s="1"/>
  <c r="BE162" i="66" s="1"/>
  <c r="BF162" i="66" s="1"/>
  <c r="BG162" i="66" s="1"/>
  <c r="BH162" i="66" s="1"/>
  <c r="BI162" i="66" s="1"/>
  <c r="BJ162" i="66" s="1"/>
  <c r="BK162" i="66" s="1"/>
  <c r="BL162" i="66" s="1"/>
  <c r="BM162" i="66" s="1"/>
  <c r="BN162" i="66" s="1"/>
  <c r="BO162" i="66" s="1"/>
  <c r="BP162" i="66" s="1"/>
  <c r="BQ162" i="66" s="1"/>
  <c r="V160" i="66"/>
  <c r="V154" i="66"/>
  <c r="W154" i="66" s="1"/>
  <c r="X154" i="66" s="1"/>
  <c r="Y154" i="66" s="1"/>
  <c r="Z154" i="66" s="1"/>
  <c r="AA154" i="66" s="1"/>
  <c r="AB154" i="66" s="1"/>
  <c r="AC154" i="66" s="1"/>
  <c r="AD154" i="66" s="1"/>
  <c r="AE154" i="66" s="1"/>
  <c r="AF154" i="66" s="1"/>
  <c r="AG154" i="66" s="1"/>
  <c r="AH154" i="66" s="1"/>
  <c r="AI154" i="66" s="1"/>
  <c r="AJ154" i="66" s="1"/>
  <c r="AK154" i="66" s="1"/>
  <c r="AL154" i="66" s="1"/>
  <c r="AM154" i="66" s="1"/>
  <c r="AN154" i="66" s="1"/>
  <c r="AO154" i="66" s="1"/>
  <c r="AP154" i="66" s="1"/>
  <c r="AQ154" i="66" s="1"/>
  <c r="AR154" i="66" s="1"/>
  <c r="AS154" i="66" s="1"/>
  <c r="AT154" i="66" s="1"/>
  <c r="AU154" i="66" s="1"/>
  <c r="AV154" i="66" s="1"/>
  <c r="AW154" i="66" s="1"/>
  <c r="AX154" i="66" s="1"/>
  <c r="AY154" i="66" s="1"/>
  <c r="AZ154" i="66" s="1"/>
  <c r="BA154" i="66" s="1"/>
  <c r="BB154" i="66" s="1"/>
  <c r="BC154" i="66" s="1"/>
  <c r="BD154" i="66" s="1"/>
  <c r="BE154" i="66" s="1"/>
  <c r="BF154" i="66" s="1"/>
  <c r="BG154" i="66" s="1"/>
  <c r="BH154" i="66" s="1"/>
  <c r="BI154" i="66" s="1"/>
  <c r="BJ154" i="66" s="1"/>
  <c r="BK154" i="66" s="1"/>
  <c r="BL154" i="66" s="1"/>
  <c r="BM154" i="66" s="1"/>
  <c r="BN154" i="66" s="1"/>
  <c r="BO154" i="66" s="1"/>
  <c r="BP154" i="66" s="1"/>
  <c r="BQ154" i="66" s="1"/>
  <c r="V146" i="66"/>
  <c r="W146" i="66" s="1"/>
  <c r="X146" i="66" s="1"/>
  <c r="Y146" i="66" s="1"/>
  <c r="Z146" i="66" s="1"/>
  <c r="AA146" i="66" s="1"/>
  <c r="AB146" i="66" s="1"/>
  <c r="AC146" i="66" s="1"/>
  <c r="AD146" i="66" s="1"/>
  <c r="AE146" i="66" s="1"/>
  <c r="AF146" i="66" s="1"/>
  <c r="AG146" i="66" s="1"/>
  <c r="AH146" i="66" s="1"/>
  <c r="AI146" i="66" s="1"/>
  <c r="AJ146" i="66" s="1"/>
  <c r="AK146" i="66" s="1"/>
  <c r="AL146" i="66" s="1"/>
  <c r="AM146" i="66" s="1"/>
  <c r="AN146" i="66" s="1"/>
  <c r="AO146" i="66" s="1"/>
  <c r="AP146" i="66" s="1"/>
  <c r="AQ146" i="66" s="1"/>
  <c r="AR146" i="66" s="1"/>
  <c r="AS146" i="66" s="1"/>
  <c r="AT146" i="66" s="1"/>
  <c r="AU146" i="66" s="1"/>
  <c r="AV146" i="66" s="1"/>
  <c r="AW146" i="66" s="1"/>
  <c r="AX146" i="66" s="1"/>
  <c r="AY146" i="66" s="1"/>
  <c r="AZ146" i="66" s="1"/>
  <c r="BA146" i="66" s="1"/>
  <c r="BB146" i="66" s="1"/>
  <c r="BC146" i="66" s="1"/>
  <c r="BD146" i="66" s="1"/>
  <c r="BE146" i="66" s="1"/>
  <c r="BF146" i="66" s="1"/>
  <c r="BG146" i="66" s="1"/>
  <c r="BH146" i="66" s="1"/>
  <c r="BI146" i="66" s="1"/>
  <c r="BJ146" i="66" s="1"/>
  <c r="BK146" i="66" s="1"/>
  <c r="BL146" i="66" s="1"/>
  <c r="BM146" i="66" s="1"/>
  <c r="BN146" i="66" s="1"/>
  <c r="BO146" i="66" s="1"/>
  <c r="BP146" i="66" s="1"/>
  <c r="BQ146" i="66" s="1"/>
  <c r="V144" i="66"/>
  <c r="W144" i="66" s="1"/>
  <c r="X144" i="66" s="1"/>
  <c r="Y144" i="66" s="1"/>
  <c r="Z144" i="66" s="1"/>
  <c r="AA144" i="66" s="1"/>
  <c r="AB144" i="66" s="1"/>
  <c r="AC144" i="66" s="1"/>
  <c r="AD144" i="66" s="1"/>
  <c r="AE144" i="66" s="1"/>
  <c r="AF144" i="66" s="1"/>
  <c r="AG144" i="66" s="1"/>
  <c r="AH144" i="66" s="1"/>
  <c r="AI144" i="66" s="1"/>
  <c r="AJ144" i="66" s="1"/>
  <c r="AK144" i="66" s="1"/>
  <c r="AL144" i="66" s="1"/>
  <c r="AM144" i="66" s="1"/>
  <c r="AN144" i="66" s="1"/>
  <c r="AO144" i="66" s="1"/>
  <c r="AP144" i="66" s="1"/>
  <c r="AQ144" i="66" s="1"/>
  <c r="AR144" i="66" s="1"/>
  <c r="AS144" i="66" s="1"/>
  <c r="AT144" i="66" s="1"/>
  <c r="AU144" i="66" s="1"/>
  <c r="AV144" i="66" s="1"/>
  <c r="AW144" i="66" s="1"/>
  <c r="AX144" i="66" s="1"/>
  <c r="AY144" i="66" s="1"/>
  <c r="AZ144" i="66" s="1"/>
  <c r="BA144" i="66" s="1"/>
  <c r="BB144" i="66" s="1"/>
  <c r="BC144" i="66" s="1"/>
  <c r="BD144" i="66" s="1"/>
  <c r="BE144" i="66" s="1"/>
  <c r="BF144" i="66" s="1"/>
  <c r="BG144" i="66" s="1"/>
  <c r="BH144" i="66" s="1"/>
  <c r="BI144" i="66" s="1"/>
  <c r="BJ144" i="66" s="1"/>
  <c r="BK144" i="66" s="1"/>
  <c r="BL144" i="66" s="1"/>
  <c r="BM144" i="66" s="1"/>
  <c r="BN144" i="66" s="1"/>
  <c r="BO144" i="66" s="1"/>
  <c r="BP144" i="66" s="1"/>
  <c r="BQ144" i="66" s="1"/>
  <c r="V138" i="66"/>
  <c r="W138" i="66" s="1"/>
  <c r="X138" i="66" s="1"/>
  <c r="Y138" i="66" s="1"/>
  <c r="Z138" i="66" s="1"/>
  <c r="AA138" i="66" s="1"/>
  <c r="AB138" i="66" s="1"/>
  <c r="AC138" i="66" s="1"/>
  <c r="AD138" i="66" s="1"/>
  <c r="AE138" i="66" s="1"/>
  <c r="AF138" i="66" s="1"/>
  <c r="AG138" i="66" s="1"/>
  <c r="AH138" i="66" s="1"/>
  <c r="AI138" i="66" s="1"/>
  <c r="AJ138" i="66" s="1"/>
  <c r="AK138" i="66" s="1"/>
  <c r="AL138" i="66" s="1"/>
  <c r="AM138" i="66" s="1"/>
  <c r="AN138" i="66" s="1"/>
  <c r="AO138" i="66" s="1"/>
  <c r="AP138" i="66" s="1"/>
  <c r="AQ138" i="66" s="1"/>
  <c r="AR138" i="66" s="1"/>
  <c r="AS138" i="66" s="1"/>
  <c r="AT138" i="66" s="1"/>
  <c r="AU138" i="66" s="1"/>
  <c r="AV138" i="66" s="1"/>
  <c r="AW138" i="66" s="1"/>
  <c r="AX138" i="66" s="1"/>
  <c r="AY138" i="66" s="1"/>
  <c r="AZ138" i="66" s="1"/>
  <c r="BA138" i="66" s="1"/>
  <c r="BB138" i="66" s="1"/>
  <c r="BC138" i="66" s="1"/>
  <c r="BD138" i="66" s="1"/>
  <c r="BE138" i="66" s="1"/>
  <c r="BF138" i="66" s="1"/>
  <c r="BG138" i="66" s="1"/>
  <c r="BH138" i="66" s="1"/>
  <c r="BI138" i="66" s="1"/>
  <c r="BJ138" i="66" s="1"/>
  <c r="BK138" i="66" s="1"/>
  <c r="BL138" i="66" s="1"/>
  <c r="BM138" i="66" s="1"/>
  <c r="BN138" i="66" s="1"/>
  <c r="BO138" i="66" s="1"/>
  <c r="BP138" i="66" s="1"/>
  <c r="BQ138" i="66" s="1"/>
  <c r="V130" i="66"/>
  <c r="V128" i="66"/>
  <c r="W128" i="66" s="1"/>
  <c r="X128" i="66" s="1"/>
  <c r="Y128" i="66" s="1"/>
  <c r="V190" i="66"/>
  <c r="W190" i="66" s="1"/>
  <c r="X190" i="66" s="1"/>
  <c r="Y190" i="66" s="1"/>
  <c r="Z190" i="66" s="1"/>
  <c r="AA190" i="66" s="1"/>
  <c r="AB190" i="66" s="1"/>
  <c r="AC190" i="66" s="1"/>
  <c r="AD190" i="66" s="1"/>
  <c r="AE190" i="66" s="1"/>
  <c r="AF190" i="66" s="1"/>
  <c r="AG190" i="66" s="1"/>
  <c r="AH190" i="66" s="1"/>
  <c r="AI190" i="66" s="1"/>
  <c r="AJ190" i="66" s="1"/>
  <c r="AK190" i="66" s="1"/>
  <c r="AL190" i="66" s="1"/>
  <c r="AM190" i="66" s="1"/>
  <c r="AN190" i="66" s="1"/>
  <c r="AO190" i="66" s="1"/>
  <c r="AP190" i="66" s="1"/>
  <c r="AQ190" i="66" s="1"/>
  <c r="AR190" i="66" s="1"/>
  <c r="AS190" i="66" s="1"/>
  <c r="AT190" i="66" s="1"/>
  <c r="AU190" i="66" s="1"/>
  <c r="AV190" i="66" s="1"/>
  <c r="AW190" i="66" s="1"/>
  <c r="AX190" i="66" s="1"/>
  <c r="AY190" i="66" s="1"/>
  <c r="AZ190" i="66" s="1"/>
  <c r="BA190" i="66" s="1"/>
  <c r="BB190" i="66" s="1"/>
  <c r="BC190" i="66" s="1"/>
  <c r="BD190" i="66" s="1"/>
  <c r="BE190" i="66" s="1"/>
  <c r="BF190" i="66" s="1"/>
  <c r="BG190" i="66" s="1"/>
  <c r="BH190" i="66" s="1"/>
  <c r="BI190" i="66" s="1"/>
  <c r="BJ190" i="66" s="1"/>
  <c r="BK190" i="66" s="1"/>
  <c r="BL190" i="66" s="1"/>
  <c r="BM190" i="66" s="1"/>
  <c r="BN190" i="66" s="1"/>
  <c r="BO190" i="66" s="1"/>
  <c r="BP190" i="66" s="1"/>
  <c r="BQ190" i="66" s="1"/>
  <c r="V174" i="66"/>
  <c r="W174" i="66" s="1"/>
  <c r="X174" i="66" s="1"/>
  <c r="Y174" i="66" s="1"/>
  <c r="Z174" i="66" s="1"/>
  <c r="AA174" i="66" s="1"/>
  <c r="AB174" i="66" s="1"/>
  <c r="AC174" i="66" s="1"/>
  <c r="AD174" i="66" s="1"/>
  <c r="AE174" i="66" s="1"/>
  <c r="AF174" i="66" s="1"/>
  <c r="AG174" i="66" s="1"/>
  <c r="AH174" i="66" s="1"/>
  <c r="AI174" i="66" s="1"/>
  <c r="AJ174" i="66" s="1"/>
  <c r="AK174" i="66" s="1"/>
  <c r="AL174" i="66" s="1"/>
  <c r="AM174" i="66" s="1"/>
  <c r="AN174" i="66" s="1"/>
  <c r="AO174" i="66" s="1"/>
  <c r="AP174" i="66" s="1"/>
  <c r="AQ174" i="66" s="1"/>
  <c r="AR174" i="66" s="1"/>
  <c r="AS174" i="66" s="1"/>
  <c r="AT174" i="66" s="1"/>
  <c r="AU174" i="66" s="1"/>
  <c r="AV174" i="66" s="1"/>
  <c r="AW174" i="66" s="1"/>
  <c r="AX174" i="66" s="1"/>
  <c r="AY174" i="66" s="1"/>
  <c r="AZ174" i="66" s="1"/>
  <c r="BA174" i="66" s="1"/>
  <c r="BB174" i="66" s="1"/>
  <c r="BC174" i="66" s="1"/>
  <c r="BD174" i="66" s="1"/>
  <c r="BE174" i="66" s="1"/>
  <c r="BF174" i="66" s="1"/>
  <c r="BG174" i="66" s="1"/>
  <c r="BH174" i="66" s="1"/>
  <c r="BI174" i="66" s="1"/>
  <c r="BJ174" i="66" s="1"/>
  <c r="BK174" i="66" s="1"/>
  <c r="BL174" i="66" s="1"/>
  <c r="BM174" i="66" s="1"/>
  <c r="BN174" i="66" s="1"/>
  <c r="BO174" i="66" s="1"/>
  <c r="BP174" i="66" s="1"/>
  <c r="BQ174" i="66" s="1"/>
  <c r="V168" i="66"/>
  <c r="W168" i="66" s="1"/>
  <c r="X168" i="66" s="1"/>
  <c r="Y168" i="66" s="1"/>
  <c r="Z168" i="66" s="1"/>
  <c r="AA168" i="66" s="1"/>
  <c r="AB168" i="66" s="1"/>
  <c r="AC168" i="66" s="1"/>
  <c r="AD168" i="66" s="1"/>
  <c r="AE168" i="66" s="1"/>
  <c r="AF168" i="66" s="1"/>
  <c r="AG168" i="66" s="1"/>
  <c r="AH168" i="66" s="1"/>
  <c r="AI168" i="66" s="1"/>
  <c r="AJ168" i="66" s="1"/>
  <c r="AK168" i="66" s="1"/>
  <c r="AL168" i="66" s="1"/>
  <c r="AM168" i="66" s="1"/>
  <c r="AN168" i="66" s="1"/>
  <c r="AO168" i="66" s="1"/>
  <c r="AP168" i="66" s="1"/>
  <c r="AQ168" i="66" s="1"/>
  <c r="AR168" i="66" s="1"/>
  <c r="AS168" i="66" s="1"/>
  <c r="AT168" i="66" s="1"/>
  <c r="AU168" i="66" s="1"/>
  <c r="AV168" i="66" s="1"/>
  <c r="AW168" i="66" s="1"/>
  <c r="AX168" i="66" s="1"/>
  <c r="AY168" i="66" s="1"/>
  <c r="AZ168" i="66" s="1"/>
  <c r="BA168" i="66" s="1"/>
  <c r="BB168" i="66" s="1"/>
  <c r="BC168" i="66" s="1"/>
  <c r="BD168" i="66" s="1"/>
  <c r="BE168" i="66" s="1"/>
  <c r="BF168" i="66" s="1"/>
  <c r="BG168" i="66" s="1"/>
  <c r="BH168" i="66" s="1"/>
  <c r="BI168" i="66" s="1"/>
  <c r="BJ168" i="66" s="1"/>
  <c r="BK168" i="66" s="1"/>
  <c r="BL168" i="66" s="1"/>
  <c r="BM168" i="66" s="1"/>
  <c r="BN168" i="66" s="1"/>
  <c r="BO168" i="66" s="1"/>
  <c r="BP168" i="66" s="1"/>
  <c r="BQ168" i="66" s="1"/>
  <c r="V189" i="66"/>
  <c r="W189" i="66" s="1"/>
  <c r="X189" i="66" s="1"/>
  <c r="Y189" i="66" s="1"/>
  <c r="Z189" i="66" s="1"/>
  <c r="AA189" i="66" s="1"/>
  <c r="AB189" i="66" s="1"/>
  <c r="AC189" i="66" s="1"/>
  <c r="AD189" i="66" s="1"/>
  <c r="AE189" i="66" s="1"/>
  <c r="AF189" i="66" s="1"/>
  <c r="AG189" i="66" s="1"/>
  <c r="AH189" i="66" s="1"/>
  <c r="AI189" i="66" s="1"/>
  <c r="AJ189" i="66" s="1"/>
  <c r="AK189" i="66" s="1"/>
  <c r="AL189" i="66" s="1"/>
  <c r="AM189" i="66" s="1"/>
  <c r="AN189" i="66" s="1"/>
  <c r="AO189" i="66" s="1"/>
  <c r="AP189" i="66" s="1"/>
  <c r="AQ189" i="66" s="1"/>
  <c r="AR189" i="66" s="1"/>
  <c r="AS189" i="66" s="1"/>
  <c r="AT189" i="66" s="1"/>
  <c r="AU189" i="66" s="1"/>
  <c r="AV189" i="66" s="1"/>
  <c r="AW189" i="66" s="1"/>
  <c r="AX189" i="66" s="1"/>
  <c r="AY189" i="66" s="1"/>
  <c r="AZ189" i="66" s="1"/>
  <c r="BA189" i="66" s="1"/>
  <c r="BB189" i="66" s="1"/>
  <c r="BC189" i="66" s="1"/>
  <c r="BD189" i="66" s="1"/>
  <c r="BE189" i="66" s="1"/>
  <c r="BF189" i="66" s="1"/>
  <c r="BG189" i="66" s="1"/>
  <c r="BH189" i="66" s="1"/>
  <c r="BI189" i="66" s="1"/>
  <c r="BJ189" i="66" s="1"/>
  <c r="BK189" i="66" s="1"/>
  <c r="BL189" i="66" s="1"/>
  <c r="BM189" i="66" s="1"/>
  <c r="BN189" i="66" s="1"/>
  <c r="BO189" i="66" s="1"/>
  <c r="BP189" i="66" s="1"/>
  <c r="BQ189" i="66" s="1"/>
  <c r="V183" i="66"/>
  <c r="W183" i="66" s="1"/>
  <c r="X183" i="66" s="1"/>
  <c r="Y183" i="66" s="1"/>
  <c r="Z183" i="66" s="1"/>
  <c r="AA183" i="66" s="1"/>
  <c r="AB183" i="66" s="1"/>
  <c r="AC183" i="66" s="1"/>
  <c r="AD183" i="66" s="1"/>
  <c r="AE183" i="66" s="1"/>
  <c r="AF183" i="66" s="1"/>
  <c r="AG183" i="66" s="1"/>
  <c r="AH183" i="66" s="1"/>
  <c r="AI183" i="66" s="1"/>
  <c r="AJ183" i="66" s="1"/>
  <c r="AK183" i="66" s="1"/>
  <c r="AL183" i="66" s="1"/>
  <c r="AM183" i="66" s="1"/>
  <c r="AN183" i="66" s="1"/>
  <c r="AO183" i="66" s="1"/>
  <c r="AP183" i="66" s="1"/>
  <c r="AQ183" i="66" s="1"/>
  <c r="AR183" i="66" s="1"/>
  <c r="AS183" i="66" s="1"/>
  <c r="AT183" i="66" s="1"/>
  <c r="AU183" i="66" s="1"/>
  <c r="AV183" i="66" s="1"/>
  <c r="AW183" i="66" s="1"/>
  <c r="AX183" i="66" s="1"/>
  <c r="AY183" i="66" s="1"/>
  <c r="AZ183" i="66" s="1"/>
  <c r="BA183" i="66" s="1"/>
  <c r="BB183" i="66" s="1"/>
  <c r="BC183" i="66" s="1"/>
  <c r="BD183" i="66" s="1"/>
  <c r="BE183" i="66" s="1"/>
  <c r="BF183" i="66" s="1"/>
  <c r="BG183" i="66" s="1"/>
  <c r="BH183" i="66" s="1"/>
  <c r="BI183" i="66" s="1"/>
  <c r="BJ183" i="66" s="1"/>
  <c r="BK183" i="66" s="1"/>
  <c r="BL183" i="66" s="1"/>
  <c r="BM183" i="66" s="1"/>
  <c r="BN183" i="66" s="1"/>
  <c r="BO183" i="66" s="1"/>
  <c r="BP183" i="66" s="1"/>
  <c r="BQ183" i="66" s="1"/>
  <c r="V181" i="66"/>
  <c r="W181" i="66" s="1"/>
  <c r="X181" i="66" s="1"/>
  <c r="Y181" i="66" s="1"/>
  <c r="Z181" i="66" s="1"/>
  <c r="AA181" i="66" s="1"/>
  <c r="AB181" i="66" s="1"/>
  <c r="AC181" i="66" s="1"/>
  <c r="AD181" i="66" s="1"/>
  <c r="AE181" i="66" s="1"/>
  <c r="AF181" i="66" s="1"/>
  <c r="AG181" i="66" s="1"/>
  <c r="AH181" i="66" s="1"/>
  <c r="AI181" i="66" s="1"/>
  <c r="AJ181" i="66" s="1"/>
  <c r="AK181" i="66" s="1"/>
  <c r="AL181" i="66" s="1"/>
  <c r="AM181" i="66" s="1"/>
  <c r="AN181" i="66" s="1"/>
  <c r="AO181" i="66" s="1"/>
  <c r="AP181" i="66" s="1"/>
  <c r="AQ181" i="66" s="1"/>
  <c r="AR181" i="66" s="1"/>
  <c r="AS181" i="66" s="1"/>
  <c r="AT181" i="66" s="1"/>
  <c r="AU181" i="66" s="1"/>
  <c r="AV181" i="66" s="1"/>
  <c r="AW181" i="66" s="1"/>
  <c r="AX181" i="66" s="1"/>
  <c r="AY181" i="66" s="1"/>
  <c r="AZ181" i="66" s="1"/>
  <c r="BA181" i="66" s="1"/>
  <c r="BB181" i="66" s="1"/>
  <c r="BC181" i="66" s="1"/>
  <c r="BD181" i="66" s="1"/>
  <c r="BE181" i="66" s="1"/>
  <c r="BF181" i="66" s="1"/>
  <c r="BG181" i="66" s="1"/>
  <c r="BH181" i="66" s="1"/>
  <c r="BI181" i="66" s="1"/>
  <c r="BJ181" i="66" s="1"/>
  <c r="BK181" i="66" s="1"/>
  <c r="BL181" i="66" s="1"/>
  <c r="BM181" i="66" s="1"/>
  <c r="BN181" i="66" s="1"/>
  <c r="BO181" i="66" s="1"/>
  <c r="BP181" i="66" s="1"/>
  <c r="BQ181" i="66" s="1"/>
  <c r="V175" i="66"/>
  <c r="V173" i="66"/>
  <c r="W173" i="66" s="1"/>
  <c r="X173" i="66" s="1"/>
  <c r="Y173" i="66" s="1"/>
  <c r="Z173" i="66" s="1"/>
  <c r="AA173" i="66" s="1"/>
  <c r="AB173" i="66" s="1"/>
  <c r="AC173" i="66" s="1"/>
  <c r="AD173" i="66" s="1"/>
  <c r="AE173" i="66" s="1"/>
  <c r="AF173" i="66" s="1"/>
  <c r="AG173" i="66" s="1"/>
  <c r="AH173" i="66" s="1"/>
  <c r="AI173" i="66" s="1"/>
  <c r="AJ173" i="66" s="1"/>
  <c r="AK173" i="66" s="1"/>
  <c r="AL173" i="66" s="1"/>
  <c r="AM173" i="66" s="1"/>
  <c r="AN173" i="66" s="1"/>
  <c r="AO173" i="66" s="1"/>
  <c r="AP173" i="66" s="1"/>
  <c r="AQ173" i="66" s="1"/>
  <c r="AR173" i="66" s="1"/>
  <c r="AS173" i="66" s="1"/>
  <c r="AT173" i="66" s="1"/>
  <c r="AU173" i="66" s="1"/>
  <c r="AV173" i="66" s="1"/>
  <c r="AW173" i="66" s="1"/>
  <c r="AX173" i="66" s="1"/>
  <c r="AY173" i="66" s="1"/>
  <c r="AZ173" i="66" s="1"/>
  <c r="BA173" i="66" s="1"/>
  <c r="BB173" i="66" s="1"/>
  <c r="BC173" i="66" s="1"/>
  <c r="BD173" i="66" s="1"/>
  <c r="BE173" i="66" s="1"/>
  <c r="BF173" i="66" s="1"/>
  <c r="BG173" i="66" s="1"/>
  <c r="BH173" i="66" s="1"/>
  <c r="BI173" i="66" s="1"/>
  <c r="BJ173" i="66" s="1"/>
  <c r="BK173" i="66" s="1"/>
  <c r="BL173" i="66" s="1"/>
  <c r="BM173" i="66" s="1"/>
  <c r="BN173" i="66" s="1"/>
  <c r="BO173" i="66" s="1"/>
  <c r="BP173" i="66" s="1"/>
  <c r="BQ173" i="66" s="1"/>
  <c r="V171" i="66"/>
  <c r="W171" i="66" s="1"/>
  <c r="X171" i="66" s="1"/>
  <c r="Y171" i="66" s="1"/>
  <c r="Z171" i="66" s="1"/>
  <c r="AA171" i="66" s="1"/>
  <c r="AB171" i="66" s="1"/>
  <c r="AC171" i="66" s="1"/>
  <c r="AD171" i="66" s="1"/>
  <c r="AE171" i="66" s="1"/>
  <c r="AF171" i="66" s="1"/>
  <c r="AG171" i="66" s="1"/>
  <c r="AH171" i="66" s="1"/>
  <c r="AI171" i="66" s="1"/>
  <c r="AJ171" i="66" s="1"/>
  <c r="AK171" i="66" s="1"/>
  <c r="AL171" i="66" s="1"/>
  <c r="AM171" i="66" s="1"/>
  <c r="AN171" i="66" s="1"/>
  <c r="AO171" i="66" s="1"/>
  <c r="AP171" i="66" s="1"/>
  <c r="AQ171" i="66" s="1"/>
  <c r="AR171" i="66" s="1"/>
  <c r="AS171" i="66" s="1"/>
  <c r="AT171" i="66" s="1"/>
  <c r="AU171" i="66" s="1"/>
  <c r="AV171" i="66" s="1"/>
  <c r="AW171" i="66" s="1"/>
  <c r="AX171" i="66" s="1"/>
  <c r="AY171" i="66" s="1"/>
  <c r="AZ171" i="66" s="1"/>
  <c r="BA171" i="66" s="1"/>
  <c r="BB171" i="66" s="1"/>
  <c r="BC171" i="66" s="1"/>
  <c r="BD171" i="66" s="1"/>
  <c r="BE171" i="66" s="1"/>
  <c r="BF171" i="66" s="1"/>
  <c r="BG171" i="66" s="1"/>
  <c r="BH171" i="66" s="1"/>
  <c r="BI171" i="66" s="1"/>
  <c r="BJ171" i="66" s="1"/>
  <c r="BK171" i="66" s="1"/>
  <c r="BL171" i="66" s="1"/>
  <c r="BM171" i="66" s="1"/>
  <c r="BN171" i="66" s="1"/>
  <c r="BO171" i="66" s="1"/>
  <c r="BP171" i="66" s="1"/>
  <c r="BQ171" i="66" s="1"/>
  <c r="V169" i="66"/>
  <c r="W169" i="66" s="1"/>
  <c r="X169" i="66" s="1"/>
  <c r="Y169" i="66" s="1"/>
  <c r="Z169" i="66" s="1"/>
  <c r="AA169" i="66" s="1"/>
  <c r="AB169" i="66" s="1"/>
  <c r="AC169" i="66" s="1"/>
  <c r="AD169" i="66" s="1"/>
  <c r="AE169" i="66" s="1"/>
  <c r="AF169" i="66" s="1"/>
  <c r="AG169" i="66" s="1"/>
  <c r="AH169" i="66" s="1"/>
  <c r="AI169" i="66" s="1"/>
  <c r="AJ169" i="66" s="1"/>
  <c r="AK169" i="66" s="1"/>
  <c r="AL169" i="66" s="1"/>
  <c r="AM169" i="66" s="1"/>
  <c r="AN169" i="66" s="1"/>
  <c r="AO169" i="66" s="1"/>
  <c r="AP169" i="66" s="1"/>
  <c r="AQ169" i="66" s="1"/>
  <c r="AR169" i="66" s="1"/>
  <c r="AS169" i="66" s="1"/>
  <c r="AT169" i="66" s="1"/>
  <c r="AU169" i="66" s="1"/>
  <c r="AV169" i="66" s="1"/>
  <c r="AW169" i="66" s="1"/>
  <c r="AX169" i="66" s="1"/>
  <c r="AY169" i="66" s="1"/>
  <c r="AZ169" i="66" s="1"/>
  <c r="BA169" i="66" s="1"/>
  <c r="BB169" i="66" s="1"/>
  <c r="BC169" i="66" s="1"/>
  <c r="BD169" i="66" s="1"/>
  <c r="BE169" i="66" s="1"/>
  <c r="BF169" i="66" s="1"/>
  <c r="BG169" i="66" s="1"/>
  <c r="BH169" i="66" s="1"/>
  <c r="BI169" i="66" s="1"/>
  <c r="BJ169" i="66" s="1"/>
  <c r="BK169" i="66" s="1"/>
  <c r="BL169" i="66" s="1"/>
  <c r="BM169" i="66" s="1"/>
  <c r="BN169" i="66" s="1"/>
  <c r="BO169" i="66" s="1"/>
  <c r="BP169" i="66" s="1"/>
  <c r="BQ169" i="66" s="1"/>
  <c r="V163" i="66"/>
  <c r="W163" i="66" s="1"/>
  <c r="X163" i="66" s="1"/>
  <c r="Y163" i="66" s="1"/>
  <c r="Z163" i="66" s="1"/>
  <c r="AA163" i="66" s="1"/>
  <c r="AB163" i="66" s="1"/>
  <c r="AC163" i="66" s="1"/>
  <c r="AD163" i="66" s="1"/>
  <c r="AE163" i="66" s="1"/>
  <c r="AF163" i="66" s="1"/>
  <c r="AG163" i="66" s="1"/>
  <c r="AH163" i="66" s="1"/>
  <c r="AI163" i="66" s="1"/>
  <c r="AJ163" i="66" s="1"/>
  <c r="AK163" i="66" s="1"/>
  <c r="AL163" i="66" s="1"/>
  <c r="AM163" i="66" s="1"/>
  <c r="AN163" i="66" s="1"/>
  <c r="AO163" i="66" s="1"/>
  <c r="AP163" i="66" s="1"/>
  <c r="AQ163" i="66" s="1"/>
  <c r="AR163" i="66" s="1"/>
  <c r="AS163" i="66" s="1"/>
  <c r="AT163" i="66" s="1"/>
  <c r="AU163" i="66" s="1"/>
  <c r="AV163" i="66" s="1"/>
  <c r="AW163" i="66" s="1"/>
  <c r="AX163" i="66" s="1"/>
  <c r="AY163" i="66" s="1"/>
  <c r="AZ163" i="66" s="1"/>
  <c r="BA163" i="66" s="1"/>
  <c r="BB163" i="66" s="1"/>
  <c r="BC163" i="66" s="1"/>
  <c r="BD163" i="66" s="1"/>
  <c r="BE163" i="66" s="1"/>
  <c r="BF163" i="66" s="1"/>
  <c r="BG163" i="66" s="1"/>
  <c r="BH163" i="66" s="1"/>
  <c r="BI163" i="66" s="1"/>
  <c r="BJ163" i="66" s="1"/>
  <c r="BK163" i="66" s="1"/>
  <c r="BL163" i="66" s="1"/>
  <c r="BM163" i="66" s="1"/>
  <c r="BN163" i="66" s="1"/>
  <c r="BO163" i="66" s="1"/>
  <c r="BP163" i="66" s="1"/>
  <c r="BQ163" i="66" s="1"/>
  <c r="V161" i="66"/>
  <c r="W161" i="66" s="1"/>
  <c r="X161" i="66" s="1"/>
  <c r="Y161" i="66" s="1"/>
  <c r="Z161" i="66" s="1"/>
  <c r="AA161" i="66" s="1"/>
  <c r="AB161" i="66" s="1"/>
  <c r="AC161" i="66" s="1"/>
  <c r="AD161" i="66" s="1"/>
  <c r="AE161" i="66" s="1"/>
  <c r="AF161" i="66" s="1"/>
  <c r="AG161" i="66" s="1"/>
  <c r="AH161" i="66" s="1"/>
  <c r="AI161" i="66" s="1"/>
  <c r="AJ161" i="66" s="1"/>
  <c r="AK161" i="66" s="1"/>
  <c r="AL161" i="66" s="1"/>
  <c r="AM161" i="66" s="1"/>
  <c r="AN161" i="66" s="1"/>
  <c r="AO161" i="66" s="1"/>
  <c r="AP161" i="66" s="1"/>
  <c r="AQ161" i="66" s="1"/>
  <c r="AR161" i="66" s="1"/>
  <c r="AS161" i="66" s="1"/>
  <c r="AT161" i="66" s="1"/>
  <c r="AU161" i="66" s="1"/>
  <c r="AV161" i="66" s="1"/>
  <c r="AW161" i="66" s="1"/>
  <c r="AX161" i="66" s="1"/>
  <c r="AY161" i="66" s="1"/>
  <c r="AZ161" i="66" s="1"/>
  <c r="BA161" i="66" s="1"/>
  <c r="BB161" i="66" s="1"/>
  <c r="BC161" i="66" s="1"/>
  <c r="BD161" i="66" s="1"/>
  <c r="BE161" i="66" s="1"/>
  <c r="BF161" i="66" s="1"/>
  <c r="BG161" i="66" s="1"/>
  <c r="BH161" i="66" s="1"/>
  <c r="BI161" i="66" s="1"/>
  <c r="BJ161" i="66" s="1"/>
  <c r="BK161" i="66" s="1"/>
  <c r="BL161" i="66" s="1"/>
  <c r="BM161" i="66" s="1"/>
  <c r="BN161" i="66" s="1"/>
  <c r="BO161" i="66" s="1"/>
  <c r="BP161" i="66" s="1"/>
  <c r="V159" i="66"/>
  <c r="W159" i="66" s="1"/>
  <c r="X159" i="66" s="1"/>
  <c r="Y159" i="66" s="1"/>
  <c r="Z159" i="66" s="1"/>
  <c r="AA159" i="66" s="1"/>
  <c r="AB159" i="66" s="1"/>
  <c r="AC159" i="66" s="1"/>
  <c r="AD159" i="66" s="1"/>
  <c r="AE159" i="66" s="1"/>
  <c r="AF159" i="66" s="1"/>
  <c r="AG159" i="66" s="1"/>
  <c r="AH159" i="66" s="1"/>
  <c r="AI159" i="66" s="1"/>
  <c r="AJ159" i="66" s="1"/>
  <c r="AK159" i="66" s="1"/>
  <c r="AL159" i="66" s="1"/>
  <c r="AM159" i="66" s="1"/>
  <c r="AN159" i="66" s="1"/>
  <c r="AO159" i="66" s="1"/>
  <c r="AP159" i="66" s="1"/>
  <c r="AQ159" i="66" s="1"/>
  <c r="AR159" i="66" s="1"/>
  <c r="AS159" i="66" s="1"/>
  <c r="AT159" i="66" s="1"/>
  <c r="AU159" i="66" s="1"/>
  <c r="AV159" i="66" s="1"/>
  <c r="AW159" i="66" s="1"/>
  <c r="AX159" i="66" s="1"/>
  <c r="AY159" i="66" s="1"/>
  <c r="AZ159" i="66" s="1"/>
  <c r="BA159" i="66" s="1"/>
  <c r="BB159" i="66" s="1"/>
  <c r="BC159" i="66" s="1"/>
  <c r="BD159" i="66" s="1"/>
  <c r="BE159" i="66" s="1"/>
  <c r="BF159" i="66" s="1"/>
  <c r="BG159" i="66" s="1"/>
  <c r="BH159" i="66" s="1"/>
  <c r="BI159" i="66" s="1"/>
  <c r="BJ159" i="66" s="1"/>
  <c r="BK159" i="66" s="1"/>
  <c r="BL159" i="66" s="1"/>
  <c r="BM159" i="66" s="1"/>
  <c r="BN159" i="66" s="1"/>
  <c r="BO159" i="66" s="1"/>
  <c r="BP159" i="66" s="1"/>
  <c r="BQ159" i="66" s="1"/>
  <c r="V157" i="66"/>
  <c r="W157" i="66" s="1"/>
  <c r="X157" i="66" s="1"/>
  <c r="Y157" i="66" s="1"/>
  <c r="Z157" i="66" s="1"/>
  <c r="AA157" i="66" s="1"/>
  <c r="AB157" i="66" s="1"/>
  <c r="AC157" i="66" s="1"/>
  <c r="AD157" i="66" s="1"/>
  <c r="AE157" i="66" s="1"/>
  <c r="AF157" i="66" s="1"/>
  <c r="AG157" i="66" s="1"/>
  <c r="AH157" i="66" s="1"/>
  <c r="AI157" i="66" s="1"/>
  <c r="AJ157" i="66" s="1"/>
  <c r="AK157" i="66" s="1"/>
  <c r="AL157" i="66" s="1"/>
  <c r="AM157" i="66" s="1"/>
  <c r="AN157" i="66" s="1"/>
  <c r="AO157" i="66" s="1"/>
  <c r="AP157" i="66" s="1"/>
  <c r="AQ157" i="66" s="1"/>
  <c r="AR157" i="66" s="1"/>
  <c r="AS157" i="66" s="1"/>
  <c r="AT157" i="66" s="1"/>
  <c r="AU157" i="66" s="1"/>
  <c r="AV157" i="66" s="1"/>
  <c r="AW157" i="66" s="1"/>
  <c r="AX157" i="66" s="1"/>
  <c r="AY157" i="66" s="1"/>
  <c r="AZ157" i="66" s="1"/>
  <c r="BA157" i="66" s="1"/>
  <c r="BB157" i="66" s="1"/>
  <c r="BC157" i="66" s="1"/>
  <c r="BD157" i="66" s="1"/>
  <c r="BE157" i="66" s="1"/>
  <c r="BF157" i="66" s="1"/>
  <c r="BG157" i="66" s="1"/>
  <c r="BH157" i="66" s="1"/>
  <c r="BI157" i="66" s="1"/>
  <c r="BJ157" i="66" s="1"/>
  <c r="BK157" i="66" s="1"/>
  <c r="BL157" i="66" s="1"/>
  <c r="BM157" i="66" s="1"/>
  <c r="BN157" i="66" s="1"/>
  <c r="BO157" i="66" s="1"/>
  <c r="BP157" i="66" s="1"/>
  <c r="BQ157" i="66" s="1"/>
  <c r="V155" i="66"/>
  <c r="V153" i="66"/>
  <c r="W153" i="66" s="1"/>
  <c r="X153" i="66" s="1"/>
  <c r="Y153" i="66" s="1"/>
  <c r="Z153" i="66" s="1"/>
  <c r="AA153" i="66" s="1"/>
  <c r="AB153" i="66" s="1"/>
  <c r="AC153" i="66" s="1"/>
  <c r="AD153" i="66" s="1"/>
  <c r="AE153" i="66" s="1"/>
  <c r="AF153" i="66" s="1"/>
  <c r="AG153" i="66" s="1"/>
  <c r="AH153" i="66" s="1"/>
  <c r="AI153" i="66" s="1"/>
  <c r="AJ153" i="66" s="1"/>
  <c r="AK153" i="66" s="1"/>
  <c r="AL153" i="66" s="1"/>
  <c r="AM153" i="66" s="1"/>
  <c r="AN153" i="66" s="1"/>
  <c r="AO153" i="66" s="1"/>
  <c r="AP153" i="66" s="1"/>
  <c r="AQ153" i="66" s="1"/>
  <c r="AR153" i="66" s="1"/>
  <c r="AS153" i="66" s="1"/>
  <c r="AT153" i="66" s="1"/>
  <c r="AU153" i="66" s="1"/>
  <c r="AV153" i="66" s="1"/>
  <c r="AW153" i="66" s="1"/>
  <c r="AX153" i="66" s="1"/>
  <c r="AY153" i="66" s="1"/>
  <c r="AZ153" i="66" s="1"/>
  <c r="BA153" i="66" s="1"/>
  <c r="BB153" i="66" s="1"/>
  <c r="BC153" i="66" s="1"/>
  <c r="BD153" i="66" s="1"/>
  <c r="BE153" i="66" s="1"/>
  <c r="BF153" i="66" s="1"/>
  <c r="BG153" i="66" s="1"/>
  <c r="BH153" i="66" s="1"/>
  <c r="BI153" i="66" s="1"/>
  <c r="BJ153" i="66" s="1"/>
  <c r="BK153" i="66" s="1"/>
  <c r="BL153" i="66" s="1"/>
  <c r="BM153" i="66" s="1"/>
  <c r="BN153" i="66" s="1"/>
  <c r="V149" i="66"/>
  <c r="W149" i="66" s="1"/>
  <c r="X149" i="66" s="1"/>
  <c r="Y149" i="66" s="1"/>
  <c r="Z149" i="66" s="1"/>
  <c r="AA149" i="66" s="1"/>
  <c r="AB149" i="66" s="1"/>
  <c r="AC149" i="66" s="1"/>
  <c r="AD149" i="66" s="1"/>
  <c r="AE149" i="66" s="1"/>
  <c r="AF149" i="66" s="1"/>
  <c r="AG149" i="66" s="1"/>
  <c r="AH149" i="66" s="1"/>
  <c r="AI149" i="66" s="1"/>
  <c r="AJ149" i="66" s="1"/>
  <c r="AK149" i="66" s="1"/>
  <c r="AL149" i="66" s="1"/>
  <c r="AM149" i="66" s="1"/>
  <c r="AN149" i="66" s="1"/>
  <c r="AO149" i="66" s="1"/>
  <c r="AP149" i="66" s="1"/>
  <c r="AQ149" i="66" s="1"/>
  <c r="AR149" i="66" s="1"/>
  <c r="AS149" i="66" s="1"/>
  <c r="AT149" i="66" s="1"/>
  <c r="AU149" i="66" s="1"/>
  <c r="AV149" i="66" s="1"/>
  <c r="AW149" i="66" s="1"/>
  <c r="AX149" i="66" s="1"/>
  <c r="AY149" i="66" s="1"/>
  <c r="AZ149" i="66" s="1"/>
  <c r="BA149" i="66" s="1"/>
  <c r="BB149" i="66" s="1"/>
  <c r="BC149" i="66" s="1"/>
  <c r="BD149" i="66" s="1"/>
  <c r="BE149" i="66" s="1"/>
  <c r="BF149" i="66" s="1"/>
  <c r="BG149" i="66" s="1"/>
  <c r="BH149" i="66" s="1"/>
  <c r="BI149" i="66" s="1"/>
  <c r="BJ149" i="66" s="1"/>
  <c r="BK149" i="66" s="1"/>
  <c r="BL149" i="66" s="1"/>
  <c r="BM149" i="66" s="1"/>
  <c r="BN149" i="66" s="1"/>
  <c r="BO149" i="66" s="1"/>
  <c r="BP149" i="66" s="1"/>
  <c r="BQ149" i="66" s="1"/>
  <c r="V147" i="66"/>
  <c r="W147" i="66" s="1"/>
  <c r="X147" i="66" s="1"/>
  <c r="Y147" i="66" s="1"/>
  <c r="Z147" i="66" s="1"/>
  <c r="AA147" i="66" s="1"/>
  <c r="AB147" i="66" s="1"/>
  <c r="AC147" i="66" s="1"/>
  <c r="AD147" i="66" s="1"/>
  <c r="AE147" i="66" s="1"/>
  <c r="AF147" i="66" s="1"/>
  <c r="AG147" i="66" s="1"/>
  <c r="AH147" i="66" s="1"/>
  <c r="AI147" i="66" s="1"/>
  <c r="AJ147" i="66" s="1"/>
  <c r="AK147" i="66" s="1"/>
  <c r="AL147" i="66" s="1"/>
  <c r="AM147" i="66" s="1"/>
  <c r="AN147" i="66" s="1"/>
  <c r="AO147" i="66" s="1"/>
  <c r="AP147" i="66" s="1"/>
  <c r="AQ147" i="66" s="1"/>
  <c r="AR147" i="66" s="1"/>
  <c r="AS147" i="66" s="1"/>
  <c r="AT147" i="66" s="1"/>
  <c r="AU147" i="66" s="1"/>
  <c r="AV147" i="66" s="1"/>
  <c r="AW147" i="66" s="1"/>
  <c r="AX147" i="66" s="1"/>
  <c r="AY147" i="66" s="1"/>
  <c r="AZ147" i="66" s="1"/>
  <c r="BA147" i="66" s="1"/>
  <c r="BB147" i="66" s="1"/>
  <c r="BC147" i="66" s="1"/>
  <c r="BD147" i="66" s="1"/>
  <c r="BE147" i="66" s="1"/>
  <c r="BF147" i="66" s="1"/>
  <c r="BG147" i="66" s="1"/>
  <c r="BH147" i="66" s="1"/>
  <c r="BI147" i="66" s="1"/>
  <c r="BJ147" i="66" s="1"/>
  <c r="BK147" i="66" s="1"/>
  <c r="BL147" i="66" s="1"/>
  <c r="BM147" i="66" s="1"/>
  <c r="BN147" i="66" s="1"/>
  <c r="BO147" i="66" s="1"/>
  <c r="BP147" i="66" s="1"/>
  <c r="BQ147" i="66" s="1"/>
  <c r="V145" i="66"/>
  <c r="V143" i="66"/>
  <c r="W143" i="66" s="1"/>
  <c r="X143" i="66" s="1"/>
  <c r="Y143" i="66" s="1"/>
  <c r="Z143" i="66" s="1"/>
  <c r="AA143" i="66" s="1"/>
  <c r="AB143" i="66" s="1"/>
  <c r="AC143" i="66" s="1"/>
  <c r="AD143" i="66" s="1"/>
  <c r="AE143" i="66" s="1"/>
  <c r="AF143" i="66" s="1"/>
  <c r="AG143" i="66" s="1"/>
  <c r="AH143" i="66" s="1"/>
  <c r="AI143" i="66" s="1"/>
  <c r="AJ143" i="66" s="1"/>
  <c r="AK143" i="66" s="1"/>
  <c r="AL143" i="66" s="1"/>
  <c r="AM143" i="66" s="1"/>
  <c r="AN143" i="66" s="1"/>
  <c r="AO143" i="66" s="1"/>
  <c r="AP143" i="66" s="1"/>
  <c r="AQ143" i="66" s="1"/>
  <c r="AR143" i="66" s="1"/>
  <c r="AS143" i="66" s="1"/>
  <c r="AT143" i="66" s="1"/>
  <c r="AU143" i="66" s="1"/>
  <c r="AV143" i="66" s="1"/>
  <c r="AW143" i="66" s="1"/>
  <c r="AX143" i="66" s="1"/>
  <c r="AY143" i="66" s="1"/>
  <c r="AZ143" i="66" s="1"/>
  <c r="BA143" i="66" s="1"/>
  <c r="BB143" i="66" s="1"/>
  <c r="BC143" i="66" s="1"/>
  <c r="BD143" i="66" s="1"/>
  <c r="BE143" i="66" s="1"/>
  <c r="BF143" i="66" s="1"/>
  <c r="BG143" i="66" s="1"/>
  <c r="BH143" i="66" s="1"/>
  <c r="BI143" i="66" s="1"/>
  <c r="BJ143" i="66" s="1"/>
  <c r="BK143" i="66" s="1"/>
  <c r="BL143" i="66" s="1"/>
  <c r="BM143" i="66" s="1"/>
  <c r="BN143" i="66" s="1"/>
  <c r="BO143" i="66" s="1"/>
  <c r="BP143" i="66" s="1"/>
  <c r="BQ143" i="66" s="1"/>
  <c r="V137" i="66"/>
  <c r="W137" i="66" s="1"/>
  <c r="X137" i="66" s="1"/>
  <c r="Y137" i="66" s="1"/>
  <c r="Z137" i="66" s="1"/>
  <c r="AA137" i="66" s="1"/>
  <c r="AB137" i="66" s="1"/>
  <c r="AC137" i="66" s="1"/>
  <c r="AD137" i="66" s="1"/>
  <c r="AE137" i="66" s="1"/>
  <c r="AF137" i="66" s="1"/>
  <c r="AG137" i="66" s="1"/>
  <c r="AH137" i="66" s="1"/>
  <c r="AI137" i="66" s="1"/>
  <c r="AJ137" i="66" s="1"/>
  <c r="AK137" i="66" s="1"/>
  <c r="AL137" i="66" s="1"/>
  <c r="AM137" i="66" s="1"/>
  <c r="AN137" i="66" s="1"/>
  <c r="AO137" i="66" s="1"/>
  <c r="AP137" i="66" s="1"/>
  <c r="AQ137" i="66" s="1"/>
  <c r="AR137" i="66" s="1"/>
  <c r="AS137" i="66" s="1"/>
  <c r="AT137" i="66" s="1"/>
  <c r="AU137" i="66" s="1"/>
  <c r="AV137" i="66" s="1"/>
  <c r="AW137" i="66" s="1"/>
  <c r="AX137" i="66" s="1"/>
  <c r="AY137" i="66" s="1"/>
  <c r="AZ137" i="66" s="1"/>
  <c r="BA137" i="66" s="1"/>
  <c r="BB137" i="66" s="1"/>
  <c r="BC137" i="66" s="1"/>
  <c r="BD137" i="66" s="1"/>
  <c r="BE137" i="66" s="1"/>
  <c r="BF137" i="66" s="1"/>
  <c r="BG137" i="66" s="1"/>
  <c r="BH137" i="66" s="1"/>
  <c r="BI137" i="66" s="1"/>
  <c r="BJ137" i="66" s="1"/>
  <c r="BK137" i="66" s="1"/>
  <c r="BL137" i="66" s="1"/>
  <c r="BM137" i="66" s="1"/>
  <c r="BN137" i="66" s="1"/>
  <c r="BO137" i="66" s="1"/>
  <c r="BP137" i="66" s="1"/>
  <c r="BQ137" i="66" s="1"/>
  <c r="V133" i="66"/>
  <c r="W133" i="66" s="1"/>
  <c r="X133" i="66" s="1"/>
  <c r="Y133" i="66" s="1"/>
  <c r="Z133" i="66" s="1"/>
  <c r="AA133" i="66" s="1"/>
  <c r="AB133" i="66" s="1"/>
  <c r="AC133" i="66" s="1"/>
  <c r="AD133" i="66" s="1"/>
  <c r="AE133" i="66" s="1"/>
  <c r="AF133" i="66" s="1"/>
  <c r="AG133" i="66" s="1"/>
  <c r="AH133" i="66" s="1"/>
  <c r="AI133" i="66" s="1"/>
  <c r="AJ133" i="66" s="1"/>
  <c r="AK133" i="66" s="1"/>
  <c r="AL133" i="66" s="1"/>
  <c r="AM133" i="66" s="1"/>
  <c r="AN133" i="66" s="1"/>
  <c r="AO133" i="66" s="1"/>
  <c r="AP133" i="66" s="1"/>
  <c r="AQ133" i="66" s="1"/>
  <c r="AR133" i="66" s="1"/>
  <c r="AS133" i="66" s="1"/>
  <c r="AT133" i="66" s="1"/>
  <c r="AU133" i="66" s="1"/>
  <c r="AV133" i="66" s="1"/>
  <c r="AW133" i="66" s="1"/>
  <c r="AX133" i="66" s="1"/>
  <c r="AY133" i="66" s="1"/>
  <c r="AZ133" i="66" s="1"/>
  <c r="BA133" i="66" s="1"/>
  <c r="BB133" i="66" s="1"/>
  <c r="BC133" i="66" s="1"/>
  <c r="BD133" i="66" s="1"/>
  <c r="BE133" i="66" s="1"/>
  <c r="BF133" i="66" s="1"/>
  <c r="BG133" i="66" s="1"/>
  <c r="BH133" i="66" s="1"/>
  <c r="BI133" i="66" s="1"/>
  <c r="BJ133" i="66" s="1"/>
  <c r="BK133" i="66" s="1"/>
  <c r="BL133" i="66" s="1"/>
  <c r="BM133" i="66" s="1"/>
  <c r="BN133" i="66" s="1"/>
  <c r="BO133" i="66" s="1"/>
  <c r="BP133" i="66" s="1"/>
  <c r="BQ133" i="66" s="1"/>
  <c r="V131" i="66"/>
  <c r="W131" i="66" s="1"/>
  <c r="X131" i="66" s="1"/>
  <c r="Y131" i="66" s="1"/>
  <c r="Z131" i="66" s="1"/>
  <c r="AA131" i="66" s="1"/>
  <c r="AB131" i="66" s="1"/>
  <c r="AC131" i="66" s="1"/>
  <c r="AD131" i="66" s="1"/>
  <c r="AE131" i="66" s="1"/>
  <c r="AF131" i="66" s="1"/>
  <c r="AG131" i="66" s="1"/>
  <c r="AH131" i="66" s="1"/>
  <c r="AI131" i="66" s="1"/>
  <c r="AJ131" i="66" s="1"/>
  <c r="AK131" i="66" s="1"/>
  <c r="AL131" i="66" s="1"/>
  <c r="AM131" i="66" s="1"/>
  <c r="AN131" i="66" s="1"/>
  <c r="AO131" i="66" s="1"/>
  <c r="AP131" i="66" s="1"/>
  <c r="AQ131" i="66" s="1"/>
  <c r="AR131" i="66" s="1"/>
  <c r="AS131" i="66" s="1"/>
  <c r="AT131" i="66" s="1"/>
  <c r="AU131" i="66" s="1"/>
  <c r="AV131" i="66" s="1"/>
  <c r="AW131" i="66" s="1"/>
  <c r="AX131" i="66" s="1"/>
  <c r="AY131" i="66" s="1"/>
  <c r="AZ131" i="66" s="1"/>
  <c r="BA131" i="66" s="1"/>
  <c r="BB131" i="66" s="1"/>
  <c r="BC131" i="66" s="1"/>
  <c r="BD131" i="66" s="1"/>
  <c r="BE131" i="66" s="1"/>
  <c r="BF131" i="66" s="1"/>
  <c r="BG131" i="66" s="1"/>
  <c r="BH131" i="66" s="1"/>
  <c r="BI131" i="66" s="1"/>
  <c r="BJ131" i="66" s="1"/>
  <c r="BK131" i="66" s="1"/>
  <c r="BL131" i="66" s="1"/>
  <c r="BM131" i="66" s="1"/>
  <c r="BN131" i="66" s="1"/>
  <c r="BO131" i="66" s="1"/>
  <c r="BP131" i="66" s="1"/>
  <c r="BQ131" i="66" s="1"/>
  <c r="V127" i="66"/>
  <c r="W127" i="66" s="1"/>
  <c r="X127" i="66" s="1"/>
  <c r="Y127" i="66" s="1"/>
  <c r="Z127" i="66" s="1"/>
  <c r="AA127" i="66" s="1"/>
  <c r="AB127" i="66" s="1"/>
  <c r="AC127" i="66" s="1"/>
  <c r="AD127" i="66" s="1"/>
  <c r="AE127" i="66" s="1"/>
  <c r="AF127" i="66" s="1"/>
  <c r="AG127" i="66" s="1"/>
  <c r="AH127" i="66" s="1"/>
  <c r="AI127" i="66" s="1"/>
  <c r="AJ127" i="66" s="1"/>
  <c r="AK127" i="66" s="1"/>
  <c r="AL127" i="66" s="1"/>
  <c r="AM127" i="66" s="1"/>
  <c r="AN127" i="66" s="1"/>
  <c r="AO127" i="66" s="1"/>
  <c r="AP127" i="66" s="1"/>
  <c r="AQ127" i="66" s="1"/>
  <c r="AR127" i="66" s="1"/>
  <c r="AS127" i="66" s="1"/>
  <c r="AT127" i="66" s="1"/>
  <c r="AU127" i="66" s="1"/>
  <c r="AV127" i="66" s="1"/>
  <c r="AW127" i="66" s="1"/>
  <c r="AX127" i="66" s="1"/>
  <c r="AY127" i="66" s="1"/>
  <c r="AZ127" i="66" s="1"/>
  <c r="BA127" i="66" s="1"/>
  <c r="BB127" i="66" s="1"/>
  <c r="BC127" i="66" s="1"/>
  <c r="BD127" i="66" s="1"/>
  <c r="BE127" i="66" s="1"/>
  <c r="BF127" i="66" s="1"/>
  <c r="BG127" i="66" s="1"/>
  <c r="BH127" i="66" s="1"/>
  <c r="BI127" i="66" s="1"/>
  <c r="BJ127" i="66" s="1"/>
  <c r="BK127" i="66" s="1"/>
  <c r="BL127" i="66" s="1"/>
  <c r="BM127" i="66" s="1"/>
  <c r="BN127" i="66" s="1"/>
  <c r="BO127" i="66" s="1"/>
  <c r="BP127" i="66" s="1"/>
  <c r="BQ127" i="66" s="1"/>
  <c r="V86" i="66"/>
  <c r="W86" i="66" s="1"/>
  <c r="X86" i="66" s="1"/>
  <c r="Y86" i="66" s="1"/>
  <c r="Z86" i="66" s="1"/>
  <c r="AA86" i="66" s="1"/>
  <c r="AB86" i="66" s="1"/>
  <c r="AC86" i="66" s="1"/>
  <c r="AD86" i="66" s="1"/>
  <c r="AE86" i="66" s="1"/>
  <c r="AF86" i="66" s="1"/>
  <c r="AG86" i="66" s="1"/>
  <c r="AH86" i="66" s="1"/>
  <c r="AI86" i="66" s="1"/>
  <c r="AJ86" i="66" s="1"/>
  <c r="AK86" i="66" s="1"/>
  <c r="AL86" i="66" s="1"/>
  <c r="AM86" i="66" s="1"/>
  <c r="AN86" i="66" s="1"/>
  <c r="AO86" i="66" s="1"/>
  <c r="AP86" i="66" s="1"/>
  <c r="AQ86" i="66" s="1"/>
  <c r="AR86" i="66" s="1"/>
  <c r="AS86" i="66" s="1"/>
  <c r="AT86" i="66" s="1"/>
  <c r="AU86" i="66" s="1"/>
  <c r="AV86" i="66" s="1"/>
  <c r="AW86" i="66" s="1"/>
  <c r="AX86" i="66" s="1"/>
  <c r="AY86" i="66" s="1"/>
  <c r="AZ86" i="66" s="1"/>
  <c r="BA86" i="66" s="1"/>
  <c r="BB86" i="66" s="1"/>
  <c r="BC86" i="66" s="1"/>
  <c r="BD86" i="66" s="1"/>
  <c r="BE86" i="66" s="1"/>
  <c r="BF86" i="66" s="1"/>
  <c r="BG86" i="66" s="1"/>
  <c r="BH86" i="66" s="1"/>
  <c r="BI86" i="66" s="1"/>
  <c r="BJ86" i="66" s="1"/>
  <c r="BK86" i="66" s="1"/>
  <c r="BL86" i="66" s="1"/>
  <c r="BM86" i="66" s="1"/>
  <c r="BN86" i="66" s="1"/>
  <c r="BO86" i="66" s="1"/>
  <c r="BP86" i="66" s="1"/>
  <c r="BQ86" i="66" s="1"/>
  <c r="V80" i="66"/>
  <c r="W80" i="66" s="1"/>
  <c r="X80" i="66" s="1"/>
  <c r="Y80" i="66" s="1"/>
  <c r="Z80" i="66" s="1"/>
  <c r="AA80" i="66" s="1"/>
  <c r="AB80" i="66" s="1"/>
  <c r="AC80" i="66" s="1"/>
  <c r="AD80" i="66" s="1"/>
  <c r="AE80" i="66" s="1"/>
  <c r="AF80" i="66" s="1"/>
  <c r="AG80" i="66" s="1"/>
  <c r="AH80" i="66" s="1"/>
  <c r="AI80" i="66" s="1"/>
  <c r="AJ80" i="66" s="1"/>
  <c r="AK80" i="66" s="1"/>
  <c r="AL80" i="66" s="1"/>
  <c r="AM80" i="66" s="1"/>
  <c r="AN80" i="66" s="1"/>
  <c r="AO80" i="66" s="1"/>
  <c r="AP80" i="66" s="1"/>
  <c r="AQ80" i="66" s="1"/>
  <c r="AR80" i="66" s="1"/>
  <c r="AS80" i="66" s="1"/>
  <c r="AT80" i="66" s="1"/>
  <c r="AU80" i="66" s="1"/>
  <c r="AV80" i="66" s="1"/>
  <c r="AW80" i="66" s="1"/>
  <c r="AX80" i="66" s="1"/>
  <c r="AY80" i="66" s="1"/>
  <c r="AZ80" i="66" s="1"/>
  <c r="BA80" i="66" s="1"/>
  <c r="BB80" i="66" s="1"/>
  <c r="BC80" i="66" s="1"/>
  <c r="BD80" i="66" s="1"/>
  <c r="BE80" i="66" s="1"/>
  <c r="BF80" i="66" s="1"/>
  <c r="BG80" i="66" s="1"/>
  <c r="BH80" i="66" s="1"/>
  <c r="BI80" i="66" s="1"/>
  <c r="BJ80" i="66" s="1"/>
  <c r="BK80" i="66" s="1"/>
  <c r="BL80" i="66" s="1"/>
  <c r="BM80" i="66" s="1"/>
  <c r="BN80" i="66" s="1"/>
  <c r="BO80" i="66" s="1"/>
  <c r="BP80" i="66" s="1"/>
  <c r="BQ80" i="66" s="1"/>
  <c r="V78" i="66"/>
  <c r="W78" i="66" s="1"/>
  <c r="X78" i="66" s="1"/>
  <c r="Y78" i="66" s="1"/>
  <c r="Z78" i="66" s="1"/>
  <c r="AA78" i="66" s="1"/>
  <c r="AB78" i="66" s="1"/>
  <c r="AC78" i="66" s="1"/>
  <c r="AD78" i="66" s="1"/>
  <c r="AE78" i="66" s="1"/>
  <c r="AF78" i="66" s="1"/>
  <c r="AG78" i="66" s="1"/>
  <c r="AH78" i="66" s="1"/>
  <c r="AI78" i="66" s="1"/>
  <c r="AJ78" i="66" s="1"/>
  <c r="AK78" i="66" s="1"/>
  <c r="AL78" i="66" s="1"/>
  <c r="AM78" i="66" s="1"/>
  <c r="AN78" i="66" s="1"/>
  <c r="AO78" i="66" s="1"/>
  <c r="AP78" i="66" s="1"/>
  <c r="AQ78" i="66" s="1"/>
  <c r="AR78" i="66" s="1"/>
  <c r="AS78" i="66" s="1"/>
  <c r="AT78" i="66" s="1"/>
  <c r="AU78" i="66" s="1"/>
  <c r="AV78" i="66" s="1"/>
  <c r="AW78" i="66" s="1"/>
  <c r="AX78" i="66" s="1"/>
  <c r="AY78" i="66" s="1"/>
  <c r="AZ78" i="66" s="1"/>
  <c r="BA78" i="66" s="1"/>
  <c r="BB78" i="66" s="1"/>
  <c r="BC78" i="66" s="1"/>
  <c r="BD78" i="66" s="1"/>
  <c r="BE78" i="66" s="1"/>
  <c r="BF78" i="66" s="1"/>
  <c r="BG78" i="66" s="1"/>
  <c r="BH78" i="66" s="1"/>
  <c r="BI78" i="66" s="1"/>
  <c r="BJ78" i="66" s="1"/>
  <c r="BK78" i="66" s="1"/>
  <c r="BL78" i="66" s="1"/>
  <c r="BM78" i="66" s="1"/>
  <c r="BN78" i="66" s="1"/>
  <c r="BO78" i="66" s="1"/>
  <c r="BP78" i="66" s="1"/>
  <c r="BQ78" i="66" s="1"/>
  <c r="V76" i="66"/>
  <c r="W76" i="66" s="1"/>
  <c r="X76" i="66" s="1"/>
  <c r="Y76" i="66" s="1"/>
  <c r="Z76" i="66" s="1"/>
  <c r="AA76" i="66" s="1"/>
  <c r="AB76" i="66" s="1"/>
  <c r="AC76" i="66" s="1"/>
  <c r="AD76" i="66" s="1"/>
  <c r="AE76" i="66" s="1"/>
  <c r="AF76" i="66" s="1"/>
  <c r="AG76" i="66" s="1"/>
  <c r="AH76" i="66" s="1"/>
  <c r="AI76" i="66" s="1"/>
  <c r="AJ76" i="66" s="1"/>
  <c r="AK76" i="66" s="1"/>
  <c r="AL76" i="66" s="1"/>
  <c r="AM76" i="66" s="1"/>
  <c r="AN76" i="66" s="1"/>
  <c r="AO76" i="66" s="1"/>
  <c r="AP76" i="66" s="1"/>
  <c r="AQ76" i="66" s="1"/>
  <c r="AR76" i="66" s="1"/>
  <c r="AS76" i="66" s="1"/>
  <c r="AT76" i="66" s="1"/>
  <c r="AU76" i="66" s="1"/>
  <c r="AV76" i="66" s="1"/>
  <c r="AW76" i="66" s="1"/>
  <c r="AX76" i="66" s="1"/>
  <c r="AY76" i="66" s="1"/>
  <c r="AZ76" i="66" s="1"/>
  <c r="BA76" i="66" s="1"/>
  <c r="BB76" i="66" s="1"/>
  <c r="BC76" i="66" s="1"/>
  <c r="BD76" i="66" s="1"/>
  <c r="BE76" i="66" s="1"/>
  <c r="BF76" i="66" s="1"/>
  <c r="BG76" i="66" s="1"/>
  <c r="BH76" i="66" s="1"/>
  <c r="BI76" i="66" s="1"/>
  <c r="BJ76" i="66" s="1"/>
  <c r="BK76" i="66" s="1"/>
  <c r="BL76" i="66" s="1"/>
  <c r="BM76" i="66" s="1"/>
  <c r="BN76" i="66" s="1"/>
  <c r="BO76" i="66" s="1"/>
  <c r="BP76" i="66" s="1"/>
  <c r="BQ76" i="66" s="1"/>
  <c r="V74" i="66"/>
  <c r="W74" i="66" s="1"/>
  <c r="X74" i="66" s="1"/>
  <c r="Y74" i="66" s="1"/>
  <c r="Z74" i="66" s="1"/>
  <c r="AA74" i="66" s="1"/>
  <c r="AB74" i="66" s="1"/>
  <c r="AC74" i="66" s="1"/>
  <c r="AD74" i="66" s="1"/>
  <c r="AE74" i="66" s="1"/>
  <c r="AF74" i="66" s="1"/>
  <c r="AG74" i="66" s="1"/>
  <c r="AH74" i="66" s="1"/>
  <c r="AI74" i="66" s="1"/>
  <c r="AJ74" i="66" s="1"/>
  <c r="AK74" i="66" s="1"/>
  <c r="AL74" i="66" s="1"/>
  <c r="AM74" i="66" s="1"/>
  <c r="AN74" i="66" s="1"/>
  <c r="AO74" i="66" s="1"/>
  <c r="AP74" i="66" s="1"/>
  <c r="AQ74" i="66" s="1"/>
  <c r="AR74" i="66" s="1"/>
  <c r="AS74" i="66" s="1"/>
  <c r="AT74" i="66" s="1"/>
  <c r="AU74" i="66" s="1"/>
  <c r="AV74" i="66" s="1"/>
  <c r="AW74" i="66" s="1"/>
  <c r="AX74" i="66" s="1"/>
  <c r="AY74" i="66" s="1"/>
  <c r="AZ74" i="66" s="1"/>
  <c r="BA74" i="66" s="1"/>
  <c r="BB74" i="66" s="1"/>
  <c r="BC74" i="66" s="1"/>
  <c r="BD74" i="66" s="1"/>
  <c r="BE74" i="66" s="1"/>
  <c r="BF74" i="66" s="1"/>
  <c r="BG74" i="66" s="1"/>
  <c r="BH74" i="66" s="1"/>
  <c r="BI74" i="66" s="1"/>
  <c r="BJ74" i="66" s="1"/>
  <c r="BK74" i="66" s="1"/>
  <c r="BL74" i="66" s="1"/>
  <c r="BM74" i="66" s="1"/>
  <c r="BN74" i="66" s="1"/>
  <c r="BO74" i="66" s="1"/>
  <c r="BP74" i="66" s="1"/>
  <c r="BQ74" i="66" s="1"/>
  <c r="V70" i="66"/>
  <c r="W70" i="66" s="1"/>
  <c r="X70" i="66" s="1"/>
  <c r="Y70" i="66" s="1"/>
  <c r="Z70" i="66" s="1"/>
  <c r="AA70" i="66" s="1"/>
  <c r="AB70" i="66" s="1"/>
  <c r="AC70" i="66" s="1"/>
  <c r="AD70" i="66" s="1"/>
  <c r="AE70" i="66" s="1"/>
  <c r="AF70" i="66" s="1"/>
  <c r="AG70" i="66" s="1"/>
  <c r="AH70" i="66" s="1"/>
  <c r="AI70" i="66" s="1"/>
  <c r="AJ70" i="66" s="1"/>
  <c r="AK70" i="66" s="1"/>
  <c r="AL70" i="66" s="1"/>
  <c r="AM70" i="66" s="1"/>
  <c r="AN70" i="66" s="1"/>
  <c r="AO70" i="66" s="1"/>
  <c r="AP70" i="66" s="1"/>
  <c r="AQ70" i="66" s="1"/>
  <c r="AR70" i="66" s="1"/>
  <c r="AS70" i="66" s="1"/>
  <c r="AT70" i="66" s="1"/>
  <c r="AU70" i="66" s="1"/>
  <c r="AV70" i="66" s="1"/>
  <c r="AW70" i="66" s="1"/>
  <c r="AX70" i="66" s="1"/>
  <c r="AY70" i="66" s="1"/>
  <c r="AZ70" i="66" s="1"/>
  <c r="BA70" i="66" s="1"/>
  <c r="BB70" i="66" s="1"/>
  <c r="BC70" i="66" s="1"/>
  <c r="BD70" i="66" s="1"/>
  <c r="BE70" i="66" s="1"/>
  <c r="BF70" i="66" s="1"/>
  <c r="BG70" i="66" s="1"/>
  <c r="BH70" i="66" s="1"/>
  <c r="BI70" i="66" s="1"/>
  <c r="BJ70" i="66" s="1"/>
  <c r="BK70" i="66" s="1"/>
  <c r="BL70" i="66" s="1"/>
  <c r="BM70" i="66" s="1"/>
  <c r="BN70" i="66" s="1"/>
  <c r="BO70" i="66" s="1"/>
  <c r="BP70" i="66" s="1"/>
  <c r="BQ70" i="66" s="1"/>
  <c r="V68" i="66"/>
  <c r="W68" i="66" s="1"/>
  <c r="X68" i="66" s="1"/>
  <c r="Y68" i="66" s="1"/>
  <c r="Z68" i="66" s="1"/>
  <c r="AA68" i="66" s="1"/>
  <c r="AB68" i="66" s="1"/>
  <c r="AC68" i="66" s="1"/>
  <c r="AD68" i="66" s="1"/>
  <c r="AE68" i="66" s="1"/>
  <c r="AF68" i="66" s="1"/>
  <c r="AG68" i="66" s="1"/>
  <c r="AH68" i="66" s="1"/>
  <c r="AI68" i="66" s="1"/>
  <c r="AJ68" i="66" s="1"/>
  <c r="AK68" i="66" s="1"/>
  <c r="AL68" i="66" s="1"/>
  <c r="AM68" i="66" s="1"/>
  <c r="AN68" i="66" s="1"/>
  <c r="AO68" i="66" s="1"/>
  <c r="AP68" i="66" s="1"/>
  <c r="AQ68" i="66" s="1"/>
  <c r="AR68" i="66" s="1"/>
  <c r="AS68" i="66" s="1"/>
  <c r="AT68" i="66" s="1"/>
  <c r="AU68" i="66" s="1"/>
  <c r="AV68" i="66" s="1"/>
  <c r="AW68" i="66" s="1"/>
  <c r="AX68" i="66" s="1"/>
  <c r="AY68" i="66" s="1"/>
  <c r="AZ68" i="66" s="1"/>
  <c r="BA68" i="66" s="1"/>
  <c r="BB68" i="66" s="1"/>
  <c r="BC68" i="66" s="1"/>
  <c r="BD68" i="66" s="1"/>
  <c r="BE68" i="66" s="1"/>
  <c r="BF68" i="66" s="1"/>
  <c r="BG68" i="66" s="1"/>
  <c r="BH68" i="66" s="1"/>
  <c r="BI68" i="66" s="1"/>
  <c r="BJ68" i="66" s="1"/>
  <c r="BK68" i="66" s="1"/>
  <c r="BL68" i="66" s="1"/>
  <c r="BM68" i="66" s="1"/>
  <c r="BN68" i="66" s="1"/>
  <c r="BO68" i="66" s="1"/>
  <c r="BP68" i="66" s="1"/>
  <c r="BQ68" i="66" s="1"/>
  <c r="V64" i="66"/>
  <c r="W64" i="66" s="1"/>
  <c r="X64" i="66" s="1"/>
  <c r="Y64" i="66" s="1"/>
  <c r="Z64" i="66" s="1"/>
  <c r="AA64" i="66" s="1"/>
  <c r="AB64" i="66" s="1"/>
  <c r="AC64" i="66" s="1"/>
  <c r="AD64" i="66" s="1"/>
  <c r="AE64" i="66" s="1"/>
  <c r="AF64" i="66" s="1"/>
  <c r="AG64" i="66" s="1"/>
  <c r="AH64" i="66" s="1"/>
  <c r="AI64" i="66" s="1"/>
  <c r="AJ64" i="66" s="1"/>
  <c r="AK64" i="66" s="1"/>
  <c r="AL64" i="66" s="1"/>
  <c r="AM64" i="66" s="1"/>
  <c r="AN64" i="66" s="1"/>
  <c r="AO64" i="66" s="1"/>
  <c r="AP64" i="66" s="1"/>
  <c r="AQ64" i="66" s="1"/>
  <c r="AR64" i="66" s="1"/>
  <c r="AS64" i="66" s="1"/>
  <c r="AT64" i="66" s="1"/>
  <c r="AU64" i="66" s="1"/>
  <c r="AV64" i="66" s="1"/>
  <c r="AW64" i="66" s="1"/>
  <c r="AX64" i="66" s="1"/>
  <c r="AY64" i="66" s="1"/>
  <c r="AZ64" i="66" s="1"/>
  <c r="BA64" i="66" s="1"/>
  <c r="BB64" i="66" s="1"/>
  <c r="BC64" i="66" s="1"/>
  <c r="BD64" i="66" s="1"/>
  <c r="BE64" i="66" s="1"/>
  <c r="BF64" i="66" s="1"/>
  <c r="BG64" i="66" s="1"/>
  <c r="BH64" i="66" s="1"/>
  <c r="BI64" i="66" s="1"/>
  <c r="BJ64" i="66" s="1"/>
  <c r="BK64" i="66" s="1"/>
  <c r="BL64" i="66" s="1"/>
  <c r="BM64" i="66" s="1"/>
  <c r="BN64" i="66" s="1"/>
  <c r="BO64" i="66" s="1"/>
  <c r="BP64" i="66" s="1"/>
  <c r="BQ64" i="66" s="1"/>
  <c r="V60" i="66"/>
  <c r="W60" i="66" s="1"/>
  <c r="X60" i="66" s="1"/>
  <c r="Y60" i="66" s="1"/>
  <c r="Z60" i="66" s="1"/>
  <c r="AA60" i="66" s="1"/>
  <c r="AB60" i="66" s="1"/>
  <c r="AC60" i="66" s="1"/>
  <c r="AD60" i="66" s="1"/>
  <c r="AE60" i="66" s="1"/>
  <c r="AF60" i="66" s="1"/>
  <c r="AG60" i="66" s="1"/>
  <c r="AH60" i="66" s="1"/>
  <c r="AI60" i="66" s="1"/>
  <c r="AJ60" i="66" s="1"/>
  <c r="AK60" i="66" s="1"/>
  <c r="AL60" i="66" s="1"/>
  <c r="AM60" i="66" s="1"/>
  <c r="AN60" i="66" s="1"/>
  <c r="AO60" i="66" s="1"/>
  <c r="AP60" i="66" s="1"/>
  <c r="AQ60" i="66" s="1"/>
  <c r="AR60" i="66" s="1"/>
  <c r="AS60" i="66" s="1"/>
  <c r="AT60" i="66" s="1"/>
  <c r="AU60" i="66" s="1"/>
  <c r="AV60" i="66" s="1"/>
  <c r="AW60" i="66" s="1"/>
  <c r="AX60" i="66" s="1"/>
  <c r="AY60" i="66" s="1"/>
  <c r="AZ60" i="66" s="1"/>
  <c r="BA60" i="66" s="1"/>
  <c r="BB60" i="66" s="1"/>
  <c r="BC60" i="66" s="1"/>
  <c r="BD60" i="66" s="1"/>
  <c r="BE60" i="66" s="1"/>
  <c r="BF60" i="66" s="1"/>
  <c r="BG60" i="66" s="1"/>
  <c r="BH60" i="66" s="1"/>
  <c r="BI60" i="66" s="1"/>
  <c r="BJ60" i="66" s="1"/>
  <c r="BK60" i="66" s="1"/>
  <c r="BL60" i="66" s="1"/>
  <c r="BM60" i="66" s="1"/>
  <c r="BN60" i="66" s="1"/>
  <c r="BO60" i="66" s="1"/>
  <c r="BP60" i="66" s="1"/>
  <c r="BQ60" i="66" s="1"/>
  <c r="V58" i="66"/>
  <c r="V56" i="66"/>
  <c r="W56" i="66" s="1"/>
  <c r="X56" i="66" s="1"/>
  <c r="Y56" i="66" s="1"/>
  <c r="Z56" i="66" s="1"/>
  <c r="AA56" i="66" s="1"/>
  <c r="AB56" i="66" s="1"/>
  <c r="AC56" i="66" s="1"/>
  <c r="AD56" i="66" s="1"/>
  <c r="AE56" i="66" s="1"/>
  <c r="AF56" i="66" s="1"/>
  <c r="AG56" i="66" s="1"/>
  <c r="AH56" i="66" s="1"/>
  <c r="AI56" i="66" s="1"/>
  <c r="AJ56" i="66" s="1"/>
  <c r="AK56" i="66" s="1"/>
  <c r="AL56" i="66" s="1"/>
  <c r="AM56" i="66" s="1"/>
  <c r="AN56" i="66" s="1"/>
  <c r="AO56" i="66" s="1"/>
  <c r="AP56" i="66" s="1"/>
  <c r="AQ56" i="66" s="1"/>
  <c r="AR56" i="66" s="1"/>
  <c r="AS56" i="66" s="1"/>
  <c r="AT56" i="66" s="1"/>
  <c r="AU56" i="66" s="1"/>
  <c r="AV56" i="66" s="1"/>
  <c r="AW56" i="66" s="1"/>
  <c r="AX56" i="66" s="1"/>
  <c r="AY56" i="66" s="1"/>
  <c r="AZ56" i="66" s="1"/>
  <c r="BA56" i="66" s="1"/>
  <c r="BB56" i="66" s="1"/>
  <c r="BC56" i="66" s="1"/>
  <c r="BD56" i="66" s="1"/>
  <c r="BE56" i="66" s="1"/>
  <c r="BF56" i="66" s="1"/>
  <c r="BG56" i="66" s="1"/>
  <c r="BH56" i="66" s="1"/>
  <c r="BI56" i="66" s="1"/>
  <c r="BJ56" i="66" s="1"/>
  <c r="BK56" i="66" s="1"/>
  <c r="BL56" i="66" s="1"/>
  <c r="BM56" i="66" s="1"/>
  <c r="BN56" i="66" s="1"/>
  <c r="BO56" i="66" s="1"/>
  <c r="BP56" i="66" s="1"/>
  <c r="BQ56" i="66" s="1"/>
  <c r="V50" i="66"/>
  <c r="W50" i="66" s="1"/>
  <c r="X50" i="66" s="1"/>
  <c r="Y50" i="66" s="1"/>
  <c r="Z50" i="66" s="1"/>
  <c r="AA50" i="66" s="1"/>
  <c r="AB50" i="66" s="1"/>
  <c r="V48" i="66"/>
  <c r="W48" i="66" s="1"/>
  <c r="X48" i="66" s="1"/>
  <c r="Y48" i="66" s="1"/>
  <c r="Z48" i="66" s="1"/>
  <c r="AA48" i="66" s="1"/>
  <c r="AB48" i="66" s="1"/>
  <c r="AC48" i="66" s="1"/>
  <c r="AD48" i="66" s="1"/>
  <c r="AE48" i="66" s="1"/>
  <c r="AF48" i="66" s="1"/>
  <c r="AG48" i="66" s="1"/>
  <c r="AH48" i="66" s="1"/>
  <c r="AI48" i="66" s="1"/>
  <c r="AJ48" i="66" s="1"/>
  <c r="AK48" i="66" s="1"/>
  <c r="AL48" i="66" s="1"/>
  <c r="AM48" i="66" s="1"/>
  <c r="AN48" i="66" s="1"/>
  <c r="AO48" i="66" s="1"/>
  <c r="AP48" i="66" s="1"/>
  <c r="AQ48" i="66" s="1"/>
  <c r="AR48" i="66" s="1"/>
  <c r="AS48" i="66" s="1"/>
  <c r="AT48" i="66" s="1"/>
  <c r="AU48" i="66" s="1"/>
  <c r="AV48" i="66" s="1"/>
  <c r="AW48" i="66" s="1"/>
  <c r="AX48" i="66" s="1"/>
  <c r="AY48" i="66" s="1"/>
  <c r="AZ48" i="66" s="1"/>
  <c r="BA48" i="66" s="1"/>
  <c r="BB48" i="66" s="1"/>
  <c r="BC48" i="66" s="1"/>
  <c r="BD48" i="66" s="1"/>
  <c r="BE48" i="66" s="1"/>
  <c r="BF48" i="66" s="1"/>
  <c r="BG48" i="66" s="1"/>
  <c r="BH48" i="66" s="1"/>
  <c r="BI48" i="66" s="1"/>
  <c r="BJ48" i="66" s="1"/>
  <c r="BK48" i="66" s="1"/>
  <c r="BL48" i="66" s="1"/>
  <c r="BM48" i="66" s="1"/>
  <c r="BN48" i="66" s="1"/>
  <c r="BO48" i="66" s="1"/>
  <c r="BP48" i="66" s="1"/>
  <c r="BQ48" i="66" s="1"/>
  <c r="V46" i="66"/>
  <c r="W46" i="66" s="1"/>
  <c r="X46" i="66" s="1"/>
  <c r="Y46" i="66" s="1"/>
  <c r="Z46" i="66" s="1"/>
  <c r="AA46" i="66" s="1"/>
  <c r="AB46" i="66" s="1"/>
  <c r="AC46" i="66" s="1"/>
  <c r="AD46" i="66" s="1"/>
  <c r="AE46" i="66" s="1"/>
  <c r="AF46" i="66" s="1"/>
  <c r="AG46" i="66" s="1"/>
  <c r="AH46" i="66" s="1"/>
  <c r="AI46" i="66" s="1"/>
  <c r="AJ46" i="66" s="1"/>
  <c r="AK46" i="66" s="1"/>
  <c r="AL46" i="66" s="1"/>
  <c r="AM46" i="66" s="1"/>
  <c r="AN46" i="66" s="1"/>
  <c r="AO46" i="66" s="1"/>
  <c r="AP46" i="66" s="1"/>
  <c r="AQ46" i="66" s="1"/>
  <c r="AR46" i="66" s="1"/>
  <c r="AS46" i="66" s="1"/>
  <c r="AT46" i="66" s="1"/>
  <c r="AU46" i="66" s="1"/>
  <c r="AV46" i="66" s="1"/>
  <c r="AW46" i="66" s="1"/>
  <c r="AX46" i="66" s="1"/>
  <c r="AY46" i="66" s="1"/>
  <c r="AZ46" i="66" s="1"/>
  <c r="BA46" i="66" s="1"/>
  <c r="BB46" i="66" s="1"/>
  <c r="BC46" i="66" s="1"/>
  <c r="BD46" i="66" s="1"/>
  <c r="BE46" i="66" s="1"/>
  <c r="BF46" i="66" s="1"/>
  <c r="BG46" i="66" s="1"/>
  <c r="BH46" i="66" s="1"/>
  <c r="BI46" i="66" s="1"/>
  <c r="BJ46" i="66" s="1"/>
  <c r="BK46" i="66" s="1"/>
  <c r="BL46" i="66" s="1"/>
  <c r="BM46" i="66" s="1"/>
  <c r="BN46" i="66" s="1"/>
  <c r="BO46" i="66" s="1"/>
  <c r="BP46" i="66" s="1"/>
  <c r="BQ46" i="66" s="1"/>
  <c r="V42" i="66"/>
  <c r="V36" i="66"/>
  <c r="W36" i="66" s="1"/>
  <c r="X36" i="66" s="1"/>
  <c r="Y36" i="66" s="1"/>
  <c r="Z36" i="66" s="1"/>
  <c r="AA36" i="66" s="1"/>
  <c r="AB36" i="66" s="1"/>
  <c r="AC36" i="66" s="1"/>
  <c r="AD36" i="66" s="1"/>
  <c r="AE36" i="66" s="1"/>
  <c r="AF36" i="66" s="1"/>
  <c r="AG36" i="66" s="1"/>
  <c r="AH36" i="66" s="1"/>
  <c r="AI36" i="66" s="1"/>
  <c r="AJ36" i="66" s="1"/>
  <c r="AK36" i="66" s="1"/>
  <c r="AL36" i="66" s="1"/>
  <c r="AM36" i="66" s="1"/>
  <c r="AN36" i="66" s="1"/>
  <c r="AO36" i="66" s="1"/>
  <c r="AP36" i="66" s="1"/>
  <c r="AQ36" i="66" s="1"/>
  <c r="AR36" i="66" s="1"/>
  <c r="AS36" i="66" s="1"/>
  <c r="AT36" i="66" s="1"/>
  <c r="AU36" i="66" s="1"/>
  <c r="AV36" i="66" s="1"/>
  <c r="AW36" i="66" s="1"/>
  <c r="AX36" i="66" s="1"/>
  <c r="AY36" i="66" s="1"/>
  <c r="AZ36" i="66" s="1"/>
  <c r="BA36" i="66" s="1"/>
  <c r="BB36" i="66" s="1"/>
  <c r="BC36" i="66" s="1"/>
  <c r="BD36" i="66" s="1"/>
  <c r="BE36" i="66" s="1"/>
  <c r="BF36" i="66" s="1"/>
  <c r="BG36" i="66" s="1"/>
  <c r="BH36" i="66" s="1"/>
  <c r="BI36" i="66" s="1"/>
  <c r="BJ36" i="66" s="1"/>
  <c r="BK36" i="66" s="1"/>
  <c r="BL36" i="66" s="1"/>
  <c r="BM36" i="66" s="1"/>
  <c r="BN36" i="66" s="1"/>
  <c r="BO36" i="66" s="1"/>
  <c r="BP36" i="66" s="1"/>
  <c r="BQ36" i="66" s="1"/>
  <c r="V34" i="66"/>
  <c r="W34" i="66" s="1"/>
  <c r="X34" i="66" s="1"/>
  <c r="Y34" i="66" s="1"/>
  <c r="Z34" i="66" s="1"/>
  <c r="AA34" i="66" s="1"/>
  <c r="AB34" i="66" s="1"/>
  <c r="AC34" i="66" s="1"/>
  <c r="AD34" i="66" s="1"/>
  <c r="AE34" i="66" s="1"/>
  <c r="AF34" i="66" s="1"/>
  <c r="AG34" i="66" s="1"/>
  <c r="AH34" i="66" s="1"/>
  <c r="AI34" i="66" s="1"/>
  <c r="AJ34" i="66" s="1"/>
  <c r="AK34" i="66" s="1"/>
  <c r="AL34" i="66" s="1"/>
  <c r="AM34" i="66" s="1"/>
  <c r="AN34" i="66" s="1"/>
  <c r="AO34" i="66" s="1"/>
  <c r="AP34" i="66" s="1"/>
  <c r="AQ34" i="66" s="1"/>
  <c r="AR34" i="66" s="1"/>
  <c r="AS34" i="66" s="1"/>
  <c r="AT34" i="66" s="1"/>
  <c r="AU34" i="66" s="1"/>
  <c r="AV34" i="66" s="1"/>
  <c r="AW34" i="66" s="1"/>
  <c r="AX34" i="66" s="1"/>
  <c r="AY34" i="66" s="1"/>
  <c r="AZ34" i="66" s="1"/>
  <c r="BA34" i="66" s="1"/>
  <c r="BB34" i="66" s="1"/>
  <c r="BC34" i="66" s="1"/>
  <c r="BD34" i="66" s="1"/>
  <c r="BE34" i="66" s="1"/>
  <c r="BF34" i="66" s="1"/>
  <c r="BG34" i="66" s="1"/>
  <c r="BH34" i="66" s="1"/>
  <c r="BI34" i="66" s="1"/>
  <c r="BJ34" i="66" s="1"/>
  <c r="BK34" i="66" s="1"/>
  <c r="BL34" i="66" s="1"/>
  <c r="BM34" i="66" s="1"/>
  <c r="BN34" i="66" s="1"/>
  <c r="BO34" i="66" s="1"/>
  <c r="BP34" i="66" s="1"/>
  <c r="BQ34" i="66" s="1"/>
  <c r="C7" i="67"/>
  <c r="V95" i="66"/>
  <c r="W95" i="66" s="1"/>
  <c r="X95" i="66" s="1"/>
  <c r="Y95" i="66" s="1"/>
  <c r="Z95" i="66" s="1"/>
  <c r="AA95" i="66" s="1"/>
  <c r="AB95" i="66" s="1"/>
  <c r="AC95" i="66" s="1"/>
  <c r="AD95" i="66" s="1"/>
  <c r="AE95" i="66" s="1"/>
  <c r="AF95" i="66" s="1"/>
  <c r="AG95" i="66" s="1"/>
  <c r="AH95" i="66" s="1"/>
  <c r="AI95" i="66" s="1"/>
  <c r="AJ95" i="66" s="1"/>
  <c r="AK95" i="66" s="1"/>
  <c r="AL95" i="66" s="1"/>
  <c r="AM95" i="66" s="1"/>
  <c r="AN95" i="66" s="1"/>
  <c r="AO95" i="66" s="1"/>
  <c r="AP95" i="66" s="1"/>
  <c r="AQ95" i="66" s="1"/>
  <c r="AR95" i="66" s="1"/>
  <c r="AS95" i="66" s="1"/>
  <c r="AT95" i="66" s="1"/>
  <c r="AU95" i="66" s="1"/>
  <c r="AV95" i="66" s="1"/>
  <c r="AW95" i="66" s="1"/>
  <c r="AX95" i="66" s="1"/>
  <c r="AY95" i="66" s="1"/>
  <c r="AZ95" i="66" s="1"/>
  <c r="BA95" i="66" s="1"/>
  <c r="BB95" i="66" s="1"/>
  <c r="BC95" i="66" s="1"/>
  <c r="BD95" i="66" s="1"/>
  <c r="BE95" i="66" s="1"/>
  <c r="BF95" i="66" s="1"/>
  <c r="BG95" i="66" s="1"/>
  <c r="BH95" i="66" s="1"/>
  <c r="BI95" i="66" s="1"/>
  <c r="BJ95" i="66" s="1"/>
  <c r="BK95" i="66" s="1"/>
  <c r="BL95" i="66" s="1"/>
  <c r="BM95" i="66" s="1"/>
  <c r="BN95" i="66" s="1"/>
  <c r="BO95" i="66" s="1"/>
  <c r="BP95" i="66" s="1"/>
  <c r="BQ95" i="66" s="1"/>
  <c r="V91" i="66"/>
  <c r="W91" i="66" s="1"/>
  <c r="X91" i="66" s="1"/>
  <c r="Y91" i="66" s="1"/>
  <c r="Z91" i="66" s="1"/>
  <c r="AA91" i="66" s="1"/>
  <c r="AB91" i="66" s="1"/>
  <c r="AC91" i="66" s="1"/>
  <c r="AD91" i="66" s="1"/>
  <c r="AE91" i="66" s="1"/>
  <c r="AF91" i="66" s="1"/>
  <c r="AG91" i="66" s="1"/>
  <c r="AH91" i="66" s="1"/>
  <c r="AI91" i="66" s="1"/>
  <c r="AJ91" i="66" s="1"/>
  <c r="AK91" i="66" s="1"/>
  <c r="AL91" i="66" s="1"/>
  <c r="AM91" i="66" s="1"/>
  <c r="AN91" i="66" s="1"/>
  <c r="AO91" i="66" s="1"/>
  <c r="AP91" i="66" s="1"/>
  <c r="AQ91" i="66" s="1"/>
  <c r="AR91" i="66" s="1"/>
  <c r="AS91" i="66" s="1"/>
  <c r="AT91" i="66" s="1"/>
  <c r="AU91" i="66" s="1"/>
  <c r="AV91" i="66" s="1"/>
  <c r="AW91" i="66" s="1"/>
  <c r="AX91" i="66" s="1"/>
  <c r="AY91" i="66" s="1"/>
  <c r="AZ91" i="66" s="1"/>
  <c r="BA91" i="66" s="1"/>
  <c r="BB91" i="66" s="1"/>
  <c r="BC91" i="66" s="1"/>
  <c r="BD91" i="66" s="1"/>
  <c r="BE91" i="66" s="1"/>
  <c r="BF91" i="66" s="1"/>
  <c r="BG91" i="66" s="1"/>
  <c r="BH91" i="66" s="1"/>
  <c r="BI91" i="66" s="1"/>
  <c r="BJ91" i="66" s="1"/>
  <c r="BK91" i="66" s="1"/>
  <c r="BL91" i="66" s="1"/>
  <c r="BM91" i="66" s="1"/>
  <c r="BN91" i="66" s="1"/>
  <c r="BO91" i="66" s="1"/>
  <c r="BP91" i="66" s="1"/>
  <c r="BQ91" i="66" s="1"/>
  <c r="V87" i="66"/>
  <c r="W87" i="66" s="1"/>
  <c r="X87" i="66" s="1"/>
  <c r="Y87" i="66" s="1"/>
  <c r="Z87" i="66" s="1"/>
  <c r="AA87" i="66" s="1"/>
  <c r="AB87" i="66" s="1"/>
  <c r="AC87" i="66" s="1"/>
  <c r="AD87" i="66" s="1"/>
  <c r="AE87" i="66" s="1"/>
  <c r="AF87" i="66" s="1"/>
  <c r="AG87" i="66" s="1"/>
  <c r="AH87" i="66" s="1"/>
  <c r="AI87" i="66" s="1"/>
  <c r="AJ87" i="66" s="1"/>
  <c r="AK87" i="66" s="1"/>
  <c r="AL87" i="66" s="1"/>
  <c r="AM87" i="66" s="1"/>
  <c r="AN87" i="66" s="1"/>
  <c r="AO87" i="66" s="1"/>
  <c r="AP87" i="66" s="1"/>
  <c r="AQ87" i="66" s="1"/>
  <c r="AR87" i="66" s="1"/>
  <c r="AS87" i="66" s="1"/>
  <c r="AT87" i="66" s="1"/>
  <c r="AU87" i="66" s="1"/>
  <c r="AV87" i="66" s="1"/>
  <c r="AW87" i="66" s="1"/>
  <c r="AX87" i="66" s="1"/>
  <c r="AY87" i="66" s="1"/>
  <c r="AZ87" i="66" s="1"/>
  <c r="BA87" i="66" s="1"/>
  <c r="BB87" i="66" s="1"/>
  <c r="BC87" i="66" s="1"/>
  <c r="BD87" i="66" s="1"/>
  <c r="BE87" i="66" s="1"/>
  <c r="BF87" i="66" s="1"/>
  <c r="BG87" i="66" s="1"/>
  <c r="BH87" i="66" s="1"/>
  <c r="BI87" i="66" s="1"/>
  <c r="BJ87" i="66" s="1"/>
  <c r="BK87" i="66" s="1"/>
  <c r="BL87" i="66" s="1"/>
  <c r="BM87" i="66" s="1"/>
  <c r="BN87" i="66" s="1"/>
  <c r="BO87" i="66" s="1"/>
  <c r="BP87" i="66" s="1"/>
  <c r="BQ87" i="66" s="1"/>
  <c r="V85" i="66"/>
  <c r="W85" i="66" s="1"/>
  <c r="X85" i="66" s="1"/>
  <c r="Y85" i="66" s="1"/>
  <c r="Z85" i="66" s="1"/>
  <c r="AA85" i="66" s="1"/>
  <c r="AB85" i="66" s="1"/>
  <c r="AC85" i="66" s="1"/>
  <c r="AD85" i="66" s="1"/>
  <c r="AE85" i="66" s="1"/>
  <c r="AF85" i="66" s="1"/>
  <c r="AG85" i="66" s="1"/>
  <c r="AH85" i="66" s="1"/>
  <c r="AI85" i="66" s="1"/>
  <c r="AJ85" i="66" s="1"/>
  <c r="AK85" i="66" s="1"/>
  <c r="AL85" i="66" s="1"/>
  <c r="AM85" i="66" s="1"/>
  <c r="AN85" i="66" s="1"/>
  <c r="AO85" i="66" s="1"/>
  <c r="AP85" i="66" s="1"/>
  <c r="AQ85" i="66" s="1"/>
  <c r="AR85" i="66" s="1"/>
  <c r="AS85" i="66" s="1"/>
  <c r="AT85" i="66" s="1"/>
  <c r="AU85" i="66" s="1"/>
  <c r="AV85" i="66" s="1"/>
  <c r="AW85" i="66" s="1"/>
  <c r="AX85" i="66" s="1"/>
  <c r="AY85" i="66" s="1"/>
  <c r="AZ85" i="66" s="1"/>
  <c r="BA85" i="66" s="1"/>
  <c r="BB85" i="66" s="1"/>
  <c r="BC85" i="66" s="1"/>
  <c r="BD85" i="66" s="1"/>
  <c r="BE85" i="66" s="1"/>
  <c r="BF85" i="66" s="1"/>
  <c r="BG85" i="66" s="1"/>
  <c r="BH85" i="66" s="1"/>
  <c r="BI85" i="66" s="1"/>
  <c r="BJ85" i="66" s="1"/>
  <c r="BK85" i="66" s="1"/>
  <c r="BL85" i="66" s="1"/>
  <c r="BM85" i="66" s="1"/>
  <c r="BN85" i="66" s="1"/>
  <c r="BO85" i="66" s="1"/>
  <c r="BP85" i="66" s="1"/>
  <c r="BQ85" i="66" s="1"/>
  <c r="V83" i="66"/>
  <c r="W83" i="66" s="1"/>
  <c r="X83" i="66" s="1"/>
  <c r="Y83" i="66" s="1"/>
  <c r="Z83" i="66" s="1"/>
  <c r="AA83" i="66" s="1"/>
  <c r="AB83" i="66" s="1"/>
  <c r="AC83" i="66" s="1"/>
  <c r="AD83" i="66" s="1"/>
  <c r="AE83" i="66" s="1"/>
  <c r="AF83" i="66" s="1"/>
  <c r="AG83" i="66" s="1"/>
  <c r="AH83" i="66" s="1"/>
  <c r="AI83" i="66" s="1"/>
  <c r="AJ83" i="66" s="1"/>
  <c r="AK83" i="66" s="1"/>
  <c r="AL83" i="66" s="1"/>
  <c r="AM83" i="66" s="1"/>
  <c r="AN83" i="66" s="1"/>
  <c r="AO83" i="66" s="1"/>
  <c r="AP83" i="66" s="1"/>
  <c r="AQ83" i="66" s="1"/>
  <c r="AR83" i="66" s="1"/>
  <c r="AS83" i="66" s="1"/>
  <c r="AT83" i="66" s="1"/>
  <c r="AU83" i="66" s="1"/>
  <c r="AV83" i="66" s="1"/>
  <c r="AW83" i="66" s="1"/>
  <c r="AX83" i="66" s="1"/>
  <c r="AY83" i="66" s="1"/>
  <c r="AZ83" i="66" s="1"/>
  <c r="BA83" i="66" s="1"/>
  <c r="BB83" i="66" s="1"/>
  <c r="BC83" i="66" s="1"/>
  <c r="BD83" i="66" s="1"/>
  <c r="BE83" i="66" s="1"/>
  <c r="BF83" i="66" s="1"/>
  <c r="BG83" i="66" s="1"/>
  <c r="BH83" i="66" s="1"/>
  <c r="BI83" i="66" s="1"/>
  <c r="BJ83" i="66" s="1"/>
  <c r="BK83" i="66" s="1"/>
  <c r="BL83" i="66" s="1"/>
  <c r="BM83" i="66" s="1"/>
  <c r="BN83" i="66" s="1"/>
  <c r="BO83" i="66" s="1"/>
  <c r="BP83" i="66" s="1"/>
  <c r="BQ83" i="66" s="1"/>
  <c r="V79" i="66"/>
  <c r="W79" i="66" s="1"/>
  <c r="X79" i="66" s="1"/>
  <c r="Y79" i="66" s="1"/>
  <c r="Z79" i="66" s="1"/>
  <c r="AA79" i="66" s="1"/>
  <c r="AB79" i="66" s="1"/>
  <c r="AC79" i="66" s="1"/>
  <c r="AD79" i="66" s="1"/>
  <c r="AE79" i="66" s="1"/>
  <c r="AF79" i="66" s="1"/>
  <c r="AG79" i="66" s="1"/>
  <c r="AH79" i="66" s="1"/>
  <c r="AI79" i="66" s="1"/>
  <c r="AJ79" i="66" s="1"/>
  <c r="AK79" i="66" s="1"/>
  <c r="AL79" i="66" s="1"/>
  <c r="AM79" i="66" s="1"/>
  <c r="AN79" i="66" s="1"/>
  <c r="AO79" i="66" s="1"/>
  <c r="AP79" i="66" s="1"/>
  <c r="AQ79" i="66" s="1"/>
  <c r="AR79" i="66" s="1"/>
  <c r="AS79" i="66" s="1"/>
  <c r="AT79" i="66" s="1"/>
  <c r="AU79" i="66" s="1"/>
  <c r="AV79" i="66" s="1"/>
  <c r="AW79" i="66" s="1"/>
  <c r="AX79" i="66" s="1"/>
  <c r="AY79" i="66" s="1"/>
  <c r="AZ79" i="66" s="1"/>
  <c r="BA79" i="66" s="1"/>
  <c r="BB79" i="66" s="1"/>
  <c r="BC79" i="66" s="1"/>
  <c r="BD79" i="66" s="1"/>
  <c r="BE79" i="66" s="1"/>
  <c r="BF79" i="66" s="1"/>
  <c r="BG79" i="66" s="1"/>
  <c r="BH79" i="66" s="1"/>
  <c r="BI79" i="66" s="1"/>
  <c r="BJ79" i="66" s="1"/>
  <c r="BK79" i="66" s="1"/>
  <c r="BL79" i="66" s="1"/>
  <c r="BM79" i="66" s="1"/>
  <c r="BN79" i="66" s="1"/>
  <c r="V75" i="66"/>
  <c r="W75" i="66" s="1"/>
  <c r="X75" i="66" s="1"/>
  <c r="Y75" i="66" s="1"/>
  <c r="Z75" i="66" s="1"/>
  <c r="AA75" i="66" s="1"/>
  <c r="AB75" i="66" s="1"/>
  <c r="AC75" i="66" s="1"/>
  <c r="AD75" i="66" s="1"/>
  <c r="AE75" i="66" s="1"/>
  <c r="AF75" i="66" s="1"/>
  <c r="AG75" i="66" s="1"/>
  <c r="AH75" i="66" s="1"/>
  <c r="AI75" i="66" s="1"/>
  <c r="AJ75" i="66" s="1"/>
  <c r="AK75" i="66" s="1"/>
  <c r="AL75" i="66" s="1"/>
  <c r="AM75" i="66" s="1"/>
  <c r="AN75" i="66" s="1"/>
  <c r="AO75" i="66" s="1"/>
  <c r="AP75" i="66" s="1"/>
  <c r="AQ75" i="66" s="1"/>
  <c r="AR75" i="66" s="1"/>
  <c r="AS75" i="66" s="1"/>
  <c r="AT75" i="66" s="1"/>
  <c r="AU75" i="66" s="1"/>
  <c r="AV75" i="66" s="1"/>
  <c r="AW75" i="66" s="1"/>
  <c r="AX75" i="66" s="1"/>
  <c r="AY75" i="66" s="1"/>
  <c r="AZ75" i="66" s="1"/>
  <c r="BA75" i="66" s="1"/>
  <c r="BB75" i="66" s="1"/>
  <c r="BC75" i="66" s="1"/>
  <c r="BD75" i="66" s="1"/>
  <c r="BE75" i="66" s="1"/>
  <c r="BF75" i="66" s="1"/>
  <c r="BG75" i="66" s="1"/>
  <c r="BH75" i="66" s="1"/>
  <c r="BI75" i="66" s="1"/>
  <c r="BJ75" i="66" s="1"/>
  <c r="BK75" i="66" s="1"/>
  <c r="BL75" i="66" s="1"/>
  <c r="BM75" i="66" s="1"/>
  <c r="BN75" i="66" s="1"/>
  <c r="BO75" i="66" s="1"/>
  <c r="BP75" i="66" s="1"/>
  <c r="BQ75" i="66" s="1"/>
  <c r="V73" i="66"/>
  <c r="W73" i="66" s="1"/>
  <c r="V65" i="66"/>
  <c r="W65" i="66" s="1"/>
  <c r="X65" i="66" s="1"/>
  <c r="Y65" i="66" s="1"/>
  <c r="Z65" i="66" s="1"/>
  <c r="AA65" i="66" s="1"/>
  <c r="AB65" i="66" s="1"/>
  <c r="AC65" i="66" s="1"/>
  <c r="AD65" i="66" s="1"/>
  <c r="AE65" i="66" s="1"/>
  <c r="AF65" i="66" s="1"/>
  <c r="AG65" i="66" s="1"/>
  <c r="AH65" i="66" s="1"/>
  <c r="AI65" i="66" s="1"/>
  <c r="AJ65" i="66" s="1"/>
  <c r="AK65" i="66" s="1"/>
  <c r="AL65" i="66" s="1"/>
  <c r="AM65" i="66" s="1"/>
  <c r="AN65" i="66" s="1"/>
  <c r="AO65" i="66" s="1"/>
  <c r="AP65" i="66" s="1"/>
  <c r="AQ65" i="66" s="1"/>
  <c r="AR65" i="66" s="1"/>
  <c r="AS65" i="66" s="1"/>
  <c r="AT65" i="66" s="1"/>
  <c r="AU65" i="66" s="1"/>
  <c r="AV65" i="66" s="1"/>
  <c r="AW65" i="66" s="1"/>
  <c r="AX65" i="66" s="1"/>
  <c r="AY65" i="66" s="1"/>
  <c r="AZ65" i="66" s="1"/>
  <c r="BA65" i="66" s="1"/>
  <c r="BB65" i="66" s="1"/>
  <c r="BC65" i="66" s="1"/>
  <c r="BD65" i="66" s="1"/>
  <c r="BE65" i="66" s="1"/>
  <c r="BF65" i="66" s="1"/>
  <c r="BG65" i="66" s="1"/>
  <c r="BH65" i="66" s="1"/>
  <c r="BI65" i="66" s="1"/>
  <c r="BJ65" i="66" s="1"/>
  <c r="BK65" i="66" s="1"/>
  <c r="BL65" i="66" s="1"/>
  <c r="BM65" i="66" s="1"/>
  <c r="BN65" i="66" s="1"/>
  <c r="BO65" i="66" s="1"/>
  <c r="BP65" i="66" s="1"/>
  <c r="BQ65" i="66" s="1"/>
  <c r="V59" i="66"/>
  <c r="W59" i="66" s="1"/>
  <c r="X59" i="66" s="1"/>
  <c r="Y59" i="66" s="1"/>
  <c r="Z59" i="66" s="1"/>
  <c r="AA59" i="66" s="1"/>
  <c r="AB59" i="66" s="1"/>
  <c r="AC59" i="66" s="1"/>
  <c r="AD59" i="66" s="1"/>
  <c r="AE59" i="66" s="1"/>
  <c r="AF59" i="66" s="1"/>
  <c r="AG59" i="66" s="1"/>
  <c r="AH59" i="66" s="1"/>
  <c r="AI59" i="66" s="1"/>
  <c r="AJ59" i="66" s="1"/>
  <c r="AK59" i="66" s="1"/>
  <c r="AL59" i="66" s="1"/>
  <c r="AM59" i="66" s="1"/>
  <c r="AN59" i="66" s="1"/>
  <c r="AO59" i="66" s="1"/>
  <c r="AP59" i="66" s="1"/>
  <c r="AQ59" i="66" s="1"/>
  <c r="AR59" i="66" s="1"/>
  <c r="AS59" i="66" s="1"/>
  <c r="AT59" i="66" s="1"/>
  <c r="AU59" i="66" s="1"/>
  <c r="AV59" i="66" s="1"/>
  <c r="AW59" i="66" s="1"/>
  <c r="AX59" i="66" s="1"/>
  <c r="AY59" i="66" s="1"/>
  <c r="AZ59" i="66" s="1"/>
  <c r="BA59" i="66" s="1"/>
  <c r="BB59" i="66" s="1"/>
  <c r="BC59" i="66" s="1"/>
  <c r="BD59" i="66" s="1"/>
  <c r="BE59" i="66" s="1"/>
  <c r="BF59" i="66" s="1"/>
  <c r="BG59" i="66" s="1"/>
  <c r="BH59" i="66" s="1"/>
  <c r="BI59" i="66" s="1"/>
  <c r="BJ59" i="66" s="1"/>
  <c r="BK59" i="66" s="1"/>
  <c r="BL59" i="66" s="1"/>
  <c r="BM59" i="66" s="1"/>
  <c r="BN59" i="66" s="1"/>
  <c r="BO59" i="66" s="1"/>
  <c r="BP59" i="66" s="1"/>
  <c r="BQ59" i="66" s="1"/>
  <c r="V53" i="66"/>
  <c r="W53" i="66" s="1"/>
  <c r="X53" i="66" s="1"/>
  <c r="Y53" i="66" s="1"/>
  <c r="Z53" i="66" s="1"/>
  <c r="AA53" i="66" s="1"/>
  <c r="AB53" i="66" s="1"/>
  <c r="AC53" i="66" s="1"/>
  <c r="AD53" i="66" s="1"/>
  <c r="AE53" i="66" s="1"/>
  <c r="AF53" i="66" s="1"/>
  <c r="AG53" i="66" s="1"/>
  <c r="AH53" i="66" s="1"/>
  <c r="AI53" i="66" s="1"/>
  <c r="AJ53" i="66" s="1"/>
  <c r="AK53" i="66" s="1"/>
  <c r="AL53" i="66" s="1"/>
  <c r="AM53" i="66" s="1"/>
  <c r="AN53" i="66" s="1"/>
  <c r="AO53" i="66" s="1"/>
  <c r="AP53" i="66" s="1"/>
  <c r="AQ53" i="66" s="1"/>
  <c r="AR53" i="66" s="1"/>
  <c r="AS53" i="66" s="1"/>
  <c r="AT53" i="66" s="1"/>
  <c r="AU53" i="66" s="1"/>
  <c r="AV53" i="66" s="1"/>
  <c r="AW53" i="66" s="1"/>
  <c r="AX53" i="66" s="1"/>
  <c r="AY53" i="66" s="1"/>
  <c r="AZ53" i="66" s="1"/>
  <c r="BA53" i="66" s="1"/>
  <c r="BB53" i="66" s="1"/>
  <c r="BC53" i="66" s="1"/>
  <c r="BD53" i="66" s="1"/>
  <c r="BE53" i="66" s="1"/>
  <c r="BF53" i="66" s="1"/>
  <c r="BG53" i="66" s="1"/>
  <c r="BH53" i="66" s="1"/>
  <c r="BI53" i="66" s="1"/>
  <c r="BJ53" i="66" s="1"/>
  <c r="BK53" i="66" s="1"/>
  <c r="BL53" i="66" s="1"/>
  <c r="BM53" i="66" s="1"/>
  <c r="BN53" i="66" s="1"/>
  <c r="BO53" i="66" s="1"/>
  <c r="BP53" i="66" s="1"/>
  <c r="BQ53" i="66" s="1"/>
  <c r="V51" i="66"/>
  <c r="W51" i="66" s="1"/>
  <c r="X51" i="66" s="1"/>
  <c r="Y51" i="66" s="1"/>
  <c r="Z51" i="66" s="1"/>
  <c r="AA51" i="66" s="1"/>
  <c r="AB51" i="66" s="1"/>
  <c r="AC51" i="66" s="1"/>
  <c r="AD51" i="66" s="1"/>
  <c r="AE51" i="66" s="1"/>
  <c r="AF51" i="66" s="1"/>
  <c r="AG51" i="66" s="1"/>
  <c r="AH51" i="66" s="1"/>
  <c r="AI51" i="66" s="1"/>
  <c r="AJ51" i="66" s="1"/>
  <c r="AK51" i="66" s="1"/>
  <c r="AL51" i="66" s="1"/>
  <c r="AM51" i="66" s="1"/>
  <c r="AN51" i="66" s="1"/>
  <c r="AO51" i="66" s="1"/>
  <c r="AP51" i="66" s="1"/>
  <c r="AQ51" i="66" s="1"/>
  <c r="AR51" i="66" s="1"/>
  <c r="AS51" i="66" s="1"/>
  <c r="AT51" i="66" s="1"/>
  <c r="AU51" i="66" s="1"/>
  <c r="AV51" i="66" s="1"/>
  <c r="AW51" i="66" s="1"/>
  <c r="AX51" i="66" s="1"/>
  <c r="AY51" i="66" s="1"/>
  <c r="AZ51" i="66" s="1"/>
  <c r="BA51" i="66" s="1"/>
  <c r="BB51" i="66" s="1"/>
  <c r="BC51" i="66" s="1"/>
  <c r="BD51" i="66" s="1"/>
  <c r="BE51" i="66" s="1"/>
  <c r="BF51" i="66" s="1"/>
  <c r="BG51" i="66" s="1"/>
  <c r="BH51" i="66" s="1"/>
  <c r="BI51" i="66" s="1"/>
  <c r="BJ51" i="66" s="1"/>
  <c r="BK51" i="66" s="1"/>
  <c r="BL51" i="66" s="1"/>
  <c r="BM51" i="66" s="1"/>
  <c r="BN51" i="66" s="1"/>
  <c r="BO51" i="66" s="1"/>
  <c r="BP51" i="66" s="1"/>
  <c r="BQ51" i="66" s="1"/>
  <c r="V49" i="66"/>
  <c r="W49" i="66" s="1"/>
  <c r="X49" i="66" s="1"/>
  <c r="Y49" i="66" s="1"/>
  <c r="Z49" i="66" s="1"/>
  <c r="AA49" i="66" s="1"/>
  <c r="AB49" i="66" s="1"/>
  <c r="AC49" i="66" s="1"/>
  <c r="AD49" i="66" s="1"/>
  <c r="AE49" i="66" s="1"/>
  <c r="AF49" i="66" s="1"/>
  <c r="AG49" i="66" s="1"/>
  <c r="AH49" i="66" s="1"/>
  <c r="AI49" i="66" s="1"/>
  <c r="AJ49" i="66" s="1"/>
  <c r="AK49" i="66" s="1"/>
  <c r="AL49" i="66" s="1"/>
  <c r="AM49" i="66" s="1"/>
  <c r="AN49" i="66" s="1"/>
  <c r="AO49" i="66" s="1"/>
  <c r="AP49" i="66" s="1"/>
  <c r="AQ49" i="66" s="1"/>
  <c r="AR49" i="66" s="1"/>
  <c r="AS49" i="66" s="1"/>
  <c r="AT49" i="66" s="1"/>
  <c r="AU49" i="66" s="1"/>
  <c r="AV49" i="66" s="1"/>
  <c r="AW49" i="66" s="1"/>
  <c r="AX49" i="66" s="1"/>
  <c r="AY49" i="66" s="1"/>
  <c r="AZ49" i="66" s="1"/>
  <c r="BA49" i="66" s="1"/>
  <c r="BB49" i="66" s="1"/>
  <c r="BC49" i="66" s="1"/>
  <c r="BD49" i="66" s="1"/>
  <c r="BE49" i="66" s="1"/>
  <c r="BF49" i="66" s="1"/>
  <c r="BG49" i="66" s="1"/>
  <c r="BH49" i="66" s="1"/>
  <c r="BI49" i="66" s="1"/>
  <c r="BJ49" i="66" s="1"/>
  <c r="BK49" i="66" s="1"/>
  <c r="BL49" i="66" s="1"/>
  <c r="BM49" i="66" s="1"/>
  <c r="BN49" i="66" s="1"/>
  <c r="BO49" i="66" s="1"/>
  <c r="BP49" i="66" s="1"/>
  <c r="BQ49" i="66" s="1"/>
  <c r="V45" i="66"/>
  <c r="W45" i="66" s="1"/>
  <c r="X45" i="66" s="1"/>
  <c r="Y45" i="66" s="1"/>
  <c r="Z45" i="66" s="1"/>
  <c r="AA45" i="66" s="1"/>
  <c r="AB45" i="66" s="1"/>
  <c r="AC45" i="66" s="1"/>
  <c r="AD45" i="66" s="1"/>
  <c r="AE45" i="66" s="1"/>
  <c r="AF45" i="66" s="1"/>
  <c r="AG45" i="66" s="1"/>
  <c r="AH45" i="66" s="1"/>
  <c r="AI45" i="66" s="1"/>
  <c r="AJ45" i="66" s="1"/>
  <c r="AK45" i="66" s="1"/>
  <c r="AL45" i="66" s="1"/>
  <c r="AM45" i="66" s="1"/>
  <c r="AN45" i="66" s="1"/>
  <c r="AO45" i="66" s="1"/>
  <c r="AP45" i="66" s="1"/>
  <c r="AQ45" i="66" s="1"/>
  <c r="AR45" i="66" s="1"/>
  <c r="AS45" i="66" s="1"/>
  <c r="AT45" i="66" s="1"/>
  <c r="AU45" i="66" s="1"/>
  <c r="AV45" i="66" s="1"/>
  <c r="AW45" i="66" s="1"/>
  <c r="AX45" i="66" s="1"/>
  <c r="AY45" i="66" s="1"/>
  <c r="AZ45" i="66" s="1"/>
  <c r="BA45" i="66" s="1"/>
  <c r="BB45" i="66" s="1"/>
  <c r="BC45" i="66" s="1"/>
  <c r="BD45" i="66" s="1"/>
  <c r="BE45" i="66" s="1"/>
  <c r="BF45" i="66" s="1"/>
  <c r="BG45" i="66" s="1"/>
  <c r="BH45" i="66" s="1"/>
  <c r="BI45" i="66" s="1"/>
  <c r="BJ45" i="66" s="1"/>
  <c r="BK45" i="66" s="1"/>
  <c r="BL45" i="66" s="1"/>
  <c r="BM45" i="66" s="1"/>
  <c r="BN45" i="66" s="1"/>
  <c r="BO45" i="66" s="1"/>
  <c r="BP45" i="66" s="1"/>
  <c r="BQ45" i="66" s="1"/>
  <c r="V43" i="66"/>
  <c r="W43" i="66" s="1"/>
  <c r="X43" i="66" s="1"/>
  <c r="Y43" i="66" s="1"/>
  <c r="Z43" i="66" s="1"/>
  <c r="AA43" i="66" s="1"/>
  <c r="AB43" i="66" s="1"/>
  <c r="AC43" i="66" s="1"/>
  <c r="AD43" i="66" s="1"/>
  <c r="AE43" i="66" s="1"/>
  <c r="AF43" i="66" s="1"/>
  <c r="AG43" i="66" s="1"/>
  <c r="AH43" i="66" s="1"/>
  <c r="AI43" i="66" s="1"/>
  <c r="AJ43" i="66" s="1"/>
  <c r="AK43" i="66" s="1"/>
  <c r="AL43" i="66" s="1"/>
  <c r="AM43" i="66" s="1"/>
  <c r="AN43" i="66" s="1"/>
  <c r="AO43" i="66" s="1"/>
  <c r="AP43" i="66" s="1"/>
  <c r="AQ43" i="66" s="1"/>
  <c r="AR43" i="66" s="1"/>
  <c r="AS43" i="66" s="1"/>
  <c r="AT43" i="66" s="1"/>
  <c r="AU43" i="66" s="1"/>
  <c r="AV43" i="66" s="1"/>
  <c r="AW43" i="66" s="1"/>
  <c r="AX43" i="66" s="1"/>
  <c r="AY43" i="66" s="1"/>
  <c r="AZ43" i="66" s="1"/>
  <c r="BA43" i="66" s="1"/>
  <c r="BB43" i="66" s="1"/>
  <c r="BC43" i="66" s="1"/>
  <c r="BD43" i="66" s="1"/>
  <c r="BE43" i="66" s="1"/>
  <c r="BF43" i="66" s="1"/>
  <c r="BG43" i="66" s="1"/>
  <c r="BH43" i="66" s="1"/>
  <c r="BI43" i="66" s="1"/>
  <c r="BJ43" i="66" s="1"/>
  <c r="BK43" i="66" s="1"/>
  <c r="BL43" i="66" s="1"/>
  <c r="BM43" i="66" s="1"/>
  <c r="BN43" i="66" s="1"/>
  <c r="BO43" i="66" s="1"/>
  <c r="BP43" i="66" s="1"/>
  <c r="BQ43" i="66" s="1"/>
  <c r="V41" i="66"/>
  <c r="W41" i="66" s="1"/>
  <c r="X41" i="66" s="1"/>
  <c r="Y41" i="66" s="1"/>
  <c r="Z41" i="66" s="1"/>
  <c r="AA41" i="66" s="1"/>
  <c r="AB41" i="66" s="1"/>
  <c r="AC41" i="66" s="1"/>
  <c r="AD41" i="66" s="1"/>
  <c r="AE41" i="66" s="1"/>
  <c r="AF41" i="66" s="1"/>
  <c r="AG41" i="66" s="1"/>
  <c r="AH41" i="66" s="1"/>
  <c r="AI41" i="66" s="1"/>
  <c r="AJ41" i="66" s="1"/>
  <c r="AK41" i="66" s="1"/>
  <c r="AL41" i="66" s="1"/>
  <c r="AM41" i="66" s="1"/>
  <c r="AN41" i="66" s="1"/>
  <c r="AO41" i="66" s="1"/>
  <c r="AP41" i="66" s="1"/>
  <c r="AQ41" i="66" s="1"/>
  <c r="AR41" i="66" s="1"/>
  <c r="AS41" i="66" s="1"/>
  <c r="AT41" i="66" s="1"/>
  <c r="AU41" i="66" s="1"/>
  <c r="AV41" i="66" s="1"/>
  <c r="AW41" i="66" s="1"/>
  <c r="AX41" i="66" s="1"/>
  <c r="AY41" i="66" s="1"/>
  <c r="AZ41" i="66" s="1"/>
  <c r="BA41" i="66" s="1"/>
  <c r="BB41" i="66" s="1"/>
  <c r="BC41" i="66" s="1"/>
  <c r="BD41" i="66" s="1"/>
  <c r="BE41" i="66" s="1"/>
  <c r="BF41" i="66" s="1"/>
  <c r="BG41" i="66" s="1"/>
  <c r="BH41" i="66" s="1"/>
  <c r="BI41" i="66" s="1"/>
  <c r="BJ41" i="66" s="1"/>
  <c r="BK41" i="66" s="1"/>
  <c r="BL41" i="66" s="1"/>
  <c r="BM41" i="66" s="1"/>
  <c r="BN41" i="66" s="1"/>
  <c r="BO41" i="66" s="1"/>
  <c r="BP41" i="66" s="1"/>
  <c r="BQ41" i="66" s="1"/>
  <c r="V33" i="66"/>
  <c r="N14" i="32"/>
  <c r="BE14" i="32"/>
  <c r="BA14" i="32"/>
  <c r="AW14" i="32"/>
  <c r="AK14" i="32"/>
  <c r="AG14" i="32"/>
  <c r="Q14" i="32"/>
  <c r="O13" i="32"/>
  <c r="BK13" i="32"/>
  <c r="BG13" i="32"/>
  <c r="BC13" i="32"/>
  <c r="AY13" i="32"/>
  <c r="AU13" i="32"/>
  <c r="AQ13" i="32"/>
  <c r="AM13" i="32"/>
  <c r="AI13" i="32"/>
  <c r="AE13" i="32"/>
  <c r="AA13" i="32"/>
  <c r="W13" i="32"/>
  <c r="S13" i="32"/>
  <c r="AC11" i="32"/>
  <c r="C11" i="32"/>
  <c r="D11" i="32"/>
  <c r="BK11" i="32"/>
  <c r="BG11" i="32"/>
  <c r="BC11" i="32"/>
  <c r="AY11" i="32"/>
  <c r="AU11" i="32"/>
  <c r="AQ11" i="32"/>
  <c r="AM11" i="32"/>
  <c r="AI11" i="32"/>
  <c r="AE11" i="32"/>
  <c r="AA11" i="32"/>
  <c r="W11" i="32"/>
  <c r="S11" i="32"/>
  <c r="O11" i="32"/>
  <c r="K11" i="32"/>
  <c r="G11" i="32"/>
  <c r="BH11" i="32"/>
  <c r="BD11" i="32"/>
  <c r="AZ11" i="32"/>
  <c r="AV11" i="32"/>
  <c r="AR11" i="32"/>
  <c r="AN11" i="32"/>
  <c r="AJ11" i="32"/>
  <c r="AF11" i="32"/>
  <c r="AB11" i="32"/>
  <c r="X11" i="32"/>
  <c r="T11" i="32"/>
  <c r="P11" i="32"/>
  <c r="L11" i="32"/>
  <c r="H11" i="32"/>
  <c r="W160" i="66" l="1"/>
  <c r="V226" i="66"/>
  <c r="W140" i="66"/>
  <c r="V222" i="66"/>
  <c r="W165" i="66"/>
  <c r="V227" i="66"/>
  <c r="W52" i="66"/>
  <c r="V212" i="66"/>
  <c r="W150" i="66"/>
  <c r="V224" i="66"/>
  <c r="W170" i="66"/>
  <c r="V228" i="66"/>
  <c r="W135" i="66"/>
  <c r="V221" i="66"/>
  <c r="W126" i="66"/>
  <c r="V219" i="66"/>
  <c r="W33" i="66"/>
  <c r="W42" i="66"/>
  <c r="V210" i="66"/>
  <c r="W145" i="66"/>
  <c r="V223" i="66"/>
  <c r="W155" i="66"/>
  <c r="V225" i="66"/>
  <c r="W175" i="66"/>
  <c r="V229" i="66"/>
  <c r="W130" i="66"/>
  <c r="BO79" i="66"/>
  <c r="BP79" i="66" s="1"/>
  <c r="BQ79" i="66" s="1"/>
  <c r="BO153" i="66"/>
  <c r="BP153" i="66" s="1"/>
  <c r="BQ153" i="66" s="1"/>
  <c r="BQ161" i="66"/>
  <c r="C10" i="67"/>
  <c r="C12" i="67"/>
  <c r="C14" i="67"/>
  <c r="C16" i="67"/>
  <c r="C18" i="67"/>
  <c r="C20" i="67"/>
  <c r="C22" i="67"/>
  <c r="C24" i="67"/>
  <c r="C26" i="67"/>
  <c r="C28" i="67"/>
  <c r="C30" i="67"/>
  <c r="C32" i="67"/>
  <c r="C34" i="67"/>
  <c r="C36" i="67"/>
  <c r="C38" i="67"/>
  <c r="C40" i="67"/>
  <c r="C42" i="67"/>
  <c r="C44" i="67"/>
  <c r="C46" i="67"/>
  <c r="C48" i="67"/>
  <c r="C50" i="67"/>
  <c r="C52" i="67"/>
  <c r="C54" i="67"/>
  <c r="C56" i="67"/>
  <c r="C11" i="67"/>
  <c r="C13" i="67"/>
  <c r="C15" i="67"/>
  <c r="C17" i="67"/>
  <c r="C19" i="67"/>
  <c r="C21" i="67"/>
  <c r="C23" i="67"/>
  <c r="C25" i="67"/>
  <c r="C27" i="67"/>
  <c r="C29" i="67"/>
  <c r="C31" i="67"/>
  <c r="C33" i="67"/>
  <c r="C35" i="67"/>
  <c r="C37" i="67"/>
  <c r="C39" i="67"/>
  <c r="C41" i="67"/>
  <c r="C43" i="67"/>
  <c r="C45" i="67"/>
  <c r="C47" i="67"/>
  <c r="C49" i="67"/>
  <c r="C51" i="67"/>
  <c r="C53" i="67"/>
  <c r="C55" i="67"/>
  <c r="C57" i="67"/>
  <c r="C59" i="67"/>
  <c r="C61" i="67"/>
  <c r="C63" i="67"/>
  <c r="C65" i="67"/>
  <c r="C58" i="67"/>
  <c r="C62" i="67"/>
  <c r="C66" i="67"/>
  <c r="C67" i="67"/>
  <c r="C69" i="67"/>
  <c r="C71" i="67"/>
  <c r="C73" i="67"/>
  <c r="C75" i="67"/>
  <c r="C78" i="67"/>
  <c r="C80" i="67"/>
  <c r="C82" i="67"/>
  <c r="C84" i="67"/>
  <c r="C86" i="67"/>
  <c r="C88" i="67"/>
  <c r="C90" i="67"/>
  <c r="C92" i="67"/>
  <c r="C94" i="67"/>
  <c r="C96" i="67"/>
  <c r="C98" i="67"/>
  <c r="C100" i="67"/>
  <c r="C102" i="67"/>
  <c r="C104" i="67"/>
  <c r="C106" i="67"/>
  <c r="C108" i="67"/>
  <c r="C110" i="67"/>
  <c r="C112" i="67"/>
  <c r="C114" i="67"/>
  <c r="C116" i="67"/>
  <c r="C118" i="67"/>
  <c r="C120" i="67"/>
  <c r="C60" i="67"/>
  <c r="C64" i="67"/>
  <c r="C68" i="67"/>
  <c r="C70" i="67"/>
  <c r="C72" i="67"/>
  <c r="C74" i="67"/>
  <c r="C79" i="67"/>
  <c r="C81" i="67"/>
  <c r="C83" i="67"/>
  <c r="C85" i="67"/>
  <c r="C87" i="67"/>
  <c r="C89" i="67"/>
  <c r="C91" i="67"/>
  <c r="C93" i="67"/>
  <c r="C95" i="67"/>
  <c r="C97" i="67"/>
  <c r="C99" i="67"/>
  <c r="C101" i="67"/>
  <c r="C103" i="67"/>
  <c r="C105" i="67"/>
  <c r="C107" i="67"/>
  <c r="C109" i="67"/>
  <c r="C111" i="67"/>
  <c r="C113" i="67"/>
  <c r="C115" i="67"/>
  <c r="C117" i="67"/>
  <c r="C119" i="67"/>
  <c r="C121" i="67"/>
  <c r="C123" i="67"/>
  <c r="C125" i="67"/>
  <c r="C127" i="67"/>
  <c r="C129" i="67"/>
  <c r="C131" i="67"/>
  <c r="C133" i="67"/>
  <c r="C135" i="67"/>
  <c r="C137" i="67"/>
  <c r="C139" i="67"/>
  <c r="C141" i="67"/>
  <c r="C143" i="67"/>
  <c r="C122" i="67"/>
  <c r="C126" i="67"/>
  <c r="C130" i="67"/>
  <c r="C134" i="67"/>
  <c r="C138" i="67"/>
  <c r="C142" i="67"/>
  <c r="C124" i="67"/>
  <c r="C128" i="67"/>
  <c r="C132" i="67"/>
  <c r="C136" i="67"/>
  <c r="C140" i="67"/>
  <c r="E7" i="67"/>
  <c r="M203" i="66"/>
  <c r="D203" i="66"/>
  <c r="H203" i="66"/>
  <c r="V63" i="66"/>
  <c r="W63" i="66" s="1"/>
  <c r="X63" i="66" s="1"/>
  <c r="Y63" i="66" s="1"/>
  <c r="Z63" i="66" s="1"/>
  <c r="AA63" i="66" s="1"/>
  <c r="AB63" i="66" s="1"/>
  <c r="AC63" i="66" s="1"/>
  <c r="AD63" i="66" s="1"/>
  <c r="AE63" i="66" s="1"/>
  <c r="AF63" i="66" s="1"/>
  <c r="AG63" i="66" s="1"/>
  <c r="AH63" i="66" s="1"/>
  <c r="AI63" i="66" s="1"/>
  <c r="AJ63" i="66" s="1"/>
  <c r="AK63" i="66" s="1"/>
  <c r="AL63" i="66" s="1"/>
  <c r="AM63" i="66" s="1"/>
  <c r="AN63" i="66" s="1"/>
  <c r="AO63" i="66" s="1"/>
  <c r="AP63" i="66" s="1"/>
  <c r="AQ63" i="66" s="1"/>
  <c r="AR63" i="66" s="1"/>
  <c r="AS63" i="66" s="1"/>
  <c r="AT63" i="66" s="1"/>
  <c r="AU63" i="66" s="1"/>
  <c r="AV63" i="66" s="1"/>
  <c r="AW63" i="66" s="1"/>
  <c r="AX63" i="66" s="1"/>
  <c r="AY63" i="66" s="1"/>
  <c r="AZ63" i="66" s="1"/>
  <c r="BA63" i="66" s="1"/>
  <c r="BB63" i="66" s="1"/>
  <c r="BC63" i="66" s="1"/>
  <c r="BD63" i="66" s="1"/>
  <c r="BE63" i="66" s="1"/>
  <c r="BF63" i="66" s="1"/>
  <c r="BG63" i="66" s="1"/>
  <c r="BH63" i="66" s="1"/>
  <c r="BI63" i="66" s="1"/>
  <c r="BJ63" i="66" s="1"/>
  <c r="BK63" i="66" s="1"/>
  <c r="BL63" i="66" s="1"/>
  <c r="BM63" i="66" s="1"/>
  <c r="BN63" i="66" s="1"/>
  <c r="BO63" i="66" s="1"/>
  <c r="BP63" i="66" s="1"/>
  <c r="BQ63" i="66" s="1"/>
  <c r="L203" i="66"/>
  <c r="P203" i="66"/>
  <c r="D6" i="66"/>
  <c r="C6" i="66"/>
  <c r="O6" i="66"/>
  <c r="G6" i="66"/>
  <c r="I203" i="66"/>
  <c r="Q203" i="66"/>
  <c r="G203" i="66"/>
  <c r="K6" i="66"/>
  <c r="E203" i="66"/>
  <c r="B7" i="67"/>
  <c r="F203" i="66"/>
  <c r="F6" i="66"/>
  <c r="C203" i="66"/>
  <c r="O203" i="66"/>
  <c r="D7" i="67"/>
  <c r="B6" i="66"/>
  <c r="G7" i="67"/>
  <c r="I6" i="66"/>
  <c r="F7" i="67"/>
  <c r="N203" i="66"/>
  <c r="R203" i="66"/>
  <c r="K203" i="66"/>
  <c r="R6" i="66"/>
  <c r="E6" i="66"/>
  <c r="L6" i="66"/>
  <c r="V71" i="66"/>
  <c r="W71" i="66" s="1"/>
  <c r="X71" i="66" s="1"/>
  <c r="Y71" i="66" s="1"/>
  <c r="Z71" i="66" s="1"/>
  <c r="AA71" i="66" s="1"/>
  <c r="AB71" i="66" s="1"/>
  <c r="AC71" i="66" s="1"/>
  <c r="H7" i="67"/>
  <c r="M6" i="66"/>
  <c r="N6" i="66"/>
  <c r="S6" i="66"/>
  <c r="S203" i="66"/>
  <c r="P6" i="66"/>
  <c r="Q6" i="66"/>
  <c r="J6" i="66"/>
  <c r="H6" i="66"/>
  <c r="T203" i="66"/>
  <c r="V32" i="66"/>
  <c r="X38" i="66"/>
  <c r="W58" i="66"/>
  <c r="X73" i="66"/>
  <c r="AD84" i="66"/>
  <c r="Z128" i="66"/>
  <c r="AC50" i="66"/>
  <c r="Y141" i="66"/>
  <c r="X139" i="66"/>
  <c r="X130" i="66" l="1"/>
  <c r="X155" i="66"/>
  <c r="W225" i="66"/>
  <c r="X42" i="66"/>
  <c r="W210" i="66"/>
  <c r="X126" i="66"/>
  <c r="W219" i="66"/>
  <c r="X170" i="66"/>
  <c r="W228" i="66"/>
  <c r="X52" i="66"/>
  <c r="W212" i="66"/>
  <c r="X140" i="66"/>
  <c r="W222" i="66"/>
  <c r="X175" i="66"/>
  <c r="W229" i="66"/>
  <c r="X145" i="66"/>
  <c r="W223" i="66"/>
  <c r="X33" i="66"/>
  <c r="X135" i="66"/>
  <c r="W221" i="66"/>
  <c r="X150" i="66"/>
  <c r="W224" i="66"/>
  <c r="X165" i="66"/>
  <c r="W227" i="66"/>
  <c r="X160" i="66"/>
  <c r="W226" i="66"/>
  <c r="U206" i="66"/>
  <c r="G10" i="67"/>
  <c r="G12" i="67"/>
  <c r="G14" i="67"/>
  <c r="G16" i="67"/>
  <c r="G18" i="67"/>
  <c r="G20" i="67"/>
  <c r="G22" i="67"/>
  <c r="G24" i="67"/>
  <c r="G26" i="67"/>
  <c r="G28" i="67"/>
  <c r="G30" i="67"/>
  <c r="G32" i="67"/>
  <c r="G34" i="67"/>
  <c r="G36" i="67"/>
  <c r="G38" i="67"/>
  <c r="G40" i="67"/>
  <c r="G42" i="67"/>
  <c r="G44" i="67"/>
  <c r="G46" i="67"/>
  <c r="G48" i="67"/>
  <c r="G50" i="67"/>
  <c r="G52" i="67"/>
  <c r="G54" i="67"/>
  <c r="G56" i="67"/>
  <c r="G11" i="67"/>
  <c r="G13" i="67"/>
  <c r="G15" i="67"/>
  <c r="G17" i="67"/>
  <c r="G19" i="67"/>
  <c r="G21" i="67"/>
  <c r="G23" i="67"/>
  <c r="G25" i="67"/>
  <c r="G27" i="67"/>
  <c r="G29" i="67"/>
  <c r="G31" i="67"/>
  <c r="G33" i="67"/>
  <c r="G35" i="67"/>
  <c r="G37" i="67"/>
  <c r="G39" i="67"/>
  <c r="G41" i="67"/>
  <c r="G43" i="67"/>
  <c r="G45" i="67"/>
  <c r="G47" i="67"/>
  <c r="G49" i="67"/>
  <c r="G51" i="67"/>
  <c r="G53" i="67"/>
  <c r="G55" i="67"/>
  <c r="G57" i="67"/>
  <c r="G59" i="67"/>
  <c r="G61" i="67"/>
  <c r="G63" i="67"/>
  <c r="G65" i="67"/>
  <c r="G60" i="67"/>
  <c r="G64" i="67"/>
  <c r="G67" i="67"/>
  <c r="G69" i="67"/>
  <c r="G71" i="67"/>
  <c r="G73" i="67"/>
  <c r="G75" i="67"/>
  <c r="G78" i="67"/>
  <c r="G80" i="67"/>
  <c r="G82" i="67"/>
  <c r="G84" i="67"/>
  <c r="G86" i="67"/>
  <c r="G88" i="67"/>
  <c r="G90" i="67"/>
  <c r="G92" i="67"/>
  <c r="G94" i="67"/>
  <c r="G96" i="67"/>
  <c r="G98" i="67"/>
  <c r="G100" i="67"/>
  <c r="G102" i="67"/>
  <c r="G104" i="67"/>
  <c r="G106" i="67"/>
  <c r="G108" i="67"/>
  <c r="G110" i="67"/>
  <c r="G112" i="67"/>
  <c r="G114" i="67"/>
  <c r="G116" i="67"/>
  <c r="G118" i="67"/>
  <c r="G58" i="67"/>
  <c r="G62" i="67"/>
  <c r="G66" i="67"/>
  <c r="G68" i="67"/>
  <c r="G70" i="67"/>
  <c r="G72" i="67"/>
  <c r="G74" i="67"/>
  <c r="G79" i="67"/>
  <c r="G81" i="67"/>
  <c r="G83" i="67"/>
  <c r="G85" i="67"/>
  <c r="G87" i="67"/>
  <c r="G89" i="67"/>
  <c r="G91" i="67"/>
  <c r="G93" i="67"/>
  <c r="G95" i="67"/>
  <c r="G97" i="67"/>
  <c r="G99" i="67"/>
  <c r="G101" i="67"/>
  <c r="G103" i="67"/>
  <c r="G105" i="67"/>
  <c r="G107" i="67"/>
  <c r="G109" i="67"/>
  <c r="G111" i="67"/>
  <c r="G113" i="67"/>
  <c r="G115" i="67"/>
  <c r="G117" i="67"/>
  <c r="G119" i="67"/>
  <c r="G121" i="67"/>
  <c r="G123" i="67"/>
  <c r="G125" i="67"/>
  <c r="G127" i="67"/>
  <c r="G129" i="67"/>
  <c r="G131" i="67"/>
  <c r="G133" i="67"/>
  <c r="G135" i="67"/>
  <c r="G137" i="67"/>
  <c r="G139" i="67"/>
  <c r="G141" i="67"/>
  <c r="G120" i="67"/>
  <c r="G124" i="67"/>
  <c r="G128" i="67"/>
  <c r="G132" i="67"/>
  <c r="G136" i="67"/>
  <c r="G140" i="67"/>
  <c r="G122" i="67"/>
  <c r="G126" i="67"/>
  <c r="G130" i="67"/>
  <c r="G134" i="67"/>
  <c r="G138" i="67"/>
  <c r="G142" i="67"/>
  <c r="G143" i="67"/>
  <c r="B141" i="67"/>
  <c r="B137" i="67"/>
  <c r="B133" i="67"/>
  <c r="B129" i="67"/>
  <c r="B125" i="67"/>
  <c r="B121" i="67"/>
  <c r="B117" i="67"/>
  <c r="B113" i="67"/>
  <c r="B109" i="67"/>
  <c r="B105" i="67"/>
  <c r="B101" i="67"/>
  <c r="B97" i="67"/>
  <c r="B93" i="67"/>
  <c r="B89" i="67"/>
  <c r="B85" i="67"/>
  <c r="B81" i="67"/>
  <c r="B75" i="67"/>
  <c r="B71" i="67"/>
  <c r="B67" i="67"/>
  <c r="B63" i="67"/>
  <c r="B59" i="67"/>
  <c r="B55" i="67"/>
  <c r="B51" i="67"/>
  <c r="B47" i="67"/>
  <c r="B43" i="67"/>
  <c r="B39" i="67"/>
  <c r="B35" i="67"/>
  <c r="B31" i="67"/>
  <c r="B27" i="67"/>
  <c r="B23" i="67"/>
  <c r="B19" i="67"/>
  <c r="B15" i="67"/>
  <c r="B11" i="67"/>
  <c r="B140" i="67"/>
  <c r="B136" i="67"/>
  <c r="B132" i="67"/>
  <c r="B128" i="67"/>
  <c r="B124" i="67"/>
  <c r="B120" i="67"/>
  <c r="B116" i="67"/>
  <c r="B112" i="67"/>
  <c r="B108" i="67"/>
  <c r="B104" i="67"/>
  <c r="B100" i="67"/>
  <c r="B96" i="67"/>
  <c r="B92" i="67"/>
  <c r="B88" i="67"/>
  <c r="B84" i="67"/>
  <c r="B80" i="67"/>
  <c r="B74" i="67"/>
  <c r="B70" i="67"/>
  <c r="B66" i="67"/>
  <c r="B62" i="67"/>
  <c r="B58" i="67"/>
  <c r="B54" i="67"/>
  <c r="B50" i="67"/>
  <c r="B46" i="67"/>
  <c r="B42" i="67"/>
  <c r="B38" i="67"/>
  <c r="B34" i="67"/>
  <c r="B30" i="67"/>
  <c r="B26" i="67"/>
  <c r="B22" i="67"/>
  <c r="B18" i="67"/>
  <c r="B14" i="67"/>
  <c r="B10" i="67"/>
  <c r="B143" i="67"/>
  <c r="B139" i="67"/>
  <c r="B135" i="67"/>
  <c r="B131" i="67"/>
  <c r="B127" i="67"/>
  <c r="B123" i="67"/>
  <c r="B119" i="67"/>
  <c r="B115" i="67"/>
  <c r="B111" i="67"/>
  <c r="B107" i="67"/>
  <c r="B103" i="67"/>
  <c r="B99" i="67"/>
  <c r="B95" i="67"/>
  <c r="B91" i="67"/>
  <c r="B87" i="67"/>
  <c r="B83" i="67"/>
  <c r="B79" i="67"/>
  <c r="B73" i="67"/>
  <c r="B69" i="67"/>
  <c r="B65" i="67"/>
  <c r="B61" i="67"/>
  <c r="B57" i="67"/>
  <c r="B53" i="67"/>
  <c r="B49" i="67"/>
  <c r="B45" i="67"/>
  <c r="B41" i="67"/>
  <c r="B37" i="67"/>
  <c r="B33" i="67"/>
  <c r="B29" i="67"/>
  <c r="B25" i="67"/>
  <c r="B21" i="67"/>
  <c r="B17" i="67"/>
  <c r="B13" i="67"/>
  <c r="B142" i="67"/>
  <c r="B138" i="67"/>
  <c r="B134" i="67"/>
  <c r="B130" i="67"/>
  <c r="B126" i="67"/>
  <c r="B122" i="67"/>
  <c r="B118" i="67"/>
  <c r="B114" i="67"/>
  <c r="B110" i="67"/>
  <c r="B106" i="67"/>
  <c r="B102" i="67"/>
  <c r="B98" i="67"/>
  <c r="B94" i="67"/>
  <c r="B90" i="67"/>
  <c r="B86" i="67"/>
  <c r="B82" i="67"/>
  <c r="B78" i="67"/>
  <c r="B72" i="67"/>
  <c r="B68" i="67"/>
  <c r="B64" i="67"/>
  <c r="B60" i="67"/>
  <c r="B56" i="67"/>
  <c r="B52" i="67"/>
  <c r="B48" i="67"/>
  <c r="B44" i="67"/>
  <c r="B40" i="67"/>
  <c r="B36" i="67"/>
  <c r="B32" i="67"/>
  <c r="B28" i="67"/>
  <c r="B24" i="67"/>
  <c r="B20" i="67"/>
  <c r="B16" i="67"/>
  <c r="B12" i="67"/>
  <c r="E11" i="67"/>
  <c r="E13" i="67"/>
  <c r="E15" i="67"/>
  <c r="E17" i="67"/>
  <c r="E19" i="67"/>
  <c r="E21" i="67"/>
  <c r="E23" i="67"/>
  <c r="E25" i="67"/>
  <c r="E27" i="67"/>
  <c r="E29" i="67"/>
  <c r="E31" i="67"/>
  <c r="E33" i="67"/>
  <c r="E35" i="67"/>
  <c r="E37" i="67"/>
  <c r="E39" i="67"/>
  <c r="E41" i="67"/>
  <c r="E43" i="67"/>
  <c r="E45" i="67"/>
  <c r="E47" i="67"/>
  <c r="E49" i="67"/>
  <c r="E51" i="67"/>
  <c r="E53" i="67"/>
  <c r="E55" i="67"/>
  <c r="E57" i="67"/>
  <c r="E10" i="67"/>
  <c r="E12" i="67"/>
  <c r="E14" i="67"/>
  <c r="E16" i="67"/>
  <c r="E18" i="67"/>
  <c r="E20" i="67"/>
  <c r="E22" i="67"/>
  <c r="E24" i="67"/>
  <c r="E26" i="67"/>
  <c r="E28" i="67"/>
  <c r="E30" i="67"/>
  <c r="E32" i="67"/>
  <c r="E34" i="67"/>
  <c r="E36" i="67"/>
  <c r="E38" i="67"/>
  <c r="E40" i="67"/>
  <c r="E42" i="67"/>
  <c r="E44" i="67"/>
  <c r="E46" i="67"/>
  <c r="E48" i="67"/>
  <c r="E50" i="67"/>
  <c r="E52" i="67"/>
  <c r="E54" i="67"/>
  <c r="E56" i="67"/>
  <c r="E58" i="67"/>
  <c r="E60" i="67"/>
  <c r="E62" i="67"/>
  <c r="E64" i="67"/>
  <c r="E66" i="67"/>
  <c r="E59" i="67"/>
  <c r="E63" i="67"/>
  <c r="E68" i="67"/>
  <c r="E70" i="67"/>
  <c r="E72" i="67"/>
  <c r="E74" i="67"/>
  <c r="E79" i="67"/>
  <c r="E81" i="67"/>
  <c r="E83" i="67"/>
  <c r="E85" i="67"/>
  <c r="E87" i="67"/>
  <c r="E89" i="67"/>
  <c r="E91" i="67"/>
  <c r="E93" i="67"/>
  <c r="E95" i="67"/>
  <c r="E97" i="67"/>
  <c r="E99" i="67"/>
  <c r="E101" i="67"/>
  <c r="E103" i="67"/>
  <c r="E105" i="67"/>
  <c r="E107" i="67"/>
  <c r="E109" i="67"/>
  <c r="E111" i="67"/>
  <c r="E113" i="67"/>
  <c r="E115" i="67"/>
  <c r="E117" i="67"/>
  <c r="E119" i="67"/>
  <c r="E61" i="67"/>
  <c r="E65" i="67"/>
  <c r="E67" i="67"/>
  <c r="E69" i="67"/>
  <c r="E71" i="67"/>
  <c r="E73" i="67"/>
  <c r="E75" i="67"/>
  <c r="E78" i="67"/>
  <c r="E80" i="67"/>
  <c r="E82" i="67"/>
  <c r="E84" i="67"/>
  <c r="E86" i="67"/>
  <c r="E88" i="67"/>
  <c r="E90" i="67"/>
  <c r="E92" i="67"/>
  <c r="E94" i="67"/>
  <c r="E96" i="67"/>
  <c r="E98" i="67"/>
  <c r="E100" i="67"/>
  <c r="E102" i="67"/>
  <c r="E104" i="67"/>
  <c r="E106" i="67"/>
  <c r="E108" i="67"/>
  <c r="E110" i="67"/>
  <c r="E112" i="67"/>
  <c r="E114" i="67"/>
  <c r="E116" i="67"/>
  <c r="E118" i="67"/>
  <c r="E120" i="67"/>
  <c r="E122" i="67"/>
  <c r="E124" i="67"/>
  <c r="E126" i="67"/>
  <c r="E128" i="67"/>
  <c r="E130" i="67"/>
  <c r="E132" i="67"/>
  <c r="E134" i="67"/>
  <c r="E136" i="67"/>
  <c r="E138" i="67"/>
  <c r="E140" i="67"/>
  <c r="E142" i="67"/>
  <c r="E123" i="67"/>
  <c r="E127" i="67"/>
  <c r="E131" i="67"/>
  <c r="E135" i="67"/>
  <c r="E139" i="67"/>
  <c r="E143" i="67"/>
  <c r="E121" i="67"/>
  <c r="E125" i="67"/>
  <c r="E129" i="67"/>
  <c r="E133" i="67"/>
  <c r="E137" i="67"/>
  <c r="E141" i="67"/>
  <c r="D10" i="67"/>
  <c r="D12" i="67"/>
  <c r="D14" i="67"/>
  <c r="D16" i="67"/>
  <c r="D18" i="67"/>
  <c r="D20" i="67"/>
  <c r="D22" i="67"/>
  <c r="D24" i="67"/>
  <c r="D26" i="67"/>
  <c r="D28" i="67"/>
  <c r="D30" i="67"/>
  <c r="D32" i="67"/>
  <c r="D34" i="67"/>
  <c r="D36" i="67"/>
  <c r="D38" i="67"/>
  <c r="D40" i="67"/>
  <c r="D42" i="67"/>
  <c r="D44" i="67"/>
  <c r="D46" i="67"/>
  <c r="D48" i="67"/>
  <c r="D50" i="67"/>
  <c r="D52" i="67"/>
  <c r="D54" i="67"/>
  <c r="D56" i="67"/>
  <c r="D11" i="67"/>
  <c r="D13" i="67"/>
  <c r="D15" i="67"/>
  <c r="D17" i="67"/>
  <c r="D19" i="67"/>
  <c r="D21" i="67"/>
  <c r="D23" i="67"/>
  <c r="D25" i="67"/>
  <c r="D27" i="67"/>
  <c r="D29" i="67"/>
  <c r="D31" i="67"/>
  <c r="D33" i="67"/>
  <c r="D35" i="67"/>
  <c r="D37" i="67"/>
  <c r="D39" i="67"/>
  <c r="D41" i="67"/>
  <c r="D43" i="67"/>
  <c r="D45" i="67"/>
  <c r="D47" i="67"/>
  <c r="D49" i="67"/>
  <c r="D51" i="67"/>
  <c r="D53" i="67"/>
  <c r="D55" i="67"/>
  <c r="D57" i="67"/>
  <c r="D59" i="67"/>
  <c r="D61" i="67"/>
  <c r="D63" i="67"/>
  <c r="D65" i="67"/>
  <c r="D79" i="67"/>
  <c r="D81" i="67"/>
  <c r="D83" i="67"/>
  <c r="D85" i="67"/>
  <c r="D87" i="67"/>
  <c r="D89" i="67"/>
  <c r="D91" i="67"/>
  <c r="D93" i="67"/>
  <c r="D95" i="67"/>
  <c r="D97" i="67"/>
  <c r="D99" i="67"/>
  <c r="D101" i="67"/>
  <c r="D103" i="67"/>
  <c r="D105" i="67"/>
  <c r="D107" i="67"/>
  <c r="D109" i="67"/>
  <c r="D111" i="67"/>
  <c r="D113" i="67"/>
  <c r="D115" i="67"/>
  <c r="D117" i="67"/>
  <c r="D119" i="67"/>
  <c r="D58" i="67"/>
  <c r="D62" i="67"/>
  <c r="D66" i="67"/>
  <c r="D67" i="67"/>
  <c r="D69" i="67"/>
  <c r="D71" i="67"/>
  <c r="D73" i="67"/>
  <c r="D75" i="67"/>
  <c r="D78" i="67"/>
  <c r="D80" i="67"/>
  <c r="D82" i="67"/>
  <c r="D84" i="67"/>
  <c r="D86" i="67"/>
  <c r="D88" i="67"/>
  <c r="D90" i="67"/>
  <c r="D92" i="67"/>
  <c r="D94" i="67"/>
  <c r="D96" i="67"/>
  <c r="D98" i="67"/>
  <c r="D100" i="67"/>
  <c r="D102" i="67"/>
  <c r="D104" i="67"/>
  <c r="D106" i="67"/>
  <c r="D108" i="67"/>
  <c r="D110" i="67"/>
  <c r="D112" i="67"/>
  <c r="D114" i="67"/>
  <c r="D116" i="67"/>
  <c r="D118" i="67"/>
  <c r="D120" i="67"/>
  <c r="D122" i="67"/>
  <c r="D124" i="67"/>
  <c r="D126" i="67"/>
  <c r="D128" i="67"/>
  <c r="D130" i="67"/>
  <c r="D132" i="67"/>
  <c r="D134" i="67"/>
  <c r="D136" i="67"/>
  <c r="D138" i="67"/>
  <c r="D140" i="67"/>
  <c r="D142" i="67"/>
  <c r="D60" i="67"/>
  <c r="D64" i="67"/>
  <c r="D68" i="67"/>
  <c r="D70" i="67"/>
  <c r="D72" i="67"/>
  <c r="D74" i="67"/>
  <c r="D123" i="67"/>
  <c r="D127" i="67"/>
  <c r="D131" i="67"/>
  <c r="D135" i="67"/>
  <c r="D139" i="67"/>
  <c r="D143" i="67"/>
  <c r="D121" i="67"/>
  <c r="D125" i="67"/>
  <c r="D129" i="67"/>
  <c r="D133" i="67"/>
  <c r="D137" i="67"/>
  <c r="D141" i="67"/>
  <c r="H10" i="67"/>
  <c r="H12" i="67"/>
  <c r="K12" i="67" s="1"/>
  <c r="H14" i="67"/>
  <c r="K14" i="67" s="1"/>
  <c r="H16" i="67"/>
  <c r="K16" i="67" s="1"/>
  <c r="H18" i="67"/>
  <c r="H20" i="67"/>
  <c r="H22" i="67"/>
  <c r="K22" i="67" s="1"/>
  <c r="H24" i="67"/>
  <c r="K24" i="67" s="1"/>
  <c r="H26" i="67"/>
  <c r="H28" i="67"/>
  <c r="H30" i="67"/>
  <c r="K30" i="67" s="1"/>
  <c r="H32" i="67"/>
  <c r="K32" i="67" s="1"/>
  <c r="H34" i="67"/>
  <c r="H36" i="67"/>
  <c r="K36" i="67" s="1"/>
  <c r="H38" i="67"/>
  <c r="K38" i="67" s="1"/>
  <c r="H40" i="67"/>
  <c r="H42" i="67"/>
  <c r="K42" i="67" s="1"/>
  <c r="H44" i="67"/>
  <c r="K44" i="67" s="1"/>
  <c r="H46" i="67"/>
  <c r="K46" i="67" s="1"/>
  <c r="H48" i="67"/>
  <c r="H50" i="67"/>
  <c r="H52" i="67"/>
  <c r="K52" i="67" s="1"/>
  <c r="H54" i="67"/>
  <c r="K54" i="67" s="1"/>
  <c r="H56" i="67"/>
  <c r="K56" i="67" s="1"/>
  <c r="H11" i="67"/>
  <c r="H13" i="67"/>
  <c r="H15" i="67"/>
  <c r="H17" i="67"/>
  <c r="K17" i="67" s="1"/>
  <c r="H19" i="67"/>
  <c r="H21" i="67"/>
  <c r="H23" i="67"/>
  <c r="K23" i="67" s="1"/>
  <c r="H25" i="67"/>
  <c r="H27" i="67"/>
  <c r="H29" i="67"/>
  <c r="K29" i="67" s="1"/>
  <c r="H31" i="67"/>
  <c r="K31" i="67" s="1"/>
  <c r="H33" i="67"/>
  <c r="K33" i="67" s="1"/>
  <c r="H35" i="67"/>
  <c r="H37" i="67"/>
  <c r="K37" i="67" s="1"/>
  <c r="H39" i="67"/>
  <c r="K39" i="67" s="1"/>
  <c r="H41" i="67"/>
  <c r="K41" i="67" s="1"/>
  <c r="H43" i="67"/>
  <c r="K43" i="67" s="1"/>
  <c r="H45" i="67"/>
  <c r="H47" i="67"/>
  <c r="K47" i="67" s="1"/>
  <c r="H49" i="67"/>
  <c r="K49" i="67" s="1"/>
  <c r="H51" i="67"/>
  <c r="H53" i="67"/>
  <c r="K53" i="67" s="1"/>
  <c r="H55" i="67"/>
  <c r="H57" i="67"/>
  <c r="K57" i="67" s="1"/>
  <c r="H59" i="67"/>
  <c r="H61" i="67"/>
  <c r="K61" i="67" s="1"/>
  <c r="H63" i="67"/>
  <c r="K63" i="67" s="1"/>
  <c r="H65" i="67"/>
  <c r="H79" i="67"/>
  <c r="H81" i="67"/>
  <c r="K81" i="67" s="1"/>
  <c r="H83" i="67"/>
  <c r="H85" i="67"/>
  <c r="H87" i="67"/>
  <c r="H89" i="67"/>
  <c r="H91" i="67"/>
  <c r="K91" i="67" s="1"/>
  <c r="H93" i="67"/>
  <c r="K93" i="67" s="1"/>
  <c r="H95" i="67"/>
  <c r="H97" i="67"/>
  <c r="H99" i="67"/>
  <c r="K99" i="67" s="1"/>
  <c r="H101" i="67"/>
  <c r="K101" i="67" s="1"/>
  <c r="H103" i="67"/>
  <c r="H105" i="67"/>
  <c r="K105" i="67" s="1"/>
  <c r="H107" i="67"/>
  <c r="K107" i="67" s="1"/>
  <c r="H109" i="67"/>
  <c r="K109" i="67" s="1"/>
  <c r="H111" i="67"/>
  <c r="H113" i="67"/>
  <c r="H115" i="67"/>
  <c r="K115" i="67" s="1"/>
  <c r="H117" i="67"/>
  <c r="K117" i="67" s="1"/>
  <c r="H119" i="67"/>
  <c r="H60" i="67"/>
  <c r="H64" i="67"/>
  <c r="K64" i="67" s="1"/>
  <c r="H67" i="67"/>
  <c r="K67" i="67" s="1"/>
  <c r="H69" i="67"/>
  <c r="K69" i="67" s="1"/>
  <c r="H71" i="67"/>
  <c r="K71" i="67" s="1"/>
  <c r="H73" i="67"/>
  <c r="K73" i="67" s="1"/>
  <c r="H75" i="67"/>
  <c r="H78" i="67"/>
  <c r="H80" i="67"/>
  <c r="K80" i="67" s="1"/>
  <c r="H82" i="67"/>
  <c r="K82" i="67" s="1"/>
  <c r="H84" i="67"/>
  <c r="K84" i="67" s="1"/>
  <c r="H86" i="67"/>
  <c r="H88" i="67"/>
  <c r="K88" i="67" s="1"/>
  <c r="H90" i="67"/>
  <c r="K90" i="67" s="1"/>
  <c r="H92" i="67"/>
  <c r="K92" i="67" s="1"/>
  <c r="H94" i="67"/>
  <c r="H96" i="67"/>
  <c r="K96" i="67" s="1"/>
  <c r="H98" i="67"/>
  <c r="K98" i="67" s="1"/>
  <c r="H100" i="67"/>
  <c r="K100" i="67" s="1"/>
  <c r="H102" i="67"/>
  <c r="H104" i="67"/>
  <c r="K104" i="67" s="1"/>
  <c r="H106" i="67"/>
  <c r="K106" i="67" s="1"/>
  <c r="H108" i="67"/>
  <c r="K108" i="67" s="1"/>
  <c r="H110" i="67"/>
  <c r="H112" i="67"/>
  <c r="K112" i="67" s="1"/>
  <c r="H114" i="67"/>
  <c r="K114" i="67" s="1"/>
  <c r="H116" i="67"/>
  <c r="K116" i="67" s="1"/>
  <c r="H118" i="67"/>
  <c r="H120" i="67"/>
  <c r="K120" i="67" s="1"/>
  <c r="H122" i="67"/>
  <c r="K122" i="67" s="1"/>
  <c r="H124" i="67"/>
  <c r="K124" i="67" s="1"/>
  <c r="H126" i="67"/>
  <c r="H128" i="67"/>
  <c r="K128" i="67" s="1"/>
  <c r="H130" i="67"/>
  <c r="K130" i="67" s="1"/>
  <c r="H132" i="67"/>
  <c r="K132" i="67" s="1"/>
  <c r="H134" i="67"/>
  <c r="H136" i="67"/>
  <c r="K136" i="67" s="1"/>
  <c r="H138" i="67"/>
  <c r="K138" i="67" s="1"/>
  <c r="H140" i="67"/>
  <c r="K140" i="67" s="1"/>
  <c r="H142" i="67"/>
  <c r="H58" i="67"/>
  <c r="K58" i="67" s="1"/>
  <c r="H62" i="67"/>
  <c r="K62" i="67" s="1"/>
  <c r="H66" i="67"/>
  <c r="K66" i="67" s="1"/>
  <c r="H68" i="67"/>
  <c r="H70" i="67"/>
  <c r="K70" i="67" s="1"/>
  <c r="H72" i="67"/>
  <c r="K72" i="67" s="1"/>
  <c r="H74" i="67"/>
  <c r="K74" i="67" s="1"/>
  <c r="H121" i="67"/>
  <c r="H125" i="67"/>
  <c r="K125" i="67" s="1"/>
  <c r="H129" i="67"/>
  <c r="K129" i="67" s="1"/>
  <c r="H133" i="67"/>
  <c r="K133" i="67" s="1"/>
  <c r="H137" i="67"/>
  <c r="H141" i="67"/>
  <c r="K141" i="67" s="1"/>
  <c r="H143" i="67"/>
  <c r="K143" i="67" s="1"/>
  <c r="H123" i="67"/>
  <c r="K123" i="67" s="1"/>
  <c r="H127" i="67"/>
  <c r="K127" i="67" s="1"/>
  <c r="H131" i="67"/>
  <c r="K131" i="67" s="1"/>
  <c r="H135" i="67"/>
  <c r="H139" i="67"/>
  <c r="K139" i="67" s="1"/>
  <c r="F11" i="67"/>
  <c r="F13" i="67"/>
  <c r="F15" i="67"/>
  <c r="F17" i="67"/>
  <c r="F19" i="67"/>
  <c r="F21" i="67"/>
  <c r="F23" i="67"/>
  <c r="F25" i="67"/>
  <c r="F27" i="67"/>
  <c r="F29" i="67"/>
  <c r="F31" i="67"/>
  <c r="F33" i="67"/>
  <c r="F35" i="67"/>
  <c r="F37" i="67"/>
  <c r="F39" i="67"/>
  <c r="F41" i="67"/>
  <c r="F43" i="67"/>
  <c r="F45" i="67"/>
  <c r="F47" i="67"/>
  <c r="F49" i="67"/>
  <c r="F51" i="67"/>
  <c r="F53" i="67"/>
  <c r="F55" i="67"/>
  <c r="F57" i="67"/>
  <c r="F10" i="67"/>
  <c r="F12" i="67"/>
  <c r="F14" i="67"/>
  <c r="F16" i="67"/>
  <c r="F18" i="67"/>
  <c r="F20" i="67"/>
  <c r="F22" i="67"/>
  <c r="F24" i="67"/>
  <c r="F26" i="67"/>
  <c r="F28" i="67"/>
  <c r="F30" i="67"/>
  <c r="F32" i="67"/>
  <c r="F34" i="67"/>
  <c r="F36" i="67"/>
  <c r="F38" i="67"/>
  <c r="F40" i="67"/>
  <c r="F42" i="67"/>
  <c r="F44" i="67"/>
  <c r="F46" i="67"/>
  <c r="F48" i="67"/>
  <c r="F50" i="67"/>
  <c r="F52" i="67"/>
  <c r="F54" i="67"/>
  <c r="F56" i="67"/>
  <c r="F58" i="67"/>
  <c r="F60" i="67"/>
  <c r="F62" i="67"/>
  <c r="F64" i="67"/>
  <c r="F66" i="67"/>
  <c r="F78" i="67"/>
  <c r="F80" i="67"/>
  <c r="F82" i="67"/>
  <c r="F84" i="67"/>
  <c r="F86" i="67"/>
  <c r="F88" i="67"/>
  <c r="F90" i="67"/>
  <c r="F92" i="67"/>
  <c r="F94" i="67"/>
  <c r="F96" i="67"/>
  <c r="F98" i="67"/>
  <c r="F100" i="67"/>
  <c r="F102" i="67"/>
  <c r="F104" i="67"/>
  <c r="F106" i="67"/>
  <c r="F108" i="67"/>
  <c r="F110" i="67"/>
  <c r="F112" i="67"/>
  <c r="F114" i="67"/>
  <c r="F116" i="67"/>
  <c r="F118" i="67"/>
  <c r="F59" i="67"/>
  <c r="F63" i="67"/>
  <c r="F68" i="67"/>
  <c r="F70" i="67"/>
  <c r="F72" i="67"/>
  <c r="F74" i="67"/>
  <c r="F79" i="67"/>
  <c r="F81" i="67"/>
  <c r="F83" i="67"/>
  <c r="F85" i="67"/>
  <c r="F87" i="67"/>
  <c r="F89" i="67"/>
  <c r="F91" i="67"/>
  <c r="F93" i="67"/>
  <c r="F95" i="67"/>
  <c r="F97" i="67"/>
  <c r="F99" i="67"/>
  <c r="F101" i="67"/>
  <c r="F103" i="67"/>
  <c r="F105" i="67"/>
  <c r="F107" i="67"/>
  <c r="F109" i="67"/>
  <c r="F111" i="67"/>
  <c r="F113" i="67"/>
  <c r="F115" i="67"/>
  <c r="F117" i="67"/>
  <c r="F119" i="67"/>
  <c r="F121" i="67"/>
  <c r="F123" i="67"/>
  <c r="F125" i="67"/>
  <c r="F127" i="67"/>
  <c r="F129" i="67"/>
  <c r="F131" i="67"/>
  <c r="F133" i="67"/>
  <c r="F135" i="67"/>
  <c r="F137" i="67"/>
  <c r="F139" i="67"/>
  <c r="F141" i="67"/>
  <c r="F61" i="67"/>
  <c r="F65" i="67"/>
  <c r="F67" i="67"/>
  <c r="F69" i="67"/>
  <c r="F71" i="67"/>
  <c r="F73" i="67"/>
  <c r="F75" i="67"/>
  <c r="F120" i="67"/>
  <c r="F124" i="67"/>
  <c r="F128" i="67"/>
  <c r="F132" i="67"/>
  <c r="F136" i="67"/>
  <c r="F140" i="67"/>
  <c r="F122" i="67"/>
  <c r="F126" i="67"/>
  <c r="F130" i="67"/>
  <c r="F134" i="67"/>
  <c r="F138" i="67"/>
  <c r="F142" i="67"/>
  <c r="F143" i="67"/>
  <c r="C144" i="67"/>
  <c r="C76" i="67"/>
  <c r="K135" i="67"/>
  <c r="K48" i="67"/>
  <c r="K27" i="67"/>
  <c r="K119" i="67"/>
  <c r="K142" i="67"/>
  <c r="K126" i="67"/>
  <c r="K110" i="67"/>
  <c r="K94" i="67"/>
  <c r="K134" i="67"/>
  <c r="K118" i="67"/>
  <c r="K102" i="67"/>
  <c r="K86" i="67"/>
  <c r="V134" i="66"/>
  <c r="W134" i="66" s="1"/>
  <c r="X134" i="66" s="1"/>
  <c r="Y134" i="66" s="1"/>
  <c r="Z134" i="66" s="1"/>
  <c r="AA134" i="66" s="1"/>
  <c r="AB134" i="66" s="1"/>
  <c r="AC134" i="66" s="1"/>
  <c r="AD134" i="66" s="1"/>
  <c r="AE134" i="66" s="1"/>
  <c r="AF134" i="66" s="1"/>
  <c r="AG134" i="66" s="1"/>
  <c r="AH134" i="66" s="1"/>
  <c r="AI134" i="66" s="1"/>
  <c r="AJ134" i="66" s="1"/>
  <c r="AK134" i="66" s="1"/>
  <c r="AL134" i="66" s="1"/>
  <c r="AM134" i="66" s="1"/>
  <c r="AN134" i="66" s="1"/>
  <c r="AO134" i="66" s="1"/>
  <c r="AP134" i="66" s="1"/>
  <c r="AQ134" i="66" s="1"/>
  <c r="AR134" i="66" s="1"/>
  <c r="AS134" i="66" s="1"/>
  <c r="AT134" i="66" s="1"/>
  <c r="AU134" i="66" s="1"/>
  <c r="AV134" i="66" s="1"/>
  <c r="AW134" i="66" s="1"/>
  <c r="AX134" i="66" s="1"/>
  <c r="AY134" i="66" s="1"/>
  <c r="AZ134" i="66" s="1"/>
  <c r="BA134" i="66" s="1"/>
  <c r="BB134" i="66" s="1"/>
  <c r="BC134" i="66" s="1"/>
  <c r="BD134" i="66" s="1"/>
  <c r="BE134" i="66" s="1"/>
  <c r="BF134" i="66" s="1"/>
  <c r="BG134" i="66" s="1"/>
  <c r="BH134" i="66" s="1"/>
  <c r="BI134" i="66" s="1"/>
  <c r="BJ134" i="66" s="1"/>
  <c r="BK134" i="66" s="1"/>
  <c r="BL134" i="66" s="1"/>
  <c r="BM134" i="66" s="1"/>
  <c r="BN134" i="66" s="1"/>
  <c r="BO134" i="66" s="1"/>
  <c r="BP134" i="66" s="1"/>
  <c r="BQ134" i="66" s="1"/>
  <c r="T6" i="66"/>
  <c r="K121" i="67"/>
  <c r="K59" i="67"/>
  <c r="K11" i="67"/>
  <c r="K113" i="67"/>
  <c r="K111" i="67"/>
  <c r="K137" i="67"/>
  <c r="K68" i="67"/>
  <c r="V132" i="66"/>
  <c r="V220" i="66" s="1"/>
  <c r="K65" i="67"/>
  <c r="K21" i="67"/>
  <c r="K103" i="67"/>
  <c r="K95" i="67"/>
  <c r="K83" i="67"/>
  <c r="K79" i="67"/>
  <c r="K19" i="67"/>
  <c r="K97" i="67"/>
  <c r="K89" i="67"/>
  <c r="K20" i="67"/>
  <c r="K75" i="67"/>
  <c r="K34" i="67"/>
  <c r="K26" i="67"/>
  <c r="K18" i="67"/>
  <c r="K28" i="67"/>
  <c r="K51" i="67"/>
  <c r="C4" i="67"/>
  <c r="V67" i="66"/>
  <c r="V215" i="66" s="1"/>
  <c r="V62" i="66"/>
  <c r="V214" i="66" s="1"/>
  <c r="V57" i="66"/>
  <c r="V213" i="66" s="1"/>
  <c r="V37" i="66"/>
  <c r="V209" i="66" s="1"/>
  <c r="V47" i="66"/>
  <c r="V211" i="66" s="1"/>
  <c r="V77" i="66"/>
  <c r="V217" i="66" s="1"/>
  <c r="V35" i="66"/>
  <c r="V208" i="66" s="1"/>
  <c r="V72" i="66"/>
  <c r="V216" i="66" s="1"/>
  <c r="V82" i="66"/>
  <c r="U203" i="66"/>
  <c r="Y38" i="66"/>
  <c r="X58" i="66"/>
  <c r="W32" i="66"/>
  <c r="AA128" i="66"/>
  <c r="AE84" i="66"/>
  <c r="Y139" i="66"/>
  <c r="AD50" i="66"/>
  <c r="AD71" i="66"/>
  <c r="Z141" i="66"/>
  <c r="Y73" i="66"/>
  <c r="V218" i="66" l="1"/>
  <c r="Y160" i="66"/>
  <c r="X226" i="66"/>
  <c r="X224" i="66"/>
  <c r="Y150" i="66"/>
  <c r="Y33" i="66"/>
  <c r="Y175" i="66"/>
  <c r="X229" i="66"/>
  <c r="Y52" i="66"/>
  <c r="X212" i="66"/>
  <c r="Y126" i="66"/>
  <c r="X219" i="66"/>
  <c r="Y155" i="66"/>
  <c r="X225" i="66"/>
  <c r="K201" i="68"/>
  <c r="K201" i="64"/>
  <c r="Y165" i="66"/>
  <c r="X227" i="66"/>
  <c r="Y135" i="66"/>
  <c r="X221" i="66"/>
  <c r="Y145" i="66"/>
  <c r="X223" i="66"/>
  <c r="Y140" i="66"/>
  <c r="X222" i="66"/>
  <c r="Y170" i="66"/>
  <c r="X228" i="66"/>
  <c r="Y42" i="66"/>
  <c r="X210" i="66"/>
  <c r="Y130" i="66"/>
  <c r="L51" i="67"/>
  <c r="M51" i="67" s="1"/>
  <c r="L95" i="67"/>
  <c r="M95" i="67" s="1"/>
  <c r="N95" i="67" s="1"/>
  <c r="O95" i="67" s="1"/>
  <c r="P95" i="67" s="1"/>
  <c r="Q95" i="67" s="1"/>
  <c r="R95" i="67" s="1"/>
  <c r="S95" i="67" s="1"/>
  <c r="T95" i="67" s="1"/>
  <c r="U95" i="67" s="1"/>
  <c r="V95" i="67" s="1"/>
  <c r="W95" i="67" s="1"/>
  <c r="X95" i="67" s="1"/>
  <c r="Y95" i="67" s="1"/>
  <c r="Z95" i="67" s="1"/>
  <c r="AA95" i="67" s="1"/>
  <c r="AB95" i="67" s="1"/>
  <c r="AC95" i="67" s="1"/>
  <c r="AD95" i="67" s="1"/>
  <c r="AE95" i="67" s="1"/>
  <c r="AF95" i="67" s="1"/>
  <c r="AG95" i="67" s="1"/>
  <c r="AH95" i="67" s="1"/>
  <c r="AI95" i="67" s="1"/>
  <c r="AJ95" i="67" s="1"/>
  <c r="AK95" i="67" s="1"/>
  <c r="AL95" i="67" s="1"/>
  <c r="AM95" i="67" s="1"/>
  <c r="AN95" i="67" s="1"/>
  <c r="AO95" i="67" s="1"/>
  <c r="AP95" i="67" s="1"/>
  <c r="AQ95" i="67" s="1"/>
  <c r="AR95" i="67" s="1"/>
  <c r="AS95" i="67" s="1"/>
  <c r="AT95" i="67" s="1"/>
  <c r="AU95" i="67" s="1"/>
  <c r="AV95" i="67" s="1"/>
  <c r="AW95" i="67" s="1"/>
  <c r="AX95" i="67" s="1"/>
  <c r="AY95" i="67" s="1"/>
  <c r="AZ95" i="67" s="1"/>
  <c r="BA95" i="67" s="1"/>
  <c r="BB95" i="67" s="1"/>
  <c r="BC95" i="67" s="1"/>
  <c r="BD95" i="67" s="1"/>
  <c r="BE95" i="67" s="1"/>
  <c r="BF95" i="67" s="1"/>
  <c r="L59" i="67"/>
  <c r="M59" i="67" s="1"/>
  <c r="N59" i="67" s="1"/>
  <c r="O59" i="67" s="1"/>
  <c r="P59" i="67" s="1"/>
  <c r="Q59" i="67" s="1"/>
  <c r="R59" i="67" s="1"/>
  <c r="S59" i="67" s="1"/>
  <c r="T59" i="67" s="1"/>
  <c r="U59" i="67" s="1"/>
  <c r="V59" i="67" s="1"/>
  <c r="W59" i="67" s="1"/>
  <c r="X59" i="67" s="1"/>
  <c r="Y59" i="67" s="1"/>
  <c r="Z59" i="67" s="1"/>
  <c r="AA59" i="67" s="1"/>
  <c r="AB59" i="67" s="1"/>
  <c r="AC59" i="67" s="1"/>
  <c r="AD59" i="67" s="1"/>
  <c r="AE59" i="67" s="1"/>
  <c r="AF59" i="67" s="1"/>
  <c r="AG59" i="67" s="1"/>
  <c r="AH59" i="67" s="1"/>
  <c r="AI59" i="67" s="1"/>
  <c r="AJ59" i="67" s="1"/>
  <c r="AK59" i="67" s="1"/>
  <c r="AL59" i="67" s="1"/>
  <c r="AM59" i="67" s="1"/>
  <c r="AN59" i="67" s="1"/>
  <c r="AO59" i="67" s="1"/>
  <c r="AP59" i="67" s="1"/>
  <c r="AQ59" i="67" s="1"/>
  <c r="AR59" i="67" s="1"/>
  <c r="AS59" i="67" s="1"/>
  <c r="AT59" i="67" s="1"/>
  <c r="AU59" i="67" s="1"/>
  <c r="AV59" i="67" s="1"/>
  <c r="AW59" i="67" s="1"/>
  <c r="AX59" i="67" s="1"/>
  <c r="AY59" i="67" s="1"/>
  <c r="AZ59" i="67" s="1"/>
  <c r="BA59" i="67" s="1"/>
  <c r="BB59" i="67" s="1"/>
  <c r="BC59" i="67" s="1"/>
  <c r="BD59" i="67" s="1"/>
  <c r="BE59" i="67" s="1"/>
  <c r="BF59" i="67" s="1"/>
  <c r="L134" i="67"/>
  <c r="M134" i="67" s="1"/>
  <c r="N134" i="67" s="1"/>
  <c r="O134" i="67" s="1"/>
  <c r="P134" i="67" s="1"/>
  <c r="Q134" i="67" s="1"/>
  <c r="R134" i="67" s="1"/>
  <c r="S134" i="67" s="1"/>
  <c r="T134" i="67" s="1"/>
  <c r="U134" i="67" s="1"/>
  <c r="V134" i="67" s="1"/>
  <c r="W134" i="67" s="1"/>
  <c r="X134" i="67" s="1"/>
  <c r="Y134" i="67" s="1"/>
  <c r="Z134" i="67" s="1"/>
  <c r="AA134" i="67" s="1"/>
  <c r="AB134" i="67" s="1"/>
  <c r="AC134" i="67" s="1"/>
  <c r="AD134" i="67" s="1"/>
  <c r="AE134" i="67" s="1"/>
  <c r="AF134" i="67" s="1"/>
  <c r="AG134" i="67" s="1"/>
  <c r="AH134" i="67" s="1"/>
  <c r="AI134" i="67" s="1"/>
  <c r="AJ134" i="67" s="1"/>
  <c r="AK134" i="67" s="1"/>
  <c r="AL134" i="67" s="1"/>
  <c r="AM134" i="67" s="1"/>
  <c r="AN134" i="67" s="1"/>
  <c r="AO134" i="67" s="1"/>
  <c r="AP134" i="67" s="1"/>
  <c r="AQ134" i="67" s="1"/>
  <c r="AR134" i="67" s="1"/>
  <c r="AS134" i="67" s="1"/>
  <c r="AT134" i="67" s="1"/>
  <c r="AU134" i="67" s="1"/>
  <c r="AV134" i="67" s="1"/>
  <c r="AW134" i="67" s="1"/>
  <c r="AX134" i="67" s="1"/>
  <c r="AY134" i="67" s="1"/>
  <c r="AZ134" i="67" s="1"/>
  <c r="BA134" i="67" s="1"/>
  <c r="BB134" i="67" s="1"/>
  <c r="BC134" i="67" s="1"/>
  <c r="BD134" i="67" s="1"/>
  <c r="BE134" i="67" s="1"/>
  <c r="BF134" i="67" s="1"/>
  <c r="L75" i="67"/>
  <c r="M75" i="67" s="1"/>
  <c r="N75" i="67" s="1"/>
  <c r="O75" i="67" s="1"/>
  <c r="P75" i="67" s="1"/>
  <c r="Q75" i="67" s="1"/>
  <c r="R75" i="67" s="1"/>
  <c r="S75" i="67" s="1"/>
  <c r="T75" i="67" s="1"/>
  <c r="U75" i="67" s="1"/>
  <c r="V75" i="67" s="1"/>
  <c r="W75" i="67" s="1"/>
  <c r="X75" i="67" s="1"/>
  <c r="Y75" i="67" s="1"/>
  <c r="Z75" i="67" s="1"/>
  <c r="AA75" i="67" s="1"/>
  <c r="AB75" i="67" s="1"/>
  <c r="AC75" i="67" s="1"/>
  <c r="AD75" i="67" s="1"/>
  <c r="AE75" i="67" s="1"/>
  <c r="AF75" i="67" s="1"/>
  <c r="AG75" i="67" s="1"/>
  <c r="AH75" i="67" s="1"/>
  <c r="AI75" i="67" s="1"/>
  <c r="AJ75" i="67" s="1"/>
  <c r="AK75" i="67" s="1"/>
  <c r="AL75" i="67" s="1"/>
  <c r="AM75" i="67" s="1"/>
  <c r="AN75" i="67" s="1"/>
  <c r="AO75" i="67" s="1"/>
  <c r="AP75" i="67" s="1"/>
  <c r="AQ75" i="67" s="1"/>
  <c r="AR75" i="67" s="1"/>
  <c r="AS75" i="67" s="1"/>
  <c r="AT75" i="67" s="1"/>
  <c r="AU75" i="67" s="1"/>
  <c r="AV75" i="67" s="1"/>
  <c r="AW75" i="67" s="1"/>
  <c r="AX75" i="67" s="1"/>
  <c r="AY75" i="67" s="1"/>
  <c r="AZ75" i="67" s="1"/>
  <c r="BA75" i="67" s="1"/>
  <c r="BB75" i="67" s="1"/>
  <c r="BC75" i="67" s="1"/>
  <c r="BD75" i="67" s="1"/>
  <c r="BE75" i="67" s="1"/>
  <c r="BF75" i="67" s="1"/>
  <c r="L103" i="67"/>
  <c r="M103" i="67" s="1"/>
  <c r="N103" i="67" s="1"/>
  <c r="L121" i="67"/>
  <c r="M121" i="67" s="1"/>
  <c r="N121" i="67" s="1"/>
  <c r="O121" i="67" s="1"/>
  <c r="P121" i="67" s="1"/>
  <c r="Q121" i="67" s="1"/>
  <c r="R121" i="67" s="1"/>
  <c r="S121" i="67" s="1"/>
  <c r="T121" i="67" s="1"/>
  <c r="U121" i="67" s="1"/>
  <c r="V121" i="67" s="1"/>
  <c r="W121" i="67" s="1"/>
  <c r="X121" i="67" s="1"/>
  <c r="Y121" i="67" s="1"/>
  <c r="Z121" i="67" s="1"/>
  <c r="AA121" i="67" s="1"/>
  <c r="AB121" i="67" s="1"/>
  <c r="AC121" i="67" s="1"/>
  <c r="AD121" i="67" s="1"/>
  <c r="AE121" i="67" s="1"/>
  <c r="AF121" i="67" s="1"/>
  <c r="AG121" i="67" s="1"/>
  <c r="AH121" i="67" s="1"/>
  <c r="AI121" i="67" s="1"/>
  <c r="AJ121" i="67" s="1"/>
  <c r="AK121" i="67" s="1"/>
  <c r="AL121" i="67" s="1"/>
  <c r="AM121" i="67" s="1"/>
  <c r="AN121" i="67" s="1"/>
  <c r="AO121" i="67" s="1"/>
  <c r="AP121" i="67" s="1"/>
  <c r="AQ121" i="67" s="1"/>
  <c r="AR121" i="67" s="1"/>
  <c r="AS121" i="67" s="1"/>
  <c r="AT121" i="67" s="1"/>
  <c r="AU121" i="67" s="1"/>
  <c r="AV121" i="67" s="1"/>
  <c r="AW121" i="67" s="1"/>
  <c r="AX121" i="67" s="1"/>
  <c r="AY121" i="67" s="1"/>
  <c r="AZ121" i="67" s="1"/>
  <c r="BA121" i="67" s="1"/>
  <c r="BB121" i="67" s="1"/>
  <c r="BC121" i="67" s="1"/>
  <c r="BD121" i="67" s="1"/>
  <c r="BE121" i="67" s="1"/>
  <c r="BF121" i="67" s="1"/>
  <c r="L18" i="67"/>
  <c r="M18" i="67" s="1"/>
  <c r="N18" i="67" s="1"/>
  <c r="O18" i="67" s="1"/>
  <c r="P18" i="67" s="1"/>
  <c r="Q18" i="67" s="1"/>
  <c r="R18" i="67" s="1"/>
  <c r="S18" i="67" s="1"/>
  <c r="T18" i="67" s="1"/>
  <c r="U18" i="67" s="1"/>
  <c r="V18" i="67" s="1"/>
  <c r="W18" i="67" s="1"/>
  <c r="X18" i="67" s="1"/>
  <c r="Y18" i="67" s="1"/>
  <c r="Z18" i="67" s="1"/>
  <c r="AA18" i="67" s="1"/>
  <c r="AB18" i="67" s="1"/>
  <c r="AC18" i="67" s="1"/>
  <c r="AD18" i="67" s="1"/>
  <c r="AE18" i="67" s="1"/>
  <c r="AF18" i="67" s="1"/>
  <c r="AG18" i="67" s="1"/>
  <c r="AH18" i="67" s="1"/>
  <c r="AI18" i="67" s="1"/>
  <c r="AJ18" i="67" s="1"/>
  <c r="AK18" i="67" s="1"/>
  <c r="AL18" i="67" s="1"/>
  <c r="AM18" i="67" s="1"/>
  <c r="AN18" i="67" s="1"/>
  <c r="AO18" i="67" s="1"/>
  <c r="AP18" i="67" s="1"/>
  <c r="AQ18" i="67" s="1"/>
  <c r="AR18" i="67" s="1"/>
  <c r="AS18" i="67" s="1"/>
  <c r="AT18" i="67" s="1"/>
  <c r="AU18" i="67" s="1"/>
  <c r="AV18" i="67" s="1"/>
  <c r="AW18" i="67" s="1"/>
  <c r="AX18" i="67" s="1"/>
  <c r="AY18" i="67" s="1"/>
  <c r="AZ18" i="67" s="1"/>
  <c r="BA18" i="67" s="1"/>
  <c r="BB18" i="67" s="1"/>
  <c r="BC18" i="67" s="1"/>
  <c r="BD18" i="67" s="1"/>
  <c r="BE18" i="67" s="1"/>
  <c r="BF18" i="67" s="1"/>
  <c r="L20" i="67"/>
  <c r="M20" i="67" s="1"/>
  <c r="L79" i="67"/>
  <c r="M79" i="67" s="1"/>
  <c r="N79" i="67" s="1"/>
  <c r="L21" i="67"/>
  <c r="M21" i="67" s="1"/>
  <c r="N21" i="67" s="1"/>
  <c r="O21" i="67" s="1"/>
  <c r="P21" i="67" s="1"/>
  <c r="Q21" i="67" s="1"/>
  <c r="R21" i="67" s="1"/>
  <c r="S21" i="67" s="1"/>
  <c r="T21" i="67" s="1"/>
  <c r="U21" i="67" s="1"/>
  <c r="V21" i="67" s="1"/>
  <c r="W21" i="67" s="1"/>
  <c r="X21" i="67" s="1"/>
  <c r="Y21" i="67" s="1"/>
  <c r="Z21" i="67" s="1"/>
  <c r="AA21" i="67" s="1"/>
  <c r="AB21" i="67" s="1"/>
  <c r="AC21" i="67" s="1"/>
  <c r="AD21" i="67" s="1"/>
  <c r="AE21" i="67" s="1"/>
  <c r="AF21" i="67" s="1"/>
  <c r="AG21" i="67" s="1"/>
  <c r="AH21" i="67" s="1"/>
  <c r="AI21" i="67" s="1"/>
  <c r="AJ21" i="67" s="1"/>
  <c r="AK21" i="67" s="1"/>
  <c r="AL21" i="67" s="1"/>
  <c r="AM21" i="67" s="1"/>
  <c r="AN21" i="67" s="1"/>
  <c r="AO21" i="67" s="1"/>
  <c r="AP21" i="67" s="1"/>
  <c r="AQ21" i="67" s="1"/>
  <c r="AR21" i="67" s="1"/>
  <c r="AS21" i="67" s="1"/>
  <c r="AT21" i="67" s="1"/>
  <c r="AU21" i="67" s="1"/>
  <c r="AV21" i="67" s="1"/>
  <c r="AW21" i="67" s="1"/>
  <c r="AX21" i="67" s="1"/>
  <c r="AY21" i="67" s="1"/>
  <c r="AZ21" i="67" s="1"/>
  <c r="BA21" i="67" s="1"/>
  <c r="BB21" i="67" s="1"/>
  <c r="BC21" i="67" s="1"/>
  <c r="BD21" i="67" s="1"/>
  <c r="BE21" i="67" s="1"/>
  <c r="BF21" i="67" s="1"/>
  <c r="L113" i="67"/>
  <c r="M113" i="67" s="1"/>
  <c r="N113" i="67" s="1"/>
  <c r="L102" i="67"/>
  <c r="M102" i="67" s="1"/>
  <c r="N102" i="67" s="1"/>
  <c r="O102" i="67" s="1"/>
  <c r="P102" i="67" s="1"/>
  <c r="Q102" i="67" s="1"/>
  <c r="R102" i="67" s="1"/>
  <c r="S102" i="67" s="1"/>
  <c r="T102" i="67" s="1"/>
  <c r="U102" i="67" s="1"/>
  <c r="V102" i="67" s="1"/>
  <c r="W102" i="67" s="1"/>
  <c r="X102" i="67" s="1"/>
  <c r="Y102" i="67" s="1"/>
  <c r="Z102" i="67" s="1"/>
  <c r="AA102" i="67" s="1"/>
  <c r="AB102" i="67" s="1"/>
  <c r="AC102" i="67" s="1"/>
  <c r="AD102" i="67" s="1"/>
  <c r="AE102" i="67" s="1"/>
  <c r="AF102" i="67" s="1"/>
  <c r="AG102" i="67" s="1"/>
  <c r="AH102" i="67" s="1"/>
  <c r="AI102" i="67" s="1"/>
  <c r="AJ102" i="67" s="1"/>
  <c r="AK102" i="67" s="1"/>
  <c r="AL102" i="67" s="1"/>
  <c r="AM102" i="67" s="1"/>
  <c r="AN102" i="67" s="1"/>
  <c r="AO102" i="67" s="1"/>
  <c r="AP102" i="67" s="1"/>
  <c r="AQ102" i="67" s="1"/>
  <c r="AR102" i="67" s="1"/>
  <c r="AS102" i="67" s="1"/>
  <c r="AT102" i="67" s="1"/>
  <c r="AU102" i="67" s="1"/>
  <c r="AV102" i="67" s="1"/>
  <c r="AW102" i="67" s="1"/>
  <c r="AX102" i="67" s="1"/>
  <c r="AY102" i="67" s="1"/>
  <c r="AZ102" i="67" s="1"/>
  <c r="BA102" i="67" s="1"/>
  <c r="BB102" i="67" s="1"/>
  <c r="BC102" i="67" s="1"/>
  <c r="BD102" i="67" s="1"/>
  <c r="BE102" i="67" s="1"/>
  <c r="BF102" i="67" s="1"/>
  <c r="L110" i="67"/>
  <c r="M110" i="67" s="1"/>
  <c r="N110" i="67" s="1"/>
  <c r="O110" i="67" s="1"/>
  <c r="P110" i="67" s="1"/>
  <c r="Q110" i="67" s="1"/>
  <c r="R110" i="67" s="1"/>
  <c r="S110" i="67" s="1"/>
  <c r="T110" i="67" s="1"/>
  <c r="U110" i="67" s="1"/>
  <c r="V110" i="67" s="1"/>
  <c r="W110" i="67" s="1"/>
  <c r="X110" i="67" s="1"/>
  <c r="Y110" i="67" s="1"/>
  <c r="Z110" i="67" s="1"/>
  <c r="AA110" i="67" s="1"/>
  <c r="AB110" i="67" s="1"/>
  <c r="AC110" i="67" s="1"/>
  <c r="AD110" i="67" s="1"/>
  <c r="AE110" i="67" s="1"/>
  <c r="AF110" i="67" s="1"/>
  <c r="AG110" i="67" s="1"/>
  <c r="AH110" i="67" s="1"/>
  <c r="AI110" i="67" s="1"/>
  <c r="AJ110" i="67" s="1"/>
  <c r="AK110" i="67" s="1"/>
  <c r="AL110" i="67" s="1"/>
  <c r="AM110" i="67" s="1"/>
  <c r="AN110" i="67" s="1"/>
  <c r="AO110" i="67" s="1"/>
  <c r="AP110" i="67" s="1"/>
  <c r="AQ110" i="67" s="1"/>
  <c r="AR110" i="67" s="1"/>
  <c r="AS110" i="67" s="1"/>
  <c r="AT110" i="67" s="1"/>
  <c r="AU110" i="67" s="1"/>
  <c r="AV110" i="67" s="1"/>
  <c r="AW110" i="67" s="1"/>
  <c r="AX110" i="67" s="1"/>
  <c r="AY110" i="67" s="1"/>
  <c r="AZ110" i="67" s="1"/>
  <c r="BA110" i="67" s="1"/>
  <c r="BB110" i="67" s="1"/>
  <c r="BC110" i="67" s="1"/>
  <c r="BD110" i="67" s="1"/>
  <c r="BE110" i="67" s="1"/>
  <c r="BF110" i="67" s="1"/>
  <c r="L27" i="67"/>
  <c r="M27" i="67" s="1"/>
  <c r="N27" i="67" s="1"/>
  <c r="O27" i="67" s="1"/>
  <c r="P27" i="67" s="1"/>
  <c r="Q27" i="67" s="1"/>
  <c r="R27" i="67" s="1"/>
  <c r="S27" i="67" s="1"/>
  <c r="T27" i="67" s="1"/>
  <c r="U27" i="67" s="1"/>
  <c r="V27" i="67" s="1"/>
  <c r="W27" i="67" s="1"/>
  <c r="X27" i="67" s="1"/>
  <c r="Y27" i="67" s="1"/>
  <c r="Z27" i="67" s="1"/>
  <c r="AA27" i="67" s="1"/>
  <c r="AB27" i="67" s="1"/>
  <c r="AC27" i="67" s="1"/>
  <c r="AD27" i="67" s="1"/>
  <c r="AE27" i="67" s="1"/>
  <c r="AF27" i="67" s="1"/>
  <c r="AG27" i="67" s="1"/>
  <c r="AH27" i="67" s="1"/>
  <c r="AI27" i="67" s="1"/>
  <c r="AJ27" i="67" s="1"/>
  <c r="AK27" i="67" s="1"/>
  <c r="AL27" i="67" s="1"/>
  <c r="AM27" i="67" s="1"/>
  <c r="AN27" i="67" s="1"/>
  <c r="AO27" i="67" s="1"/>
  <c r="AP27" i="67" s="1"/>
  <c r="AQ27" i="67" s="1"/>
  <c r="AR27" i="67" s="1"/>
  <c r="AS27" i="67" s="1"/>
  <c r="AT27" i="67" s="1"/>
  <c r="AU27" i="67" s="1"/>
  <c r="AV27" i="67" s="1"/>
  <c r="AW27" i="67" s="1"/>
  <c r="AX27" i="67" s="1"/>
  <c r="AY27" i="67" s="1"/>
  <c r="AZ27" i="67" s="1"/>
  <c r="BA27" i="67" s="1"/>
  <c r="BB27" i="67" s="1"/>
  <c r="BC27" i="67" s="1"/>
  <c r="BD27" i="67" s="1"/>
  <c r="BE27" i="67" s="1"/>
  <c r="BF27" i="67" s="1"/>
  <c r="L127" i="67"/>
  <c r="M127" i="67" s="1"/>
  <c r="N127" i="67" s="1"/>
  <c r="O127" i="67" s="1"/>
  <c r="P127" i="67" s="1"/>
  <c r="Q127" i="67" s="1"/>
  <c r="R127" i="67" s="1"/>
  <c r="S127" i="67" s="1"/>
  <c r="T127" i="67" s="1"/>
  <c r="U127" i="67" s="1"/>
  <c r="V127" i="67" s="1"/>
  <c r="W127" i="67" s="1"/>
  <c r="X127" i="67" s="1"/>
  <c r="Y127" i="67" s="1"/>
  <c r="Z127" i="67" s="1"/>
  <c r="AA127" i="67" s="1"/>
  <c r="AB127" i="67" s="1"/>
  <c r="AC127" i="67" s="1"/>
  <c r="AD127" i="67" s="1"/>
  <c r="AE127" i="67" s="1"/>
  <c r="AF127" i="67" s="1"/>
  <c r="AG127" i="67" s="1"/>
  <c r="AH127" i="67" s="1"/>
  <c r="AI127" i="67" s="1"/>
  <c r="AJ127" i="67" s="1"/>
  <c r="AK127" i="67" s="1"/>
  <c r="AL127" i="67" s="1"/>
  <c r="AM127" i="67" s="1"/>
  <c r="AN127" i="67" s="1"/>
  <c r="AO127" i="67" s="1"/>
  <c r="AP127" i="67" s="1"/>
  <c r="AQ127" i="67" s="1"/>
  <c r="AR127" i="67" s="1"/>
  <c r="AS127" i="67" s="1"/>
  <c r="AT127" i="67" s="1"/>
  <c r="AU127" i="67" s="1"/>
  <c r="AV127" i="67" s="1"/>
  <c r="AW127" i="67" s="1"/>
  <c r="AX127" i="67" s="1"/>
  <c r="AY127" i="67" s="1"/>
  <c r="AZ127" i="67" s="1"/>
  <c r="BA127" i="67" s="1"/>
  <c r="BB127" i="67" s="1"/>
  <c r="BC127" i="67" s="1"/>
  <c r="BD127" i="67" s="1"/>
  <c r="BE127" i="67" s="1"/>
  <c r="BF127" i="67" s="1"/>
  <c r="L69" i="67"/>
  <c r="M69" i="67" s="1"/>
  <c r="N69" i="67" s="1"/>
  <c r="O69" i="67" s="1"/>
  <c r="P69" i="67" s="1"/>
  <c r="Q69" i="67" s="1"/>
  <c r="R69" i="67" s="1"/>
  <c r="S69" i="67" s="1"/>
  <c r="T69" i="67" s="1"/>
  <c r="U69" i="67" s="1"/>
  <c r="V69" i="67" s="1"/>
  <c r="W69" i="67" s="1"/>
  <c r="X69" i="67" s="1"/>
  <c r="Y69" i="67" s="1"/>
  <c r="Z69" i="67" s="1"/>
  <c r="AA69" i="67" s="1"/>
  <c r="AB69" i="67" s="1"/>
  <c r="AC69" i="67" s="1"/>
  <c r="AD69" i="67" s="1"/>
  <c r="AE69" i="67" s="1"/>
  <c r="AF69" i="67" s="1"/>
  <c r="AG69" i="67" s="1"/>
  <c r="AH69" i="67" s="1"/>
  <c r="AI69" i="67" s="1"/>
  <c r="AJ69" i="67" s="1"/>
  <c r="AK69" i="67" s="1"/>
  <c r="AL69" i="67" s="1"/>
  <c r="AM69" i="67" s="1"/>
  <c r="AN69" i="67" s="1"/>
  <c r="AO69" i="67" s="1"/>
  <c r="AP69" i="67" s="1"/>
  <c r="AQ69" i="67" s="1"/>
  <c r="AR69" i="67" s="1"/>
  <c r="AS69" i="67" s="1"/>
  <c r="AT69" i="67" s="1"/>
  <c r="AU69" i="67" s="1"/>
  <c r="AV69" i="67" s="1"/>
  <c r="AW69" i="67" s="1"/>
  <c r="AX69" i="67" s="1"/>
  <c r="AY69" i="67" s="1"/>
  <c r="AZ69" i="67" s="1"/>
  <c r="BA69" i="67" s="1"/>
  <c r="BB69" i="67" s="1"/>
  <c r="BC69" i="67" s="1"/>
  <c r="BD69" i="67" s="1"/>
  <c r="BE69" i="67" s="1"/>
  <c r="BF69" i="67" s="1"/>
  <c r="L43" i="67"/>
  <c r="M43" i="67" s="1"/>
  <c r="N43" i="67" s="1"/>
  <c r="O43" i="67" s="1"/>
  <c r="P43" i="67" s="1"/>
  <c r="Q43" i="67" s="1"/>
  <c r="R43" i="67" s="1"/>
  <c r="S43" i="67" s="1"/>
  <c r="T43" i="67" s="1"/>
  <c r="U43" i="67" s="1"/>
  <c r="V43" i="67" s="1"/>
  <c r="W43" i="67" s="1"/>
  <c r="X43" i="67" s="1"/>
  <c r="Y43" i="67" s="1"/>
  <c r="Z43" i="67" s="1"/>
  <c r="AA43" i="67" s="1"/>
  <c r="AB43" i="67" s="1"/>
  <c r="AC43" i="67" s="1"/>
  <c r="AD43" i="67" s="1"/>
  <c r="AE43" i="67" s="1"/>
  <c r="AF43" i="67" s="1"/>
  <c r="AG43" i="67" s="1"/>
  <c r="AH43" i="67" s="1"/>
  <c r="AI43" i="67" s="1"/>
  <c r="AJ43" i="67" s="1"/>
  <c r="AK43" i="67" s="1"/>
  <c r="AL43" i="67" s="1"/>
  <c r="AM43" i="67" s="1"/>
  <c r="AN43" i="67" s="1"/>
  <c r="AO43" i="67" s="1"/>
  <c r="AP43" i="67" s="1"/>
  <c r="AQ43" i="67" s="1"/>
  <c r="AR43" i="67" s="1"/>
  <c r="AS43" i="67" s="1"/>
  <c r="AT43" i="67" s="1"/>
  <c r="AU43" i="67" s="1"/>
  <c r="AV43" i="67" s="1"/>
  <c r="AW43" i="67" s="1"/>
  <c r="AX43" i="67" s="1"/>
  <c r="AY43" i="67" s="1"/>
  <c r="AZ43" i="67" s="1"/>
  <c r="BA43" i="67" s="1"/>
  <c r="BB43" i="67" s="1"/>
  <c r="BC43" i="67" s="1"/>
  <c r="BD43" i="67" s="1"/>
  <c r="BE43" i="67" s="1"/>
  <c r="BF43" i="67" s="1"/>
  <c r="L42" i="67"/>
  <c r="M42" i="67" s="1"/>
  <c r="N42" i="67" s="1"/>
  <c r="O42" i="67" s="1"/>
  <c r="P42" i="67" s="1"/>
  <c r="Q42" i="67" s="1"/>
  <c r="R42" i="67" s="1"/>
  <c r="S42" i="67" s="1"/>
  <c r="T42" i="67" s="1"/>
  <c r="U42" i="67" s="1"/>
  <c r="V42" i="67" s="1"/>
  <c r="W42" i="67" s="1"/>
  <c r="X42" i="67" s="1"/>
  <c r="Y42" i="67" s="1"/>
  <c r="Z42" i="67" s="1"/>
  <c r="AA42" i="67" s="1"/>
  <c r="AB42" i="67" s="1"/>
  <c r="AC42" i="67" s="1"/>
  <c r="AD42" i="67" s="1"/>
  <c r="AE42" i="67" s="1"/>
  <c r="AF42" i="67" s="1"/>
  <c r="AG42" i="67" s="1"/>
  <c r="AH42" i="67" s="1"/>
  <c r="AI42" i="67" s="1"/>
  <c r="AJ42" i="67" s="1"/>
  <c r="AK42" i="67" s="1"/>
  <c r="AL42" i="67" s="1"/>
  <c r="AM42" i="67" s="1"/>
  <c r="AN42" i="67" s="1"/>
  <c r="AO42" i="67" s="1"/>
  <c r="AP42" i="67" s="1"/>
  <c r="AQ42" i="67" s="1"/>
  <c r="AR42" i="67" s="1"/>
  <c r="AS42" i="67" s="1"/>
  <c r="AT42" i="67" s="1"/>
  <c r="AU42" i="67" s="1"/>
  <c r="AV42" i="67" s="1"/>
  <c r="AW42" i="67" s="1"/>
  <c r="AX42" i="67" s="1"/>
  <c r="AY42" i="67" s="1"/>
  <c r="AZ42" i="67" s="1"/>
  <c r="BA42" i="67" s="1"/>
  <c r="BB42" i="67" s="1"/>
  <c r="BC42" i="67" s="1"/>
  <c r="BD42" i="67" s="1"/>
  <c r="BE42" i="67" s="1"/>
  <c r="BF42" i="67" s="1"/>
  <c r="C6" i="67"/>
  <c r="L26" i="67"/>
  <c r="M26" i="67" s="1"/>
  <c r="N26" i="67" s="1"/>
  <c r="O26" i="67" s="1"/>
  <c r="P26" i="67" s="1"/>
  <c r="Q26" i="67" s="1"/>
  <c r="R26" i="67" s="1"/>
  <c r="S26" i="67" s="1"/>
  <c r="T26" i="67" s="1"/>
  <c r="U26" i="67" s="1"/>
  <c r="V26" i="67" s="1"/>
  <c r="W26" i="67" s="1"/>
  <c r="X26" i="67" s="1"/>
  <c r="Y26" i="67" s="1"/>
  <c r="Z26" i="67" s="1"/>
  <c r="AA26" i="67" s="1"/>
  <c r="AB26" i="67" s="1"/>
  <c r="AC26" i="67" s="1"/>
  <c r="AD26" i="67" s="1"/>
  <c r="AE26" i="67" s="1"/>
  <c r="AF26" i="67" s="1"/>
  <c r="AG26" i="67" s="1"/>
  <c r="AH26" i="67" s="1"/>
  <c r="AI26" i="67" s="1"/>
  <c r="AJ26" i="67" s="1"/>
  <c r="AK26" i="67" s="1"/>
  <c r="AL26" i="67" s="1"/>
  <c r="AM26" i="67" s="1"/>
  <c r="AN26" i="67" s="1"/>
  <c r="AO26" i="67" s="1"/>
  <c r="AP26" i="67" s="1"/>
  <c r="AQ26" i="67" s="1"/>
  <c r="AR26" i="67" s="1"/>
  <c r="AS26" i="67" s="1"/>
  <c r="AT26" i="67" s="1"/>
  <c r="AU26" i="67" s="1"/>
  <c r="AV26" i="67" s="1"/>
  <c r="AW26" i="67" s="1"/>
  <c r="AX26" i="67" s="1"/>
  <c r="AY26" i="67" s="1"/>
  <c r="AZ26" i="67" s="1"/>
  <c r="BA26" i="67" s="1"/>
  <c r="BB26" i="67" s="1"/>
  <c r="BC26" i="67" s="1"/>
  <c r="BD26" i="67" s="1"/>
  <c r="BE26" i="67" s="1"/>
  <c r="BF26" i="67" s="1"/>
  <c r="L89" i="67"/>
  <c r="M89" i="67" s="1"/>
  <c r="N89" i="67" s="1"/>
  <c r="O89" i="67" s="1"/>
  <c r="P89" i="67" s="1"/>
  <c r="Q89" i="67" s="1"/>
  <c r="R89" i="67" s="1"/>
  <c r="S89" i="67" s="1"/>
  <c r="T89" i="67" s="1"/>
  <c r="U89" i="67" s="1"/>
  <c r="V89" i="67" s="1"/>
  <c r="W89" i="67" s="1"/>
  <c r="X89" i="67" s="1"/>
  <c r="Y89" i="67" s="1"/>
  <c r="Z89" i="67" s="1"/>
  <c r="AA89" i="67" s="1"/>
  <c r="AB89" i="67" s="1"/>
  <c r="AC89" i="67" s="1"/>
  <c r="AD89" i="67" s="1"/>
  <c r="AE89" i="67" s="1"/>
  <c r="AF89" i="67" s="1"/>
  <c r="AG89" i="67" s="1"/>
  <c r="AH89" i="67" s="1"/>
  <c r="AI89" i="67" s="1"/>
  <c r="AJ89" i="67" s="1"/>
  <c r="AK89" i="67" s="1"/>
  <c r="AL89" i="67" s="1"/>
  <c r="AM89" i="67" s="1"/>
  <c r="AN89" i="67" s="1"/>
  <c r="AO89" i="67" s="1"/>
  <c r="AP89" i="67" s="1"/>
  <c r="AQ89" i="67" s="1"/>
  <c r="AR89" i="67" s="1"/>
  <c r="AS89" i="67" s="1"/>
  <c r="AT89" i="67" s="1"/>
  <c r="AU89" i="67" s="1"/>
  <c r="AV89" i="67" s="1"/>
  <c r="AW89" i="67" s="1"/>
  <c r="AX89" i="67" s="1"/>
  <c r="AY89" i="67" s="1"/>
  <c r="AZ89" i="67" s="1"/>
  <c r="BA89" i="67" s="1"/>
  <c r="BB89" i="67" s="1"/>
  <c r="BC89" i="67" s="1"/>
  <c r="BD89" i="67" s="1"/>
  <c r="BE89" i="67" s="1"/>
  <c r="BF89" i="67" s="1"/>
  <c r="L83" i="67"/>
  <c r="M83" i="67" s="1"/>
  <c r="N83" i="67" s="1"/>
  <c r="L65" i="67"/>
  <c r="M65" i="67" s="1"/>
  <c r="N65" i="67" s="1"/>
  <c r="O65" i="67" s="1"/>
  <c r="P65" i="67" s="1"/>
  <c r="Q65" i="67" s="1"/>
  <c r="R65" i="67" s="1"/>
  <c r="S65" i="67" s="1"/>
  <c r="T65" i="67" s="1"/>
  <c r="U65" i="67" s="1"/>
  <c r="V65" i="67" s="1"/>
  <c r="W65" i="67" s="1"/>
  <c r="X65" i="67" s="1"/>
  <c r="Y65" i="67" s="1"/>
  <c r="Z65" i="67" s="1"/>
  <c r="AA65" i="67" s="1"/>
  <c r="AB65" i="67" s="1"/>
  <c r="AC65" i="67" s="1"/>
  <c r="AD65" i="67" s="1"/>
  <c r="AE65" i="67" s="1"/>
  <c r="AF65" i="67" s="1"/>
  <c r="AG65" i="67" s="1"/>
  <c r="AH65" i="67" s="1"/>
  <c r="AI65" i="67" s="1"/>
  <c r="AJ65" i="67" s="1"/>
  <c r="AK65" i="67" s="1"/>
  <c r="AL65" i="67" s="1"/>
  <c r="AM65" i="67" s="1"/>
  <c r="AN65" i="67" s="1"/>
  <c r="AO65" i="67" s="1"/>
  <c r="AP65" i="67" s="1"/>
  <c r="AQ65" i="67" s="1"/>
  <c r="AR65" i="67" s="1"/>
  <c r="AS65" i="67" s="1"/>
  <c r="AT65" i="67" s="1"/>
  <c r="AU65" i="67" s="1"/>
  <c r="AV65" i="67" s="1"/>
  <c r="AW65" i="67" s="1"/>
  <c r="AX65" i="67" s="1"/>
  <c r="AY65" i="67" s="1"/>
  <c r="AZ65" i="67" s="1"/>
  <c r="BA65" i="67" s="1"/>
  <c r="BB65" i="67" s="1"/>
  <c r="BC65" i="67" s="1"/>
  <c r="BD65" i="67" s="1"/>
  <c r="BE65" i="67" s="1"/>
  <c r="BF65" i="67" s="1"/>
  <c r="L68" i="67"/>
  <c r="M68" i="67" s="1"/>
  <c r="N68" i="67" s="1"/>
  <c r="O68" i="67" s="1"/>
  <c r="P68" i="67" s="1"/>
  <c r="Q68" i="67" s="1"/>
  <c r="R68" i="67" s="1"/>
  <c r="S68" i="67" s="1"/>
  <c r="T68" i="67" s="1"/>
  <c r="U68" i="67" s="1"/>
  <c r="V68" i="67" s="1"/>
  <c r="W68" i="67" s="1"/>
  <c r="X68" i="67" s="1"/>
  <c r="Y68" i="67" s="1"/>
  <c r="Z68" i="67" s="1"/>
  <c r="AA68" i="67" s="1"/>
  <c r="AB68" i="67" s="1"/>
  <c r="AC68" i="67" s="1"/>
  <c r="AD68" i="67" s="1"/>
  <c r="AE68" i="67" s="1"/>
  <c r="AF68" i="67" s="1"/>
  <c r="AG68" i="67" s="1"/>
  <c r="AH68" i="67" s="1"/>
  <c r="AI68" i="67" s="1"/>
  <c r="AJ68" i="67" s="1"/>
  <c r="AK68" i="67" s="1"/>
  <c r="AL68" i="67" s="1"/>
  <c r="AM68" i="67" s="1"/>
  <c r="AN68" i="67" s="1"/>
  <c r="AO68" i="67" s="1"/>
  <c r="AP68" i="67" s="1"/>
  <c r="AQ68" i="67" s="1"/>
  <c r="AR68" i="67" s="1"/>
  <c r="AS68" i="67" s="1"/>
  <c r="AT68" i="67" s="1"/>
  <c r="AU68" i="67" s="1"/>
  <c r="AV68" i="67" s="1"/>
  <c r="AW68" i="67" s="1"/>
  <c r="AX68" i="67" s="1"/>
  <c r="AY68" i="67" s="1"/>
  <c r="AZ68" i="67" s="1"/>
  <c r="BA68" i="67" s="1"/>
  <c r="BB68" i="67" s="1"/>
  <c r="BC68" i="67" s="1"/>
  <c r="BD68" i="67" s="1"/>
  <c r="BE68" i="67" s="1"/>
  <c r="BF68" i="67" s="1"/>
  <c r="L11" i="67"/>
  <c r="M11" i="67" s="1"/>
  <c r="N11" i="67" s="1"/>
  <c r="L118" i="67"/>
  <c r="M118" i="67" s="1"/>
  <c r="N118" i="67" s="1"/>
  <c r="L126" i="67"/>
  <c r="M126" i="67" s="1"/>
  <c r="N126" i="67" s="1"/>
  <c r="O126" i="67" s="1"/>
  <c r="P126" i="67" s="1"/>
  <c r="Q126" i="67" s="1"/>
  <c r="R126" i="67" s="1"/>
  <c r="S126" i="67" s="1"/>
  <c r="T126" i="67" s="1"/>
  <c r="U126" i="67" s="1"/>
  <c r="V126" i="67" s="1"/>
  <c r="W126" i="67" s="1"/>
  <c r="X126" i="67" s="1"/>
  <c r="Y126" i="67" s="1"/>
  <c r="Z126" i="67" s="1"/>
  <c r="AA126" i="67" s="1"/>
  <c r="AB126" i="67" s="1"/>
  <c r="AC126" i="67" s="1"/>
  <c r="AD126" i="67" s="1"/>
  <c r="AE126" i="67" s="1"/>
  <c r="AF126" i="67" s="1"/>
  <c r="AG126" i="67" s="1"/>
  <c r="AH126" i="67" s="1"/>
  <c r="AI126" i="67" s="1"/>
  <c r="AJ126" i="67" s="1"/>
  <c r="AK126" i="67" s="1"/>
  <c r="AL126" i="67" s="1"/>
  <c r="AM126" i="67" s="1"/>
  <c r="AN126" i="67" s="1"/>
  <c r="AO126" i="67" s="1"/>
  <c r="AP126" i="67" s="1"/>
  <c r="AQ126" i="67" s="1"/>
  <c r="AR126" i="67" s="1"/>
  <c r="AS126" i="67" s="1"/>
  <c r="AT126" i="67" s="1"/>
  <c r="AU126" i="67" s="1"/>
  <c r="AV126" i="67" s="1"/>
  <c r="AW126" i="67" s="1"/>
  <c r="AX126" i="67" s="1"/>
  <c r="AY126" i="67" s="1"/>
  <c r="AZ126" i="67" s="1"/>
  <c r="BA126" i="67" s="1"/>
  <c r="BB126" i="67" s="1"/>
  <c r="BC126" i="67" s="1"/>
  <c r="BD126" i="67" s="1"/>
  <c r="BE126" i="67" s="1"/>
  <c r="BF126" i="67" s="1"/>
  <c r="L48" i="67"/>
  <c r="M48" i="67" s="1"/>
  <c r="N48" i="67" s="1"/>
  <c r="O48" i="67" s="1"/>
  <c r="P48" i="67" s="1"/>
  <c r="Q48" i="67" s="1"/>
  <c r="R48" i="67" s="1"/>
  <c r="S48" i="67" s="1"/>
  <c r="T48" i="67" s="1"/>
  <c r="U48" i="67" s="1"/>
  <c r="V48" i="67" s="1"/>
  <c r="W48" i="67" s="1"/>
  <c r="X48" i="67" s="1"/>
  <c r="Y48" i="67" s="1"/>
  <c r="Z48" i="67" s="1"/>
  <c r="AA48" i="67" s="1"/>
  <c r="AB48" i="67" s="1"/>
  <c r="AC48" i="67" s="1"/>
  <c r="AD48" i="67" s="1"/>
  <c r="AE48" i="67" s="1"/>
  <c r="AF48" i="67" s="1"/>
  <c r="AG48" i="67" s="1"/>
  <c r="AH48" i="67" s="1"/>
  <c r="AI48" i="67" s="1"/>
  <c r="AJ48" i="67" s="1"/>
  <c r="AK48" i="67" s="1"/>
  <c r="AL48" i="67" s="1"/>
  <c r="AM48" i="67" s="1"/>
  <c r="AN48" i="67" s="1"/>
  <c r="AO48" i="67" s="1"/>
  <c r="AP48" i="67" s="1"/>
  <c r="AQ48" i="67" s="1"/>
  <c r="AR48" i="67" s="1"/>
  <c r="AS48" i="67" s="1"/>
  <c r="AT48" i="67" s="1"/>
  <c r="AU48" i="67" s="1"/>
  <c r="AV48" i="67" s="1"/>
  <c r="AW48" i="67" s="1"/>
  <c r="AX48" i="67" s="1"/>
  <c r="AY48" i="67" s="1"/>
  <c r="AZ48" i="67" s="1"/>
  <c r="BA48" i="67" s="1"/>
  <c r="BB48" i="67" s="1"/>
  <c r="BC48" i="67" s="1"/>
  <c r="BD48" i="67" s="1"/>
  <c r="BE48" i="67" s="1"/>
  <c r="BF48" i="67" s="1"/>
  <c r="L139" i="67"/>
  <c r="M139" i="67" s="1"/>
  <c r="N139" i="67" s="1"/>
  <c r="O139" i="67" s="1"/>
  <c r="P139" i="67" s="1"/>
  <c r="Q139" i="67" s="1"/>
  <c r="R139" i="67" s="1"/>
  <c r="S139" i="67" s="1"/>
  <c r="T139" i="67" s="1"/>
  <c r="U139" i="67" s="1"/>
  <c r="V139" i="67" s="1"/>
  <c r="W139" i="67" s="1"/>
  <c r="X139" i="67" s="1"/>
  <c r="Y139" i="67" s="1"/>
  <c r="Z139" i="67" s="1"/>
  <c r="AA139" i="67" s="1"/>
  <c r="AB139" i="67" s="1"/>
  <c r="AC139" i="67" s="1"/>
  <c r="AD139" i="67" s="1"/>
  <c r="AE139" i="67" s="1"/>
  <c r="AF139" i="67" s="1"/>
  <c r="AG139" i="67" s="1"/>
  <c r="AH139" i="67" s="1"/>
  <c r="AI139" i="67" s="1"/>
  <c r="AJ139" i="67" s="1"/>
  <c r="AK139" i="67" s="1"/>
  <c r="AL139" i="67" s="1"/>
  <c r="AM139" i="67" s="1"/>
  <c r="AN139" i="67" s="1"/>
  <c r="AO139" i="67" s="1"/>
  <c r="AP139" i="67" s="1"/>
  <c r="AQ139" i="67" s="1"/>
  <c r="AR139" i="67" s="1"/>
  <c r="AS139" i="67" s="1"/>
  <c r="AT139" i="67" s="1"/>
  <c r="AU139" i="67" s="1"/>
  <c r="AV139" i="67" s="1"/>
  <c r="AW139" i="67" s="1"/>
  <c r="AX139" i="67" s="1"/>
  <c r="AY139" i="67" s="1"/>
  <c r="AZ139" i="67" s="1"/>
  <c r="BA139" i="67" s="1"/>
  <c r="BB139" i="67" s="1"/>
  <c r="BC139" i="67" s="1"/>
  <c r="BD139" i="67" s="1"/>
  <c r="BE139" i="67" s="1"/>
  <c r="BF139" i="67" s="1"/>
  <c r="L123" i="67"/>
  <c r="M123" i="67" s="1"/>
  <c r="N123" i="67" s="1"/>
  <c r="L133" i="67"/>
  <c r="M133" i="67" s="1"/>
  <c r="N133" i="67" s="1"/>
  <c r="O133" i="67" s="1"/>
  <c r="P133" i="67" s="1"/>
  <c r="Q133" i="67" s="1"/>
  <c r="R133" i="67" s="1"/>
  <c r="S133" i="67" s="1"/>
  <c r="T133" i="67" s="1"/>
  <c r="U133" i="67" s="1"/>
  <c r="V133" i="67" s="1"/>
  <c r="W133" i="67" s="1"/>
  <c r="X133" i="67" s="1"/>
  <c r="Y133" i="67" s="1"/>
  <c r="Z133" i="67" s="1"/>
  <c r="AA133" i="67" s="1"/>
  <c r="AB133" i="67" s="1"/>
  <c r="AC133" i="67" s="1"/>
  <c r="AD133" i="67" s="1"/>
  <c r="AE133" i="67" s="1"/>
  <c r="AF133" i="67" s="1"/>
  <c r="AG133" i="67" s="1"/>
  <c r="AH133" i="67" s="1"/>
  <c r="AI133" i="67" s="1"/>
  <c r="AJ133" i="67" s="1"/>
  <c r="AK133" i="67" s="1"/>
  <c r="AL133" i="67" s="1"/>
  <c r="AM133" i="67" s="1"/>
  <c r="AN133" i="67" s="1"/>
  <c r="AO133" i="67" s="1"/>
  <c r="AP133" i="67" s="1"/>
  <c r="AQ133" i="67" s="1"/>
  <c r="AR133" i="67" s="1"/>
  <c r="AS133" i="67" s="1"/>
  <c r="AT133" i="67" s="1"/>
  <c r="AU133" i="67" s="1"/>
  <c r="AV133" i="67" s="1"/>
  <c r="AW133" i="67" s="1"/>
  <c r="AX133" i="67" s="1"/>
  <c r="AY133" i="67" s="1"/>
  <c r="AZ133" i="67" s="1"/>
  <c r="BA133" i="67" s="1"/>
  <c r="BB133" i="67" s="1"/>
  <c r="BC133" i="67" s="1"/>
  <c r="BD133" i="67" s="1"/>
  <c r="BE133" i="67" s="1"/>
  <c r="BF133" i="67" s="1"/>
  <c r="L74" i="67"/>
  <c r="M74" i="67" s="1"/>
  <c r="N74" i="67" s="1"/>
  <c r="O74" i="67" s="1"/>
  <c r="P74" i="67" s="1"/>
  <c r="Q74" i="67" s="1"/>
  <c r="R74" i="67" s="1"/>
  <c r="S74" i="67" s="1"/>
  <c r="T74" i="67" s="1"/>
  <c r="U74" i="67" s="1"/>
  <c r="V74" i="67" s="1"/>
  <c r="W74" i="67" s="1"/>
  <c r="X74" i="67" s="1"/>
  <c r="Y74" i="67" s="1"/>
  <c r="Z74" i="67" s="1"/>
  <c r="AA74" i="67" s="1"/>
  <c r="AB74" i="67" s="1"/>
  <c r="AC74" i="67" s="1"/>
  <c r="AD74" i="67" s="1"/>
  <c r="AE74" i="67" s="1"/>
  <c r="AF74" i="67" s="1"/>
  <c r="AG74" i="67" s="1"/>
  <c r="AH74" i="67" s="1"/>
  <c r="AI74" i="67" s="1"/>
  <c r="AJ74" i="67" s="1"/>
  <c r="AK74" i="67" s="1"/>
  <c r="AL74" i="67" s="1"/>
  <c r="AM74" i="67" s="1"/>
  <c r="AN74" i="67" s="1"/>
  <c r="AO74" i="67" s="1"/>
  <c r="AP74" i="67" s="1"/>
  <c r="AQ74" i="67" s="1"/>
  <c r="AR74" i="67" s="1"/>
  <c r="AS74" i="67" s="1"/>
  <c r="AT74" i="67" s="1"/>
  <c r="AU74" i="67" s="1"/>
  <c r="AV74" i="67" s="1"/>
  <c r="AW74" i="67" s="1"/>
  <c r="AX74" i="67" s="1"/>
  <c r="AY74" i="67" s="1"/>
  <c r="AZ74" i="67" s="1"/>
  <c r="BA74" i="67" s="1"/>
  <c r="BB74" i="67" s="1"/>
  <c r="BC74" i="67" s="1"/>
  <c r="BD74" i="67" s="1"/>
  <c r="BE74" i="67" s="1"/>
  <c r="BF74" i="67" s="1"/>
  <c r="L66" i="67"/>
  <c r="M66" i="67" s="1"/>
  <c r="N66" i="67" s="1"/>
  <c r="O66" i="67" s="1"/>
  <c r="P66" i="67" s="1"/>
  <c r="Q66" i="67" s="1"/>
  <c r="R66" i="67" s="1"/>
  <c r="S66" i="67" s="1"/>
  <c r="T66" i="67" s="1"/>
  <c r="U66" i="67" s="1"/>
  <c r="V66" i="67" s="1"/>
  <c r="W66" i="67" s="1"/>
  <c r="X66" i="67" s="1"/>
  <c r="Y66" i="67" s="1"/>
  <c r="Z66" i="67" s="1"/>
  <c r="AA66" i="67" s="1"/>
  <c r="AB66" i="67" s="1"/>
  <c r="AC66" i="67" s="1"/>
  <c r="AD66" i="67" s="1"/>
  <c r="AE66" i="67" s="1"/>
  <c r="AF66" i="67" s="1"/>
  <c r="AG66" i="67" s="1"/>
  <c r="AH66" i="67" s="1"/>
  <c r="AI66" i="67" s="1"/>
  <c r="AJ66" i="67" s="1"/>
  <c r="AK66" i="67" s="1"/>
  <c r="AL66" i="67" s="1"/>
  <c r="AM66" i="67" s="1"/>
  <c r="AN66" i="67" s="1"/>
  <c r="AO66" i="67" s="1"/>
  <c r="AP66" i="67" s="1"/>
  <c r="AQ66" i="67" s="1"/>
  <c r="AR66" i="67" s="1"/>
  <c r="AS66" i="67" s="1"/>
  <c r="AT66" i="67" s="1"/>
  <c r="AU66" i="67" s="1"/>
  <c r="AV66" i="67" s="1"/>
  <c r="AW66" i="67" s="1"/>
  <c r="AX66" i="67" s="1"/>
  <c r="AY66" i="67" s="1"/>
  <c r="AZ66" i="67" s="1"/>
  <c r="BA66" i="67" s="1"/>
  <c r="BB66" i="67" s="1"/>
  <c r="BC66" i="67" s="1"/>
  <c r="BD66" i="67" s="1"/>
  <c r="BE66" i="67" s="1"/>
  <c r="BF66" i="67" s="1"/>
  <c r="L140" i="67"/>
  <c r="M140" i="67" s="1"/>
  <c r="N140" i="67" s="1"/>
  <c r="O140" i="67" s="1"/>
  <c r="P140" i="67" s="1"/>
  <c r="Q140" i="67" s="1"/>
  <c r="R140" i="67" s="1"/>
  <c r="S140" i="67" s="1"/>
  <c r="T140" i="67" s="1"/>
  <c r="U140" i="67" s="1"/>
  <c r="V140" i="67" s="1"/>
  <c r="W140" i="67" s="1"/>
  <c r="X140" i="67" s="1"/>
  <c r="Y140" i="67" s="1"/>
  <c r="Z140" i="67" s="1"/>
  <c r="AA140" i="67" s="1"/>
  <c r="AB140" i="67" s="1"/>
  <c r="AC140" i="67" s="1"/>
  <c r="AD140" i="67" s="1"/>
  <c r="AE140" i="67" s="1"/>
  <c r="AF140" i="67" s="1"/>
  <c r="AG140" i="67" s="1"/>
  <c r="AH140" i="67" s="1"/>
  <c r="AI140" i="67" s="1"/>
  <c r="AJ140" i="67" s="1"/>
  <c r="AK140" i="67" s="1"/>
  <c r="AL140" i="67" s="1"/>
  <c r="AM140" i="67" s="1"/>
  <c r="AN140" i="67" s="1"/>
  <c r="AO140" i="67" s="1"/>
  <c r="AP140" i="67" s="1"/>
  <c r="AQ140" i="67" s="1"/>
  <c r="AR140" i="67" s="1"/>
  <c r="AS140" i="67" s="1"/>
  <c r="AT140" i="67" s="1"/>
  <c r="AU140" i="67" s="1"/>
  <c r="AV140" i="67" s="1"/>
  <c r="AW140" i="67" s="1"/>
  <c r="AX140" i="67" s="1"/>
  <c r="AY140" i="67" s="1"/>
  <c r="AZ140" i="67" s="1"/>
  <c r="BA140" i="67" s="1"/>
  <c r="BB140" i="67" s="1"/>
  <c r="BC140" i="67" s="1"/>
  <c r="BD140" i="67" s="1"/>
  <c r="BE140" i="67" s="1"/>
  <c r="BF140" i="67" s="1"/>
  <c r="L132" i="67"/>
  <c r="M132" i="67" s="1"/>
  <c r="N132" i="67" s="1"/>
  <c r="O132" i="67" s="1"/>
  <c r="P132" i="67" s="1"/>
  <c r="Q132" i="67" s="1"/>
  <c r="R132" i="67" s="1"/>
  <c r="S132" i="67" s="1"/>
  <c r="T132" i="67" s="1"/>
  <c r="U132" i="67" s="1"/>
  <c r="V132" i="67" s="1"/>
  <c r="W132" i="67" s="1"/>
  <c r="X132" i="67" s="1"/>
  <c r="Y132" i="67" s="1"/>
  <c r="Z132" i="67" s="1"/>
  <c r="AA132" i="67" s="1"/>
  <c r="AB132" i="67" s="1"/>
  <c r="AC132" i="67" s="1"/>
  <c r="AD132" i="67" s="1"/>
  <c r="AE132" i="67" s="1"/>
  <c r="AF132" i="67" s="1"/>
  <c r="AG132" i="67" s="1"/>
  <c r="AH132" i="67" s="1"/>
  <c r="AI132" i="67" s="1"/>
  <c r="AJ132" i="67" s="1"/>
  <c r="AK132" i="67" s="1"/>
  <c r="AL132" i="67" s="1"/>
  <c r="AM132" i="67" s="1"/>
  <c r="AN132" i="67" s="1"/>
  <c r="AO132" i="67" s="1"/>
  <c r="AP132" i="67" s="1"/>
  <c r="AQ132" i="67" s="1"/>
  <c r="AR132" i="67" s="1"/>
  <c r="AS132" i="67" s="1"/>
  <c r="AT132" i="67" s="1"/>
  <c r="AU132" i="67" s="1"/>
  <c r="AV132" i="67" s="1"/>
  <c r="AW132" i="67" s="1"/>
  <c r="AX132" i="67" s="1"/>
  <c r="AY132" i="67" s="1"/>
  <c r="AZ132" i="67" s="1"/>
  <c r="BA132" i="67" s="1"/>
  <c r="BB132" i="67" s="1"/>
  <c r="BC132" i="67" s="1"/>
  <c r="BD132" i="67" s="1"/>
  <c r="BE132" i="67" s="1"/>
  <c r="BF132" i="67" s="1"/>
  <c r="L124" i="67"/>
  <c r="M124" i="67" s="1"/>
  <c r="N124" i="67" s="1"/>
  <c r="O124" i="67" s="1"/>
  <c r="P124" i="67" s="1"/>
  <c r="Q124" i="67" s="1"/>
  <c r="R124" i="67" s="1"/>
  <c r="S124" i="67" s="1"/>
  <c r="T124" i="67" s="1"/>
  <c r="U124" i="67" s="1"/>
  <c r="V124" i="67" s="1"/>
  <c r="W124" i="67" s="1"/>
  <c r="X124" i="67" s="1"/>
  <c r="Y124" i="67" s="1"/>
  <c r="Z124" i="67" s="1"/>
  <c r="AA124" i="67" s="1"/>
  <c r="AB124" i="67" s="1"/>
  <c r="AC124" i="67" s="1"/>
  <c r="AD124" i="67" s="1"/>
  <c r="AE124" i="67" s="1"/>
  <c r="AF124" i="67" s="1"/>
  <c r="AG124" i="67" s="1"/>
  <c r="AH124" i="67" s="1"/>
  <c r="AI124" i="67" s="1"/>
  <c r="AJ124" i="67" s="1"/>
  <c r="AK124" i="67" s="1"/>
  <c r="AL124" i="67" s="1"/>
  <c r="AM124" i="67" s="1"/>
  <c r="AN124" i="67" s="1"/>
  <c r="AO124" i="67" s="1"/>
  <c r="AP124" i="67" s="1"/>
  <c r="AQ124" i="67" s="1"/>
  <c r="AR124" i="67" s="1"/>
  <c r="AS124" i="67" s="1"/>
  <c r="AT124" i="67" s="1"/>
  <c r="AU124" i="67" s="1"/>
  <c r="AV124" i="67" s="1"/>
  <c r="AW124" i="67" s="1"/>
  <c r="AX124" i="67" s="1"/>
  <c r="AY124" i="67" s="1"/>
  <c r="AZ124" i="67" s="1"/>
  <c r="BA124" i="67" s="1"/>
  <c r="BB124" i="67" s="1"/>
  <c r="BC124" i="67" s="1"/>
  <c r="BD124" i="67" s="1"/>
  <c r="BE124" i="67" s="1"/>
  <c r="BF124" i="67" s="1"/>
  <c r="L116" i="67"/>
  <c r="M116" i="67" s="1"/>
  <c r="N116" i="67" s="1"/>
  <c r="O116" i="67" s="1"/>
  <c r="P116" i="67" s="1"/>
  <c r="Q116" i="67" s="1"/>
  <c r="R116" i="67" s="1"/>
  <c r="S116" i="67" s="1"/>
  <c r="T116" i="67" s="1"/>
  <c r="U116" i="67" s="1"/>
  <c r="V116" i="67" s="1"/>
  <c r="W116" i="67" s="1"/>
  <c r="X116" i="67" s="1"/>
  <c r="Y116" i="67" s="1"/>
  <c r="Z116" i="67" s="1"/>
  <c r="AA116" i="67" s="1"/>
  <c r="AB116" i="67" s="1"/>
  <c r="AC116" i="67" s="1"/>
  <c r="AD116" i="67" s="1"/>
  <c r="AE116" i="67" s="1"/>
  <c r="AF116" i="67" s="1"/>
  <c r="AG116" i="67" s="1"/>
  <c r="AH116" i="67" s="1"/>
  <c r="AI116" i="67" s="1"/>
  <c r="AJ116" i="67" s="1"/>
  <c r="AK116" i="67" s="1"/>
  <c r="AL116" i="67" s="1"/>
  <c r="AM116" i="67" s="1"/>
  <c r="AN116" i="67" s="1"/>
  <c r="AO116" i="67" s="1"/>
  <c r="AP116" i="67" s="1"/>
  <c r="AQ116" i="67" s="1"/>
  <c r="AR116" i="67" s="1"/>
  <c r="AS116" i="67" s="1"/>
  <c r="AT116" i="67" s="1"/>
  <c r="AU116" i="67" s="1"/>
  <c r="AV116" i="67" s="1"/>
  <c r="AW116" i="67" s="1"/>
  <c r="AX116" i="67" s="1"/>
  <c r="AY116" i="67" s="1"/>
  <c r="AZ116" i="67" s="1"/>
  <c r="BA116" i="67" s="1"/>
  <c r="BB116" i="67" s="1"/>
  <c r="BC116" i="67" s="1"/>
  <c r="BD116" i="67" s="1"/>
  <c r="BE116" i="67" s="1"/>
  <c r="BF116" i="67" s="1"/>
  <c r="L108" i="67"/>
  <c r="M108" i="67" s="1"/>
  <c r="N108" i="67" s="1"/>
  <c r="L100" i="67"/>
  <c r="M100" i="67" s="1"/>
  <c r="N100" i="67" s="1"/>
  <c r="O100" i="67" s="1"/>
  <c r="P100" i="67" s="1"/>
  <c r="Q100" i="67" s="1"/>
  <c r="R100" i="67" s="1"/>
  <c r="S100" i="67" s="1"/>
  <c r="T100" i="67" s="1"/>
  <c r="U100" i="67" s="1"/>
  <c r="V100" i="67" s="1"/>
  <c r="W100" i="67" s="1"/>
  <c r="X100" i="67" s="1"/>
  <c r="Y100" i="67" s="1"/>
  <c r="Z100" i="67" s="1"/>
  <c r="AA100" i="67" s="1"/>
  <c r="AB100" i="67" s="1"/>
  <c r="AC100" i="67" s="1"/>
  <c r="AD100" i="67" s="1"/>
  <c r="AE100" i="67" s="1"/>
  <c r="AF100" i="67" s="1"/>
  <c r="AG100" i="67" s="1"/>
  <c r="AH100" i="67" s="1"/>
  <c r="AI100" i="67" s="1"/>
  <c r="AJ100" i="67" s="1"/>
  <c r="AK100" i="67" s="1"/>
  <c r="AL100" i="67" s="1"/>
  <c r="AM100" i="67" s="1"/>
  <c r="AN100" i="67" s="1"/>
  <c r="AO100" i="67" s="1"/>
  <c r="AP100" i="67" s="1"/>
  <c r="AQ100" i="67" s="1"/>
  <c r="AR100" i="67" s="1"/>
  <c r="AS100" i="67" s="1"/>
  <c r="AT100" i="67" s="1"/>
  <c r="AU100" i="67" s="1"/>
  <c r="AV100" i="67" s="1"/>
  <c r="AW100" i="67" s="1"/>
  <c r="AX100" i="67" s="1"/>
  <c r="AY100" i="67" s="1"/>
  <c r="AZ100" i="67" s="1"/>
  <c r="BA100" i="67" s="1"/>
  <c r="BB100" i="67" s="1"/>
  <c r="BC100" i="67" s="1"/>
  <c r="BD100" i="67" s="1"/>
  <c r="BE100" i="67" s="1"/>
  <c r="BF100" i="67" s="1"/>
  <c r="L92" i="67"/>
  <c r="M92" i="67" s="1"/>
  <c r="N92" i="67" s="1"/>
  <c r="L84" i="67"/>
  <c r="M84" i="67" s="1"/>
  <c r="N84" i="67" s="1"/>
  <c r="O84" i="67" s="1"/>
  <c r="P84" i="67" s="1"/>
  <c r="Q84" i="67" s="1"/>
  <c r="R84" i="67" s="1"/>
  <c r="S84" i="67" s="1"/>
  <c r="T84" i="67" s="1"/>
  <c r="U84" i="67" s="1"/>
  <c r="V84" i="67" s="1"/>
  <c r="W84" i="67" s="1"/>
  <c r="X84" i="67" s="1"/>
  <c r="Y84" i="67" s="1"/>
  <c r="Z84" i="67" s="1"/>
  <c r="AA84" i="67" s="1"/>
  <c r="AB84" i="67" s="1"/>
  <c r="AC84" i="67" s="1"/>
  <c r="AD84" i="67" s="1"/>
  <c r="AE84" i="67" s="1"/>
  <c r="AF84" i="67" s="1"/>
  <c r="AG84" i="67" s="1"/>
  <c r="AH84" i="67" s="1"/>
  <c r="AI84" i="67" s="1"/>
  <c r="AJ84" i="67" s="1"/>
  <c r="AK84" i="67" s="1"/>
  <c r="AL84" i="67" s="1"/>
  <c r="AM84" i="67" s="1"/>
  <c r="AN84" i="67" s="1"/>
  <c r="AO84" i="67" s="1"/>
  <c r="AP84" i="67" s="1"/>
  <c r="AQ84" i="67" s="1"/>
  <c r="AR84" i="67" s="1"/>
  <c r="AS84" i="67" s="1"/>
  <c r="AT84" i="67" s="1"/>
  <c r="AU84" i="67" s="1"/>
  <c r="AV84" i="67" s="1"/>
  <c r="AW84" i="67" s="1"/>
  <c r="AX84" i="67" s="1"/>
  <c r="AY84" i="67" s="1"/>
  <c r="AZ84" i="67" s="1"/>
  <c r="BA84" i="67" s="1"/>
  <c r="BB84" i="67" s="1"/>
  <c r="BC84" i="67" s="1"/>
  <c r="BD84" i="67" s="1"/>
  <c r="BE84" i="67" s="1"/>
  <c r="BF84" i="67" s="1"/>
  <c r="L67" i="67"/>
  <c r="M67" i="67" s="1"/>
  <c r="N67" i="67" s="1"/>
  <c r="O67" i="67" s="1"/>
  <c r="P67" i="67" s="1"/>
  <c r="Q67" i="67" s="1"/>
  <c r="R67" i="67" s="1"/>
  <c r="S67" i="67" s="1"/>
  <c r="T67" i="67" s="1"/>
  <c r="U67" i="67" s="1"/>
  <c r="V67" i="67" s="1"/>
  <c r="W67" i="67" s="1"/>
  <c r="X67" i="67" s="1"/>
  <c r="Y67" i="67" s="1"/>
  <c r="Z67" i="67" s="1"/>
  <c r="AA67" i="67" s="1"/>
  <c r="AB67" i="67" s="1"/>
  <c r="AC67" i="67" s="1"/>
  <c r="AD67" i="67" s="1"/>
  <c r="AE67" i="67" s="1"/>
  <c r="AF67" i="67" s="1"/>
  <c r="AG67" i="67" s="1"/>
  <c r="AH67" i="67" s="1"/>
  <c r="AI67" i="67" s="1"/>
  <c r="AJ67" i="67" s="1"/>
  <c r="AK67" i="67" s="1"/>
  <c r="AL67" i="67" s="1"/>
  <c r="AM67" i="67" s="1"/>
  <c r="AN67" i="67" s="1"/>
  <c r="AO67" i="67" s="1"/>
  <c r="AP67" i="67" s="1"/>
  <c r="AQ67" i="67" s="1"/>
  <c r="AR67" i="67" s="1"/>
  <c r="AS67" i="67" s="1"/>
  <c r="AT67" i="67" s="1"/>
  <c r="AU67" i="67" s="1"/>
  <c r="AV67" i="67" s="1"/>
  <c r="AW67" i="67" s="1"/>
  <c r="AX67" i="67" s="1"/>
  <c r="AY67" i="67" s="1"/>
  <c r="AZ67" i="67" s="1"/>
  <c r="BA67" i="67" s="1"/>
  <c r="BB67" i="67" s="1"/>
  <c r="BC67" i="67" s="1"/>
  <c r="BD67" i="67" s="1"/>
  <c r="BE67" i="67" s="1"/>
  <c r="BF67" i="67" s="1"/>
  <c r="L117" i="67"/>
  <c r="M117" i="67" s="1"/>
  <c r="N117" i="67" s="1"/>
  <c r="O117" i="67" s="1"/>
  <c r="P117" i="67" s="1"/>
  <c r="Q117" i="67" s="1"/>
  <c r="R117" i="67" s="1"/>
  <c r="S117" i="67" s="1"/>
  <c r="T117" i="67" s="1"/>
  <c r="U117" i="67" s="1"/>
  <c r="V117" i="67" s="1"/>
  <c r="W117" i="67" s="1"/>
  <c r="X117" i="67" s="1"/>
  <c r="Y117" i="67" s="1"/>
  <c r="Z117" i="67" s="1"/>
  <c r="AA117" i="67" s="1"/>
  <c r="AB117" i="67" s="1"/>
  <c r="AC117" i="67" s="1"/>
  <c r="AD117" i="67" s="1"/>
  <c r="AE117" i="67" s="1"/>
  <c r="AF117" i="67" s="1"/>
  <c r="AG117" i="67" s="1"/>
  <c r="AH117" i="67" s="1"/>
  <c r="AI117" i="67" s="1"/>
  <c r="AJ117" i="67" s="1"/>
  <c r="AK117" i="67" s="1"/>
  <c r="AL117" i="67" s="1"/>
  <c r="AM117" i="67" s="1"/>
  <c r="AN117" i="67" s="1"/>
  <c r="AO117" i="67" s="1"/>
  <c r="AP117" i="67" s="1"/>
  <c r="AQ117" i="67" s="1"/>
  <c r="AR117" i="67" s="1"/>
  <c r="AS117" i="67" s="1"/>
  <c r="AT117" i="67" s="1"/>
  <c r="AU117" i="67" s="1"/>
  <c r="AV117" i="67" s="1"/>
  <c r="AW117" i="67" s="1"/>
  <c r="AX117" i="67" s="1"/>
  <c r="AY117" i="67" s="1"/>
  <c r="AZ117" i="67" s="1"/>
  <c r="BA117" i="67" s="1"/>
  <c r="BB117" i="67" s="1"/>
  <c r="BC117" i="67" s="1"/>
  <c r="BD117" i="67" s="1"/>
  <c r="BE117" i="67" s="1"/>
  <c r="BF117" i="67" s="1"/>
  <c r="L109" i="67"/>
  <c r="M109" i="67" s="1"/>
  <c r="N109" i="67" s="1"/>
  <c r="O109" i="67" s="1"/>
  <c r="P109" i="67" s="1"/>
  <c r="Q109" i="67" s="1"/>
  <c r="R109" i="67" s="1"/>
  <c r="S109" i="67" s="1"/>
  <c r="T109" i="67" s="1"/>
  <c r="U109" i="67" s="1"/>
  <c r="V109" i="67" s="1"/>
  <c r="W109" i="67" s="1"/>
  <c r="X109" i="67" s="1"/>
  <c r="Y109" i="67" s="1"/>
  <c r="Z109" i="67" s="1"/>
  <c r="AA109" i="67" s="1"/>
  <c r="AB109" i="67" s="1"/>
  <c r="AC109" i="67" s="1"/>
  <c r="AD109" i="67" s="1"/>
  <c r="AE109" i="67" s="1"/>
  <c r="AF109" i="67" s="1"/>
  <c r="AG109" i="67" s="1"/>
  <c r="AH109" i="67" s="1"/>
  <c r="AI109" i="67" s="1"/>
  <c r="AJ109" i="67" s="1"/>
  <c r="AK109" i="67" s="1"/>
  <c r="AL109" i="67" s="1"/>
  <c r="AM109" i="67" s="1"/>
  <c r="AN109" i="67" s="1"/>
  <c r="AO109" i="67" s="1"/>
  <c r="AP109" i="67" s="1"/>
  <c r="AQ109" i="67" s="1"/>
  <c r="AR109" i="67" s="1"/>
  <c r="AS109" i="67" s="1"/>
  <c r="AT109" i="67" s="1"/>
  <c r="AU109" i="67" s="1"/>
  <c r="AV109" i="67" s="1"/>
  <c r="AW109" i="67" s="1"/>
  <c r="AX109" i="67" s="1"/>
  <c r="AY109" i="67" s="1"/>
  <c r="AZ109" i="67" s="1"/>
  <c r="BA109" i="67" s="1"/>
  <c r="BB109" i="67" s="1"/>
  <c r="BC109" i="67" s="1"/>
  <c r="BD109" i="67" s="1"/>
  <c r="BE109" i="67" s="1"/>
  <c r="BF109" i="67" s="1"/>
  <c r="L101" i="67"/>
  <c r="M101" i="67" s="1"/>
  <c r="N101" i="67" s="1"/>
  <c r="O101" i="67" s="1"/>
  <c r="P101" i="67" s="1"/>
  <c r="Q101" i="67" s="1"/>
  <c r="R101" i="67" s="1"/>
  <c r="S101" i="67" s="1"/>
  <c r="T101" i="67" s="1"/>
  <c r="U101" i="67" s="1"/>
  <c r="V101" i="67" s="1"/>
  <c r="W101" i="67" s="1"/>
  <c r="X101" i="67" s="1"/>
  <c r="Y101" i="67" s="1"/>
  <c r="Z101" i="67" s="1"/>
  <c r="AA101" i="67" s="1"/>
  <c r="AB101" i="67" s="1"/>
  <c r="AC101" i="67" s="1"/>
  <c r="AD101" i="67" s="1"/>
  <c r="AE101" i="67" s="1"/>
  <c r="AF101" i="67" s="1"/>
  <c r="AG101" i="67" s="1"/>
  <c r="AH101" i="67" s="1"/>
  <c r="AI101" i="67" s="1"/>
  <c r="AJ101" i="67" s="1"/>
  <c r="AK101" i="67" s="1"/>
  <c r="AL101" i="67" s="1"/>
  <c r="AM101" i="67" s="1"/>
  <c r="AN101" i="67" s="1"/>
  <c r="AO101" i="67" s="1"/>
  <c r="AP101" i="67" s="1"/>
  <c r="AQ101" i="67" s="1"/>
  <c r="AR101" i="67" s="1"/>
  <c r="AS101" i="67" s="1"/>
  <c r="AT101" i="67" s="1"/>
  <c r="AU101" i="67" s="1"/>
  <c r="AV101" i="67" s="1"/>
  <c r="AW101" i="67" s="1"/>
  <c r="AX101" i="67" s="1"/>
  <c r="AY101" i="67" s="1"/>
  <c r="AZ101" i="67" s="1"/>
  <c r="BA101" i="67" s="1"/>
  <c r="BB101" i="67" s="1"/>
  <c r="BC101" i="67" s="1"/>
  <c r="BD101" i="67" s="1"/>
  <c r="BE101" i="67" s="1"/>
  <c r="BF101" i="67" s="1"/>
  <c r="L93" i="67"/>
  <c r="M93" i="67" s="1"/>
  <c r="L57" i="67"/>
  <c r="M57" i="67" s="1"/>
  <c r="N57" i="67" s="1"/>
  <c r="O57" i="67" s="1"/>
  <c r="P57" i="67" s="1"/>
  <c r="Q57" i="67" s="1"/>
  <c r="R57" i="67" s="1"/>
  <c r="S57" i="67" s="1"/>
  <c r="T57" i="67" s="1"/>
  <c r="U57" i="67" s="1"/>
  <c r="V57" i="67" s="1"/>
  <c r="W57" i="67" s="1"/>
  <c r="X57" i="67" s="1"/>
  <c r="Y57" i="67" s="1"/>
  <c r="Z57" i="67" s="1"/>
  <c r="AA57" i="67" s="1"/>
  <c r="AB57" i="67" s="1"/>
  <c r="AC57" i="67" s="1"/>
  <c r="AD57" i="67" s="1"/>
  <c r="AE57" i="67" s="1"/>
  <c r="AF57" i="67" s="1"/>
  <c r="AG57" i="67" s="1"/>
  <c r="AH57" i="67" s="1"/>
  <c r="AI57" i="67" s="1"/>
  <c r="AJ57" i="67" s="1"/>
  <c r="AK57" i="67" s="1"/>
  <c r="AL57" i="67" s="1"/>
  <c r="AM57" i="67" s="1"/>
  <c r="AN57" i="67" s="1"/>
  <c r="AO57" i="67" s="1"/>
  <c r="AP57" i="67" s="1"/>
  <c r="AQ57" i="67" s="1"/>
  <c r="AR57" i="67" s="1"/>
  <c r="AS57" i="67" s="1"/>
  <c r="AT57" i="67" s="1"/>
  <c r="AU57" i="67" s="1"/>
  <c r="AV57" i="67" s="1"/>
  <c r="AW57" i="67" s="1"/>
  <c r="AX57" i="67" s="1"/>
  <c r="AY57" i="67" s="1"/>
  <c r="AZ57" i="67" s="1"/>
  <c r="BA57" i="67" s="1"/>
  <c r="BB57" i="67" s="1"/>
  <c r="BC57" i="67" s="1"/>
  <c r="BD57" i="67" s="1"/>
  <c r="BE57" i="67" s="1"/>
  <c r="BF57" i="67" s="1"/>
  <c r="L49" i="67"/>
  <c r="M49" i="67" s="1"/>
  <c r="N49" i="67" s="1"/>
  <c r="O49" i="67" s="1"/>
  <c r="P49" i="67" s="1"/>
  <c r="Q49" i="67" s="1"/>
  <c r="R49" i="67" s="1"/>
  <c r="S49" i="67" s="1"/>
  <c r="L41" i="67"/>
  <c r="M41" i="67" s="1"/>
  <c r="N41" i="67" s="1"/>
  <c r="O41" i="67" s="1"/>
  <c r="P41" i="67" s="1"/>
  <c r="Q41" i="67" s="1"/>
  <c r="R41" i="67" s="1"/>
  <c r="S41" i="67" s="1"/>
  <c r="T41" i="67" s="1"/>
  <c r="U41" i="67" s="1"/>
  <c r="V41" i="67" s="1"/>
  <c r="W41" i="67" s="1"/>
  <c r="X41" i="67" s="1"/>
  <c r="Y41" i="67" s="1"/>
  <c r="Z41" i="67" s="1"/>
  <c r="AA41" i="67" s="1"/>
  <c r="AB41" i="67" s="1"/>
  <c r="AC41" i="67" s="1"/>
  <c r="AD41" i="67" s="1"/>
  <c r="AE41" i="67" s="1"/>
  <c r="AF41" i="67" s="1"/>
  <c r="AG41" i="67" s="1"/>
  <c r="AH41" i="67" s="1"/>
  <c r="AI41" i="67" s="1"/>
  <c r="AJ41" i="67" s="1"/>
  <c r="AK41" i="67" s="1"/>
  <c r="AL41" i="67" s="1"/>
  <c r="AM41" i="67" s="1"/>
  <c r="AN41" i="67" s="1"/>
  <c r="AO41" i="67" s="1"/>
  <c r="AP41" i="67" s="1"/>
  <c r="AQ41" i="67" s="1"/>
  <c r="AR41" i="67" s="1"/>
  <c r="AS41" i="67" s="1"/>
  <c r="AT41" i="67" s="1"/>
  <c r="AU41" i="67" s="1"/>
  <c r="AV41" i="67" s="1"/>
  <c r="AW41" i="67" s="1"/>
  <c r="AX41" i="67" s="1"/>
  <c r="AY41" i="67" s="1"/>
  <c r="AZ41" i="67" s="1"/>
  <c r="BA41" i="67" s="1"/>
  <c r="BB41" i="67" s="1"/>
  <c r="BC41" i="67" s="1"/>
  <c r="BD41" i="67" s="1"/>
  <c r="BE41" i="67" s="1"/>
  <c r="BF41" i="67" s="1"/>
  <c r="L33" i="67"/>
  <c r="M33" i="67" s="1"/>
  <c r="N33" i="67" s="1"/>
  <c r="O33" i="67" s="1"/>
  <c r="P33" i="67" s="1"/>
  <c r="Q33" i="67" s="1"/>
  <c r="R33" i="67" s="1"/>
  <c r="S33" i="67" s="1"/>
  <c r="T33" i="67" s="1"/>
  <c r="U33" i="67" s="1"/>
  <c r="V33" i="67" s="1"/>
  <c r="W33" i="67" s="1"/>
  <c r="X33" i="67" s="1"/>
  <c r="Y33" i="67" s="1"/>
  <c r="Z33" i="67" s="1"/>
  <c r="AA33" i="67" s="1"/>
  <c r="AB33" i="67" s="1"/>
  <c r="AC33" i="67" s="1"/>
  <c r="AD33" i="67" s="1"/>
  <c r="AE33" i="67" s="1"/>
  <c r="AF33" i="67" s="1"/>
  <c r="AG33" i="67" s="1"/>
  <c r="AH33" i="67" s="1"/>
  <c r="AI33" i="67" s="1"/>
  <c r="AJ33" i="67" s="1"/>
  <c r="AK33" i="67" s="1"/>
  <c r="AL33" i="67" s="1"/>
  <c r="AM33" i="67" s="1"/>
  <c r="AN33" i="67" s="1"/>
  <c r="AO33" i="67" s="1"/>
  <c r="AP33" i="67" s="1"/>
  <c r="AQ33" i="67" s="1"/>
  <c r="AR33" i="67" s="1"/>
  <c r="AS33" i="67" s="1"/>
  <c r="AT33" i="67" s="1"/>
  <c r="AU33" i="67" s="1"/>
  <c r="AV33" i="67" s="1"/>
  <c r="AW33" i="67" s="1"/>
  <c r="AX33" i="67" s="1"/>
  <c r="AY33" i="67" s="1"/>
  <c r="AZ33" i="67" s="1"/>
  <c r="BA33" i="67" s="1"/>
  <c r="BB33" i="67" s="1"/>
  <c r="BC33" i="67" s="1"/>
  <c r="BD33" i="67" s="1"/>
  <c r="BE33" i="67" s="1"/>
  <c r="BF33" i="67" s="1"/>
  <c r="L17" i="67"/>
  <c r="M17" i="67" s="1"/>
  <c r="N17" i="67" s="1"/>
  <c r="O17" i="67" s="1"/>
  <c r="P17" i="67" s="1"/>
  <c r="Q17" i="67" s="1"/>
  <c r="R17" i="67" s="1"/>
  <c r="S17" i="67" s="1"/>
  <c r="T17" i="67" s="1"/>
  <c r="U17" i="67" s="1"/>
  <c r="V17" i="67" s="1"/>
  <c r="W17" i="67" s="1"/>
  <c r="X17" i="67" s="1"/>
  <c r="Y17" i="67" s="1"/>
  <c r="Z17" i="67" s="1"/>
  <c r="AA17" i="67" s="1"/>
  <c r="AB17" i="67" s="1"/>
  <c r="AC17" i="67" s="1"/>
  <c r="AD17" i="67" s="1"/>
  <c r="AE17" i="67" s="1"/>
  <c r="AF17" i="67" s="1"/>
  <c r="AG17" i="67" s="1"/>
  <c r="AH17" i="67" s="1"/>
  <c r="AI17" i="67" s="1"/>
  <c r="AJ17" i="67" s="1"/>
  <c r="AK17" i="67" s="1"/>
  <c r="AL17" i="67" s="1"/>
  <c r="AM17" i="67" s="1"/>
  <c r="AN17" i="67" s="1"/>
  <c r="AO17" i="67" s="1"/>
  <c r="AP17" i="67" s="1"/>
  <c r="AQ17" i="67" s="1"/>
  <c r="AR17" i="67" s="1"/>
  <c r="AS17" i="67" s="1"/>
  <c r="AT17" i="67" s="1"/>
  <c r="AU17" i="67" s="1"/>
  <c r="AV17" i="67" s="1"/>
  <c r="AW17" i="67" s="1"/>
  <c r="AX17" i="67" s="1"/>
  <c r="AY17" i="67" s="1"/>
  <c r="AZ17" i="67" s="1"/>
  <c r="BA17" i="67" s="1"/>
  <c r="BB17" i="67" s="1"/>
  <c r="BC17" i="67" s="1"/>
  <c r="BD17" i="67" s="1"/>
  <c r="BE17" i="67" s="1"/>
  <c r="BF17" i="67" s="1"/>
  <c r="L56" i="67"/>
  <c r="M56" i="67" s="1"/>
  <c r="N56" i="67" s="1"/>
  <c r="O56" i="67" s="1"/>
  <c r="P56" i="67" s="1"/>
  <c r="Q56" i="67" s="1"/>
  <c r="R56" i="67" s="1"/>
  <c r="S56" i="67" s="1"/>
  <c r="T56" i="67" s="1"/>
  <c r="U56" i="67" s="1"/>
  <c r="V56" i="67" s="1"/>
  <c r="W56" i="67" s="1"/>
  <c r="X56" i="67" s="1"/>
  <c r="Y56" i="67" s="1"/>
  <c r="Z56" i="67" s="1"/>
  <c r="AA56" i="67" s="1"/>
  <c r="AB56" i="67" s="1"/>
  <c r="AC56" i="67" s="1"/>
  <c r="AD56" i="67" s="1"/>
  <c r="AE56" i="67" s="1"/>
  <c r="AF56" i="67" s="1"/>
  <c r="AG56" i="67" s="1"/>
  <c r="AH56" i="67" s="1"/>
  <c r="AI56" i="67" s="1"/>
  <c r="AJ56" i="67" s="1"/>
  <c r="AK56" i="67" s="1"/>
  <c r="AL56" i="67" s="1"/>
  <c r="AM56" i="67" s="1"/>
  <c r="AN56" i="67" s="1"/>
  <c r="AO56" i="67" s="1"/>
  <c r="AP56" i="67" s="1"/>
  <c r="AQ56" i="67" s="1"/>
  <c r="AR56" i="67" s="1"/>
  <c r="AS56" i="67" s="1"/>
  <c r="AT56" i="67" s="1"/>
  <c r="AU56" i="67" s="1"/>
  <c r="AV56" i="67" s="1"/>
  <c r="AW56" i="67" s="1"/>
  <c r="AX56" i="67" s="1"/>
  <c r="AY56" i="67" s="1"/>
  <c r="AZ56" i="67" s="1"/>
  <c r="BA56" i="67" s="1"/>
  <c r="BB56" i="67" s="1"/>
  <c r="BC56" i="67" s="1"/>
  <c r="BD56" i="67" s="1"/>
  <c r="BE56" i="67" s="1"/>
  <c r="BF56" i="67" s="1"/>
  <c r="L32" i="67"/>
  <c r="M32" i="67" s="1"/>
  <c r="N32" i="67" s="1"/>
  <c r="O32" i="67" s="1"/>
  <c r="P32" i="67" s="1"/>
  <c r="Q32" i="67" s="1"/>
  <c r="R32" i="67" s="1"/>
  <c r="S32" i="67" s="1"/>
  <c r="T32" i="67" s="1"/>
  <c r="U32" i="67" s="1"/>
  <c r="V32" i="67" s="1"/>
  <c r="W32" i="67" s="1"/>
  <c r="X32" i="67" s="1"/>
  <c r="Y32" i="67" s="1"/>
  <c r="Z32" i="67" s="1"/>
  <c r="AA32" i="67" s="1"/>
  <c r="AB32" i="67" s="1"/>
  <c r="AC32" i="67" s="1"/>
  <c r="AD32" i="67" s="1"/>
  <c r="AE32" i="67" s="1"/>
  <c r="AF32" i="67" s="1"/>
  <c r="AG32" i="67" s="1"/>
  <c r="AH32" i="67" s="1"/>
  <c r="AI32" i="67" s="1"/>
  <c r="AJ32" i="67" s="1"/>
  <c r="AK32" i="67" s="1"/>
  <c r="AL32" i="67" s="1"/>
  <c r="AM32" i="67" s="1"/>
  <c r="AN32" i="67" s="1"/>
  <c r="AO32" i="67" s="1"/>
  <c r="AP32" i="67" s="1"/>
  <c r="AQ32" i="67" s="1"/>
  <c r="AR32" i="67" s="1"/>
  <c r="AS32" i="67" s="1"/>
  <c r="AT32" i="67" s="1"/>
  <c r="AU32" i="67" s="1"/>
  <c r="AV32" i="67" s="1"/>
  <c r="AW32" i="67" s="1"/>
  <c r="AX32" i="67" s="1"/>
  <c r="AY32" i="67" s="1"/>
  <c r="AZ32" i="67" s="1"/>
  <c r="BA32" i="67" s="1"/>
  <c r="BB32" i="67" s="1"/>
  <c r="BC32" i="67" s="1"/>
  <c r="BD32" i="67" s="1"/>
  <c r="BE32" i="67" s="1"/>
  <c r="BF32" i="67" s="1"/>
  <c r="L24" i="67"/>
  <c r="M24" i="67" s="1"/>
  <c r="N24" i="67" s="1"/>
  <c r="O24" i="67" s="1"/>
  <c r="P24" i="67" s="1"/>
  <c r="Q24" i="67" s="1"/>
  <c r="R24" i="67" s="1"/>
  <c r="S24" i="67" s="1"/>
  <c r="T24" i="67" s="1"/>
  <c r="U24" i="67" s="1"/>
  <c r="V24" i="67" s="1"/>
  <c r="W24" i="67" s="1"/>
  <c r="X24" i="67" s="1"/>
  <c r="Y24" i="67" s="1"/>
  <c r="Z24" i="67" s="1"/>
  <c r="AA24" i="67" s="1"/>
  <c r="AB24" i="67" s="1"/>
  <c r="AC24" i="67" s="1"/>
  <c r="AD24" i="67" s="1"/>
  <c r="AE24" i="67" s="1"/>
  <c r="AF24" i="67" s="1"/>
  <c r="AG24" i="67" s="1"/>
  <c r="AH24" i="67" s="1"/>
  <c r="AI24" i="67" s="1"/>
  <c r="AJ24" i="67" s="1"/>
  <c r="AK24" i="67" s="1"/>
  <c r="AL24" i="67" s="1"/>
  <c r="AM24" i="67" s="1"/>
  <c r="AN24" i="67" s="1"/>
  <c r="AO24" i="67" s="1"/>
  <c r="AP24" i="67" s="1"/>
  <c r="AQ24" i="67" s="1"/>
  <c r="AR24" i="67" s="1"/>
  <c r="AS24" i="67" s="1"/>
  <c r="AT24" i="67" s="1"/>
  <c r="AU24" i="67" s="1"/>
  <c r="AV24" i="67" s="1"/>
  <c r="AW24" i="67" s="1"/>
  <c r="AX24" i="67" s="1"/>
  <c r="AY24" i="67" s="1"/>
  <c r="AZ24" i="67" s="1"/>
  <c r="BA24" i="67" s="1"/>
  <c r="BB24" i="67" s="1"/>
  <c r="BC24" i="67" s="1"/>
  <c r="BD24" i="67" s="1"/>
  <c r="BE24" i="67" s="1"/>
  <c r="BF24" i="67" s="1"/>
  <c r="L16" i="67"/>
  <c r="M16" i="67" s="1"/>
  <c r="N16" i="67" s="1"/>
  <c r="L34" i="67"/>
  <c r="M34" i="67" s="1"/>
  <c r="N34" i="67" s="1"/>
  <c r="O34" i="67" s="1"/>
  <c r="P34" i="67" s="1"/>
  <c r="Q34" i="67" s="1"/>
  <c r="R34" i="67" s="1"/>
  <c r="S34" i="67" s="1"/>
  <c r="T34" i="67" s="1"/>
  <c r="U34" i="67" s="1"/>
  <c r="V34" i="67" s="1"/>
  <c r="W34" i="67" s="1"/>
  <c r="X34" i="67" s="1"/>
  <c r="Y34" i="67" s="1"/>
  <c r="Z34" i="67" s="1"/>
  <c r="AA34" i="67" s="1"/>
  <c r="AB34" i="67" s="1"/>
  <c r="AC34" i="67" s="1"/>
  <c r="AD34" i="67" s="1"/>
  <c r="AE34" i="67" s="1"/>
  <c r="AF34" i="67" s="1"/>
  <c r="AG34" i="67" s="1"/>
  <c r="AH34" i="67" s="1"/>
  <c r="AI34" i="67" s="1"/>
  <c r="AJ34" i="67" s="1"/>
  <c r="AK34" i="67" s="1"/>
  <c r="AL34" i="67" s="1"/>
  <c r="AM34" i="67" s="1"/>
  <c r="AN34" i="67" s="1"/>
  <c r="AO34" i="67" s="1"/>
  <c r="AP34" i="67" s="1"/>
  <c r="AQ34" i="67" s="1"/>
  <c r="AR34" i="67" s="1"/>
  <c r="AS34" i="67" s="1"/>
  <c r="AT34" i="67" s="1"/>
  <c r="AU34" i="67" s="1"/>
  <c r="AV34" i="67" s="1"/>
  <c r="AW34" i="67" s="1"/>
  <c r="AX34" i="67" s="1"/>
  <c r="AY34" i="67" s="1"/>
  <c r="AZ34" i="67" s="1"/>
  <c r="BA34" i="67" s="1"/>
  <c r="BB34" i="67" s="1"/>
  <c r="BC34" i="67" s="1"/>
  <c r="BD34" i="67" s="1"/>
  <c r="BE34" i="67" s="1"/>
  <c r="BF34" i="67" s="1"/>
  <c r="L137" i="67"/>
  <c r="M137" i="67" s="1"/>
  <c r="N137" i="67" s="1"/>
  <c r="O137" i="67" s="1"/>
  <c r="P137" i="67" s="1"/>
  <c r="Q137" i="67" s="1"/>
  <c r="R137" i="67" s="1"/>
  <c r="S137" i="67" s="1"/>
  <c r="T137" i="67" s="1"/>
  <c r="U137" i="67" s="1"/>
  <c r="V137" i="67" s="1"/>
  <c r="W137" i="67" s="1"/>
  <c r="X137" i="67" s="1"/>
  <c r="Y137" i="67" s="1"/>
  <c r="Z137" i="67" s="1"/>
  <c r="AA137" i="67" s="1"/>
  <c r="AB137" i="67" s="1"/>
  <c r="AC137" i="67" s="1"/>
  <c r="AD137" i="67" s="1"/>
  <c r="AE137" i="67" s="1"/>
  <c r="AF137" i="67" s="1"/>
  <c r="AG137" i="67" s="1"/>
  <c r="AH137" i="67" s="1"/>
  <c r="AI137" i="67" s="1"/>
  <c r="AJ137" i="67" s="1"/>
  <c r="AK137" i="67" s="1"/>
  <c r="AL137" i="67" s="1"/>
  <c r="AM137" i="67" s="1"/>
  <c r="AN137" i="67" s="1"/>
  <c r="AO137" i="67" s="1"/>
  <c r="AP137" i="67" s="1"/>
  <c r="AQ137" i="67" s="1"/>
  <c r="AR137" i="67" s="1"/>
  <c r="AS137" i="67" s="1"/>
  <c r="AT137" i="67" s="1"/>
  <c r="AU137" i="67" s="1"/>
  <c r="AV137" i="67" s="1"/>
  <c r="AW137" i="67" s="1"/>
  <c r="AX137" i="67" s="1"/>
  <c r="AY137" i="67" s="1"/>
  <c r="AZ137" i="67" s="1"/>
  <c r="BA137" i="67" s="1"/>
  <c r="BB137" i="67" s="1"/>
  <c r="BC137" i="67" s="1"/>
  <c r="BD137" i="67" s="1"/>
  <c r="BE137" i="67" s="1"/>
  <c r="BF137" i="67" s="1"/>
  <c r="L142" i="67"/>
  <c r="M142" i="67" s="1"/>
  <c r="N142" i="67" s="1"/>
  <c r="O142" i="67" s="1"/>
  <c r="P142" i="67" s="1"/>
  <c r="Q142" i="67" s="1"/>
  <c r="R142" i="67" s="1"/>
  <c r="S142" i="67" s="1"/>
  <c r="T142" i="67" s="1"/>
  <c r="U142" i="67" s="1"/>
  <c r="V142" i="67" s="1"/>
  <c r="W142" i="67" s="1"/>
  <c r="X142" i="67" s="1"/>
  <c r="Y142" i="67" s="1"/>
  <c r="Z142" i="67" s="1"/>
  <c r="AA142" i="67" s="1"/>
  <c r="AB142" i="67" s="1"/>
  <c r="AC142" i="67" s="1"/>
  <c r="AD142" i="67" s="1"/>
  <c r="AE142" i="67" s="1"/>
  <c r="AF142" i="67" s="1"/>
  <c r="AG142" i="67" s="1"/>
  <c r="AH142" i="67" s="1"/>
  <c r="AI142" i="67" s="1"/>
  <c r="AJ142" i="67" s="1"/>
  <c r="AK142" i="67" s="1"/>
  <c r="AL142" i="67" s="1"/>
  <c r="AM142" i="67" s="1"/>
  <c r="AN142" i="67" s="1"/>
  <c r="AO142" i="67" s="1"/>
  <c r="AP142" i="67" s="1"/>
  <c r="AQ142" i="67" s="1"/>
  <c r="AR142" i="67" s="1"/>
  <c r="AS142" i="67" s="1"/>
  <c r="AT142" i="67" s="1"/>
  <c r="AU142" i="67" s="1"/>
  <c r="AV142" i="67" s="1"/>
  <c r="AW142" i="67" s="1"/>
  <c r="AX142" i="67" s="1"/>
  <c r="AY142" i="67" s="1"/>
  <c r="AZ142" i="67" s="1"/>
  <c r="BA142" i="67" s="1"/>
  <c r="BB142" i="67" s="1"/>
  <c r="BC142" i="67" s="1"/>
  <c r="BD142" i="67" s="1"/>
  <c r="BE142" i="67" s="1"/>
  <c r="BF142" i="67" s="1"/>
  <c r="L143" i="67"/>
  <c r="M143" i="67" s="1"/>
  <c r="N143" i="67" s="1"/>
  <c r="O143" i="67" s="1"/>
  <c r="P143" i="67" s="1"/>
  <c r="Q143" i="67" s="1"/>
  <c r="R143" i="67" s="1"/>
  <c r="S143" i="67" s="1"/>
  <c r="T143" i="67" s="1"/>
  <c r="U143" i="67" s="1"/>
  <c r="V143" i="67" s="1"/>
  <c r="W143" i="67" s="1"/>
  <c r="X143" i="67" s="1"/>
  <c r="Y143" i="67" s="1"/>
  <c r="Z143" i="67" s="1"/>
  <c r="AA143" i="67" s="1"/>
  <c r="AB143" i="67" s="1"/>
  <c r="AC143" i="67" s="1"/>
  <c r="AD143" i="67" s="1"/>
  <c r="AE143" i="67" s="1"/>
  <c r="AF143" i="67" s="1"/>
  <c r="AG143" i="67" s="1"/>
  <c r="AH143" i="67" s="1"/>
  <c r="AI143" i="67" s="1"/>
  <c r="AJ143" i="67" s="1"/>
  <c r="AK143" i="67" s="1"/>
  <c r="AL143" i="67" s="1"/>
  <c r="AM143" i="67" s="1"/>
  <c r="AN143" i="67" s="1"/>
  <c r="AO143" i="67" s="1"/>
  <c r="AP143" i="67" s="1"/>
  <c r="AQ143" i="67" s="1"/>
  <c r="AR143" i="67" s="1"/>
  <c r="AS143" i="67" s="1"/>
  <c r="AT143" i="67" s="1"/>
  <c r="AU143" i="67" s="1"/>
  <c r="AV143" i="67" s="1"/>
  <c r="AW143" i="67" s="1"/>
  <c r="AX143" i="67" s="1"/>
  <c r="AY143" i="67" s="1"/>
  <c r="AZ143" i="67" s="1"/>
  <c r="BA143" i="67" s="1"/>
  <c r="BB143" i="67" s="1"/>
  <c r="BC143" i="67" s="1"/>
  <c r="BD143" i="67" s="1"/>
  <c r="BE143" i="67" s="1"/>
  <c r="BF143" i="67" s="1"/>
  <c r="L129" i="67"/>
  <c r="M129" i="67" s="1"/>
  <c r="N129" i="67" s="1"/>
  <c r="O129" i="67" s="1"/>
  <c r="P129" i="67" s="1"/>
  <c r="Q129" i="67" s="1"/>
  <c r="R129" i="67" s="1"/>
  <c r="S129" i="67" s="1"/>
  <c r="T129" i="67" s="1"/>
  <c r="U129" i="67" s="1"/>
  <c r="V129" i="67" s="1"/>
  <c r="W129" i="67" s="1"/>
  <c r="X129" i="67" s="1"/>
  <c r="Y129" i="67" s="1"/>
  <c r="Z129" i="67" s="1"/>
  <c r="AA129" i="67" s="1"/>
  <c r="AB129" i="67" s="1"/>
  <c r="AC129" i="67" s="1"/>
  <c r="AD129" i="67" s="1"/>
  <c r="AE129" i="67" s="1"/>
  <c r="AF129" i="67" s="1"/>
  <c r="AG129" i="67" s="1"/>
  <c r="AH129" i="67" s="1"/>
  <c r="AI129" i="67" s="1"/>
  <c r="AJ129" i="67" s="1"/>
  <c r="AK129" i="67" s="1"/>
  <c r="AL129" i="67" s="1"/>
  <c r="AM129" i="67" s="1"/>
  <c r="AN129" i="67" s="1"/>
  <c r="AO129" i="67" s="1"/>
  <c r="AP129" i="67" s="1"/>
  <c r="AQ129" i="67" s="1"/>
  <c r="AR129" i="67" s="1"/>
  <c r="AS129" i="67" s="1"/>
  <c r="AT129" i="67" s="1"/>
  <c r="AU129" i="67" s="1"/>
  <c r="AV129" i="67" s="1"/>
  <c r="AW129" i="67" s="1"/>
  <c r="AX129" i="67" s="1"/>
  <c r="AY129" i="67" s="1"/>
  <c r="AZ129" i="67" s="1"/>
  <c r="BA129" i="67" s="1"/>
  <c r="BB129" i="67" s="1"/>
  <c r="BC129" i="67" s="1"/>
  <c r="BD129" i="67" s="1"/>
  <c r="BE129" i="67" s="1"/>
  <c r="BF129" i="67" s="1"/>
  <c r="L72" i="67"/>
  <c r="M72" i="67" s="1"/>
  <c r="N72" i="67" s="1"/>
  <c r="O72" i="67" s="1"/>
  <c r="P72" i="67" s="1"/>
  <c r="Q72" i="67" s="1"/>
  <c r="R72" i="67" s="1"/>
  <c r="S72" i="67" s="1"/>
  <c r="T72" i="67" s="1"/>
  <c r="U72" i="67" s="1"/>
  <c r="V72" i="67" s="1"/>
  <c r="W72" i="67" s="1"/>
  <c r="X72" i="67" s="1"/>
  <c r="Y72" i="67" s="1"/>
  <c r="Z72" i="67" s="1"/>
  <c r="AA72" i="67" s="1"/>
  <c r="AB72" i="67" s="1"/>
  <c r="AC72" i="67" s="1"/>
  <c r="AD72" i="67" s="1"/>
  <c r="AE72" i="67" s="1"/>
  <c r="AF72" i="67" s="1"/>
  <c r="AG72" i="67" s="1"/>
  <c r="AH72" i="67" s="1"/>
  <c r="AI72" i="67" s="1"/>
  <c r="AJ72" i="67" s="1"/>
  <c r="AK72" i="67" s="1"/>
  <c r="AL72" i="67" s="1"/>
  <c r="AM72" i="67" s="1"/>
  <c r="AN72" i="67" s="1"/>
  <c r="AO72" i="67" s="1"/>
  <c r="AP72" i="67" s="1"/>
  <c r="AQ72" i="67" s="1"/>
  <c r="AR72" i="67" s="1"/>
  <c r="AS72" i="67" s="1"/>
  <c r="AT72" i="67" s="1"/>
  <c r="AU72" i="67" s="1"/>
  <c r="AV72" i="67" s="1"/>
  <c r="AW72" i="67" s="1"/>
  <c r="AX72" i="67" s="1"/>
  <c r="AY72" i="67" s="1"/>
  <c r="AZ72" i="67" s="1"/>
  <c r="BA72" i="67" s="1"/>
  <c r="BB72" i="67" s="1"/>
  <c r="BC72" i="67" s="1"/>
  <c r="BD72" i="67" s="1"/>
  <c r="BE72" i="67" s="1"/>
  <c r="BF72" i="67" s="1"/>
  <c r="L62" i="67"/>
  <c r="M62" i="67" s="1"/>
  <c r="N62" i="67" s="1"/>
  <c r="O62" i="67" s="1"/>
  <c r="P62" i="67" s="1"/>
  <c r="Q62" i="67" s="1"/>
  <c r="R62" i="67" s="1"/>
  <c r="S62" i="67" s="1"/>
  <c r="T62" i="67" s="1"/>
  <c r="L138" i="67"/>
  <c r="M138" i="67" s="1"/>
  <c r="N138" i="67" s="1"/>
  <c r="O138" i="67" s="1"/>
  <c r="P138" i="67" s="1"/>
  <c r="Q138" i="67" s="1"/>
  <c r="R138" i="67" s="1"/>
  <c r="S138" i="67" s="1"/>
  <c r="T138" i="67" s="1"/>
  <c r="U138" i="67" s="1"/>
  <c r="V138" i="67" s="1"/>
  <c r="W138" i="67" s="1"/>
  <c r="X138" i="67" s="1"/>
  <c r="Y138" i="67" s="1"/>
  <c r="Z138" i="67" s="1"/>
  <c r="AA138" i="67" s="1"/>
  <c r="AB138" i="67" s="1"/>
  <c r="AC138" i="67" s="1"/>
  <c r="AD138" i="67" s="1"/>
  <c r="AE138" i="67" s="1"/>
  <c r="AF138" i="67" s="1"/>
  <c r="AG138" i="67" s="1"/>
  <c r="AH138" i="67" s="1"/>
  <c r="AI138" i="67" s="1"/>
  <c r="AJ138" i="67" s="1"/>
  <c r="AK138" i="67" s="1"/>
  <c r="AL138" i="67" s="1"/>
  <c r="AM138" i="67" s="1"/>
  <c r="AN138" i="67" s="1"/>
  <c r="AO138" i="67" s="1"/>
  <c r="AP138" i="67" s="1"/>
  <c r="AQ138" i="67" s="1"/>
  <c r="AR138" i="67" s="1"/>
  <c r="AS138" i="67" s="1"/>
  <c r="AT138" i="67" s="1"/>
  <c r="AU138" i="67" s="1"/>
  <c r="AV138" i="67" s="1"/>
  <c r="AW138" i="67" s="1"/>
  <c r="AX138" i="67" s="1"/>
  <c r="AY138" i="67" s="1"/>
  <c r="AZ138" i="67" s="1"/>
  <c r="BA138" i="67" s="1"/>
  <c r="BB138" i="67" s="1"/>
  <c r="BC138" i="67" s="1"/>
  <c r="BD138" i="67" s="1"/>
  <c r="BE138" i="67" s="1"/>
  <c r="BF138" i="67" s="1"/>
  <c r="L130" i="67"/>
  <c r="M130" i="67" s="1"/>
  <c r="N130" i="67" s="1"/>
  <c r="O130" i="67" s="1"/>
  <c r="P130" i="67" s="1"/>
  <c r="Q130" i="67" s="1"/>
  <c r="R130" i="67" s="1"/>
  <c r="S130" i="67" s="1"/>
  <c r="T130" i="67" s="1"/>
  <c r="U130" i="67" s="1"/>
  <c r="V130" i="67" s="1"/>
  <c r="W130" i="67" s="1"/>
  <c r="X130" i="67" s="1"/>
  <c r="Y130" i="67" s="1"/>
  <c r="Z130" i="67" s="1"/>
  <c r="AA130" i="67" s="1"/>
  <c r="AB130" i="67" s="1"/>
  <c r="AC130" i="67" s="1"/>
  <c r="AD130" i="67" s="1"/>
  <c r="AE130" i="67" s="1"/>
  <c r="AF130" i="67" s="1"/>
  <c r="AG130" i="67" s="1"/>
  <c r="AH130" i="67" s="1"/>
  <c r="AI130" i="67" s="1"/>
  <c r="AJ130" i="67" s="1"/>
  <c r="AK130" i="67" s="1"/>
  <c r="AL130" i="67" s="1"/>
  <c r="AM130" i="67" s="1"/>
  <c r="AN130" i="67" s="1"/>
  <c r="AO130" i="67" s="1"/>
  <c r="AP130" i="67" s="1"/>
  <c r="AQ130" i="67" s="1"/>
  <c r="AR130" i="67" s="1"/>
  <c r="AS130" i="67" s="1"/>
  <c r="AT130" i="67" s="1"/>
  <c r="AU130" i="67" s="1"/>
  <c r="AV130" i="67" s="1"/>
  <c r="AW130" i="67" s="1"/>
  <c r="AX130" i="67" s="1"/>
  <c r="AY130" i="67" s="1"/>
  <c r="AZ130" i="67" s="1"/>
  <c r="BA130" i="67" s="1"/>
  <c r="BB130" i="67" s="1"/>
  <c r="BC130" i="67" s="1"/>
  <c r="BD130" i="67" s="1"/>
  <c r="BE130" i="67" s="1"/>
  <c r="BF130" i="67" s="1"/>
  <c r="L122" i="67"/>
  <c r="M122" i="67" s="1"/>
  <c r="N122" i="67" s="1"/>
  <c r="O122" i="67" s="1"/>
  <c r="P122" i="67" s="1"/>
  <c r="Q122" i="67" s="1"/>
  <c r="R122" i="67" s="1"/>
  <c r="S122" i="67" s="1"/>
  <c r="T122" i="67" s="1"/>
  <c r="U122" i="67" s="1"/>
  <c r="V122" i="67" s="1"/>
  <c r="W122" i="67" s="1"/>
  <c r="X122" i="67" s="1"/>
  <c r="Y122" i="67" s="1"/>
  <c r="Z122" i="67" s="1"/>
  <c r="AA122" i="67" s="1"/>
  <c r="AB122" i="67" s="1"/>
  <c r="AC122" i="67" s="1"/>
  <c r="AD122" i="67" s="1"/>
  <c r="AE122" i="67" s="1"/>
  <c r="AF122" i="67" s="1"/>
  <c r="AG122" i="67" s="1"/>
  <c r="AH122" i="67" s="1"/>
  <c r="AI122" i="67" s="1"/>
  <c r="AJ122" i="67" s="1"/>
  <c r="AK122" i="67" s="1"/>
  <c r="AL122" i="67" s="1"/>
  <c r="AM122" i="67" s="1"/>
  <c r="AN122" i="67" s="1"/>
  <c r="AO122" i="67" s="1"/>
  <c r="AP122" i="67" s="1"/>
  <c r="AQ122" i="67" s="1"/>
  <c r="AR122" i="67" s="1"/>
  <c r="AS122" i="67" s="1"/>
  <c r="AT122" i="67" s="1"/>
  <c r="AU122" i="67" s="1"/>
  <c r="AV122" i="67" s="1"/>
  <c r="AW122" i="67" s="1"/>
  <c r="AX122" i="67" s="1"/>
  <c r="AY122" i="67" s="1"/>
  <c r="AZ122" i="67" s="1"/>
  <c r="BA122" i="67" s="1"/>
  <c r="BB122" i="67" s="1"/>
  <c r="BC122" i="67" s="1"/>
  <c r="BD122" i="67" s="1"/>
  <c r="BE122" i="67" s="1"/>
  <c r="BF122" i="67" s="1"/>
  <c r="L114" i="67"/>
  <c r="M114" i="67" s="1"/>
  <c r="N114" i="67" s="1"/>
  <c r="O114" i="67" s="1"/>
  <c r="P114" i="67" s="1"/>
  <c r="Q114" i="67" s="1"/>
  <c r="R114" i="67" s="1"/>
  <c r="S114" i="67" s="1"/>
  <c r="T114" i="67" s="1"/>
  <c r="U114" i="67" s="1"/>
  <c r="V114" i="67" s="1"/>
  <c r="W114" i="67" s="1"/>
  <c r="X114" i="67" s="1"/>
  <c r="Y114" i="67" s="1"/>
  <c r="Z114" i="67" s="1"/>
  <c r="AA114" i="67" s="1"/>
  <c r="AB114" i="67" s="1"/>
  <c r="AC114" i="67" s="1"/>
  <c r="AD114" i="67" s="1"/>
  <c r="AE114" i="67" s="1"/>
  <c r="AF114" i="67" s="1"/>
  <c r="AG114" i="67" s="1"/>
  <c r="AH114" i="67" s="1"/>
  <c r="AI114" i="67" s="1"/>
  <c r="AJ114" i="67" s="1"/>
  <c r="AK114" i="67" s="1"/>
  <c r="AL114" i="67" s="1"/>
  <c r="AM114" i="67" s="1"/>
  <c r="AN114" i="67" s="1"/>
  <c r="AO114" i="67" s="1"/>
  <c r="AP114" i="67" s="1"/>
  <c r="AQ114" i="67" s="1"/>
  <c r="AR114" i="67" s="1"/>
  <c r="AS114" i="67" s="1"/>
  <c r="AT114" i="67" s="1"/>
  <c r="AU114" i="67" s="1"/>
  <c r="AV114" i="67" s="1"/>
  <c r="AW114" i="67" s="1"/>
  <c r="AX114" i="67" s="1"/>
  <c r="AY114" i="67" s="1"/>
  <c r="AZ114" i="67" s="1"/>
  <c r="BA114" i="67" s="1"/>
  <c r="BB114" i="67" s="1"/>
  <c r="BC114" i="67" s="1"/>
  <c r="BD114" i="67" s="1"/>
  <c r="BE114" i="67" s="1"/>
  <c r="BF114" i="67" s="1"/>
  <c r="L106" i="67"/>
  <c r="M106" i="67" s="1"/>
  <c r="N106" i="67" s="1"/>
  <c r="O106" i="67" s="1"/>
  <c r="P106" i="67" s="1"/>
  <c r="Q106" i="67" s="1"/>
  <c r="R106" i="67" s="1"/>
  <c r="S106" i="67" s="1"/>
  <c r="T106" i="67" s="1"/>
  <c r="U106" i="67" s="1"/>
  <c r="V106" i="67" s="1"/>
  <c r="W106" i="67" s="1"/>
  <c r="X106" i="67" s="1"/>
  <c r="Y106" i="67" s="1"/>
  <c r="Z106" i="67" s="1"/>
  <c r="AA106" i="67" s="1"/>
  <c r="AB106" i="67" s="1"/>
  <c r="AC106" i="67" s="1"/>
  <c r="AD106" i="67" s="1"/>
  <c r="AE106" i="67" s="1"/>
  <c r="AF106" i="67" s="1"/>
  <c r="AG106" i="67" s="1"/>
  <c r="AH106" i="67" s="1"/>
  <c r="AI106" i="67" s="1"/>
  <c r="AJ106" i="67" s="1"/>
  <c r="AK106" i="67" s="1"/>
  <c r="AL106" i="67" s="1"/>
  <c r="AM106" i="67" s="1"/>
  <c r="AN106" i="67" s="1"/>
  <c r="AO106" i="67" s="1"/>
  <c r="AP106" i="67" s="1"/>
  <c r="AQ106" i="67" s="1"/>
  <c r="AR106" i="67" s="1"/>
  <c r="AS106" i="67" s="1"/>
  <c r="AT106" i="67" s="1"/>
  <c r="AU106" i="67" s="1"/>
  <c r="AV106" i="67" s="1"/>
  <c r="AW106" i="67" s="1"/>
  <c r="AX106" i="67" s="1"/>
  <c r="AY106" i="67" s="1"/>
  <c r="AZ106" i="67" s="1"/>
  <c r="BA106" i="67" s="1"/>
  <c r="BB106" i="67" s="1"/>
  <c r="BC106" i="67" s="1"/>
  <c r="BD106" i="67" s="1"/>
  <c r="BE106" i="67" s="1"/>
  <c r="BF106" i="67" s="1"/>
  <c r="L98" i="67"/>
  <c r="M98" i="67" s="1"/>
  <c r="N98" i="67" s="1"/>
  <c r="L90" i="67"/>
  <c r="M90" i="67" s="1"/>
  <c r="N90" i="67" s="1"/>
  <c r="O90" i="67" s="1"/>
  <c r="P90" i="67" s="1"/>
  <c r="Q90" i="67" s="1"/>
  <c r="R90" i="67" s="1"/>
  <c r="S90" i="67" s="1"/>
  <c r="T90" i="67" s="1"/>
  <c r="U90" i="67" s="1"/>
  <c r="V90" i="67" s="1"/>
  <c r="W90" i="67" s="1"/>
  <c r="X90" i="67" s="1"/>
  <c r="Y90" i="67" s="1"/>
  <c r="Z90" i="67" s="1"/>
  <c r="AA90" i="67" s="1"/>
  <c r="AB90" i="67" s="1"/>
  <c r="AC90" i="67" s="1"/>
  <c r="AD90" i="67" s="1"/>
  <c r="AE90" i="67" s="1"/>
  <c r="AF90" i="67" s="1"/>
  <c r="AG90" i="67" s="1"/>
  <c r="AH90" i="67" s="1"/>
  <c r="AI90" i="67" s="1"/>
  <c r="AJ90" i="67" s="1"/>
  <c r="AK90" i="67" s="1"/>
  <c r="AL90" i="67" s="1"/>
  <c r="AM90" i="67" s="1"/>
  <c r="AN90" i="67" s="1"/>
  <c r="AO90" i="67" s="1"/>
  <c r="AP90" i="67" s="1"/>
  <c r="AQ90" i="67" s="1"/>
  <c r="AR90" i="67" s="1"/>
  <c r="AS90" i="67" s="1"/>
  <c r="AT90" i="67" s="1"/>
  <c r="AU90" i="67" s="1"/>
  <c r="AV90" i="67" s="1"/>
  <c r="AW90" i="67" s="1"/>
  <c r="AX90" i="67" s="1"/>
  <c r="AY90" i="67" s="1"/>
  <c r="AZ90" i="67" s="1"/>
  <c r="BA90" i="67" s="1"/>
  <c r="BB90" i="67" s="1"/>
  <c r="BC90" i="67" s="1"/>
  <c r="BD90" i="67" s="1"/>
  <c r="BE90" i="67" s="1"/>
  <c r="BF90" i="67" s="1"/>
  <c r="L82" i="67"/>
  <c r="M82" i="67" s="1"/>
  <c r="N82" i="67" s="1"/>
  <c r="O82" i="67" s="1"/>
  <c r="P82" i="67" s="1"/>
  <c r="Q82" i="67" s="1"/>
  <c r="R82" i="67" s="1"/>
  <c r="S82" i="67" s="1"/>
  <c r="T82" i="67" s="1"/>
  <c r="U82" i="67" s="1"/>
  <c r="V82" i="67" s="1"/>
  <c r="W82" i="67" s="1"/>
  <c r="X82" i="67" s="1"/>
  <c r="Y82" i="67" s="1"/>
  <c r="Z82" i="67" s="1"/>
  <c r="AA82" i="67" s="1"/>
  <c r="AB82" i="67" s="1"/>
  <c r="AC82" i="67" s="1"/>
  <c r="AD82" i="67" s="1"/>
  <c r="AE82" i="67" s="1"/>
  <c r="AF82" i="67" s="1"/>
  <c r="AG82" i="67" s="1"/>
  <c r="AH82" i="67" s="1"/>
  <c r="AI82" i="67" s="1"/>
  <c r="AJ82" i="67" s="1"/>
  <c r="AK82" i="67" s="1"/>
  <c r="AL82" i="67" s="1"/>
  <c r="AM82" i="67" s="1"/>
  <c r="AN82" i="67" s="1"/>
  <c r="AO82" i="67" s="1"/>
  <c r="AP82" i="67" s="1"/>
  <c r="AQ82" i="67" s="1"/>
  <c r="AR82" i="67" s="1"/>
  <c r="AS82" i="67" s="1"/>
  <c r="AT82" i="67" s="1"/>
  <c r="AU82" i="67" s="1"/>
  <c r="AV82" i="67" s="1"/>
  <c r="AW82" i="67" s="1"/>
  <c r="AX82" i="67" s="1"/>
  <c r="AY82" i="67" s="1"/>
  <c r="AZ82" i="67" s="1"/>
  <c r="BA82" i="67" s="1"/>
  <c r="BB82" i="67" s="1"/>
  <c r="BC82" i="67" s="1"/>
  <c r="BD82" i="67" s="1"/>
  <c r="BE82" i="67" s="1"/>
  <c r="BF82" i="67" s="1"/>
  <c r="L73" i="67"/>
  <c r="M73" i="67" s="1"/>
  <c r="N73" i="67" s="1"/>
  <c r="O73" i="67" s="1"/>
  <c r="P73" i="67" s="1"/>
  <c r="Q73" i="67" s="1"/>
  <c r="R73" i="67" s="1"/>
  <c r="S73" i="67" s="1"/>
  <c r="T73" i="67" s="1"/>
  <c r="U73" i="67" s="1"/>
  <c r="V73" i="67" s="1"/>
  <c r="W73" i="67" s="1"/>
  <c r="X73" i="67" s="1"/>
  <c r="Y73" i="67" s="1"/>
  <c r="Z73" i="67" s="1"/>
  <c r="AA73" i="67" s="1"/>
  <c r="AB73" i="67" s="1"/>
  <c r="AC73" i="67" s="1"/>
  <c r="AD73" i="67" s="1"/>
  <c r="AE73" i="67" s="1"/>
  <c r="AF73" i="67" s="1"/>
  <c r="AG73" i="67" s="1"/>
  <c r="AH73" i="67" s="1"/>
  <c r="AI73" i="67" s="1"/>
  <c r="AJ73" i="67" s="1"/>
  <c r="AK73" i="67" s="1"/>
  <c r="AL73" i="67" s="1"/>
  <c r="AM73" i="67" s="1"/>
  <c r="AN73" i="67" s="1"/>
  <c r="AO73" i="67" s="1"/>
  <c r="AP73" i="67" s="1"/>
  <c r="AQ73" i="67" s="1"/>
  <c r="AR73" i="67" s="1"/>
  <c r="AS73" i="67" s="1"/>
  <c r="AT73" i="67" s="1"/>
  <c r="AU73" i="67" s="1"/>
  <c r="AV73" i="67" s="1"/>
  <c r="AW73" i="67" s="1"/>
  <c r="AX73" i="67" s="1"/>
  <c r="AY73" i="67" s="1"/>
  <c r="AZ73" i="67" s="1"/>
  <c r="BA73" i="67" s="1"/>
  <c r="BB73" i="67" s="1"/>
  <c r="BC73" i="67" s="1"/>
  <c r="BD73" i="67" s="1"/>
  <c r="BE73" i="67" s="1"/>
  <c r="BF73" i="67" s="1"/>
  <c r="L64" i="67"/>
  <c r="M64" i="67" s="1"/>
  <c r="N64" i="67" s="1"/>
  <c r="O64" i="67" s="1"/>
  <c r="P64" i="67" s="1"/>
  <c r="Q64" i="67" s="1"/>
  <c r="R64" i="67" s="1"/>
  <c r="S64" i="67" s="1"/>
  <c r="T64" i="67" s="1"/>
  <c r="U64" i="67" s="1"/>
  <c r="V64" i="67" s="1"/>
  <c r="W64" i="67" s="1"/>
  <c r="X64" i="67" s="1"/>
  <c r="Y64" i="67" s="1"/>
  <c r="Z64" i="67" s="1"/>
  <c r="AA64" i="67" s="1"/>
  <c r="AB64" i="67" s="1"/>
  <c r="AC64" i="67" s="1"/>
  <c r="AD64" i="67" s="1"/>
  <c r="AE64" i="67" s="1"/>
  <c r="AF64" i="67" s="1"/>
  <c r="AG64" i="67" s="1"/>
  <c r="AH64" i="67" s="1"/>
  <c r="AI64" i="67" s="1"/>
  <c r="AJ64" i="67" s="1"/>
  <c r="AK64" i="67" s="1"/>
  <c r="AL64" i="67" s="1"/>
  <c r="AM64" i="67" s="1"/>
  <c r="AN64" i="67" s="1"/>
  <c r="AO64" i="67" s="1"/>
  <c r="AP64" i="67" s="1"/>
  <c r="AQ64" i="67" s="1"/>
  <c r="AR64" i="67" s="1"/>
  <c r="AS64" i="67" s="1"/>
  <c r="AT64" i="67" s="1"/>
  <c r="AU64" i="67" s="1"/>
  <c r="AV64" i="67" s="1"/>
  <c r="AW64" i="67" s="1"/>
  <c r="AX64" i="67" s="1"/>
  <c r="AY64" i="67" s="1"/>
  <c r="AZ64" i="67" s="1"/>
  <c r="BA64" i="67" s="1"/>
  <c r="BB64" i="67" s="1"/>
  <c r="BC64" i="67" s="1"/>
  <c r="BD64" i="67" s="1"/>
  <c r="BE64" i="67" s="1"/>
  <c r="BF64" i="67" s="1"/>
  <c r="L115" i="67"/>
  <c r="M115" i="67" s="1"/>
  <c r="N115" i="67" s="1"/>
  <c r="O115" i="67" s="1"/>
  <c r="P115" i="67" s="1"/>
  <c r="Q115" i="67" s="1"/>
  <c r="R115" i="67" s="1"/>
  <c r="S115" i="67" s="1"/>
  <c r="T115" i="67" s="1"/>
  <c r="U115" i="67" s="1"/>
  <c r="V115" i="67" s="1"/>
  <c r="W115" i="67" s="1"/>
  <c r="X115" i="67" s="1"/>
  <c r="Y115" i="67" s="1"/>
  <c r="Z115" i="67" s="1"/>
  <c r="AA115" i="67" s="1"/>
  <c r="AB115" i="67" s="1"/>
  <c r="AC115" i="67" s="1"/>
  <c r="AD115" i="67" s="1"/>
  <c r="AE115" i="67" s="1"/>
  <c r="AF115" i="67" s="1"/>
  <c r="AG115" i="67" s="1"/>
  <c r="AH115" i="67" s="1"/>
  <c r="AI115" i="67" s="1"/>
  <c r="AJ115" i="67" s="1"/>
  <c r="AK115" i="67" s="1"/>
  <c r="AL115" i="67" s="1"/>
  <c r="AM115" i="67" s="1"/>
  <c r="AN115" i="67" s="1"/>
  <c r="AO115" i="67" s="1"/>
  <c r="AP115" i="67" s="1"/>
  <c r="AQ115" i="67" s="1"/>
  <c r="AR115" i="67" s="1"/>
  <c r="AS115" i="67" s="1"/>
  <c r="AT115" i="67" s="1"/>
  <c r="AU115" i="67" s="1"/>
  <c r="AV115" i="67" s="1"/>
  <c r="AW115" i="67" s="1"/>
  <c r="AX115" i="67" s="1"/>
  <c r="AY115" i="67" s="1"/>
  <c r="AZ115" i="67" s="1"/>
  <c r="BA115" i="67" s="1"/>
  <c r="BB115" i="67" s="1"/>
  <c r="BC115" i="67" s="1"/>
  <c r="BD115" i="67" s="1"/>
  <c r="BE115" i="67" s="1"/>
  <c r="BF115" i="67" s="1"/>
  <c r="L107" i="67"/>
  <c r="M107" i="67" s="1"/>
  <c r="N107" i="67" s="1"/>
  <c r="O107" i="67" s="1"/>
  <c r="P107" i="67" s="1"/>
  <c r="Q107" i="67" s="1"/>
  <c r="R107" i="67" s="1"/>
  <c r="S107" i="67" s="1"/>
  <c r="T107" i="67" s="1"/>
  <c r="U107" i="67" s="1"/>
  <c r="V107" i="67" s="1"/>
  <c r="W107" i="67" s="1"/>
  <c r="X107" i="67" s="1"/>
  <c r="Y107" i="67" s="1"/>
  <c r="Z107" i="67" s="1"/>
  <c r="AA107" i="67" s="1"/>
  <c r="AB107" i="67" s="1"/>
  <c r="AC107" i="67" s="1"/>
  <c r="AD107" i="67" s="1"/>
  <c r="AE107" i="67" s="1"/>
  <c r="AF107" i="67" s="1"/>
  <c r="AG107" i="67" s="1"/>
  <c r="AH107" i="67" s="1"/>
  <c r="AI107" i="67" s="1"/>
  <c r="AJ107" i="67" s="1"/>
  <c r="AK107" i="67" s="1"/>
  <c r="AL107" i="67" s="1"/>
  <c r="AM107" i="67" s="1"/>
  <c r="AN107" i="67" s="1"/>
  <c r="AO107" i="67" s="1"/>
  <c r="AP107" i="67" s="1"/>
  <c r="AQ107" i="67" s="1"/>
  <c r="AR107" i="67" s="1"/>
  <c r="AS107" i="67" s="1"/>
  <c r="AT107" i="67" s="1"/>
  <c r="AU107" i="67" s="1"/>
  <c r="AV107" i="67" s="1"/>
  <c r="AW107" i="67" s="1"/>
  <c r="AX107" i="67" s="1"/>
  <c r="AY107" i="67" s="1"/>
  <c r="AZ107" i="67" s="1"/>
  <c r="BA107" i="67" s="1"/>
  <c r="BB107" i="67" s="1"/>
  <c r="BC107" i="67" s="1"/>
  <c r="BD107" i="67" s="1"/>
  <c r="BE107" i="67" s="1"/>
  <c r="BF107" i="67" s="1"/>
  <c r="L99" i="67"/>
  <c r="M99" i="67" s="1"/>
  <c r="N99" i="67" s="1"/>
  <c r="O99" i="67" s="1"/>
  <c r="P99" i="67" s="1"/>
  <c r="Q99" i="67" s="1"/>
  <c r="R99" i="67" s="1"/>
  <c r="S99" i="67" s="1"/>
  <c r="T99" i="67" s="1"/>
  <c r="U99" i="67" s="1"/>
  <c r="V99" i="67" s="1"/>
  <c r="W99" i="67" s="1"/>
  <c r="X99" i="67" s="1"/>
  <c r="Y99" i="67" s="1"/>
  <c r="Z99" i="67" s="1"/>
  <c r="AA99" i="67" s="1"/>
  <c r="AB99" i="67" s="1"/>
  <c r="AC99" i="67" s="1"/>
  <c r="AD99" i="67" s="1"/>
  <c r="AE99" i="67" s="1"/>
  <c r="AF99" i="67" s="1"/>
  <c r="AG99" i="67" s="1"/>
  <c r="AH99" i="67" s="1"/>
  <c r="AI99" i="67" s="1"/>
  <c r="AJ99" i="67" s="1"/>
  <c r="AK99" i="67" s="1"/>
  <c r="AL99" i="67" s="1"/>
  <c r="AM99" i="67" s="1"/>
  <c r="AN99" i="67" s="1"/>
  <c r="AO99" i="67" s="1"/>
  <c r="AP99" i="67" s="1"/>
  <c r="AQ99" i="67" s="1"/>
  <c r="AR99" i="67" s="1"/>
  <c r="AS99" i="67" s="1"/>
  <c r="AT99" i="67" s="1"/>
  <c r="AU99" i="67" s="1"/>
  <c r="AV99" i="67" s="1"/>
  <c r="AW99" i="67" s="1"/>
  <c r="AX99" i="67" s="1"/>
  <c r="AY99" i="67" s="1"/>
  <c r="AZ99" i="67" s="1"/>
  <c r="BA99" i="67" s="1"/>
  <c r="BB99" i="67" s="1"/>
  <c r="BC99" i="67" s="1"/>
  <c r="BD99" i="67" s="1"/>
  <c r="BE99" i="67" s="1"/>
  <c r="BF99" i="67" s="1"/>
  <c r="L91" i="67"/>
  <c r="M91" i="67" s="1"/>
  <c r="N91" i="67" s="1"/>
  <c r="O91" i="67" s="1"/>
  <c r="P91" i="67" s="1"/>
  <c r="Q91" i="67" s="1"/>
  <c r="R91" i="67" s="1"/>
  <c r="S91" i="67" s="1"/>
  <c r="T91" i="67" s="1"/>
  <c r="U91" i="67" s="1"/>
  <c r="V91" i="67" s="1"/>
  <c r="W91" i="67" s="1"/>
  <c r="X91" i="67" s="1"/>
  <c r="Y91" i="67" s="1"/>
  <c r="Z91" i="67" s="1"/>
  <c r="AA91" i="67" s="1"/>
  <c r="AB91" i="67" s="1"/>
  <c r="AC91" i="67" s="1"/>
  <c r="AD91" i="67" s="1"/>
  <c r="AE91" i="67" s="1"/>
  <c r="AF91" i="67" s="1"/>
  <c r="AG91" i="67" s="1"/>
  <c r="AH91" i="67" s="1"/>
  <c r="AI91" i="67" s="1"/>
  <c r="AJ91" i="67" s="1"/>
  <c r="AK91" i="67" s="1"/>
  <c r="AL91" i="67" s="1"/>
  <c r="AM91" i="67" s="1"/>
  <c r="AN91" i="67" s="1"/>
  <c r="AO91" i="67" s="1"/>
  <c r="AP91" i="67" s="1"/>
  <c r="AQ91" i="67" s="1"/>
  <c r="AR91" i="67" s="1"/>
  <c r="AS91" i="67" s="1"/>
  <c r="AT91" i="67" s="1"/>
  <c r="AU91" i="67" s="1"/>
  <c r="AV91" i="67" s="1"/>
  <c r="AW91" i="67" s="1"/>
  <c r="AX91" i="67" s="1"/>
  <c r="AY91" i="67" s="1"/>
  <c r="AZ91" i="67" s="1"/>
  <c r="BA91" i="67" s="1"/>
  <c r="BB91" i="67" s="1"/>
  <c r="BC91" i="67" s="1"/>
  <c r="BD91" i="67" s="1"/>
  <c r="BE91" i="67" s="1"/>
  <c r="BF91" i="67" s="1"/>
  <c r="L63" i="67"/>
  <c r="M63" i="67" s="1"/>
  <c r="N63" i="67" s="1"/>
  <c r="O63" i="67" s="1"/>
  <c r="P63" i="67" s="1"/>
  <c r="Q63" i="67" s="1"/>
  <c r="R63" i="67" s="1"/>
  <c r="S63" i="67" s="1"/>
  <c r="T63" i="67" s="1"/>
  <c r="U63" i="67" s="1"/>
  <c r="V63" i="67" s="1"/>
  <c r="W63" i="67" s="1"/>
  <c r="X63" i="67" s="1"/>
  <c r="Y63" i="67" s="1"/>
  <c r="Z63" i="67" s="1"/>
  <c r="AA63" i="67" s="1"/>
  <c r="AB63" i="67" s="1"/>
  <c r="AC63" i="67" s="1"/>
  <c r="AD63" i="67" s="1"/>
  <c r="AE63" i="67" s="1"/>
  <c r="AF63" i="67" s="1"/>
  <c r="AG63" i="67" s="1"/>
  <c r="AH63" i="67" s="1"/>
  <c r="AI63" i="67" s="1"/>
  <c r="AJ63" i="67" s="1"/>
  <c r="AK63" i="67" s="1"/>
  <c r="AL63" i="67" s="1"/>
  <c r="AM63" i="67" s="1"/>
  <c r="AN63" i="67" s="1"/>
  <c r="AO63" i="67" s="1"/>
  <c r="AP63" i="67" s="1"/>
  <c r="AQ63" i="67" s="1"/>
  <c r="AR63" i="67" s="1"/>
  <c r="AS63" i="67" s="1"/>
  <c r="AT63" i="67" s="1"/>
  <c r="AU63" i="67" s="1"/>
  <c r="AV63" i="67" s="1"/>
  <c r="AW63" i="67" s="1"/>
  <c r="AX63" i="67" s="1"/>
  <c r="AY63" i="67" s="1"/>
  <c r="AZ63" i="67" s="1"/>
  <c r="BA63" i="67" s="1"/>
  <c r="BB63" i="67" s="1"/>
  <c r="BC63" i="67" s="1"/>
  <c r="BD63" i="67" s="1"/>
  <c r="BE63" i="67" s="1"/>
  <c r="BF63" i="67" s="1"/>
  <c r="L47" i="67"/>
  <c r="M47" i="67" s="1"/>
  <c r="N47" i="67" s="1"/>
  <c r="O47" i="67" s="1"/>
  <c r="P47" i="67" s="1"/>
  <c r="Q47" i="67" s="1"/>
  <c r="R47" i="67" s="1"/>
  <c r="S47" i="67" s="1"/>
  <c r="T47" i="67" s="1"/>
  <c r="U47" i="67" s="1"/>
  <c r="V47" i="67" s="1"/>
  <c r="W47" i="67" s="1"/>
  <c r="X47" i="67" s="1"/>
  <c r="Y47" i="67" s="1"/>
  <c r="Z47" i="67" s="1"/>
  <c r="AA47" i="67" s="1"/>
  <c r="AB47" i="67" s="1"/>
  <c r="AC47" i="67" s="1"/>
  <c r="AD47" i="67" s="1"/>
  <c r="AE47" i="67" s="1"/>
  <c r="AF47" i="67" s="1"/>
  <c r="AG47" i="67" s="1"/>
  <c r="AH47" i="67" s="1"/>
  <c r="AI47" i="67" s="1"/>
  <c r="AJ47" i="67" s="1"/>
  <c r="AK47" i="67" s="1"/>
  <c r="AL47" i="67" s="1"/>
  <c r="AM47" i="67" s="1"/>
  <c r="AN47" i="67" s="1"/>
  <c r="AO47" i="67" s="1"/>
  <c r="AP47" i="67" s="1"/>
  <c r="AQ47" i="67" s="1"/>
  <c r="AR47" i="67" s="1"/>
  <c r="AS47" i="67" s="1"/>
  <c r="AT47" i="67" s="1"/>
  <c r="AU47" i="67" s="1"/>
  <c r="AV47" i="67" s="1"/>
  <c r="AW47" i="67" s="1"/>
  <c r="AX47" i="67" s="1"/>
  <c r="AY47" i="67" s="1"/>
  <c r="AZ47" i="67" s="1"/>
  <c r="BA47" i="67" s="1"/>
  <c r="BB47" i="67" s="1"/>
  <c r="BC47" i="67" s="1"/>
  <c r="BD47" i="67" s="1"/>
  <c r="BE47" i="67" s="1"/>
  <c r="BF47" i="67" s="1"/>
  <c r="L39" i="67"/>
  <c r="M39" i="67" s="1"/>
  <c r="N39" i="67" s="1"/>
  <c r="O39" i="67" s="1"/>
  <c r="P39" i="67" s="1"/>
  <c r="Q39" i="67" s="1"/>
  <c r="R39" i="67" s="1"/>
  <c r="S39" i="67" s="1"/>
  <c r="T39" i="67" s="1"/>
  <c r="U39" i="67" s="1"/>
  <c r="V39" i="67" s="1"/>
  <c r="W39" i="67" s="1"/>
  <c r="X39" i="67" s="1"/>
  <c r="Y39" i="67" s="1"/>
  <c r="Z39" i="67" s="1"/>
  <c r="AA39" i="67" s="1"/>
  <c r="AB39" i="67" s="1"/>
  <c r="AC39" i="67" s="1"/>
  <c r="AD39" i="67" s="1"/>
  <c r="AE39" i="67" s="1"/>
  <c r="AF39" i="67" s="1"/>
  <c r="AG39" i="67" s="1"/>
  <c r="AH39" i="67" s="1"/>
  <c r="AI39" i="67" s="1"/>
  <c r="AJ39" i="67" s="1"/>
  <c r="AK39" i="67" s="1"/>
  <c r="AL39" i="67" s="1"/>
  <c r="AM39" i="67" s="1"/>
  <c r="AN39" i="67" s="1"/>
  <c r="AO39" i="67" s="1"/>
  <c r="AP39" i="67" s="1"/>
  <c r="AQ39" i="67" s="1"/>
  <c r="AR39" i="67" s="1"/>
  <c r="AS39" i="67" s="1"/>
  <c r="AT39" i="67" s="1"/>
  <c r="AU39" i="67" s="1"/>
  <c r="AV39" i="67" s="1"/>
  <c r="AW39" i="67" s="1"/>
  <c r="AX39" i="67" s="1"/>
  <c r="AY39" i="67" s="1"/>
  <c r="AZ39" i="67" s="1"/>
  <c r="BA39" i="67" s="1"/>
  <c r="BB39" i="67" s="1"/>
  <c r="BC39" i="67" s="1"/>
  <c r="BD39" i="67" s="1"/>
  <c r="BE39" i="67" s="1"/>
  <c r="BF39" i="67" s="1"/>
  <c r="L31" i="67"/>
  <c r="M31" i="67" s="1"/>
  <c r="N31" i="67" s="1"/>
  <c r="O31" i="67" s="1"/>
  <c r="P31" i="67" s="1"/>
  <c r="Q31" i="67" s="1"/>
  <c r="R31" i="67" s="1"/>
  <c r="S31" i="67" s="1"/>
  <c r="T31" i="67" s="1"/>
  <c r="U31" i="67" s="1"/>
  <c r="V31" i="67" s="1"/>
  <c r="W31" i="67" s="1"/>
  <c r="X31" i="67" s="1"/>
  <c r="Y31" i="67" s="1"/>
  <c r="Z31" i="67" s="1"/>
  <c r="AA31" i="67" s="1"/>
  <c r="AB31" i="67" s="1"/>
  <c r="AC31" i="67" s="1"/>
  <c r="AD31" i="67" s="1"/>
  <c r="AE31" i="67" s="1"/>
  <c r="AF31" i="67" s="1"/>
  <c r="AG31" i="67" s="1"/>
  <c r="AH31" i="67" s="1"/>
  <c r="AI31" i="67" s="1"/>
  <c r="AJ31" i="67" s="1"/>
  <c r="AK31" i="67" s="1"/>
  <c r="AL31" i="67" s="1"/>
  <c r="AM31" i="67" s="1"/>
  <c r="AN31" i="67" s="1"/>
  <c r="AO31" i="67" s="1"/>
  <c r="AP31" i="67" s="1"/>
  <c r="AQ31" i="67" s="1"/>
  <c r="AR31" i="67" s="1"/>
  <c r="AS31" i="67" s="1"/>
  <c r="AT31" i="67" s="1"/>
  <c r="AU31" i="67" s="1"/>
  <c r="AV31" i="67" s="1"/>
  <c r="AW31" i="67" s="1"/>
  <c r="AX31" i="67" s="1"/>
  <c r="AY31" i="67" s="1"/>
  <c r="AZ31" i="67" s="1"/>
  <c r="BA31" i="67" s="1"/>
  <c r="BB31" i="67" s="1"/>
  <c r="BC31" i="67" s="1"/>
  <c r="BD31" i="67" s="1"/>
  <c r="BE31" i="67" s="1"/>
  <c r="BF31" i="67" s="1"/>
  <c r="L23" i="67"/>
  <c r="M23" i="67" s="1"/>
  <c r="N23" i="67" s="1"/>
  <c r="O23" i="67" s="1"/>
  <c r="P23" i="67" s="1"/>
  <c r="Q23" i="67" s="1"/>
  <c r="R23" i="67" s="1"/>
  <c r="S23" i="67" s="1"/>
  <c r="T23" i="67" s="1"/>
  <c r="U23" i="67" s="1"/>
  <c r="V23" i="67" s="1"/>
  <c r="W23" i="67" s="1"/>
  <c r="X23" i="67" s="1"/>
  <c r="Y23" i="67" s="1"/>
  <c r="Z23" i="67" s="1"/>
  <c r="AA23" i="67" s="1"/>
  <c r="AB23" i="67" s="1"/>
  <c r="AC23" i="67" s="1"/>
  <c r="AD23" i="67" s="1"/>
  <c r="AE23" i="67" s="1"/>
  <c r="AF23" i="67" s="1"/>
  <c r="AG23" i="67" s="1"/>
  <c r="AH23" i="67" s="1"/>
  <c r="AI23" i="67" s="1"/>
  <c r="AJ23" i="67" s="1"/>
  <c r="AK23" i="67" s="1"/>
  <c r="AL23" i="67" s="1"/>
  <c r="AM23" i="67" s="1"/>
  <c r="AN23" i="67" s="1"/>
  <c r="AO23" i="67" s="1"/>
  <c r="AP23" i="67" s="1"/>
  <c r="AQ23" i="67" s="1"/>
  <c r="AR23" i="67" s="1"/>
  <c r="AS23" i="67" s="1"/>
  <c r="AT23" i="67" s="1"/>
  <c r="AU23" i="67" s="1"/>
  <c r="AV23" i="67" s="1"/>
  <c r="AW23" i="67" s="1"/>
  <c r="AX23" i="67" s="1"/>
  <c r="AY23" i="67" s="1"/>
  <c r="AZ23" i="67" s="1"/>
  <c r="BA23" i="67" s="1"/>
  <c r="BB23" i="67" s="1"/>
  <c r="BC23" i="67" s="1"/>
  <c r="BD23" i="67" s="1"/>
  <c r="BE23" i="67" s="1"/>
  <c r="BF23" i="67" s="1"/>
  <c r="L54" i="67"/>
  <c r="M54" i="67" s="1"/>
  <c r="N54" i="67" s="1"/>
  <c r="O54" i="67" s="1"/>
  <c r="P54" i="67" s="1"/>
  <c r="Q54" i="67" s="1"/>
  <c r="R54" i="67" s="1"/>
  <c r="S54" i="67" s="1"/>
  <c r="T54" i="67" s="1"/>
  <c r="U54" i="67" s="1"/>
  <c r="V54" i="67" s="1"/>
  <c r="W54" i="67" s="1"/>
  <c r="X54" i="67" s="1"/>
  <c r="Y54" i="67" s="1"/>
  <c r="Z54" i="67" s="1"/>
  <c r="AA54" i="67" s="1"/>
  <c r="AB54" i="67" s="1"/>
  <c r="AC54" i="67" s="1"/>
  <c r="AD54" i="67" s="1"/>
  <c r="AE54" i="67" s="1"/>
  <c r="AF54" i="67" s="1"/>
  <c r="AG54" i="67" s="1"/>
  <c r="AH54" i="67" s="1"/>
  <c r="AI54" i="67" s="1"/>
  <c r="AJ54" i="67" s="1"/>
  <c r="AK54" i="67" s="1"/>
  <c r="AL54" i="67" s="1"/>
  <c r="AM54" i="67" s="1"/>
  <c r="AN54" i="67" s="1"/>
  <c r="AO54" i="67" s="1"/>
  <c r="AP54" i="67" s="1"/>
  <c r="AQ54" i="67" s="1"/>
  <c r="AR54" i="67" s="1"/>
  <c r="AS54" i="67" s="1"/>
  <c r="AT54" i="67" s="1"/>
  <c r="AU54" i="67" s="1"/>
  <c r="AV54" i="67" s="1"/>
  <c r="AW54" i="67" s="1"/>
  <c r="AX54" i="67" s="1"/>
  <c r="AY54" i="67" s="1"/>
  <c r="AZ54" i="67" s="1"/>
  <c r="BA54" i="67" s="1"/>
  <c r="BB54" i="67" s="1"/>
  <c r="BC54" i="67" s="1"/>
  <c r="BD54" i="67" s="1"/>
  <c r="BE54" i="67" s="1"/>
  <c r="BF54" i="67" s="1"/>
  <c r="L46" i="67"/>
  <c r="M46" i="67" s="1"/>
  <c r="N46" i="67" s="1"/>
  <c r="O46" i="67" s="1"/>
  <c r="P46" i="67" s="1"/>
  <c r="Q46" i="67" s="1"/>
  <c r="R46" i="67" s="1"/>
  <c r="S46" i="67" s="1"/>
  <c r="T46" i="67" s="1"/>
  <c r="U46" i="67" s="1"/>
  <c r="V46" i="67" s="1"/>
  <c r="W46" i="67" s="1"/>
  <c r="X46" i="67" s="1"/>
  <c r="Y46" i="67" s="1"/>
  <c r="Z46" i="67" s="1"/>
  <c r="AA46" i="67" s="1"/>
  <c r="AB46" i="67" s="1"/>
  <c r="AC46" i="67" s="1"/>
  <c r="AD46" i="67" s="1"/>
  <c r="AE46" i="67" s="1"/>
  <c r="AF46" i="67" s="1"/>
  <c r="AG46" i="67" s="1"/>
  <c r="AH46" i="67" s="1"/>
  <c r="AI46" i="67" s="1"/>
  <c r="AJ46" i="67" s="1"/>
  <c r="AK46" i="67" s="1"/>
  <c r="AL46" i="67" s="1"/>
  <c r="AM46" i="67" s="1"/>
  <c r="AN46" i="67" s="1"/>
  <c r="AO46" i="67" s="1"/>
  <c r="AP46" i="67" s="1"/>
  <c r="AQ46" i="67" s="1"/>
  <c r="AR46" i="67" s="1"/>
  <c r="AS46" i="67" s="1"/>
  <c r="AT46" i="67" s="1"/>
  <c r="AU46" i="67" s="1"/>
  <c r="AV46" i="67" s="1"/>
  <c r="AW46" i="67" s="1"/>
  <c r="AX46" i="67" s="1"/>
  <c r="AY46" i="67" s="1"/>
  <c r="AZ46" i="67" s="1"/>
  <c r="BA46" i="67" s="1"/>
  <c r="BB46" i="67" s="1"/>
  <c r="BC46" i="67" s="1"/>
  <c r="BD46" i="67" s="1"/>
  <c r="BE46" i="67" s="1"/>
  <c r="BF46" i="67" s="1"/>
  <c r="L38" i="67"/>
  <c r="M38" i="67" s="1"/>
  <c r="N38" i="67" s="1"/>
  <c r="O38" i="67" s="1"/>
  <c r="P38" i="67" s="1"/>
  <c r="Q38" i="67" s="1"/>
  <c r="R38" i="67" s="1"/>
  <c r="S38" i="67" s="1"/>
  <c r="T38" i="67" s="1"/>
  <c r="U38" i="67" s="1"/>
  <c r="V38" i="67" s="1"/>
  <c r="W38" i="67" s="1"/>
  <c r="X38" i="67" s="1"/>
  <c r="Y38" i="67" s="1"/>
  <c r="Z38" i="67" s="1"/>
  <c r="AA38" i="67" s="1"/>
  <c r="AB38" i="67" s="1"/>
  <c r="AC38" i="67" s="1"/>
  <c r="AD38" i="67" s="1"/>
  <c r="AE38" i="67" s="1"/>
  <c r="AF38" i="67" s="1"/>
  <c r="AG38" i="67" s="1"/>
  <c r="AH38" i="67" s="1"/>
  <c r="AI38" i="67" s="1"/>
  <c r="AJ38" i="67" s="1"/>
  <c r="AK38" i="67" s="1"/>
  <c r="AL38" i="67" s="1"/>
  <c r="AM38" i="67" s="1"/>
  <c r="AN38" i="67" s="1"/>
  <c r="AO38" i="67" s="1"/>
  <c r="AP38" i="67" s="1"/>
  <c r="AQ38" i="67" s="1"/>
  <c r="AR38" i="67" s="1"/>
  <c r="AS38" i="67" s="1"/>
  <c r="AT38" i="67" s="1"/>
  <c r="AU38" i="67" s="1"/>
  <c r="AV38" i="67" s="1"/>
  <c r="AW38" i="67" s="1"/>
  <c r="AX38" i="67" s="1"/>
  <c r="AY38" i="67" s="1"/>
  <c r="AZ38" i="67" s="1"/>
  <c r="BA38" i="67" s="1"/>
  <c r="BB38" i="67" s="1"/>
  <c r="BC38" i="67" s="1"/>
  <c r="BD38" i="67" s="1"/>
  <c r="BE38" i="67" s="1"/>
  <c r="BF38" i="67" s="1"/>
  <c r="L30" i="67"/>
  <c r="M30" i="67" s="1"/>
  <c r="N30" i="67" s="1"/>
  <c r="L22" i="67"/>
  <c r="M22" i="67" s="1"/>
  <c r="N22" i="67" s="1"/>
  <c r="O22" i="67" s="1"/>
  <c r="P22" i="67" s="1"/>
  <c r="Q22" i="67" s="1"/>
  <c r="R22" i="67" s="1"/>
  <c r="S22" i="67" s="1"/>
  <c r="T22" i="67" s="1"/>
  <c r="U22" i="67" s="1"/>
  <c r="V22" i="67" s="1"/>
  <c r="W22" i="67" s="1"/>
  <c r="X22" i="67" s="1"/>
  <c r="Y22" i="67" s="1"/>
  <c r="Z22" i="67" s="1"/>
  <c r="AA22" i="67" s="1"/>
  <c r="AB22" i="67" s="1"/>
  <c r="AC22" i="67" s="1"/>
  <c r="AD22" i="67" s="1"/>
  <c r="AE22" i="67" s="1"/>
  <c r="AF22" i="67" s="1"/>
  <c r="AG22" i="67" s="1"/>
  <c r="AH22" i="67" s="1"/>
  <c r="AI22" i="67" s="1"/>
  <c r="AJ22" i="67" s="1"/>
  <c r="AK22" i="67" s="1"/>
  <c r="AL22" i="67" s="1"/>
  <c r="AM22" i="67" s="1"/>
  <c r="AN22" i="67" s="1"/>
  <c r="AO22" i="67" s="1"/>
  <c r="AP22" i="67" s="1"/>
  <c r="AQ22" i="67" s="1"/>
  <c r="AR22" i="67" s="1"/>
  <c r="AS22" i="67" s="1"/>
  <c r="AT22" i="67" s="1"/>
  <c r="AU22" i="67" s="1"/>
  <c r="AV22" i="67" s="1"/>
  <c r="AW22" i="67" s="1"/>
  <c r="AX22" i="67" s="1"/>
  <c r="AY22" i="67" s="1"/>
  <c r="AZ22" i="67" s="1"/>
  <c r="BA22" i="67" s="1"/>
  <c r="BB22" i="67" s="1"/>
  <c r="BC22" i="67" s="1"/>
  <c r="BD22" i="67" s="1"/>
  <c r="BE22" i="67" s="1"/>
  <c r="BF22" i="67" s="1"/>
  <c r="L14" i="67"/>
  <c r="M14" i="67" s="1"/>
  <c r="N14" i="67" s="1"/>
  <c r="O14" i="67" s="1"/>
  <c r="P14" i="67" s="1"/>
  <c r="Q14" i="67" s="1"/>
  <c r="R14" i="67" s="1"/>
  <c r="S14" i="67" s="1"/>
  <c r="T14" i="67" s="1"/>
  <c r="U14" i="67" s="1"/>
  <c r="V14" i="67" s="1"/>
  <c r="W14" i="67" s="1"/>
  <c r="X14" i="67" s="1"/>
  <c r="Y14" i="67" s="1"/>
  <c r="Z14" i="67" s="1"/>
  <c r="AA14" i="67" s="1"/>
  <c r="AB14" i="67" s="1"/>
  <c r="AC14" i="67" s="1"/>
  <c r="AD14" i="67" s="1"/>
  <c r="AE14" i="67" s="1"/>
  <c r="AF14" i="67" s="1"/>
  <c r="AG14" i="67" s="1"/>
  <c r="AH14" i="67" s="1"/>
  <c r="AI14" i="67" s="1"/>
  <c r="AJ14" i="67" s="1"/>
  <c r="AK14" i="67" s="1"/>
  <c r="AL14" i="67" s="1"/>
  <c r="AM14" i="67" s="1"/>
  <c r="AN14" i="67" s="1"/>
  <c r="AO14" i="67" s="1"/>
  <c r="AP14" i="67" s="1"/>
  <c r="AQ14" i="67" s="1"/>
  <c r="AR14" i="67" s="1"/>
  <c r="AS14" i="67" s="1"/>
  <c r="AT14" i="67" s="1"/>
  <c r="AU14" i="67" s="1"/>
  <c r="AV14" i="67" s="1"/>
  <c r="AW14" i="67" s="1"/>
  <c r="AX14" i="67" s="1"/>
  <c r="AY14" i="67" s="1"/>
  <c r="AZ14" i="67" s="1"/>
  <c r="BA14" i="67" s="1"/>
  <c r="BB14" i="67" s="1"/>
  <c r="BC14" i="67" s="1"/>
  <c r="BD14" i="67" s="1"/>
  <c r="BE14" i="67" s="1"/>
  <c r="BF14" i="67" s="1"/>
  <c r="L97" i="67"/>
  <c r="M97" i="67" s="1"/>
  <c r="N97" i="67" s="1"/>
  <c r="O97" i="67" s="1"/>
  <c r="P97" i="67" s="1"/>
  <c r="Q97" i="67" s="1"/>
  <c r="R97" i="67" s="1"/>
  <c r="S97" i="67" s="1"/>
  <c r="T97" i="67" s="1"/>
  <c r="U97" i="67" s="1"/>
  <c r="V97" i="67" s="1"/>
  <c r="W97" i="67" s="1"/>
  <c r="X97" i="67" s="1"/>
  <c r="Y97" i="67" s="1"/>
  <c r="Z97" i="67" s="1"/>
  <c r="AA97" i="67" s="1"/>
  <c r="AB97" i="67" s="1"/>
  <c r="AC97" i="67" s="1"/>
  <c r="AD97" i="67" s="1"/>
  <c r="AE97" i="67" s="1"/>
  <c r="AF97" i="67" s="1"/>
  <c r="AG97" i="67" s="1"/>
  <c r="AH97" i="67" s="1"/>
  <c r="AI97" i="67" s="1"/>
  <c r="AJ97" i="67" s="1"/>
  <c r="AK97" i="67" s="1"/>
  <c r="AL97" i="67" s="1"/>
  <c r="AM97" i="67" s="1"/>
  <c r="AN97" i="67" s="1"/>
  <c r="AO97" i="67" s="1"/>
  <c r="AP97" i="67" s="1"/>
  <c r="AQ97" i="67" s="1"/>
  <c r="AR97" i="67" s="1"/>
  <c r="AS97" i="67" s="1"/>
  <c r="AT97" i="67" s="1"/>
  <c r="AU97" i="67" s="1"/>
  <c r="AV97" i="67" s="1"/>
  <c r="AW97" i="67" s="1"/>
  <c r="AX97" i="67" s="1"/>
  <c r="AY97" i="67" s="1"/>
  <c r="AZ97" i="67" s="1"/>
  <c r="BA97" i="67" s="1"/>
  <c r="BB97" i="67" s="1"/>
  <c r="BC97" i="67" s="1"/>
  <c r="BD97" i="67" s="1"/>
  <c r="BE97" i="67" s="1"/>
  <c r="BF97" i="67" s="1"/>
  <c r="L135" i="67"/>
  <c r="M135" i="67" s="1"/>
  <c r="N135" i="67" s="1"/>
  <c r="O135" i="67" s="1"/>
  <c r="P135" i="67" s="1"/>
  <c r="Q135" i="67" s="1"/>
  <c r="R135" i="67" s="1"/>
  <c r="S135" i="67" s="1"/>
  <c r="T135" i="67" s="1"/>
  <c r="U135" i="67" s="1"/>
  <c r="V135" i="67" s="1"/>
  <c r="W135" i="67" s="1"/>
  <c r="X135" i="67" s="1"/>
  <c r="Y135" i="67" s="1"/>
  <c r="Z135" i="67" s="1"/>
  <c r="AA135" i="67" s="1"/>
  <c r="AB135" i="67" s="1"/>
  <c r="AC135" i="67" s="1"/>
  <c r="AD135" i="67" s="1"/>
  <c r="AE135" i="67" s="1"/>
  <c r="AF135" i="67" s="1"/>
  <c r="AG135" i="67" s="1"/>
  <c r="AH135" i="67" s="1"/>
  <c r="AI135" i="67" s="1"/>
  <c r="AJ135" i="67" s="1"/>
  <c r="AK135" i="67" s="1"/>
  <c r="AL135" i="67" s="1"/>
  <c r="AM135" i="67" s="1"/>
  <c r="AN135" i="67" s="1"/>
  <c r="AO135" i="67" s="1"/>
  <c r="AP135" i="67" s="1"/>
  <c r="AQ135" i="67" s="1"/>
  <c r="AR135" i="67" s="1"/>
  <c r="AS135" i="67" s="1"/>
  <c r="AT135" i="67" s="1"/>
  <c r="AU135" i="67" s="1"/>
  <c r="AV135" i="67" s="1"/>
  <c r="AW135" i="67" s="1"/>
  <c r="AX135" i="67" s="1"/>
  <c r="AY135" i="67" s="1"/>
  <c r="AZ135" i="67" s="1"/>
  <c r="BA135" i="67" s="1"/>
  <c r="BB135" i="67" s="1"/>
  <c r="BC135" i="67" s="1"/>
  <c r="BD135" i="67" s="1"/>
  <c r="BE135" i="67" s="1"/>
  <c r="BF135" i="67" s="1"/>
  <c r="L28" i="67"/>
  <c r="M28" i="67" s="1"/>
  <c r="N28" i="67" s="1"/>
  <c r="O28" i="67" s="1"/>
  <c r="P28" i="67" s="1"/>
  <c r="Q28" i="67" s="1"/>
  <c r="R28" i="67" s="1"/>
  <c r="S28" i="67" s="1"/>
  <c r="L19" i="67"/>
  <c r="M19" i="67" s="1"/>
  <c r="N19" i="67" s="1"/>
  <c r="O19" i="67" s="1"/>
  <c r="P19" i="67" s="1"/>
  <c r="Q19" i="67" s="1"/>
  <c r="R19" i="67" s="1"/>
  <c r="S19" i="67" s="1"/>
  <c r="T19" i="67" s="1"/>
  <c r="U19" i="67" s="1"/>
  <c r="V19" i="67" s="1"/>
  <c r="W19" i="67" s="1"/>
  <c r="X19" i="67" s="1"/>
  <c r="Y19" i="67" s="1"/>
  <c r="Z19" i="67" s="1"/>
  <c r="AA19" i="67" s="1"/>
  <c r="AB19" i="67" s="1"/>
  <c r="AC19" i="67" s="1"/>
  <c r="AD19" i="67" s="1"/>
  <c r="AE19" i="67" s="1"/>
  <c r="AF19" i="67" s="1"/>
  <c r="AG19" i="67" s="1"/>
  <c r="AH19" i="67" s="1"/>
  <c r="AI19" i="67" s="1"/>
  <c r="AJ19" i="67" s="1"/>
  <c r="AK19" i="67" s="1"/>
  <c r="AL19" i="67" s="1"/>
  <c r="AM19" i="67" s="1"/>
  <c r="AN19" i="67" s="1"/>
  <c r="AO19" i="67" s="1"/>
  <c r="AP19" i="67" s="1"/>
  <c r="AQ19" i="67" s="1"/>
  <c r="AR19" i="67" s="1"/>
  <c r="AS19" i="67" s="1"/>
  <c r="AT19" i="67" s="1"/>
  <c r="AU19" i="67" s="1"/>
  <c r="AV19" i="67" s="1"/>
  <c r="AW19" i="67" s="1"/>
  <c r="AX19" i="67" s="1"/>
  <c r="AY19" i="67" s="1"/>
  <c r="AZ19" i="67" s="1"/>
  <c r="BA19" i="67" s="1"/>
  <c r="BB19" i="67" s="1"/>
  <c r="BC19" i="67" s="1"/>
  <c r="BD19" i="67" s="1"/>
  <c r="BE19" i="67" s="1"/>
  <c r="BF19" i="67" s="1"/>
  <c r="L111" i="67"/>
  <c r="M111" i="67" s="1"/>
  <c r="N111" i="67" s="1"/>
  <c r="O111" i="67" s="1"/>
  <c r="P111" i="67" s="1"/>
  <c r="Q111" i="67" s="1"/>
  <c r="R111" i="67" s="1"/>
  <c r="S111" i="67" s="1"/>
  <c r="T111" i="67" s="1"/>
  <c r="U111" i="67" s="1"/>
  <c r="V111" i="67" s="1"/>
  <c r="W111" i="67" s="1"/>
  <c r="X111" i="67" s="1"/>
  <c r="Y111" i="67" s="1"/>
  <c r="Z111" i="67" s="1"/>
  <c r="AA111" i="67" s="1"/>
  <c r="AB111" i="67" s="1"/>
  <c r="AC111" i="67" s="1"/>
  <c r="AD111" i="67" s="1"/>
  <c r="AE111" i="67" s="1"/>
  <c r="AF111" i="67" s="1"/>
  <c r="AG111" i="67" s="1"/>
  <c r="AH111" i="67" s="1"/>
  <c r="AI111" i="67" s="1"/>
  <c r="AJ111" i="67" s="1"/>
  <c r="AK111" i="67" s="1"/>
  <c r="AL111" i="67" s="1"/>
  <c r="AM111" i="67" s="1"/>
  <c r="AN111" i="67" s="1"/>
  <c r="AO111" i="67" s="1"/>
  <c r="AP111" i="67" s="1"/>
  <c r="AQ111" i="67" s="1"/>
  <c r="AR111" i="67" s="1"/>
  <c r="AS111" i="67" s="1"/>
  <c r="AT111" i="67" s="1"/>
  <c r="AU111" i="67" s="1"/>
  <c r="AV111" i="67" s="1"/>
  <c r="AW111" i="67" s="1"/>
  <c r="AX111" i="67" s="1"/>
  <c r="AY111" i="67" s="1"/>
  <c r="AZ111" i="67" s="1"/>
  <c r="BA111" i="67" s="1"/>
  <c r="BB111" i="67" s="1"/>
  <c r="BC111" i="67" s="1"/>
  <c r="BD111" i="67" s="1"/>
  <c r="BE111" i="67" s="1"/>
  <c r="BF111" i="67" s="1"/>
  <c r="L86" i="67"/>
  <c r="M86" i="67" s="1"/>
  <c r="N86" i="67" s="1"/>
  <c r="O86" i="67" s="1"/>
  <c r="P86" i="67" s="1"/>
  <c r="Q86" i="67" s="1"/>
  <c r="R86" i="67" s="1"/>
  <c r="S86" i="67" s="1"/>
  <c r="T86" i="67" s="1"/>
  <c r="U86" i="67" s="1"/>
  <c r="V86" i="67" s="1"/>
  <c r="W86" i="67" s="1"/>
  <c r="X86" i="67" s="1"/>
  <c r="Y86" i="67" s="1"/>
  <c r="Z86" i="67" s="1"/>
  <c r="AA86" i="67" s="1"/>
  <c r="AB86" i="67" s="1"/>
  <c r="AC86" i="67" s="1"/>
  <c r="AD86" i="67" s="1"/>
  <c r="AE86" i="67" s="1"/>
  <c r="AF86" i="67" s="1"/>
  <c r="AG86" i="67" s="1"/>
  <c r="AH86" i="67" s="1"/>
  <c r="AI86" i="67" s="1"/>
  <c r="AJ86" i="67" s="1"/>
  <c r="AK86" i="67" s="1"/>
  <c r="AL86" i="67" s="1"/>
  <c r="AM86" i="67" s="1"/>
  <c r="AN86" i="67" s="1"/>
  <c r="AO86" i="67" s="1"/>
  <c r="AP86" i="67" s="1"/>
  <c r="AQ86" i="67" s="1"/>
  <c r="AR86" i="67" s="1"/>
  <c r="AS86" i="67" s="1"/>
  <c r="AT86" i="67" s="1"/>
  <c r="AU86" i="67" s="1"/>
  <c r="AV86" i="67" s="1"/>
  <c r="AW86" i="67" s="1"/>
  <c r="AX86" i="67" s="1"/>
  <c r="AY86" i="67" s="1"/>
  <c r="AZ86" i="67" s="1"/>
  <c r="BA86" i="67" s="1"/>
  <c r="BB86" i="67" s="1"/>
  <c r="BC86" i="67" s="1"/>
  <c r="BD86" i="67" s="1"/>
  <c r="BE86" i="67" s="1"/>
  <c r="BF86" i="67" s="1"/>
  <c r="L94" i="67"/>
  <c r="M94" i="67" s="1"/>
  <c r="N94" i="67" s="1"/>
  <c r="O94" i="67" s="1"/>
  <c r="L119" i="67"/>
  <c r="M119" i="67" s="1"/>
  <c r="N119" i="67" s="1"/>
  <c r="O119" i="67" s="1"/>
  <c r="P119" i="67" s="1"/>
  <c r="Q119" i="67" s="1"/>
  <c r="R119" i="67" s="1"/>
  <c r="S119" i="67" s="1"/>
  <c r="T119" i="67" s="1"/>
  <c r="U119" i="67" s="1"/>
  <c r="V119" i="67" s="1"/>
  <c r="W119" i="67" s="1"/>
  <c r="X119" i="67" s="1"/>
  <c r="Y119" i="67" s="1"/>
  <c r="Z119" i="67" s="1"/>
  <c r="AA119" i="67" s="1"/>
  <c r="AB119" i="67" s="1"/>
  <c r="AC119" i="67" s="1"/>
  <c r="AD119" i="67" s="1"/>
  <c r="AE119" i="67" s="1"/>
  <c r="AF119" i="67" s="1"/>
  <c r="AG119" i="67" s="1"/>
  <c r="AH119" i="67" s="1"/>
  <c r="AI119" i="67" s="1"/>
  <c r="AJ119" i="67" s="1"/>
  <c r="AK119" i="67" s="1"/>
  <c r="AL119" i="67" s="1"/>
  <c r="AM119" i="67" s="1"/>
  <c r="AN119" i="67" s="1"/>
  <c r="AO119" i="67" s="1"/>
  <c r="AP119" i="67" s="1"/>
  <c r="AQ119" i="67" s="1"/>
  <c r="AR119" i="67" s="1"/>
  <c r="AS119" i="67" s="1"/>
  <c r="AT119" i="67" s="1"/>
  <c r="AU119" i="67" s="1"/>
  <c r="AV119" i="67" s="1"/>
  <c r="AW119" i="67" s="1"/>
  <c r="AX119" i="67" s="1"/>
  <c r="AY119" i="67" s="1"/>
  <c r="AZ119" i="67" s="1"/>
  <c r="BA119" i="67" s="1"/>
  <c r="BB119" i="67" s="1"/>
  <c r="BC119" i="67" s="1"/>
  <c r="BD119" i="67" s="1"/>
  <c r="BE119" i="67" s="1"/>
  <c r="BF119" i="67" s="1"/>
  <c r="L131" i="67"/>
  <c r="M131" i="67" s="1"/>
  <c r="N131" i="67" s="1"/>
  <c r="O131" i="67" s="1"/>
  <c r="P131" i="67" s="1"/>
  <c r="Q131" i="67" s="1"/>
  <c r="R131" i="67" s="1"/>
  <c r="S131" i="67" s="1"/>
  <c r="T131" i="67" s="1"/>
  <c r="U131" i="67" s="1"/>
  <c r="V131" i="67" s="1"/>
  <c r="W131" i="67" s="1"/>
  <c r="X131" i="67" s="1"/>
  <c r="Y131" i="67" s="1"/>
  <c r="Z131" i="67" s="1"/>
  <c r="AA131" i="67" s="1"/>
  <c r="AB131" i="67" s="1"/>
  <c r="AC131" i="67" s="1"/>
  <c r="AD131" i="67" s="1"/>
  <c r="AE131" i="67" s="1"/>
  <c r="AF131" i="67" s="1"/>
  <c r="AG131" i="67" s="1"/>
  <c r="AH131" i="67" s="1"/>
  <c r="AI131" i="67" s="1"/>
  <c r="AJ131" i="67" s="1"/>
  <c r="AK131" i="67" s="1"/>
  <c r="AL131" i="67" s="1"/>
  <c r="AM131" i="67" s="1"/>
  <c r="AN131" i="67" s="1"/>
  <c r="AO131" i="67" s="1"/>
  <c r="AP131" i="67" s="1"/>
  <c r="AQ131" i="67" s="1"/>
  <c r="AR131" i="67" s="1"/>
  <c r="AS131" i="67" s="1"/>
  <c r="AT131" i="67" s="1"/>
  <c r="AU131" i="67" s="1"/>
  <c r="AV131" i="67" s="1"/>
  <c r="AW131" i="67" s="1"/>
  <c r="AX131" i="67" s="1"/>
  <c r="AY131" i="67" s="1"/>
  <c r="AZ131" i="67" s="1"/>
  <c r="BA131" i="67" s="1"/>
  <c r="BB131" i="67" s="1"/>
  <c r="BC131" i="67" s="1"/>
  <c r="BD131" i="67" s="1"/>
  <c r="BE131" i="67" s="1"/>
  <c r="BF131" i="67" s="1"/>
  <c r="L141" i="67"/>
  <c r="M141" i="67" s="1"/>
  <c r="N141" i="67" s="1"/>
  <c r="O141" i="67" s="1"/>
  <c r="P141" i="67" s="1"/>
  <c r="Q141" i="67" s="1"/>
  <c r="R141" i="67" s="1"/>
  <c r="S141" i="67" s="1"/>
  <c r="T141" i="67" s="1"/>
  <c r="U141" i="67" s="1"/>
  <c r="V141" i="67" s="1"/>
  <c r="W141" i="67" s="1"/>
  <c r="X141" i="67" s="1"/>
  <c r="Y141" i="67" s="1"/>
  <c r="Z141" i="67" s="1"/>
  <c r="AA141" i="67" s="1"/>
  <c r="AB141" i="67" s="1"/>
  <c r="AC141" i="67" s="1"/>
  <c r="AD141" i="67" s="1"/>
  <c r="AE141" i="67" s="1"/>
  <c r="AF141" i="67" s="1"/>
  <c r="AG141" i="67" s="1"/>
  <c r="AH141" i="67" s="1"/>
  <c r="AI141" i="67" s="1"/>
  <c r="AJ141" i="67" s="1"/>
  <c r="AK141" i="67" s="1"/>
  <c r="AL141" i="67" s="1"/>
  <c r="AM141" i="67" s="1"/>
  <c r="AN141" i="67" s="1"/>
  <c r="AO141" i="67" s="1"/>
  <c r="AP141" i="67" s="1"/>
  <c r="AQ141" i="67" s="1"/>
  <c r="AR141" i="67" s="1"/>
  <c r="AS141" i="67" s="1"/>
  <c r="AT141" i="67" s="1"/>
  <c r="AU141" i="67" s="1"/>
  <c r="AV141" i="67" s="1"/>
  <c r="AW141" i="67" s="1"/>
  <c r="AX141" i="67" s="1"/>
  <c r="AY141" i="67" s="1"/>
  <c r="AZ141" i="67" s="1"/>
  <c r="BA141" i="67" s="1"/>
  <c r="BB141" i="67" s="1"/>
  <c r="BC141" i="67" s="1"/>
  <c r="BD141" i="67" s="1"/>
  <c r="BE141" i="67" s="1"/>
  <c r="BF141" i="67" s="1"/>
  <c r="L125" i="67"/>
  <c r="M125" i="67" s="1"/>
  <c r="N125" i="67" s="1"/>
  <c r="O125" i="67" s="1"/>
  <c r="P125" i="67" s="1"/>
  <c r="Q125" i="67" s="1"/>
  <c r="R125" i="67" s="1"/>
  <c r="S125" i="67" s="1"/>
  <c r="T125" i="67" s="1"/>
  <c r="U125" i="67" s="1"/>
  <c r="V125" i="67" s="1"/>
  <c r="W125" i="67" s="1"/>
  <c r="X125" i="67" s="1"/>
  <c r="Y125" i="67" s="1"/>
  <c r="Z125" i="67" s="1"/>
  <c r="AA125" i="67" s="1"/>
  <c r="AB125" i="67" s="1"/>
  <c r="AC125" i="67" s="1"/>
  <c r="AD125" i="67" s="1"/>
  <c r="AE125" i="67" s="1"/>
  <c r="AF125" i="67" s="1"/>
  <c r="AG125" i="67" s="1"/>
  <c r="AH125" i="67" s="1"/>
  <c r="AI125" i="67" s="1"/>
  <c r="AJ125" i="67" s="1"/>
  <c r="AK125" i="67" s="1"/>
  <c r="AL125" i="67" s="1"/>
  <c r="AM125" i="67" s="1"/>
  <c r="AN125" i="67" s="1"/>
  <c r="AO125" i="67" s="1"/>
  <c r="AP125" i="67" s="1"/>
  <c r="AQ125" i="67" s="1"/>
  <c r="AR125" i="67" s="1"/>
  <c r="AS125" i="67" s="1"/>
  <c r="AT125" i="67" s="1"/>
  <c r="AU125" i="67" s="1"/>
  <c r="AV125" i="67" s="1"/>
  <c r="AW125" i="67" s="1"/>
  <c r="AX125" i="67" s="1"/>
  <c r="AY125" i="67" s="1"/>
  <c r="AZ125" i="67" s="1"/>
  <c r="BA125" i="67" s="1"/>
  <c r="BB125" i="67" s="1"/>
  <c r="BC125" i="67" s="1"/>
  <c r="BD125" i="67" s="1"/>
  <c r="BE125" i="67" s="1"/>
  <c r="BF125" i="67" s="1"/>
  <c r="L70" i="67"/>
  <c r="M70" i="67" s="1"/>
  <c r="N70" i="67" s="1"/>
  <c r="O70" i="67" s="1"/>
  <c r="P70" i="67" s="1"/>
  <c r="Q70" i="67" s="1"/>
  <c r="R70" i="67" s="1"/>
  <c r="S70" i="67" s="1"/>
  <c r="T70" i="67" s="1"/>
  <c r="U70" i="67" s="1"/>
  <c r="V70" i="67" s="1"/>
  <c r="W70" i="67" s="1"/>
  <c r="X70" i="67" s="1"/>
  <c r="Y70" i="67" s="1"/>
  <c r="Z70" i="67" s="1"/>
  <c r="AA70" i="67" s="1"/>
  <c r="AB70" i="67" s="1"/>
  <c r="AC70" i="67" s="1"/>
  <c r="AD70" i="67" s="1"/>
  <c r="AE70" i="67" s="1"/>
  <c r="AF70" i="67" s="1"/>
  <c r="AG70" i="67" s="1"/>
  <c r="AH70" i="67" s="1"/>
  <c r="AI70" i="67" s="1"/>
  <c r="AJ70" i="67" s="1"/>
  <c r="AK70" i="67" s="1"/>
  <c r="AL70" i="67" s="1"/>
  <c r="AM70" i="67" s="1"/>
  <c r="AN70" i="67" s="1"/>
  <c r="AO70" i="67" s="1"/>
  <c r="AP70" i="67" s="1"/>
  <c r="AQ70" i="67" s="1"/>
  <c r="AR70" i="67" s="1"/>
  <c r="AS70" i="67" s="1"/>
  <c r="AT70" i="67" s="1"/>
  <c r="AU70" i="67" s="1"/>
  <c r="AV70" i="67" s="1"/>
  <c r="AW70" i="67" s="1"/>
  <c r="AX70" i="67" s="1"/>
  <c r="AY70" i="67" s="1"/>
  <c r="AZ70" i="67" s="1"/>
  <c r="BA70" i="67" s="1"/>
  <c r="BB70" i="67" s="1"/>
  <c r="BC70" i="67" s="1"/>
  <c r="BD70" i="67" s="1"/>
  <c r="BE70" i="67" s="1"/>
  <c r="BF70" i="67" s="1"/>
  <c r="L58" i="67"/>
  <c r="M58" i="67" s="1"/>
  <c r="N58" i="67" s="1"/>
  <c r="O58" i="67" s="1"/>
  <c r="P58" i="67" s="1"/>
  <c r="Q58" i="67" s="1"/>
  <c r="R58" i="67" s="1"/>
  <c r="S58" i="67" s="1"/>
  <c r="T58" i="67" s="1"/>
  <c r="U58" i="67" s="1"/>
  <c r="V58" i="67" s="1"/>
  <c r="W58" i="67" s="1"/>
  <c r="X58" i="67" s="1"/>
  <c r="Y58" i="67" s="1"/>
  <c r="Z58" i="67" s="1"/>
  <c r="AA58" i="67" s="1"/>
  <c r="AB58" i="67" s="1"/>
  <c r="AC58" i="67" s="1"/>
  <c r="AD58" i="67" s="1"/>
  <c r="AE58" i="67" s="1"/>
  <c r="AF58" i="67" s="1"/>
  <c r="AG58" i="67" s="1"/>
  <c r="AH58" i="67" s="1"/>
  <c r="AI58" i="67" s="1"/>
  <c r="AJ58" i="67" s="1"/>
  <c r="AK58" i="67" s="1"/>
  <c r="AL58" i="67" s="1"/>
  <c r="AM58" i="67" s="1"/>
  <c r="AN58" i="67" s="1"/>
  <c r="AO58" i="67" s="1"/>
  <c r="AP58" i="67" s="1"/>
  <c r="AQ58" i="67" s="1"/>
  <c r="AR58" i="67" s="1"/>
  <c r="AS58" i="67" s="1"/>
  <c r="AT58" i="67" s="1"/>
  <c r="AU58" i="67" s="1"/>
  <c r="AV58" i="67" s="1"/>
  <c r="AW58" i="67" s="1"/>
  <c r="AX58" i="67" s="1"/>
  <c r="AY58" i="67" s="1"/>
  <c r="AZ58" i="67" s="1"/>
  <c r="BA58" i="67" s="1"/>
  <c r="BB58" i="67" s="1"/>
  <c r="BC58" i="67" s="1"/>
  <c r="BD58" i="67" s="1"/>
  <c r="BE58" i="67" s="1"/>
  <c r="BF58" i="67" s="1"/>
  <c r="L136" i="67"/>
  <c r="M136" i="67" s="1"/>
  <c r="N136" i="67" s="1"/>
  <c r="O136" i="67" s="1"/>
  <c r="P136" i="67" s="1"/>
  <c r="Q136" i="67" s="1"/>
  <c r="R136" i="67" s="1"/>
  <c r="S136" i="67" s="1"/>
  <c r="T136" i="67" s="1"/>
  <c r="U136" i="67" s="1"/>
  <c r="V136" i="67" s="1"/>
  <c r="W136" i="67" s="1"/>
  <c r="X136" i="67" s="1"/>
  <c r="Y136" i="67" s="1"/>
  <c r="Z136" i="67" s="1"/>
  <c r="AA136" i="67" s="1"/>
  <c r="AB136" i="67" s="1"/>
  <c r="AC136" i="67" s="1"/>
  <c r="AD136" i="67" s="1"/>
  <c r="AE136" i="67" s="1"/>
  <c r="AF136" i="67" s="1"/>
  <c r="AG136" i="67" s="1"/>
  <c r="AH136" i="67" s="1"/>
  <c r="AI136" i="67" s="1"/>
  <c r="AJ136" i="67" s="1"/>
  <c r="AK136" i="67" s="1"/>
  <c r="AL136" i="67" s="1"/>
  <c r="AM136" i="67" s="1"/>
  <c r="AN136" i="67" s="1"/>
  <c r="AO136" i="67" s="1"/>
  <c r="AP136" i="67" s="1"/>
  <c r="AQ136" i="67" s="1"/>
  <c r="AR136" i="67" s="1"/>
  <c r="AS136" i="67" s="1"/>
  <c r="AT136" i="67" s="1"/>
  <c r="AU136" i="67" s="1"/>
  <c r="AV136" i="67" s="1"/>
  <c r="AW136" i="67" s="1"/>
  <c r="AX136" i="67" s="1"/>
  <c r="AY136" i="67" s="1"/>
  <c r="AZ136" i="67" s="1"/>
  <c r="BA136" i="67" s="1"/>
  <c r="BB136" i="67" s="1"/>
  <c r="BC136" i="67" s="1"/>
  <c r="BD136" i="67" s="1"/>
  <c r="BE136" i="67" s="1"/>
  <c r="BF136" i="67" s="1"/>
  <c r="L128" i="67"/>
  <c r="M128" i="67" s="1"/>
  <c r="L120" i="67"/>
  <c r="M120" i="67" s="1"/>
  <c r="N120" i="67" s="1"/>
  <c r="O120" i="67" s="1"/>
  <c r="P120" i="67" s="1"/>
  <c r="Q120" i="67" s="1"/>
  <c r="R120" i="67" s="1"/>
  <c r="S120" i="67" s="1"/>
  <c r="T120" i="67" s="1"/>
  <c r="U120" i="67" s="1"/>
  <c r="V120" i="67" s="1"/>
  <c r="W120" i="67" s="1"/>
  <c r="X120" i="67" s="1"/>
  <c r="Y120" i="67" s="1"/>
  <c r="Z120" i="67" s="1"/>
  <c r="AA120" i="67" s="1"/>
  <c r="AB120" i="67" s="1"/>
  <c r="AC120" i="67" s="1"/>
  <c r="AD120" i="67" s="1"/>
  <c r="AE120" i="67" s="1"/>
  <c r="AF120" i="67" s="1"/>
  <c r="AG120" i="67" s="1"/>
  <c r="AH120" i="67" s="1"/>
  <c r="AI120" i="67" s="1"/>
  <c r="AJ120" i="67" s="1"/>
  <c r="AK120" i="67" s="1"/>
  <c r="AL120" i="67" s="1"/>
  <c r="AM120" i="67" s="1"/>
  <c r="AN120" i="67" s="1"/>
  <c r="AO120" i="67" s="1"/>
  <c r="AP120" i="67" s="1"/>
  <c r="AQ120" i="67" s="1"/>
  <c r="AR120" i="67" s="1"/>
  <c r="AS120" i="67" s="1"/>
  <c r="AT120" i="67" s="1"/>
  <c r="AU120" i="67" s="1"/>
  <c r="AV120" i="67" s="1"/>
  <c r="AW120" i="67" s="1"/>
  <c r="AX120" i="67" s="1"/>
  <c r="AY120" i="67" s="1"/>
  <c r="AZ120" i="67" s="1"/>
  <c r="BA120" i="67" s="1"/>
  <c r="BB120" i="67" s="1"/>
  <c r="BC120" i="67" s="1"/>
  <c r="BD120" i="67" s="1"/>
  <c r="BE120" i="67" s="1"/>
  <c r="BF120" i="67" s="1"/>
  <c r="L112" i="67"/>
  <c r="M112" i="67" s="1"/>
  <c r="N112" i="67" s="1"/>
  <c r="O112" i="67" s="1"/>
  <c r="P112" i="67" s="1"/>
  <c r="Q112" i="67" s="1"/>
  <c r="R112" i="67" s="1"/>
  <c r="S112" i="67" s="1"/>
  <c r="T112" i="67" s="1"/>
  <c r="U112" i="67" s="1"/>
  <c r="V112" i="67" s="1"/>
  <c r="W112" i="67" s="1"/>
  <c r="X112" i="67" s="1"/>
  <c r="Y112" i="67" s="1"/>
  <c r="Z112" i="67" s="1"/>
  <c r="AA112" i="67" s="1"/>
  <c r="AB112" i="67" s="1"/>
  <c r="AC112" i="67" s="1"/>
  <c r="AD112" i="67" s="1"/>
  <c r="AE112" i="67" s="1"/>
  <c r="AF112" i="67" s="1"/>
  <c r="AG112" i="67" s="1"/>
  <c r="AH112" i="67" s="1"/>
  <c r="AI112" i="67" s="1"/>
  <c r="AJ112" i="67" s="1"/>
  <c r="AK112" i="67" s="1"/>
  <c r="AL112" i="67" s="1"/>
  <c r="AM112" i="67" s="1"/>
  <c r="AN112" i="67" s="1"/>
  <c r="AO112" i="67" s="1"/>
  <c r="AP112" i="67" s="1"/>
  <c r="AQ112" i="67" s="1"/>
  <c r="AR112" i="67" s="1"/>
  <c r="AS112" i="67" s="1"/>
  <c r="AT112" i="67" s="1"/>
  <c r="AU112" i="67" s="1"/>
  <c r="AV112" i="67" s="1"/>
  <c r="AW112" i="67" s="1"/>
  <c r="AX112" i="67" s="1"/>
  <c r="AY112" i="67" s="1"/>
  <c r="AZ112" i="67" s="1"/>
  <c r="BA112" i="67" s="1"/>
  <c r="BB112" i="67" s="1"/>
  <c r="BC112" i="67" s="1"/>
  <c r="BD112" i="67" s="1"/>
  <c r="BE112" i="67" s="1"/>
  <c r="BF112" i="67" s="1"/>
  <c r="L104" i="67"/>
  <c r="M104" i="67" s="1"/>
  <c r="N104" i="67" s="1"/>
  <c r="O104" i="67" s="1"/>
  <c r="P104" i="67" s="1"/>
  <c r="Q104" i="67" s="1"/>
  <c r="R104" i="67" s="1"/>
  <c r="S104" i="67" s="1"/>
  <c r="T104" i="67" s="1"/>
  <c r="U104" i="67" s="1"/>
  <c r="V104" i="67" s="1"/>
  <c r="W104" i="67" s="1"/>
  <c r="X104" i="67" s="1"/>
  <c r="Y104" i="67" s="1"/>
  <c r="Z104" i="67" s="1"/>
  <c r="AA104" i="67" s="1"/>
  <c r="AB104" i="67" s="1"/>
  <c r="AC104" i="67" s="1"/>
  <c r="AD104" i="67" s="1"/>
  <c r="AE104" i="67" s="1"/>
  <c r="AF104" i="67" s="1"/>
  <c r="AG104" i="67" s="1"/>
  <c r="AH104" i="67" s="1"/>
  <c r="AI104" i="67" s="1"/>
  <c r="AJ104" i="67" s="1"/>
  <c r="AK104" i="67" s="1"/>
  <c r="AL104" i="67" s="1"/>
  <c r="AM104" i="67" s="1"/>
  <c r="AN104" i="67" s="1"/>
  <c r="AO104" i="67" s="1"/>
  <c r="AP104" i="67" s="1"/>
  <c r="AQ104" i="67" s="1"/>
  <c r="AR104" i="67" s="1"/>
  <c r="AS104" i="67" s="1"/>
  <c r="AT104" i="67" s="1"/>
  <c r="AU104" i="67" s="1"/>
  <c r="AV104" i="67" s="1"/>
  <c r="AW104" i="67" s="1"/>
  <c r="AX104" i="67" s="1"/>
  <c r="AY104" i="67" s="1"/>
  <c r="AZ104" i="67" s="1"/>
  <c r="BA104" i="67" s="1"/>
  <c r="BB104" i="67" s="1"/>
  <c r="BC104" i="67" s="1"/>
  <c r="BD104" i="67" s="1"/>
  <c r="BE104" i="67" s="1"/>
  <c r="BF104" i="67" s="1"/>
  <c r="L96" i="67"/>
  <c r="M96" i="67" s="1"/>
  <c r="N96" i="67" s="1"/>
  <c r="O96" i="67" s="1"/>
  <c r="P96" i="67" s="1"/>
  <c r="Q96" i="67" s="1"/>
  <c r="R96" i="67" s="1"/>
  <c r="S96" i="67" s="1"/>
  <c r="T96" i="67" s="1"/>
  <c r="U96" i="67" s="1"/>
  <c r="V96" i="67" s="1"/>
  <c r="W96" i="67" s="1"/>
  <c r="X96" i="67" s="1"/>
  <c r="Y96" i="67" s="1"/>
  <c r="Z96" i="67" s="1"/>
  <c r="AA96" i="67" s="1"/>
  <c r="AB96" i="67" s="1"/>
  <c r="AC96" i="67" s="1"/>
  <c r="AD96" i="67" s="1"/>
  <c r="AE96" i="67" s="1"/>
  <c r="AF96" i="67" s="1"/>
  <c r="AG96" i="67" s="1"/>
  <c r="AH96" i="67" s="1"/>
  <c r="AI96" i="67" s="1"/>
  <c r="AJ96" i="67" s="1"/>
  <c r="AK96" i="67" s="1"/>
  <c r="AL96" i="67" s="1"/>
  <c r="AM96" i="67" s="1"/>
  <c r="AN96" i="67" s="1"/>
  <c r="AO96" i="67" s="1"/>
  <c r="AP96" i="67" s="1"/>
  <c r="AQ96" i="67" s="1"/>
  <c r="AR96" i="67" s="1"/>
  <c r="AS96" i="67" s="1"/>
  <c r="AT96" i="67" s="1"/>
  <c r="AU96" i="67" s="1"/>
  <c r="AV96" i="67" s="1"/>
  <c r="AW96" i="67" s="1"/>
  <c r="AX96" i="67" s="1"/>
  <c r="AY96" i="67" s="1"/>
  <c r="AZ96" i="67" s="1"/>
  <c r="BA96" i="67" s="1"/>
  <c r="BB96" i="67" s="1"/>
  <c r="BC96" i="67" s="1"/>
  <c r="BD96" i="67" s="1"/>
  <c r="BE96" i="67" s="1"/>
  <c r="BF96" i="67" s="1"/>
  <c r="L88" i="67"/>
  <c r="M88" i="67" s="1"/>
  <c r="N88" i="67" s="1"/>
  <c r="L80" i="67"/>
  <c r="M80" i="67" s="1"/>
  <c r="N80" i="67" s="1"/>
  <c r="O80" i="67" s="1"/>
  <c r="P80" i="67" s="1"/>
  <c r="Q80" i="67" s="1"/>
  <c r="R80" i="67" s="1"/>
  <c r="S80" i="67" s="1"/>
  <c r="T80" i="67" s="1"/>
  <c r="U80" i="67" s="1"/>
  <c r="V80" i="67" s="1"/>
  <c r="W80" i="67" s="1"/>
  <c r="X80" i="67" s="1"/>
  <c r="Y80" i="67" s="1"/>
  <c r="Z80" i="67" s="1"/>
  <c r="AA80" i="67" s="1"/>
  <c r="AB80" i="67" s="1"/>
  <c r="AC80" i="67" s="1"/>
  <c r="AD80" i="67" s="1"/>
  <c r="AE80" i="67" s="1"/>
  <c r="AF80" i="67" s="1"/>
  <c r="AG80" i="67" s="1"/>
  <c r="AH80" i="67" s="1"/>
  <c r="AI80" i="67" s="1"/>
  <c r="AJ80" i="67" s="1"/>
  <c r="AK80" i="67" s="1"/>
  <c r="AL80" i="67" s="1"/>
  <c r="AM80" i="67" s="1"/>
  <c r="AN80" i="67" s="1"/>
  <c r="AO80" i="67" s="1"/>
  <c r="AP80" i="67" s="1"/>
  <c r="AQ80" i="67" s="1"/>
  <c r="AR80" i="67" s="1"/>
  <c r="AS80" i="67" s="1"/>
  <c r="AT80" i="67" s="1"/>
  <c r="AU80" i="67" s="1"/>
  <c r="AV80" i="67" s="1"/>
  <c r="AW80" i="67" s="1"/>
  <c r="AX80" i="67" s="1"/>
  <c r="AY80" i="67" s="1"/>
  <c r="AZ80" i="67" s="1"/>
  <c r="BA80" i="67" s="1"/>
  <c r="BB80" i="67" s="1"/>
  <c r="BC80" i="67" s="1"/>
  <c r="BD80" i="67" s="1"/>
  <c r="BE80" i="67" s="1"/>
  <c r="BF80" i="67" s="1"/>
  <c r="L71" i="67"/>
  <c r="M71" i="67" s="1"/>
  <c r="N71" i="67" s="1"/>
  <c r="O71" i="67" s="1"/>
  <c r="P71" i="67" s="1"/>
  <c r="Q71" i="67" s="1"/>
  <c r="R71" i="67" s="1"/>
  <c r="S71" i="67" s="1"/>
  <c r="T71" i="67" s="1"/>
  <c r="U71" i="67" s="1"/>
  <c r="V71" i="67" s="1"/>
  <c r="W71" i="67" s="1"/>
  <c r="X71" i="67" s="1"/>
  <c r="Y71" i="67" s="1"/>
  <c r="Z71" i="67" s="1"/>
  <c r="AA71" i="67" s="1"/>
  <c r="AB71" i="67" s="1"/>
  <c r="AC71" i="67" s="1"/>
  <c r="AD71" i="67" s="1"/>
  <c r="AE71" i="67" s="1"/>
  <c r="AF71" i="67" s="1"/>
  <c r="AG71" i="67" s="1"/>
  <c r="AH71" i="67" s="1"/>
  <c r="AI71" i="67" s="1"/>
  <c r="AJ71" i="67" s="1"/>
  <c r="AK71" i="67" s="1"/>
  <c r="AL71" i="67" s="1"/>
  <c r="AM71" i="67" s="1"/>
  <c r="AN71" i="67" s="1"/>
  <c r="AO71" i="67" s="1"/>
  <c r="AP71" i="67" s="1"/>
  <c r="AQ71" i="67" s="1"/>
  <c r="AR71" i="67" s="1"/>
  <c r="AS71" i="67" s="1"/>
  <c r="AT71" i="67" s="1"/>
  <c r="AU71" i="67" s="1"/>
  <c r="AV71" i="67" s="1"/>
  <c r="AW71" i="67" s="1"/>
  <c r="AX71" i="67" s="1"/>
  <c r="AY71" i="67" s="1"/>
  <c r="AZ71" i="67" s="1"/>
  <c r="BA71" i="67" s="1"/>
  <c r="BB71" i="67" s="1"/>
  <c r="BC71" i="67" s="1"/>
  <c r="BD71" i="67" s="1"/>
  <c r="BE71" i="67" s="1"/>
  <c r="BF71" i="67" s="1"/>
  <c r="L105" i="67"/>
  <c r="M105" i="67" s="1"/>
  <c r="N105" i="67" s="1"/>
  <c r="O105" i="67" s="1"/>
  <c r="P105" i="67" s="1"/>
  <c r="Q105" i="67" s="1"/>
  <c r="R105" i="67" s="1"/>
  <c r="S105" i="67" s="1"/>
  <c r="T105" i="67" s="1"/>
  <c r="U105" i="67" s="1"/>
  <c r="V105" i="67" s="1"/>
  <c r="W105" i="67" s="1"/>
  <c r="X105" i="67" s="1"/>
  <c r="Y105" i="67" s="1"/>
  <c r="Z105" i="67" s="1"/>
  <c r="AA105" i="67" s="1"/>
  <c r="AB105" i="67" s="1"/>
  <c r="AC105" i="67" s="1"/>
  <c r="AD105" i="67" s="1"/>
  <c r="AE105" i="67" s="1"/>
  <c r="AF105" i="67" s="1"/>
  <c r="AG105" i="67" s="1"/>
  <c r="AH105" i="67" s="1"/>
  <c r="AI105" i="67" s="1"/>
  <c r="AJ105" i="67" s="1"/>
  <c r="AK105" i="67" s="1"/>
  <c r="AL105" i="67" s="1"/>
  <c r="AM105" i="67" s="1"/>
  <c r="AN105" i="67" s="1"/>
  <c r="AO105" i="67" s="1"/>
  <c r="AP105" i="67" s="1"/>
  <c r="AQ105" i="67" s="1"/>
  <c r="AR105" i="67" s="1"/>
  <c r="AS105" i="67" s="1"/>
  <c r="AT105" i="67" s="1"/>
  <c r="AU105" i="67" s="1"/>
  <c r="AV105" i="67" s="1"/>
  <c r="AW105" i="67" s="1"/>
  <c r="AX105" i="67" s="1"/>
  <c r="AY105" i="67" s="1"/>
  <c r="AZ105" i="67" s="1"/>
  <c r="BA105" i="67" s="1"/>
  <c r="BB105" i="67" s="1"/>
  <c r="BC105" i="67" s="1"/>
  <c r="BD105" i="67" s="1"/>
  <c r="BE105" i="67" s="1"/>
  <c r="BF105" i="67" s="1"/>
  <c r="L81" i="67"/>
  <c r="M81" i="67" s="1"/>
  <c r="N81" i="67" s="1"/>
  <c r="O81" i="67" s="1"/>
  <c r="P81" i="67" s="1"/>
  <c r="L61" i="67"/>
  <c r="M61" i="67" s="1"/>
  <c r="N61" i="67" s="1"/>
  <c r="O61" i="67" s="1"/>
  <c r="P61" i="67" s="1"/>
  <c r="Q61" i="67" s="1"/>
  <c r="R61" i="67" s="1"/>
  <c r="S61" i="67" s="1"/>
  <c r="T61" i="67" s="1"/>
  <c r="U61" i="67" s="1"/>
  <c r="V61" i="67" s="1"/>
  <c r="W61" i="67" s="1"/>
  <c r="X61" i="67" s="1"/>
  <c r="Y61" i="67" s="1"/>
  <c r="Z61" i="67" s="1"/>
  <c r="AA61" i="67" s="1"/>
  <c r="AB61" i="67" s="1"/>
  <c r="AC61" i="67" s="1"/>
  <c r="AD61" i="67" s="1"/>
  <c r="AE61" i="67" s="1"/>
  <c r="AF61" i="67" s="1"/>
  <c r="AG61" i="67" s="1"/>
  <c r="AH61" i="67" s="1"/>
  <c r="AI61" i="67" s="1"/>
  <c r="AJ61" i="67" s="1"/>
  <c r="AK61" i="67" s="1"/>
  <c r="AL61" i="67" s="1"/>
  <c r="AM61" i="67" s="1"/>
  <c r="AN61" i="67" s="1"/>
  <c r="AO61" i="67" s="1"/>
  <c r="AP61" i="67" s="1"/>
  <c r="AQ61" i="67" s="1"/>
  <c r="AR61" i="67" s="1"/>
  <c r="AS61" i="67" s="1"/>
  <c r="AT61" i="67" s="1"/>
  <c r="AU61" i="67" s="1"/>
  <c r="AV61" i="67" s="1"/>
  <c r="AW61" i="67" s="1"/>
  <c r="AX61" i="67" s="1"/>
  <c r="AY61" i="67" s="1"/>
  <c r="AZ61" i="67" s="1"/>
  <c r="BA61" i="67" s="1"/>
  <c r="BB61" i="67" s="1"/>
  <c r="BC61" i="67" s="1"/>
  <c r="BD61" i="67" s="1"/>
  <c r="BE61" i="67" s="1"/>
  <c r="BF61" i="67" s="1"/>
  <c r="L53" i="67"/>
  <c r="M53" i="67" s="1"/>
  <c r="N53" i="67" s="1"/>
  <c r="O53" i="67" s="1"/>
  <c r="P53" i="67" s="1"/>
  <c r="Q53" i="67" s="1"/>
  <c r="R53" i="67" s="1"/>
  <c r="S53" i="67" s="1"/>
  <c r="T53" i="67" s="1"/>
  <c r="U53" i="67" s="1"/>
  <c r="V53" i="67" s="1"/>
  <c r="W53" i="67" s="1"/>
  <c r="X53" i="67" s="1"/>
  <c r="Y53" i="67" s="1"/>
  <c r="Z53" i="67" s="1"/>
  <c r="AA53" i="67" s="1"/>
  <c r="AB53" i="67" s="1"/>
  <c r="AC53" i="67" s="1"/>
  <c r="AD53" i="67" s="1"/>
  <c r="AE53" i="67" s="1"/>
  <c r="AF53" i="67" s="1"/>
  <c r="AG53" i="67" s="1"/>
  <c r="AH53" i="67" s="1"/>
  <c r="AI53" i="67" s="1"/>
  <c r="AJ53" i="67" s="1"/>
  <c r="AK53" i="67" s="1"/>
  <c r="AL53" i="67" s="1"/>
  <c r="AM53" i="67" s="1"/>
  <c r="AN53" i="67" s="1"/>
  <c r="AO53" i="67" s="1"/>
  <c r="AP53" i="67" s="1"/>
  <c r="AQ53" i="67" s="1"/>
  <c r="AR53" i="67" s="1"/>
  <c r="AS53" i="67" s="1"/>
  <c r="AT53" i="67" s="1"/>
  <c r="AU53" i="67" s="1"/>
  <c r="AV53" i="67" s="1"/>
  <c r="AW53" i="67" s="1"/>
  <c r="AX53" i="67" s="1"/>
  <c r="AY53" i="67" s="1"/>
  <c r="AZ53" i="67" s="1"/>
  <c r="BA53" i="67" s="1"/>
  <c r="BB53" i="67" s="1"/>
  <c r="BC53" i="67" s="1"/>
  <c r="BD53" i="67" s="1"/>
  <c r="BE53" i="67" s="1"/>
  <c r="BF53" i="67" s="1"/>
  <c r="L37" i="67"/>
  <c r="M37" i="67" s="1"/>
  <c r="N37" i="67" s="1"/>
  <c r="O37" i="67" s="1"/>
  <c r="P37" i="67" s="1"/>
  <c r="Q37" i="67" s="1"/>
  <c r="R37" i="67" s="1"/>
  <c r="S37" i="67" s="1"/>
  <c r="T37" i="67" s="1"/>
  <c r="U37" i="67" s="1"/>
  <c r="V37" i="67" s="1"/>
  <c r="W37" i="67" s="1"/>
  <c r="X37" i="67" s="1"/>
  <c r="Y37" i="67" s="1"/>
  <c r="Z37" i="67" s="1"/>
  <c r="AA37" i="67" s="1"/>
  <c r="AB37" i="67" s="1"/>
  <c r="AC37" i="67" s="1"/>
  <c r="AD37" i="67" s="1"/>
  <c r="AE37" i="67" s="1"/>
  <c r="AF37" i="67" s="1"/>
  <c r="AG37" i="67" s="1"/>
  <c r="AH37" i="67" s="1"/>
  <c r="AI37" i="67" s="1"/>
  <c r="AJ37" i="67" s="1"/>
  <c r="AK37" i="67" s="1"/>
  <c r="AL37" i="67" s="1"/>
  <c r="AM37" i="67" s="1"/>
  <c r="AN37" i="67" s="1"/>
  <c r="AO37" i="67" s="1"/>
  <c r="AP37" i="67" s="1"/>
  <c r="AQ37" i="67" s="1"/>
  <c r="AR37" i="67" s="1"/>
  <c r="AS37" i="67" s="1"/>
  <c r="AT37" i="67" s="1"/>
  <c r="AU37" i="67" s="1"/>
  <c r="AV37" i="67" s="1"/>
  <c r="AW37" i="67" s="1"/>
  <c r="AX37" i="67" s="1"/>
  <c r="AY37" i="67" s="1"/>
  <c r="AZ37" i="67" s="1"/>
  <c r="BA37" i="67" s="1"/>
  <c r="BB37" i="67" s="1"/>
  <c r="BC37" i="67" s="1"/>
  <c r="BD37" i="67" s="1"/>
  <c r="BE37" i="67" s="1"/>
  <c r="BF37" i="67" s="1"/>
  <c r="L29" i="67"/>
  <c r="M29" i="67" s="1"/>
  <c r="N29" i="67" s="1"/>
  <c r="O29" i="67" s="1"/>
  <c r="P29" i="67" s="1"/>
  <c r="Q29" i="67" s="1"/>
  <c r="R29" i="67" s="1"/>
  <c r="S29" i="67" s="1"/>
  <c r="T29" i="67" s="1"/>
  <c r="U29" i="67" s="1"/>
  <c r="V29" i="67" s="1"/>
  <c r="W29" i="67" s="1"/>
  <c r="X29" i="67" s="1"/>
  <c r="Y29" i="67" s="1"/>
  <c r="Z29" i="67" s="1"/>
  <c r="AA29" i="67" s="1"/>
  <c r="AB29" i="67" s="1"/>
  <c r="AC29" i="67" s="1"/>
  <c r="AD29" i="67" s="1"/>
  <c r="AE29" i="67" s="1"/>
  <c r="AF29" i="67" s="1"/>
  <c r="AG29" i="67" s="1"/>
  <c r="AH29" i="67" s="1"/>
  <c r="AI29" i="67" s="1"/>
  <c r="AJ29" i="67" s="1"/>
  <c r="AK29" i="67" s="1"/>
  <c r="AL29" i="67" s="1"/>
  <c r="AM29" i="67" s="1"/>
  <c r="AN29" i="67" s="1"/>
  <c r="AO29" i="67" s="1"/>
  <c r="AP29" i="67" s="1"/>
  <c r="AQ29" i="67" s="1"/>
  <c r="AR29" i="67" s="1"/>
  <c r="AS29" i="67" s="1"/>
  <c r="AT29" i="67" s="1"/>
  <c r="AU29" i="67" s="1"/>
  <c r="AV29" i="67" s="1"/>
  <c r="AW29" i="67" s="1"/>
  <c r="AX29" i="67" s="1"/>
  <c r="AY29" i="67" s="1"/>
  <c r="AZ29" i="67" s="1"/>
  <c r="BA29" i="67" s="1"/>
  <c r="BB29" i="67" s="1"/>
  <c r="BC29" i="67" s="1"/>
  <c r="BD29" i="67" s="1"/>
  <c r="BE29" i="67" s="1"/>
  <c r="BF29" i="67" s="1"/>
  <c r="L52" i="67"/>
  <c r="M52" i="67" s="1"/>
  <c r="N52" i="67" s="1"/>
  <c r="O52" i="67" s="1"/>
  <c r="P52" i="67" s="1"/>
  <c r="Q52" i="67" s="1"/>
  <c r="R52" i="67" s="1"/>
  <c r="S52" i="67" s="1"/>
  <c r="T52" i="67" s="1"/>
  <c r="U52" i="67" s="1"/>
  <c r="V52" i="67" s="1"/>
  <c r="W52" i="67" s="1"/>
  <c r="X52" i="67" s="1"/>
  <c r="Y52" i="67" s="1"/>
  <c r="Z52" i="67" s="1"/>
  <c r="AA52" i="67" s="1"/>
  <c r="AB52" i="67" s="1"/>
  <c r="AC52" i="67" s="1"/>
  <c r="AD52" i="67" s="1"/>
  <c r="AE52" i="67" s="1"/>
  <c r="AF52" i="67" s="1"/>
  <c r="AG52" i="67" s="1"/>
  <c r="AH52" i="67" s="1"/>
  <c r="AI52" i="67" s="1"/>
  <c r="AJ52" i="67" s="1"/>
  <c r="AK52" i="67" s="1"/>
  <c r="AL52" i="67" s="1"/>
  <c r="AM52" i="67" s="1"/>
  <c r="AN52" i="67" s="1"/>
  <c r="AO52" i="67" s="1"/>
  <c r="AP52" i="67" s="1"/>
  <c r="AQ52" i="67" s="1"/>
  <c r="AR52" i="67" s="1"/>
  <c r="AS52" i="67" s="1"/>
  <c r="AT52" i="67" s="1"/>
  <c r="AU52" i="67" s="1"/>
  <c r="AV52" i="67" s="1"/>
  <c r="AW52" i="67" s="1"/>
  <c r="AX52" i="67" s="1"/>
  <c r="AY52" i="67" s="1"/>
  <c r="AZ52" i="67" s="1"/>
  <c r="BA52" i="67" s="1"/>
  <c r="BB52" i="67" s="1"/>
  <c r="BC52" i="67" s="1"/>
  <c r="BD52" i="67" s="1"/>
  <c r="BE52" i="67" s="1"/>
  <c r="BF52" i="67" s="1"/>
  <c r="L44" i="67"/>
  <c r="M44" i="67" s="1"/>
  <c r="N44" i="67" s="1"/>
  <c r="O44" i="67" s="1"/>
  <c r="P44" i="67" s="1"/>
  <c r="Q44" i="67" s="1"/>
  <c r="R44" i="67" s="1"/>
  <c r="S44" i="67" s="1"/>
  <c r="T44" i="67" s="1"/>
  <c r="U44" i="67" s="1"/>
  <c r="V44" i="67" s="1"/>
  <c r="W44" i="67" s="1"/>
  <c r="X44" i="67" s="1"/>
  <c r="Y44" i="67" s="1"/>
  <c r="Z44" i="67" s="1"/>
  <c r="AA44" i="67" s="1"/>
  <c r="AB44" i="67" s="1"/>
  <c r="AC44" i="67" s="1"/>
  <c r="AD44" i="67" s="1"/>
  <c r="AE44" i="67" s="1"/>
  <c r="AF44" i="67" s="1"/>
  <c r="AG44" i="67" s="1"/>
  <c r="AH44" i="67" s="1"/>
  <c r="AI44" i="67" s="1"/>
  <c r="AJ44" i="67" s="1"/>
  <c r="AK44" i="67" s="1"/>
  <c r="AL44" i="67" s="1"/>
  <c r="AM44" i="67" s="1"/>
  <c r="AN44" i="67" s="1"/>
  <c r="AO44" i="67" s="1"/>
  <c r="AP44" i="67" s="1"/>
  <c r="AQ44" i="67" s="1"/>
  <c r="AR44" i="67" s="1"/>
  <c r="AS44" i="67" s="1"/>
  <c r="AT44" i="67" s="1"/>
  <c r="AU44" i="67" s="1"/>
  <c r="AV44" i="67" s="1"/>
  <c r="AW44" i="67" s="1"/>
  <c r="AX44" i="67" s="1"/>
  <c r="AY44" i="67" s="1"/>
  <c r="AZ44" i="67" s="1"/>
  <c r="BA44" i="67" s="1"/>
  <c r="BB44" i="67" s="1"/>
  <c r="BC44" i="67" s="1"/>
  <c r="BD44" i="67" s="1"/>
  <c r="BE44" i="67" s="1"/>
  <c r="BF44" i="67" s="1"/>
  <c r="L36" i="67"/>
  <c r="M36" i="67" s="1"/>
  <c r="L12" i="67"/>
  <c r="M12" i="67" s="1"/>
  <c r="N12" i="67" s="1"/>
  <c r="O12" i="67" s="1"/>
  <c r="P12" i="67" s="1"/>
  <c r="Q12" i="67" s="1"/>
  <c r="R12" i="67" s="1"/>
  <c r="S12" i="67" s="1"/>
  <c r="T12" i="67" s="1"/>
  <c r="U12" i="67" s="1"/>
  <c r="V12" i="67" s="1"/>
  <c r="W12" i="67" s="1"/>
  <c r="X12" i="67" s="1"/>
  <c r="Y12" i="67" s="1"/>
  <c r="Z12" i="67" s="1"/>
  <c r="AA12" i="67" s="1"/>
  <c r="AB12" i="67" s="1"/>
  <c r="AC12" i="67" s="1"/>
  <c r="AD12" i="67" s="1"/>
  <c r="AE12" i="67" s="1"/>
  <c r="AF12" i="67" s="1"/>
  <c r="AG12" i="67" s="1"/>
  <c r="AH12" i="67" s="1"/>
  <c r="AI12" i="67" s="1"/>
  <c r="AJ12" i="67" s="1"/>
  <c r="AK12" i="67" s="1"/>
  <c r="AL12" i="67" s="1"/>
  <c r="AM12" i="67" s="1"/>
  <c r="AN12" i="67" s="1"/>
  <c r="AO12" i="67" s="1"/>
  <c r="AP12" i="67" s="1"/>
  <c r="AQ12" i="67" s="1"/>
  <c r="AR12" i="67" s="1"/>
  <c r="AS12" i="67" s="1"/>
  <c r="AT12" i="67" s="1"/>
  <c r="AU12" i="67" s="1"/>
  <c r="AV12" i="67" s="1"/>
  <c r="AW12" i="67" s="1"/>
  <c r="AX12" i="67" s="1"/>
  <c r="AY12" i="67" s="1"/>
  <c r="AZ12" i="67" s="1"/>
  <c r="BA12" i="67" s="1"/>
  <c r="BB12" i="67" s="1"/>
  <c r="BC12" i="67" s="1"/>
  <c r="BD12" i="67" s="1"/>
  <c r="BE12" i="67" s="1"/>
  <c r="BF12" i="67" s="1"/>
  <c r="V206" i="66"/>
  <c r="V205" i="66"/>
  <c r="U205" i="66"/>
  <c r="U6" i="66"/>
  <c r="E144" i="67"/>
  <c r="G144" i="67"/>
  <c r="E76" i="67"/>
  <c r="F144" i="67"/>
  <c r="F76" i="67"/>
  <c r="H144" i="67"/>
  <c r="H76" i="67"/>
  <c r="D144" i="67"/>
  <c r="K13" i="67"/>
  <c r="D76" i="67"/>
  <c r="G76" i="67"/>
  <c r="K85" i="67"/>
  <c r="K87" i="67"/>
  <c r="E4" i="67"/>
  <c r="K15" i="67"/>
  <c r="B144" i="67"/>
  <c r="F4" i="67"/>
  <c r="N51" i="67"/>
  <c r="G4" i="67"/>
  <c r="D4" i="67"/>
  <c r="W132" i="66"/>
  <c r="W220" i="66" s="1"/>
  <c r="K40" i="67"/>
  <c r="H4" i="67"/>
  <c r="K55" i="67"/>
  <c r="K60" i="67"/>
  <c r="I4" i="67"/>
  <c r="K25" i="67"/>
  <c r="K35" i="67"/>
  <c r="K50" i="67"/>
  <c r="K45" i="67"/>
  <c r="K10" i="67"/>
  <c r="V6" i="66"/>
  <c r="K19" i="68" s="1"/>
  <c r="K202" i="68" s="1"/>
  <c r="W82" i="66"/>
  <c r="V203" i="66"/>
  <c r="K198" i="68" s="1"/>
  <c r="W57" i="66"/>
  <c r="W213" i="66" s="1"/>
  <c r="W35" i="66"/>
  <c r="W208" i="66" s="1"/>
  <c r="W47" i="66"/>
  <c r="W211" i="66" s="1"/>
  <c r="W62" i="66"/>
  <c r="W214" i="66" s="1"/>
  <c r="W72" i="66"/>
  <c r="W216" i="66" s="1"/>
  <c r="W77" i="66"/>
  <c r="W217" i="66" s="1"/>
  <c r="W37" i="66"/>
  <c r="W209" i="66" s="1"/>
  <c r="W67" i="66"/>
  <c r="W215" i="66" s="1"/>
  <c r="Y58" i="66"/>
  <c r="X32" i="66"/>
  <c r="Z38" i="66"/>
  <c r="Z73" i="66"/>
  <c r="AF84" i="66"/>
  <c r="AE71" i="66"/>
  <c r="AE50" i="66"/>
  <c r="Z139" i="66"/>
  <c r="AA141" i="66"/>
  <c r="AB128" i="66"/>
  <c r="B256" i="65"/>
  <c r="B255" i="65"/>
  <c r="N20" i="67" l="1"/>
  <c r="N128" i="67"/>
  <c r="N93" i="67"/>
  <c r="W218" i="66"/>
  <c r="L201" i="68" s="1"/>
  <c r="K200" i="68"/>
  <c r="K199" i="68"/>
  <c r="K199" i="64"/>
  <c r="K200" i="64"/>
  <c r="L200" i="64" s="1"/>
  <c r="Z130" i="66"/>
  <c r="O83" i="67" s="1"/>
  <c r="Z170" i="66"/>
  <c r="Y228" i="66"/>
  <c r="Z145" i="66"/>
  <c r="O98" i="67" s="1"/>
  <c r="Y223" i="66"/>
  <c r="Z165" i="66"/>
  <c r="O118" i="67" s="1"/>
  <c r="Y227" i="66"/>
  <c r="Z155" i="66"/>
  <c r="O108" i="67" s="1"/>
  <c r="Y225" i="66"/>
  <c r="Z52" i="66"/>
  <c r="Y212" i="66"/>
  <c r="Z33" i="66"/>
  <c r="Z160" i="66"/>
  <c r="Y226" i="66"/>
  <c r="Y224" i="66"/>
  <c r="Z150" i="66"/>
  <c r="Z42" i="66"/>
  <c r="O20" i="67" s="1"/>
  <c r="Y210" i="66"/>
  <c r="Z140" i="66"/>
  <c r="Y222" i="66"/>
  <c r="Z135" i="66"/>
  <c r="O88" i="67" s="1"/>
  <c r="Y221" i="66"/>
  <c r="Z126" i="66"/>
  <c r="O79" i="67" s="1"/>
  <c r="Y219" i="66"/>
  <c r="Z175" i="66"/>
  <c r="Y229" i="66"/>
  <c r="E6" i="67"/>
  <c r="G6" i="67"/>
  <c r="L87" i="67"/>
  <c r="M87" i="67" s="1"/>
  <c r="N87" i="67" s="1"/>
  <c r="O87" i="67" s="1"/>
  <c r="P87" i="67" s="1"/>
  <c r="Q87" i="67" s="1"/>
  <c r="R87" i="67" s="1"/>
  <c r="S87" i="67" s="1"/>
  <c r="T87" i="67" s="1"/>
  <c r="U87" i="67" s="1"/>
  <c r="V87" i="67" s="1"/>
  <c r="W87" i="67" s="1"/>
  <c r="X87" i="67" s="1"/>
  <c r="Y87" i="67" s="1"/>
  <c r="Z87" i="67" s="1"/>
  <c r="AA87" i="67" s="1"/>
  <c r="AB87" i="67" s="1"/>
  <c r="AC87" i="67" s="1"/>
  <c r="AD87" i="67" s="1"/>
  <c r="AE87" i="67" s="1"/>
  <c r="AF87" i="67" s="1"/>
  <c r="AG87" i="67" s="1"/>
  <c r="AH87" i="67" s="1"/>
  <c r="AI87" i="67" s="1"/>
  <c r="AJ87" i="67" s="1"/>
  <c r="AK87" i="67" s="1"/>
  <c r="AL87" i="67" s="1"/>
  <c r="AM87" i="67" s="1"/>
  <c r="AN87" i="67" s="1"/>
  <c r="AO87" i="67" s="1"/>
  <c r="AP87" i="67" s="1"/>
  <c r="AQ87" i="67" s="1"/>
  <c r="AR87" i="67" s="1"/>
  <c r="AS87" i="67" s="1"/>
  <c r="AT87" i="67" s="1"/>
  <c r="AU87" i="67" s="1"/>
  <c r="AV87" i="67" s="1"/>
  <c r="AW87" i="67" s="1"/>
  <c r="AX87" i="67" s="1"/>
  <c r="AY87" i="67" s="1"/>
  <c r="AZ87" i="67" s="1"/>
  <c r="BA87" i="67" s="1"/>
  <c r="BB87" i="67" s="1"/>
  <c r="BC87" i="67" s="1"/>
  <c r="BD87" i="67" s="1"/>
  <c r="BE87" i="67" s="1"/>
  <c r="BF87" i="67" s="1"/>
  <c r="I6" i="67"/>
  <c r="F6" i="67"/>
  <c r="D6" i="67"/>
  <c r="K178" i="68"/>
  <c r="K20" i="68"/>
  <c r="K175" i="68"/>
  <c r="K198" i="64"/>
  <c r="W206" i="66"/>
  <c r="W205" i="66"/>
  <c r="L85" i="67"/>
  <c r="L13" i="67"/>
  <c r="L15" i="67"/>
  <c r="T28" i="67"/>
  <c r="H5" i="67"/>
  <c r="H6" i="67"/>
  <c r="O16" i="67"/>
  <c r="O51" i="67"/>
  <c r="G5" i="67"/>
  <c r="J4" i="67"/>
  <c r="F5" i="67"/>
  <c r="N36" i="67"/>
  <c r="L40" i="67"/>
  <c r="E5" i="67"/>
  <c r="D5" i="67"/>
  <c r="X132" i="66"/>
  <c r="X220" i="66" s="1"/>
  <c r="Q81" i="67"/>
  <c r="K19" i="64"/>
  <c r="L55" i="67"/>
  <c r="L35" i="67"/>
  <c r="L10" i="67"/>
  <c r="K76" i="67"/>
  <c r="L45" i="67"/>
  <c r="I5" i="67"/>
  <c r="L25" i="67"/>
  <c r="U62" i="67"/>
  <c r="T49" i="67"/>
  <c r="K78" i="67"/>
  <c r="O92" i="67"/>
  <c r="L50" i="67"/>
  <c r="L60" i="67"/>
  <c r="P94" i="67"/>
  <c r="W6" i="66"/>
  <c r="L19" i="68" s="1"/>
  <c r="L202" i="68" s="1"/>
  <c r="X57" i="66"/>
  <c r="X213" i="66" s="1"/>
  <c r="X72" i="66"/>
  <c r="X216" i="66" s="1"/>
  <c r="X35" i="66"/>
  <c r="X208" i="66" s="1"/>
  <c r="X77" i="66"/>
  <c r="X217" i="66" s="1"/>
  <c r="X62" i="66"/>
  <c r="X214" i="66" s="1"/>
  <c r="X67" i="66"/>
  <c r="X215" i="66" s="1"/>
  <c r="X37" i="66"/>
  <c r="X209" i="66" s="1"/>
  <c r="X47" i="66"/>
  <c r="X211" i="66" s="1"/>
  <c r="X82" i="66"/>
  <c r="W203" i="66"/>
  <c r="L198" i="68" s="1"/>
  <c r="AA38" i="66"/>
  <c r="Y32" i="66"/>
  <c r="Z58" i="66"/>
  <c r="AA139" i="66"/>
  <c r="AC128" i="66"/>
  <c r="AF50" i="66"/>
  <c r="AG84" i="66"/>
  <c r="AB141" i="66"/>
  <c r="AF71" i="66"/>
  <c r="AA73" i="66"/>
  <c r="L201" i="64" l="1"/>
  <c r="L200" i="68"/>
  <c r="AA160" i="66"/>
  <c r="Z226" i="66"/>
  <c r="AA52" i="66"/>
  <c r="Z212" i="66"/>
  <c r="AA170" i="66"/>
  <c r="Z228" i="66"/>
  <c r="L198" i="64"/>
  <c r="AA140" i="66"/>
  <c r="Z222" i="66"/>
  <c r="O93" i="67"/>
  <c r="O113" i="67"/>
  <c r="P113" i="67" s="1"/>
  <c r="AA175" i="66"/>
  <c r="Z229" i="66"/>
  <c r="AA33" i="66"/>
  <c r="AA155" i="66"/>
  <c r="P108" i="67" s="1"/>
  <c r="Z225" i="66"/>
  <c r="AA145" i="66"/>
  <c r="P98" i="67" s="1"/>
  <c r="Z223" i="66"/>
  <c r="AA130" i="66"/>
  <c r="P83" i="67" s="1"/>
  <c r="O11" i="67"/>
  <c r="AA126" i="66"/>
  <c r="Z219" i="66"/>
  <c r="Z224" i="66"/>
  <c r="AA150" i="66"/>
  <c r="AA165" i="66"/>
  <c r="P118" i="67" s="1"/>
  <c r="Z227" i="66"/>
  <c r="X218" i="66"/>
  <c r="M200" i="64" s="1"/>
  <c r="AA135" i="66"/>
  <c r="P88" i="67" s="1"/>
  <c r="Z221" i="66"/>
  <c r="AA42" i="66"/>
  <c r="P20" i="67" s="1"/>
  <c r="Z210" i="66"/>
  <c r="O123" i="67"/>
  <c r="P123" i="67" s="1"/>
  <c r="O128" i="67"/>
  <c r="P128" i="67" s="1"/>
  <c r="O103" i="67"/>
  <c r="O30" i="67"/>
  <c r="P30" i="67" s="1"/>
  <c r="K4" i="67"/>
  <c r="K5" i="67" s="1"/>
  <c r="L178" i="68"/>
  <c r="L175" i="68"/>
  <c r="K180" i="68"/>
  <c r="K177" i="68"/>
  <c r="L20" i="68"/>
  <c r="K182" i="68"/>
  <c r="K179" i="68"/>
  <c r="K176" i="68"/>
  <c r="K202" i="64"/>
  <c r="X206" i="66"/>
  <c r="M13" i="67"/>
  <c r="X205" i="66"/>
  <c r="U28" i="67"/>
  <c r="M15" i="67"/>
  <c r="P51" i="67"/>
  <c r="M35" i="67"/>
  <c r="R81" i="67"/>
  <c r="O36" i="67"/>
  <c r="J6" i="67"/>
  <c r="P16" i="67"/>
  <c r="M40" i="67"/>
  <c r="J5" i="67"/>
  <c r="Y132" i="66"/>
  <c r="Y220" i="66" s="1"/>
  <c r="U49" i="67"/>
  <c r="M85" i="67"/>
  <c r="L19" i="64"/>
  <c r="M55" i="67"/>
  <c r="P92" i="67"/>
  <c r="V62" i="67"/>
  <c r="M50" i="67"/>
  <c r="Q94" i="67"/>
  <c r="M10" i="67"/>
  <c r="L76" i="67"/>
  <c r="M60" i="67"/>
  <c r="L78" i="67"/>
  <c r="L4" i="67" s="1"/>
  <c r="K144" i="67"/>
  <c r="M25" i="67"/>
  <c r="M45" i="67"/>
  <c r="Y57" i="66"/>
  <c r="Y213" i="66" s="1"/>
  <c r="Y77" i="66"/>
  <c r="Y217" i="66" s="1"/>
  <c r="Y62" i="66"/>
  <c r="Y214" i="66" s="1"/>
  <c r="X6" i="66"/>
  <c r="M19" i="68" s="1"/>
  <c r="M20" i="68" s="1"/>
  <c r="Y82" i="66"/>
  <c r="X203" i="66"/>
  <c r="M198" i="68" s="1"/>
  <c r="Y47" i="66"/>
  <c r="Y211" i="66" s="1"/>
  <c r="Y37" i="66"/>
  <c r="Y209" i="66" s="1"/>
  <c r="Y67" i="66"/>
  <c r="Y215" i="66" s="1"/>
  <c r="Y35" i="66"/>
  <c r="Y208" i="66" s="1"/>
  <c r="Y72" i="66"/>
  <c r="Y216" i="66" s="1"/>
  <c r="AA58" i="66"/>
  <c r="Z32" i="66"/>
  <c r="AB38" i="66"/>
  <c r="AG71" i="66"/>
  <c r="AC141" i="66"/>
  <c r="AD128" i="66"/>
  <c r="AG50" i="66"/>
  <c r="AB73" i="66"/>
  <c r="AH84" i="66"/>
  <c r="AB139" i="66"/>
  <c r="Q7" i="25"/>
  <c r="B9" i="17"/>
  <c r="C9" i="17"/>
  <c r="D9" i="17"/>
  <c r="E9" i="17"/>
  <c r="F9" i="17"/>
  <c r="G9" i="17"/>
  <c r="H9" i="17"/>
  <c r="I9" i="17"/>
  <c r="J9" i="17"/>
  <c r="K9" i="17"/>
  <c r="L9" i="17"/>
  <c r="M10" i="17" s="1"/>
  <c r="P103" i="67" l="1"/>
  <c r="M201" i="68"/>
  <c r="M178" i="68" s="1"/>
  <c r="P11" i="67"/>
  <c r="P93" i="67"/>
  <c r="K6" i="67"/>
  <c r="AB135" i="66"/>
  <c r="Q88" i="67" s="1"/>
  <c r="AA221" i="66"/>
  <c r="M201" i="64"/>
  <c r="M200" i="68"/>
  <c r="M198" i="64"/>
  <c r="AB52" i="66"/>
  <c r="AA212" i="66"/>
  <c r="AB33" i="66"/>
  <c r="K17" i="64"/>
  <c r="L202" i="64"/>
  <c r="Q30" i="67"/>
  <c r="AB165" i="66"/>
  <c r="Q118" i="67" s="1"/>
  <c r="AA227" i="66"/>
  <c r="AB130" i="66"/>
  <c r="AB155" i="66"/>
  <c r="AA225" i="66"/>
  <c r="Y218" i="66"/>
  <c r="N200" i="64" s="1"/>
  <c r="AB145" i="66"/>
  <c r="Q98" i="67" s="1"/>
  <c r="AA223" i="66"/>
  <c r="AB175" i="66"/>
  <c r="AA229" i="66"/>
  <c r="AB42" i="66"/>
  <c r="AA210" i="66"/>
  <c r="AA224" i="66"/>
  <c r="AB150" i="66"/>
  <c r="AB126" i="66"/>
  <c r="AA219" i="66"/>
  <c r="AB140" i="66"/>
  <c r="AA222" i="66"/>
  <c r="AB170" i="66"/>
  <c r="AA228" i="66"/>
  <c r="AB160" i="66"/>
  <c r="Q113" i="67" s="1"/>
  <c r="AA226" i="66"/>
  <c r="P79" i="67"/>
  <c r="L17" i="68"/>
  <c r="K17" i="68"/>
  <c r="M202" i="68"/>
  <c r="K181" i="68"/>
  <c r="K189" i="68" s="1"/>
  <c r="K192" i="68" s="1"/>
  <c r="L179" i="68"/>
  <c r="M179" i="68" s="1"/>
  <c r="L177" i="68"/>
  <c r="M175" i="68"/>
  <c r="K262" i="68"/>
  <c r="K265" i="68" s="1"/>
  <c r="K268" i="68" s="1"/>
  <c r="L182" i="68"/>
  <c r="L180" i="68"/>
  <c r="V28" i="67"/>
  <c r="N13" i="67"/>
  <c r="Y205" i="66"/>
  <c r="Y206" i="66"/>
  <c r="N15" i="67"/>
  <c r="L6" i="67"/>
  <c r="N40" i="67"/>
  <c r="Q51" i="67"/>
  <c r="N35" i="67"/>
  <c r="P36" i="67"/>
  <c r="S81" i="67"/>
  <c r="Q16" i="67"/>
  <c r="V49" i="67"/>
  <c r="N55" i="67"/>
  <c r="N85" i="67"/>
  <c r="M19" i="64"/>
  <c r="L17" i="64"/>
  <c r="N60" i="67"/>
  <c r="Z132" i="66"/>
  <c r="Z220" i="66" s="1"/>
  <c r="L5" i="67"/>
  <c r="N25" i="67"/>
  <c r="W62" i="67"/>
  <c r="N45" i="67"/>
  <c r="N10" i="67"/>
  <c r="M76" i="67"/>
  <c r="R94" i="67"/>
  <c r="N50" i="67"/>
  <c r="M78" i="67"/>
  <c r="L144" i="67"/>
  <c r="Q92" i="67"/>
  <c r="Y6" i="66"/>
  <c r="N19" i="68" s="1"/>
  <c r="N20" i="68" s="1"/>
  <c r="Z72" i="66"/>
  <c r="Z216" i="66" s="1"/>
  <c r="Z62" i="66"/>
  <c r="Z214" i="66" s="1"/>
  <c r="Z82" i="66"/>
  <c r="Y203" i="66"/>
  <c r="N198" i="68" s="1"/>
  <c r="Z47" i="66"/>
  <c r="Z211" i="66" s="1"/>
  <c r="Z35" i="66"/>
  <c r="Z208" i="66" s="1"/>
  <c r="Z67" i="66"/>
  <c r="Z215" i="66" s="1"/>
  <c r="Z37" i="66"/>
  <c r="Z209" i="66" s="1"/>
  <c r="Z77" i="66"/>
  <c r="Z217" i="66" s="1"/>
  <c r="Z57" i="66"/>
  <c r="AC38" i="66"/>
  <c r="AA32" i="66"/>
  <c r="AB58" i="66"/>
  <c r="AH50" i="66"/>
  <c r="AD141" i="66"/>
  <c r="AE128" i="66"/>
  <c r="AC139" i="66"/>
  <c r="AI84" i="66"/>
  <c r="AC73" i="66"/>
  <c r="AH71" i="66"/>
  <c r="Q93" i="67" l="1"/>
  <c r="N201" i="64"/>
  <c r="Q79" i="67"/>
  <c r="L21" i="68"/>
  <c r="L199" i="68"/>
  <c r="L176" i="68" s="1"/>
  <c r="L181" i="68" s="1"/>
  <c r="L189" i="68" s="1"/>
  <c r="L192" i="68" s="1"/>
  <c r="Z218" i="66"/>
  <c r="AC170" i="66"/>
  <c r="AB228" i="66"/>
  <c r="AC130" i="66"/>
  <c r="AC126" i="66"/>
  <c r="AB219" i="66"/>
  <c r="AC42" i="66"/>
  <c r="AB210" i="66"/>
  <c r="AC145" i="66"/>
  <c r="AB223" i="66"/>
  <c r="AC33" i="66"/>
  <c r="AC52" i="66"/>
  <c r="AB212" i="66"/>
  <c r="Q20" i="67"/>
  <c r="Q123" i="67"/>
  <c r="R123" i="67" s="1"/>
  <c r="L18" i="68"/>
  <c r="AC160" i="66"/>
  <c r="R113" i="67" s="1"/>
  <c r="AB226" i="66"/>
  <c r="AC140" i="66"/>
  <c r="AB222" i="66"/>
  <c r="AB224" i="66"/>
  <c r="AC150" i="66"/>
  <c r="Q103" i="67"/>
  <c r="AC155" i="66"/>
  <c r="AB225" i="66"/>
  <c r="AC165" i="66"/>
  <c r="AB227" i="66"/>
  <c r="Q108" i="67"/>
  <c r="R108" i="67" s="1"/>
  <c r="Q11" i="67"/>
  <c r="N198" i="64"/>
  <c r="N201" i="68"/>
  <c r="N178" i="68" s="1"/>
  <c r="Q83" i="67"/>
  <c r="R83" i="67" s="1"/>
  <c r="O35" i="67"/>
  <c r="Z213" i="66"/>
  <c r="M202" i="64"/>
  <c r="AC175" i="66"/>
  <c r="AB229" i="66"/>
  <c r="Q128" i="67"/>
  <c r="N200" i="68"/>
  <c r="AC135" i="66"/>
  <c r="AB221" i="66"/>
  <c r="K21" i="68"/>
  <c r="K18" i="68"/>
  <c r="K11" i="68"/>
  <c r="N202" i="68"/>
  <c r="K183" i="68"/>
  <c r="M180" i="68"/>
  <c r="M177" i="68"/>
  <c r="N179" i="68"/>
  <c r="L262" i="68"/>
  <c r="L265" i="68" s="1"/>
  <c r="L268" i="68" s="1"/>
  <c r="M182" i="68"/>
  <c r="N175" i="68"/>
  <c r="W28" i="67"/>
  <c r="T81" i="67"/>
  <c r="O13" i="67"/>
  <c r="Z205" i="66"/>
  <c r="O15" i="67"/>
  <c r="Z206" i="66"/>
  <c r="O40" i="67"/>
  <c r="R51" i="67"/>
  <c r="Q36" i="67"/>
  <c r="W49" i="67"/>
  <c r="R16" i="67"/>
  <c r="O60" i="67"/>
  <c r="O55" i="67"/>
  <c r="AA132" i="66"/>
  <c r="AA220" i="66" s="1"/>
  <c r="N19" i="64"/>
  <c r="S94" i="67"/>
  <c r="X62" i="67"/>
  <c r="O85" i="67"/>
  <c r="O10" i="67"/>
  <c r="N76" i="67"/>
  <c r="O45" i="67"/>
  <c r="O25" i="67"/>
  <c r="N78" i="67"/>
  <c r="M144" i="67"/>
  <c r="R92" i="67"/>
  <c r="O50" i="67"/>
  <c r="M4" i="67"/>
  <c r="Z6" i="66"/>
  <c r="O19" i="68" s="1"/>
  <c r="O20" i="68" s="1"/>
  <c r="AA37" i="66"/>
  <c r="AA209" i="66" s="1"/>
  <c r="AA82" i="66"/>
  <c r="AA218" i="66" s="1"/>
  <c r="Z203" i="66"/>
  <c r="O198" i="68" s="1"/>
  <c r="AA57" i="66"/>
  <c r="AA77" i="66"/>
  <c r="AA67" i="66"/>
  <c r="AA215" i="66" s="1"/>
  <c r="AA35" i="66"/>
  <c r="AA208" i="66" s="1"/>
  <c r="AA47" i="66"/>
  <c r="AA211" i="66" s="1"/>
  <c r="AA62" i="66"/>
  <c r="AA214" i="66" s="1"/>
  <c r="AA72" i="66"/>
  <c r="AA216" i="66" s="1"/>
  <c r="AB32" i="66"/>
  <c r="AC58" i="66"/>
  <c r="AD38" i="66"/>
  <c r="AJ84" i="66"/>
  <c r="AI50" i="66"/>
  <c r="AF128" i="66"/>
  <c r="AI71" i="66"/>
  <c r="AD139" i="66"/>
  <c r="AE141" i="66"/>
  <c r="AD73" i="66"/>
  <c r="R11" i="67" l="1"/>
  <c r="R20" i="67"/>
  <c r="O200" i="68"/>
  <c r="R128" i="67"/>
  <c r="R103" i="67"/>
  <c r="O200" i="64"/>
  <c r="O198" i="64"/>
  <c r="N202" i="64"/>
  <c r="AD165" i="66"/>
  <c r="AC227" i="66"/>
  <c r="AD145" i="66"/>
  <c r="AC223" i="66"/>
  <c r="AD126" i="66"/>
  <c r="AC219" i="66"/>
  <c r="AD175" i="66"/>
  <c r="AC229" i="66"/>
  <c r="AC224" i="66"/>
  <c r="AD150" i="66"/>
  <c r="O201" i="64"/>
  <c r="R98" i="67"/>
  <c r="AD170" i="66"/>
  <c r="AC228" i="66"/>
  <c r="AD140" i="66"/>
  <c r="AC222" i="66"/>
  <c r="AD52" i="66"/>
  <c r="AC212" i="66"/>
  <c r="P55" i="67"/>
  <c r="AA217" i="66"/>
  <c r="P35" i="67"/>
  <c r="AA213" i="66"/>
  <c r="R93" i="67"/>
  <c r="S93" i="67" s="1"/>
  <c r="AD155" i="66"/>
  <c r="AC225" i="66"/>
  <c r="AD160" i="66"/>
  <c r="S113" i="67" s="1"/>
  <c r="AC226" i="66"/>
  <c r="AD33" i="66"/>
  <c r="AD42" i="66"/>
  <c r="S20" i="67" s="1"/>
  <c r="AC210" i="66"/>
  <c r="R79" i="67"/>
  <c r="R118" i="67"/>
  <c r="X28" i="67"/>
  <c r="AD135" i="66"/>
  <c r="AC221" i="66"/>
  <c r="R30" i="67"/>
  <c r="O201" i="68"/>
  <c r="O178" i="68" s="1"/>
  <c r="R88" i="67"/>
  <c r="S88" i="67" s="1"/>
  <c r="AD130" i="66"/>
  <c r="K12" i="68"/>
  <c r="K13" i="68"/>
  <c r="L11" i="68"/>
  <c r="L12" i="68" s="1"/>
  <c r="M17" i="68"/>
  <c r="M199" i="68" s="1"/>
  <c r="O202" i="68"/>
  <c r="N180" i="68"/>
  <c r="L183" i="68"/>
  <c r="N177" i="68"/>
  <c r="M262" i="68"/>
  <c r="M265" i="68" s="1"/>
  <c r="M268" i="68" s="1"/>
  <c r="N182" i="68"/>
  <c r="O179" i="68"/>
  <c r="O175" i="68"/>
  <c r="T94" i="67"/>
  <c r="S51" i="67"/>
  <c r="U81" i="67"/>
  <c r="P40" i="67"/>
  <c r="P60" i="67"/>
  <c r="P15" i="67"/>
  <c r="AA206" i="66"/>
  <c r="P13" i="67"/>
  <c r="AA205" i="66"/>
  <c r="X49" i="67"/>
  <c r="S16" i="67"/>
  <c r="R36" i="67"/>
  <c r="P85" i="67"/>
  <c r="M6" i="67"/>
  <c r="P25" i="67"/>
  <c r="P45" i="67"/>
  <c r="O19" i="64"/>
  <c r="AB132" i="66"/>
  <c r="AB220" i="66" s="1"/>
  <c r="Y62" i="67"/>
  <c r="M17" i="64"/>
  <c r="S92" i="67"/>
  <c r="M5" i="67"/>
  <c r="P50" i="67"/>
  <c r="N144" i="67"/>
  <c r="O78" i="67"/>
  <c r="O4" i="67" s="1"/>
  <c r="O76" i="67"/>
  <c r="P10" i="67"/>
  <c r="N4" i="67"/>
  <c r="AA6" i="66"/>
  <c r="P19" i="68" s="1"/>
  <c r="P20" i="68" s="1"/>
  <c r="AB62" i="66"/>
  <c r="AB214" i="66" s="1"/>
  <c r="AB35" i="66"/>
  <c r="AB208" i="66" s="1"/>
  <c r="AB67" i="66"/>
  <c r="AB215" i="66" s="1"/>
  <c r="AB82" i="66"/>
  <c r="AB218" i="66" s="1"/>
  <c r="AA203" i="66"/>
  <c r="P198" i="64" s="1"/>
  <c r="AB37" i="66"/>
  <c r="AB209" i="66" s="1"/>
  <c r="AB72" i="66"/>
  <c r="AB216" i="66" s="1"/>
  <c r="AB77" i="66"/>
  <c r="AB57" i="66"/>
  <c r="AB47" i="66"/>
  <c r="AB211" i="66" s="1"/>
  <c r="AC32" i="66"/>
  <c r="AD58" i="66"/>
  <c r="AE38" i="66"/>
  <c r="AE73" i="66"/>
  <c r="AF141" i="66"/>
  <c r="AJ71" i="66"/>
  <c r="AG128" i="66"/>
  <c r="AE139" i="66"/>
  <c r="AJ50" i="66"/>
  <c r="Y28" i="67" s="1"/>
  <c r="AK84" i="66"/>
  <c r="M21" i="68" l="1"/>
  <c r="P200" i="64"/>
  <c r="S30" i="67"/>
  <c r="S79" i="67"/>
  <c r="T16" i="67"/>
  <c r="P200" i="68"/>
  <c r="S98" i="67"/>
  <c r="O202" i="64"/>
  <c r="AE33" i="66"/>
  <c r="AD224" i="66"/>
  <c r="AE150" i="66"/>
  <c r="AE175" i="66"/>
  <c r="AD229" i="66"/>
  <c r="AE165" i="66"/>
  <c r="AD227" i="66"/>
  <c r="M18" i="68"/>
  <c r="AE135" i="66"/>
  <c r="T88" i="67" s="1"/>
  <c r="AD221" i="66"/>
  <c r="AE155" i="66"/>
  <c r="AD225" i="66"/>
  <c r="AE140" i="66"/>
  <c r="T93" i="67" s="1"/>
  <c r="AD222" i="66"/>
  <c r="AE170" i="66"/>
  <c r="AD228" i="66"/>
  <c r="S128" i="67"/>
  <c r="AE145" i="66"/>
  <c r="AD223" i="66"/>
  <c r="P198" i="68"/>
  <c r="P175" i="68" s="1"/>
  <c r="M11" i="68"/>
  <c r="M12" i="68" s="1"/>
  <c r="P201" i="68"/>
  <c r="P178" i="68" s="1"/>
  <c r="AE42" i="66"/>
  <c r="AD210" i="66"/>
  <c r="S108" i="67"/>
  <c r="T98" i="67"/>
  <c r="S11" i="67"/>
  <c r="S123" i="67"/>
  <c r="T123" i="67" s="1"/>
  <c r="S103" i="67"/>
  <c r="Q55" i="67"/>
  <c r="AB217" i="66"/>
  <c r="Q35" i="67"/>
  <c r="AB213" i="66"/>
  <c r="AE130" i="66"/>
  <c r="S118" i="67"/>
  <c r="AE160" i="66"/>
  <c r="AD226" i="66"/>
  <c r="S83" i="67"/>
  <c r="AE52" i="66"/>
  <c r="AD212" i="66"/>
  <c r="P201" i="64"/>
  <c r="Q201" i="64" s="1"/>
  <c r="AE126" i="66"/>
  <c r="AD219" i="66"/>
  <c r="O17" i="68"/>
  <c r="O21" i="68" s="1"/>
  <c r="K129" i="68"/>
  <c r="K306" i="68"/>
  <c r="K14" i="68"/>
  <c r="K132" i="68"/>
  <c r="K310" i="68"/>
  <c r="K435" i="68"/>
  <c r="K131" i="68"/>
  <c r="K242" i="68"/>
  <c r="K394" i="68"/>
  <c r="K434" i="68"/>
  <c r="K142" i="68"/>
  <c r="K128" i="68"/>
  <c r="K170" i="68"/>
  <c r="K147" i="68"/>
  <c r="K433" i="68"/>
  <c r="K396" i="68"/>
  <c r="K185" i="68"/>
  <c r="K340" i="68"/>
  <c r="K358" i="68"/>
  <c r="K446" i="68"/>
  <c r="K139" i="68"/>
  <c r="K302" i="68"/>
  <c r="K289" i="68"/>
  <c r="K361" i="68"/>
  <c r="K345" i="68"/>
  <c r="K134" i="68"/>
  <c r="K298" i="68"/>
  <c r="K335" i="68"/>
  <c r="K370" i="68"/>
  <c r="K332" i="68"/>
  <c r="K462" i="68"/>
  <c r="K430" i="68"/>
  <c r="K130" i="68"/>
  <c r="K367" i="68"/>
  <c r="K15" i="68"/>
  <c r="L13" i="68"/>
  <c r="N17" i="68"/>
  <c r="N21" i="68" s="1"/>
  <c r="P202" i="68"/>
  <c r="M176" i="68"/>
  <c r="M181" i="68" s="1"/>
  <c r="M183" i="68" s="1"/>
  <c r="V81" i="67"/>
  <c r="O177" i="68"/>
  <c r="O180" i="68"/>
  <c r="U94" i="67"/>
  <c r="Q40" i="67"/>
  <c r="K315" i="68"/>
  <c r="P179" i="68"/>
  <c r="N262" i="68"/>
  <c r="N265" i="68" s="1"/>
  <c r="N268" i="68" s="1"/>
  <c r="O182" i="68"/>
  <c r="T51" i="67"/>
  <c r="Q25" i="67"/>
  <c r="Q85" i="67"/>
  <c r="Y49" i="67"/>
  <c r="S36" i="67"/>
  <c r="Q15" i="67"/>
  <c r="AB206" i="66"/>
  <c r="Q13" i="67"/>
  <c r="AB205" i="66"/>
  <c r="Q60" i="67"/>
  <c r="O6" i="67"/>
  <c r="N6" i="67"/>
  <c r="Q45" i="67"/>
  <c r="Z62" i="67"/>
  <c r="O17" i="64"/>
  <c r="N17" i="64"/>
  <c r="T92" i="67"/>
  <c r="P19" i="64"/>
  <c r="AC132" i="66"/>
  <c r="AC220" i="66" s="1"/>
  <c r="Q10" i="67"/>
  <c r="P76" i="67"/>
  <c r="Q50" i="67"/>
  <c r="N5" i="67"/>
  <c r="O5" i="67"/>
  <c r="P78" i="67"/>
  <c r="P4" i="67" s="1"/>
  <c r="O144" i="67"/>
  <c r="AC57" i="66"/>
  <c r="AC35" i="66"/>
  <c r="AC208" i="66" s="1"/>
  <c r="AC47" i="66"/>
  <c r="AC211" i="66" s="1"/>
  <c r="AC77" i="66"/>
  <c r="AC72" i="66"/>
  <c r="AC216" i="66" s="1"/>
  <c r="AC82" i="66"/>
  <c r="AC218" i="66" s="1"/>
  <c r="AB203" i="66"/>
  <c r="Q198" i="64" s="1"/>
  <c r="AB6" i="66"/>
  <c r="Q19" i="68" s="1"/>
  <c r="Q20" i="68" s="1"/>
  <c r="AC37" i="66"/>
  <c r="AC209" i="66" s="1"/>
  <c r="AC67" i="66"/>
  <c r="AC215" i="66" s="1"/>
  <c r="AC62" i="66"/>
  <c r="AF38" i="66"/>
  <c r="U16" i="67" s="1"/>
  <c r="AE58" i="66"/>
  <c r="AD32" i="66"/>
  <c r="AG141" i="66"/>
  <c r="AF73" i="66"/>
  <c r="AF139" i="66"/>
  <c r="AK71" i="66"/>
  <c r="AL84" i="66"/>
  <c r="AH128" i="66"/>
  <c r="AK50" i="66"/>
  <c r="Z28" i="67" s="1"/>
  <c r="Q200" i="68" l="1"/>
  <c r="V94" i="67"/>
  <c r="W81" i="67"/>
  <c r="T11" i="67"/>
  <c r="T118" i="67"/>
  <c r="U118" i="67" s="1"/>
  <c r="T108" i="67"/>
  <c r="T128" i="67"/>
  <c r="P202" i="64"/>
  <c r="M13" i="68"/>
  <c r="L130" i="68"/>
  <c r="L370" i="68"/>
  <c r="R55" i="67"/>
  <c r="AC217" i="66"/>
  <c r="AF130" i="66"/>
  <c r="AF42" i="66"/>
  <c r="AE210" i="66"/>
  <c r="Q198" i="68"/>
  <c r="Q175" i="68" s="1"/>
  <c r="AE224" i="66"/>
  <c r="AF150" i="66"/>
  <c r="AF33" i="66"/>
  <c r="U11" i="67" s="1"/>
  <c r="U51" i="67"/>
  <c r="L367" i="68"/>
  <c r="AF160" i="66"/>
  <c r="AE226" i="66"/>
  <c r="Q201" i="68"/>
  <c r="Q178" i="68" s="1"/>
  <c r="AF170" i="66"/>
  <c r="AE228" i="66"/>
  <c r="AF135" i="66"/>
  <c r="AE221" i="66"/>
  <c r="AF165" i="66"/>
  <c r="AE227" i="66"/>
  <c r="R40" i="67"/>
  <c r="AC214" i="66"/>
  <c r="R35" i="67"/>
  <c r="AC213" i="66"/>
  <c r="AF52" i="66"/>
  <c r="AE212" i="66"/>
  <c r="T103" i="67"/>
  <c r="U103" i="67" s="1"/>
  <c r="AF145" i="66"/>
  <c r="AE223" i="66"/>
  <c r="AF155" i="66"/>
  <c r="AE225" i="66"/>
  <c r="U88" i="67"/>
  <c r="T113" i="67"/>
  <c r="Q200" i="64"/>
  <c r="N18" i="68"/>
  <c r="AF126" i="66"/>
  <c r="AE219" i="66"/>
  <c r="T83" i="67"/>
  <c r="U83" i="67" s="1"/>
  <c r="T30" i="67"/>
  <c r="U123" i="67"/>
  <c r="T79" i="67"/>
  <c r="AF140" i="66"/>
  <c r="U93" i="67" s="1"/>
  <c r="AE222" i="66"/>
  <c r="T20" i="67"/>
  <c r="AF175" i="66"/>
  <c r="AE229" i="66"/>
  <c r="L435" i="68"/>
  <c r="L306" i="68"/>
  <c r="L462" i="68"/>
  <c r="O18" i="68"/>
  <c r="L134" i="68"/>
  <c r="L302" i="68"/>
  <c r="L434" i="68"/>
  <c r="K498" i="68"/>
  <c r="L345" i="68"/>
  <c r="L498" i="68" s="1"/>
  <c r="L139" i="68"/>
  <c r="K171" i="68"/>
  <c r="K172" i="68" s="1"/>
  <c r="L170" i="68"/>
  <c r="L171" i="68" s="1"/>
  <c r="P17" i="68"/>
  <c r="P21" i="68" s="1"/>
  <c r="N11" i="68"/>
  <c r="N12" i="68" s="1"/>
  <c r="N199" i="68"/>
  <c r="O199" i="68" s="1"/>
  <c r="L14" i="68"/>
  <c r="L15" i="68"/>
  <c r="L430" i="68"/>
  <c r="L335" i="68"/>
  <c r="K336" i="68"/>
  <c r="K57" i="68"/>
  <c r="L361" i="68"/>
  <c r="K101" i="68"/>
  <c r="L446" i="68"/>
  <c r="K497" i="68"/>
  <c r="L396" i="68"/>
  <c r="K397" i="68"/>
  <c r="K156" i="68"/>
  <c r="K133" i="68"/>
  <c r="K135" i="68" s="1"/>
  <c r="L128" i="68"/>
  <c r="L394" i="68"/>
  <c r="K77" i="68"/>
  <c r="K487" i="68"/>
  <c r="L310" i="68"/>
  <c r="L129" i="68"/>
  <c r="K186" i="68"/>
  <c r="K272" i="68"/>
  <c r="L185" i="68"/>
  <c r="R25" i="67"/>
  <c r="K327" i="68"/>
  <c r="L298" i="68"/>
  <c r="L289" i="68"/>
  <c r="K496" i="68"/>
  <c r="L358" i="68"/>
  <c r="L433" i="68"/>
  <c r="K218" i="68"/>
  <c r="K436" i="68"/>
  <c r="K219" i="68" s="1"/>
  <c r="K109" i="68" s="1"/>
  <c r="L142" i="68"/>
  <c r="K238" i="68"/>
  <c r="L242" i="68"/>
  <c r="L132" i="68"/>
  <c r="L332" i="68"/>
  <c r="K333" i="68"/>
  <c r="K517" i="68"/>
  <c r="K116" i="68"/>
  <c r="K514" i="68"/>
  <c r="K341" i="68"/>
  <c r="L340" i="68"/>
  <c r="L514" i="68" s="1"/>
  <c r="K148" i="68"/>
  <c r="L147" i="68"/>
  <c r="L131" i="68"/>
  <c r="M189" i="68"/>
  <c r="M192" i="68" s="1"/>
  <c r="Q202" i="68"/>
  <c r="P177" i="68"/>
  <c r="P180" i="68"/>
  <c r="O262" i="68"/>
  <c r="O265" i="68" s="1"/>
  <c r="O268" i="68" s="1"/>
  <c r="P182" i="68"/>
  <c r="R85" i="67"/>
  <c r="Q179" i="68"/>
  <c r="K316" i="68"/>
  <c r="K323" i="68"/>
  <c r="Z49" i="67"/>
  <c r="T36" i="67"/>
  <c r="R60" i="67"/>
  <c r="R15" i="67"/>
  <c r="AC206" i="66"/>
  <c r="R13" i="67"/>
  <c r="AC205" i="66"/>
  <c r="AA62" i="67"/>
  <c r="P6" i="67"/>
  <c r="R45" i="67"/>
  <c r="R50" i="67"/>
  <c r="P5" i="67"/>
  <c r="P17" i="64"/>
  <c r="Q19" i="64"/>
  <c r="AD132" i="66"/>
  <c r="Q76" i="67"/>
  <c r="R10" i="67"/>
  <c r="P144" i="67"/>
  <c r="Q78" i="67"/>
  <c r="Q4" i="67" s="1"/>
  <c r="U92" i="67"/>
  <c r="AC6" i="66"/>
  <c r="R19" i="68" s="1"/>
  <c r="R20" i="68" s="1"/>
  <c r="AD62" i="66"/>
  <c r="AD67" i="66"/>
  <c r="AD215" i="66" s="1"/>
  <c r="AD37" i="66"/>
  <c r="AD209" i="66" s="1"/>
  <c r="AD72" i="66"/>
  <c r="AD216" i="66" s="1"/>
  <c r="AD77" i="66"/>
  <c r="AD82" i="66"/>
  <c r="AD218" i="66" s="1"/>
  <c r="AC203" i="66"/>
  <c r="R198" i="64" s="1"/>
  <c r="AD47" i="66"/>
  <c r="AD35" i="66"/>
  <c r="AD208" i="66" s="1"/>
  <c r="AD57" i="66"/>
  <c r="AE32" i="66"/>
  <c r="AF58" i="66"/>
  <c r="AG38" i="66"/>
  <c r="V16" i="67" s="1"/>
  <c r="AL50" i="66"/>
  <c r="AA28" i="67" s="1"/>
  <c r="AM84" i="66"/>
  <c r="AH141" i="66"/>
  <c r="W94" i="67" s="1"/>
  <c r="AI128" i="66"/>
  <c r="X81" i="67" s="1"/>
  <c r="AL71" i="66"/>
  <c r="AG139" i="66"/>
  <c r="AG73" i="66"/>
  <c r="G281" i="65"/>
  <c r="D216" i="65"/>
  <c r="F216" i="65"/>
  <c r="G216" i="65"/>
  <c r="G498" i="64"/>
  <c r="F498" i="64"/>
  <c r="D498" i="64"/>
  <c r="G496" i="64"/>
  <c r="F496" i="64"/>
  <c r="D496" i="64"/>
  <c r="G495" i="64"/>
  <c r="F495" i="64"/>
  <c r="D495" i="64"/>
  <c r="G488" i="64"/>
  <c r="F488" i="64"/>
  <c r="D488" i="64"/>
  <c r="G487" i="64"/>
  <c r="F487" i="64"/>
  <c r="D487" i="64"/>
  <c r="G486" i="64"/>
  <c r="F486" i="64"/>
  <c r="D486" i="64"/>
  <c r="G482" i="64"/>
  <c r="F482" i="64"/>
  <c r="D482" i="64"/>
  <c r="G481" i="64"/>
  <c r="F481" i="64"/>
  <c r="D481" i="64"/>
  <c r="G480" i="64"/>
  <c r="F480" i="64"/>
  <c r="D480" i="64"/>
  <c r="G479" i="64"/>
  <c r="F479" i="64"/>
  <c r="D479" i="64"/>
  <c r="G478" i="64"/>
  <c r="F478" i="64"/>
  <c r="D478" i="64"/>
  <c r="G477" i="64"/>
  <c r="F477" i="64"/>
  <c r="D477" i="64"/>
  <c r="G474" i="64"/>
  <c r="F474" i="64"/>
  <c r="D474" i="64"/>
  <c r="G466" i="64"/>
  <c r="G467" i="64" s="1"/>
  <c r="F466" i="64"/>
  <c r="F467" i="64" s="1"/>
  <c r="D466" i="64"/>
  <c r="D467" i="64" s="1"/>
  <c r="G461" i="64"/>
  <c r="F461" i="64"/>
  <c r="D461" i="64"/>
  <c r="G460" i="64"/>
  <c r="G462" i="64" s="1"/>
  <c r="F460" i="64"/>
  <c r="F462" i="64" s="1"/>
  <c r="D460" i="64"/>
  <c r="D462" i="64" s="1"/>
  <c r="G457" i="64"/>
  <c r="F457" i="64"/>
  <c r="D457" i="64"/>
  <c r="G456" i="64"/>
  <c r="F456" i="64"/>
  <c r="D456" i="64"/>
  <c r="G453" i="64"/>
  <c r="F453" i="64"/>
  <c r="D453" i="64"/>
  <c r="G450" i="64"/>
  <c r="F450" i="64"/>
  <c r="D450" i="64"/>
  <c r="G446" i="64"/>
  <c r="F446" i="64"/>
  <c r="D446" i="64"/>
  <c r="G443" i="64"/>
  <c r="F443" i="64"/>
  <c r="D443" i="64"/>
  <c r="G442" i="64"/>
  <c r="F442" i="64"/>
  <c r="D442" i="64"/>
  <c r="G439" i="64"/>
  <c r="F439" i="64"/>
  <c r="D439" i="64"/>
  <c r="G435" i="64"/>
  <c r="F435" i="64"/>
  <c r="D435" i="64"/>
  <c r="G434" i="64"/>
  <c r="F434" i="64"/>
  <c r="D434" i="64"/>
  <c r="G433" i="64"/>
  <c r="F433" i="64"/>
  <c r="D433" i="64"/>
  <c r="G420" i="64"/>
  <c r="F420" i="64"/>
  <c r="D420" i="64"/>
  <c r="G419" i="64"/>
  <c r="F419" i="64"/>
  <c r="D419" i="64"/>
  <c r="G415" i="64"/>
  <c r="F415" i="64"/>
  <c r="D415" i="64"/>
  <c r="G411" i="64"/>
  <c r="F411" i="64"/>
  <c r="D411" i="64"/>
  <c r="F405" i="64"/>
  <c r="D405" i="64"/>
  <c r="G263" i="64"/>
  <c r="F263" i="64"/>
  <c r="D263" i="64"/>
  <c r="F402" i="64"/>
  <c r="D402" i="64"/>
  <c r="F401" i="64"/>
  <c r="D401" i="64"/>
  <c r="D396" i="64"/>
  <c r="F386" i="64"/>
  <c r="D386" i="64"/>
  <c r="F385" i="64"/>
  <c r="D385" i="64"/>
  <c r="F384" i="64"/>
  <c r="D384" i="64"/>
  <c r="F381" i="64"/>
  <c r="D381" i="64"/>
  <c r="F380" i="64"/>
  <c r="D380" i="64"/>
  <c r="F378" i="64"/>
  <c r="D378" i="64"/>
  <c r="G276" i="64"/>
  <c r="F377" i="64"/>
  <c r="F276" i="64" s="1"/>
  <c r="D377" i="64"/>
  <c r="D276" i="64" s="1"/>
  <c r="F376" i="64"/>
  <c r="D376" i="64"/>
  <c r="G161" i="64"/>
  <c r="F375" i="64"/>
  <c r="F161" i="64" s="1"/>
  <c r="D375" i="64"/>
  <c r="D161" i="64" s="1"/>
  <c r="F370" i="64"/>
  <c r="D370" i="64"/>
  <c r="F369" i="64"/>
  <c r="D369" i="64"/>
  <c r="G361" i="64"/>
  <c r="F361" i="64"/>
  <c r="D361" i="64"/>
  <c r="G360" i="64"/>
  <c r="F360" i="64"/>
  <c r="D360" i="64"/>
  <c r="G354" i="64"/>
  <c r="F354" i="64"/>
  <c r="D354" i="64"/>
  <c r="G351" i="64"/>
  <c r="F351" i="64"/>
  <c r="D351" i="64"/>
  <c r="G347" i="64"/>
  <c r="F347" i="64"/>
  <c r="D347" i="64"/>
  <c r="G335" i="64"/>
  <c r="F335" i="64"/>
  <c r="D335" i="64"/>
  <c r="G334" i="64"/>
  <c r="F334" i="64"/>
  <c r="D334" i="64"/>
  <c r="G328" i="64"/>
  <c r="F328" i="64"/>
  <c r="D328" i="64"/>
  <c r="G327" i="64"/>
  <c r="F327" i="64"/>
  <c r="D327" i="64"/>
  <c r="G326" i="64"/>
  <c r="F326" i="64"/>
  <c r="D326" i="64"/>
  <c r="G320" i="64"/>
  <c r="F320" i="64"/>
  <c r="D320" i="64"/>
  <c r="G319" i="64"/>
  <c r="F319" i="64"/>
  <c r="D319" i="64"/>
  <c r="G316" i="64"/>
  <c r="F316" i="64"/>
  <c r="D316" i="64"/>
  <c r="G314" i="64"/>
  <c r="F314" i="64"/>
  <c r="D314" i="64"/>
  <c r="G310" i="64"/>
  <c r="F310" i="64"/>
  <c r="D310" i="64"/>
  <c r="G309" i="64"/>
  <c r="F309" i="64"/>
  <c r="D309" i="64"/>
  <c r="G306" i="64"/>
  <c r="F306" i="64"/>
  <c r="D306" i="64"/>
  <c r="G305" i="64"/>
  <c r="F305" i="64"/>
  <c r="D305" i="64"/>
  <c r="G302" i="64"/>
  <c r="F302" i="64"/>
  <c r="D302" i="64"/>
  <c r="G301" i="64"/>
  <c r="F301" i="64"/>
  <c r="D301" i="64"/>
  <c r="G298" i="64"/>
  <c r="F298" i="64"/>
  <c r="D298" i="64"/>
  <c r="G289" i="64"/>
  <c r="F289" i="64"/>
  <c r="D289" i="64"/>
  <c r="G288" i="64"/>
  <c r="F288" i="64"/>
  <c r="D288" i="64"/>
  <c r="G287" i="64"/>
  <c r="F287" i="64"/>
  <c r="D287" i="64"/>
  <c r="G284" i="64"/>
  <c r="F284" i="64"/>
  <c r="D284" i="64"/>
  <c r="G283" i="64"/>
  <c r="F283" i="64"/>
  <c r="D283" i="64"/>
  <c r="G280" i="64"/>
  <c r="F280" i="64"/>
  <c r="D280" i="64"/>
  <c r="G279" i="64"/>
  <c r="F279" i="64"/>
  <c r="D279" i="64"/>
  <c r="G266" i="64"/>
  <c r="F266" i="64"/>
  <c r="D266" i="64"/>
  <c r="G257" i="64"/>
  <c r="F257" i="64"/>
  <c r="D257" i="64"/>
  <c r="G256" i="64"/>
  <c r="F256" i="64"/>
  <c r="D256" i="64"/>
  <c r="G253" i="64"/>
  <c r="F253" i="64"/>
  <c r="D253" i="64"/>
  <c r="G252" i="64"/>
  <c r="F252" i="64"/>
  <c r="D252" i="64"/>
  <c r="G249" i="64"/>
  <c r="F249" i="64"/>
  <c r="G242" i="64"/>
  <c r="F242" i="64"/>
  <c r="D242" i="64"/>
  <c r="G241" i="64"/>
  <c r="F241" i="64"/>
  <c r="D241" i="64"/>
  <c r="G239" i="64"/>
  <c r="F239" i="64"/>
  <c r="D239" i="64"/>
  <c r="G238" i="64"/>
  <c r="F238" i="64"/>
  <c r="D238" i="64"/>
  <c r="G237" i="64"/>
  <c r="F237" i="64"/>
  <c r="D237" i="64"/>
  <c r="G232" i="64"/>
  <c r="F232" i="64"/>
  <c r="D232" i="64"/>
  <c r="G231" i="64"/>
  <c r="F231" i="64"/>
  <c r="D231" i="64"/>
  <c r="G230" i="64"/>
  <c r="F230" i="64"/>
  <c r="D230" i="64"/>
  <c r="G229" i="64"/>
  <c r="F229" i="64"/>
  <c r="D229" i="64"/>
  <c r="G225" i="64"/>
  <c r="F225" i="64"/>
  <c r="D225" i="64"/>
  <c r="G224" i="64"/>
  <c r="F224" i="64"/>
  <c r="D224" i="64"/>
  <c r="G223" i="64"/>
  <c r="F223" i="64"/>
  <c r="D223" i="64"/>
  <c r="G222" i="64"/>
  <c r="F222" i="64"/>
  <c r="D222" i="64"/>
  <c r="G219" i="64"/>
  <c r="G109" i="64" s="1"/>
  <c r="F219" i="64"/>
  <c r="E109" i="64"/>
  <c r="D219" i="64"/>
  <c r="G218" i="64"/>
  <c r="F218" i="64"/>
  <c r="D218" i="64"/>
  <c r="G214" i="64"/>
  <c r="F214" i="64"/>
  <c r="D214" i="64"/>
  <c r="G213" i="64"/>
  <c r="F213" i="64"/>
  <c r="D213" i="64"/>
  <c r="G212" i="64"/>
  <c r="G423" i="64" s="1"/>
  <c r="F212" i="64"/>
  <c r="F423" i="64" s="1"/>
  <c r="D212" i="64"/>
  <c r="D423" i="64" s="1"/>
  <c r="D422" i="64" s="1"/>
  <c r="G208" i="64"/>
  <c r="F208" i="64"/>
  <c r="D208" i="64"/>
  <c r="G207" i="64"/>
  <c r="F207" i="64"/>
  <c r="D207" i="64"/>
  <c r="G206" i="64"/>
  <c r="F206" i="64"/>
  <c r="D206" i="64"/>
  <c r="G205" i="64"/>
  <c r="F205" i="64"/>
  <c r="D205" i="64"/>
  <c r="G190" i="64"/>
  <c r="F190" i="64"/>
  <c r="D190" i="64"/>
  <c r="G187" i="64"/>
  <c r="F187" i="64"/>
  <c r="D187" i="64"/>
  <c r="G185" i="64"/>
  <c r="F185" i="64"/>
  <c r="D185" i="64"/>
  <c r="G184" i="64"/>
  <c r="F184" i="64"/>
  <c r="D184" i="64"/>
  <c r="G182" i="64"/>
  <c r="F182" i="64"/>
  <c r="D182" i="64"/>
  <c r="G180" i="64"/>
  <c r="F180" i="64"/>
  <c r="D180" i="64"/>
  <c r="G179" i="64"/>
  <c r="F179" i="64"/>
  <c r="D179" i="64"/>
  <c r="G178" i="64"/>
  <c r="F178" i="64"/>
  <c r="D178" i="64"/>
  <c r="G176" i="64"/>
  <c r="F176" i="64"/>
  <c r="D176" i="64"/>
  <c r="G175" i="64"/>
  <c r="F175" i="64"/>
  <c r="D175" i="64"/>
  <c r="G157" i="64"/>
  <c r="F157" i="64"/>
  <c r="D157" i="64"/>
  <c r="G156" i="64"/>
  <c r="F156" i="64"/>
  <c r="D156" i="64"/>
  <c r="G155" i="64"/>
  <c r="F155" i="64"/>
  <c r="D155" i="64"/>
  <c r="G148" i="64"/>
  <c r="F148" i="64"/>
  <c r="D148" i="64"/>
  <c r="G147" i="64"/>
  <c r="F147" i="64"/>
  <c r="D147" i="64"/>
  <c r="D132" i="64"/>
  <c r="D131" i="64"/>
  <c r="D130" i="64"/>
  <c r="D129" i="64"/>
  <c r="D128" i="64"/>
  <c r="F120" i="64"/>
  <c r="D120" i="64"/>
  <c r="F119" i="64"/>
  <c r="D119" i="64"/>
  <c r="F118" i="64"/>
  <c r="D118" i="64"/>
  <c r="F117" i="64"/>
  <c r="D117" i="64"/>
  <c r="F116" i="64"/>
  <c r="D116" i="64"/>
  <c r="F115" i="64"/>
  <c r="D115" i="64"/>
  <c r="F113" i="64"/>
  <c r="D113" i="64"/>
  <c r="F112" i="64"/>
  <c r="D112" i="64"/>
  <c r="F111" i="64"/>
  <c r="D111" i="64"/>
  <c r="F110" i="64"/>
  <c r="D110" i="64"/>
  <c r="F103" i="64"/>
  <c r="D103" i="64"/>
  <c r="F102" i="64"/>
  <c r="D102" i="64"/>
  <c r="F101" i="64"/>
  <c r="D101" i="64"/>
  <c r="F98" i="64"/>
  <c r="D98" i="64"/>
  <c r="F97" i="64"/>
  <c r="D97" i="64"/>
  <c r="F96" i="64"/>
  <c r="D96" i="64"/>
  <c r="F95" i="64"/>
  <c r="D95" i="64"/>
  <c r="F94" i="64"/>
  <c r="D94" i="64"/>
  <c r="G89" i="64"/>
  <c r="F89" i="64"/>
  <c r="D89" i="64"/>
  <c r="G88" i="64"/>
  <c r="F88" i="64"/>
  <c r="D88" i="64"/>
  <c r="G86" i="64"/>
  <c r="F86" i="64"/>
  <c r="D86" i="64"/>
  <c r="G85" i="64"/>
  <c r="F85" i="64"/>
  <c r="D85" i="64"/>
  <c r="G84" i="64"/>
  <c r="F84" i="64"/>
  <c r="D84" i="64"/>
  <c r="G83" i="64"/>
  <c r="F83" i="64"/>
  <c r="D83" i="64"/>
  <c r="G82" i="64"/>
  <c r="F82" i="64"/>
  <c r="D82" i="64"/>
  <c r="G367" i="64"/>
  <c r="F71" i="64"/>
  <c r="D71" i="64"/>
  <c r="G62" i="64"/>
  <c r="F62" i="64"/>
  <c r="D62" i="64"/>
  <c r="G57" i="64"/>
  <c r="F57" i="64"/>
  <c r="D57" i="64"/>
  <c r="G388" i="65"/>
  <c r="F388" i="65"/>
  <c r="E388" i="65"/>
  <c r="D388" i="65"/>
  <c r="D389" i="65" s="1"/>
  <c r="B383" i="65"/>
  <c r="G382" i="65"/>
  <c r="F382" i="65"/>
  <c r="E382" i="65"/>
  <c r="G378" i="65"/>
  <c r="F378" i="65"/>
  <c r="E378" i="65"/>
  <c r="D378" i="65"/>
  <c r="G358" i="65"/>
  <c r="F358" i="65"/>
  <c r="E358" i="65"/>
  <c r="D358" i="65"/>
  <c r="B356" i="65"/>
  <c r="B350" i="65"/>
  <c r="G342" i="65"/>
  <c r="F342" i="65"/>
  <c r="E342" i="65"/>
  <c r="D342" i="65"/>
  <c r="E336" i="65"/>
  <c r="B336" i="65"/>
  <c r="B330" i="65"/>
  <c r="G324" i="65"/>
  <c r="F324" i="65"/>
  <c r="E324" i="65"/>
  <c r="D324" i="65"/>
  <c r="B309" i="65"/>
  <c r="G307" i="65"/>
  <c r="F307" i="65"/>
  <c r="E307" i="65"/>
  <c r="D307" i="65"/>
  <c r="B306" i="65"/>
  <c r="B302" i="65"/>
  <c r="B301" i="65"/>
  <c r="B300" i="65"/>
  <c r="B299" i="65"/>
  <c r="G297" i="65"/>
  <c r="F297" i="65"/>
  <c r="E297" i="65"/>
  <c r="D297" i="65"/>
  <c r="B296" i="65"/>
  <c r="B293" i="65"/>
  <c r="B290" i="65"/>
  <c r="B287" i="65"/>
  <c r="F281" i="65"/>
  <c r="D281" i="65"/>
  <c r="B280" i="65"/>
  <c r="B279" i="65"/>
  <c r="B278" i="65"/>
  <c r="B277" i="65"/>
  <c r="B275" i="65"/>
  <c r="G273" i="65"/>
  <c r="F273" i="65"/>
  <c r="E273" i="65"/>
  <c r="D273" i="65"/>
  <c r="G268" i="65"/>
  <c r="F268" i="65"/>
  <c r="E268" i="65"/>
  <c r="D268" i="65"/>
  <c r="G263" i="65"/>
  <c r="F263" i="65"/>
  <c r="E263" i="65"/>
  <c r="D263" i="65"/>
  <c r="G257" i="65"/>
  <c r="F257" i="65"/>
  <c r="D257" i="65"/>
  <c r="G252" i="65"/>
  <c r="F252" i="65"/>
  <c r="E252" i="65"/>
  <c r="D252" i="65"/>
  <c r="G247" i="65"/>
  <c r="F247" i="65"/>
  <c r="E247" i="65"/>
  <c r="D247" i="65"/>
  <c r="G242" i="65"/>
  <c r="F242" i="65"/>
  <c r="E242" i="65"/>
  <c r="D242" i="65"/>
  <c r="G231" i="65"/>
  <c r="F231" i="65"/>
  <c r="E231" i="65"/>
  <c r="D231" i="65"/>
  <c r="B227" i="65"/>
  <c r="G226" i="65"/>
  <c r="F226" i="65"/>
  <c r="E226" i="65"/>
  <c r="D226" i="65"/>
  <c r="D196" i="65"/>
  <c r="B192" i="65"/>
  <c r="G191" i="65"/>
  <c r="F191" i="65"/>
  <c r="E191" i="65"/>
  <c r="E65" i="68" s="1"/>
  <c r="D191" i="65"/>
  <c r="D65" i="68" s="1"/>
  <c r="G190" i="65"/>
  <c r="F190" i="65"/>
  <c r="E190" i="65"/>
  <c r="D190" i="65"/>
  <c r="B189" i="65"/>
  <c r="G182" i="65"/>
  <c r="F182" i="65"/>
  <c r="E182" i="65"/>
  <c r="D182" i="65"/>
  <c r="B181" i="65"/>
  <c r="B169" i="65"/>
  <c r="G167" i="65"/>
  <c r="F167" i="65"/>
  <c r="D167" i="65"/>
  <c r="B166" i="65"/>
  <c r="B163" i="65"/>
  <c r="G160" i="65"/>
  <c r="F160" i="65"/>
  <c r="E160" i="65"/>
  <c r="D160" i="65"/>
  <c r="B159" i="65"/>
  <c r="G144" i="65"/>
  <c r="G152" i="65" s="1"/>
  <c r="F144" i="65"/>
  <c r="F152" i="65" s="1"/>
  <c r="E144" i="65"/>
  <c r="E152" i="65" s="1"/>
  <c r="D144" i="65"/>
  <c r="D137" i="65"/>
  <c r="B134" i="65"/>
  <c r="G129" i="65"/>
  <c r="F129" i="65"/>
  <c r="D129" i="65"/>
  <c r="B126" i="65"/>
  <c r="B124" i="65"/>
  <c r="G105" i="65"/>
  <c r="F105" i="65"/>
  <c r="E105" i="65"/>
  <c r="D105" i="65"/>
  <c r="B96" i="65"/>
  <c r="G94" i="65"/>
  <c r="F94" i="65"/>
  <c r="E94" i="65"/>
  <c r="D94" i="65"/>
  <c r="G87" i="65"/>
  <c r="F87" i="65"/>
  <c r="E87" i="65"/>
  <c r="G80" i="65"/>
  <c r="F80" i="65"/>
  <c r="E80" i="65"/>
  <c r="D80" i="65"/>
  <c r="G76" i="65"/>
  <c r="F76" i="65"/>
  <c r="E76" i="65"/>
  <c r="D76" i="65"/>
  <c r="G69" i="65"/>
  <c r="F69" i="65"/>
  <c r="E69" i="65"/>
  <c r="D69" i="65"/>
  <c r="B68" i="65"/>
  <c r="G52" i="65"/>
  <c r="F52" i="65"/>
  <c r="E52" i="65"/>
  <c r="D52" i="65"/>
  <c r="B51" i="65"/>
  <c r="G23" i="65"/>
  <c r="F23" i="65"/>
  <c r="E23" i="65"/>
  <c r="D23" i="65"/>
  <c r="B20" i="65"/>
  <c r="B19" i="65"/>
  <c r="B18" i="65"/>
  <c r="B17" i="65"/>
  <c r="B16" i="65"/>
  <c r="B15" i="65"/>
  <c r="G14" i="65"/>
  <c r="F14" i="65"/>
  <c r="E14" i="65"/>
  <c r="D14" i="65"/>
  <c r="B12" i="65"/>
  <c r="V51" i="67" l="1"/>
  <c r="M134" i="68"/>
  <c r="M435" i="68"/>
  <c r="M142" i="68"/>
  <c r="P18" i="68"/>
  <c r="P199" i="68"/>
  <c r="R200" i="64"/>
  <c r="U128" i="67"/>
  <c r="U113" i="67"/>
  <c r="U20" i="67"/>
  <c r="U30" i="67"/>
  <c r="R200" i="68"/>
  <c r="Q202" i="64"/>
  <c r="K83" i="68"/>
  <c r="K138" i="68"/>
  <c r="K471" i="68" s="1"/>
  <c r="K505" i="68"/>
  <c r="N13" i="68"/>
  <c r="M361" i="68"/>
  <c r="M367" i="68"/>
  <c r="M132" i="68"/>
  <c r="M129" i="68"/>
  <c r="M394" i="68"/>
  <c r="M77" i="68" s="1"/>
  <c r="M335" i="68"/>
  <c r="M128" i="68"/>
  <c r="M131" i="68"/>
  <c r="M242" i="68"/>
  <c r="M289" i="68"/>
  <c r="M185" i="68"/>
  <c r="M186" i="68" s="1"/>
  <c r="M88" i="68" s="1"/>
  <c r="M310" i="68"/>
  <c r="M396" i="68"/>
  <c r="M430" i="68"/>
  <c r="L83" i="68"/>
  <c r="K478" i="68"/>
  <c r="M446" i="68"/>
  <c r="M101" i="68" s="1"/>
  <c r="M15" i="68"/>
  <c r="M433" i="68"/>
  <c r="M298" i="68"/>
  <c r="M434" i="68"/>
  <c r="M462" i="68"/>
  <c r="M370" i="68"/>
  <c r="M14" i="68"/>
  <c r="O11" i="68"/>
  <c r="P11" i="68" s="1"/>
  <c r="L397" i="68"/>
  <c r="M147" i="68"/>
  <c r="M332" i="68"/>
  <c r="M116" i="68" s="1"/>
  <c r="M302" i="68"/>
  <c r="M306" i="68"/>
  <c r="M130" i="68"/>
  <c r="L172" i="68"/>
  <c r="M139" i="68"/>
  <c r="M170" i="68"/>
  <c r="M171" i="68" s="1"/>
  <c r="L496" i="68"/>
  <c r="S25" i="67"/>
  <c r="AD211" i="66"/>
  <c r="S85" i="67"/>
  <c r="AD220" i="66"/>
  <c r="L327" i="68"/>
  <c r="M327" i="68" s="1"/>
  <c r="U79" i="67"/>
  <c r="AG165" i="66"/>
  <c r="V118" i="67" s="1"/>
  <c r="AF227" i="66"/>
  <c r="AG170" i="66"/>
  <c r="AF228" i="66"/>
  <c r="AG160" i="66"/>
  <c r="V113" i="67" s="1"/>
  <c r="AF226" i="66"/>
  <c r="AG33" i="66"/>
  <c r="R198" i="68"/>
  <c r="R175" i="68" s="1"/>
  <c r="AG130" i="66"/>
  <c r="V83" i="67" s="1"/>
  <c r="S55" i="67"/>
  <c r="AD217" i="66"/>
  <c r="AG155" i="66"/>
  <c r="AF225" i="66"/>
  <c r="K499" i="68"/>
  <c r="V123" i="67"/>
  <c r="AG126" i="66"/>
  <c r="AF219" i="66"/>
  <c r="AG145" i="66"/>
  <c r="AF223" i="66"/>
  <c r="R201" i="68"/>
  <c r="R178" i="68" s="1"/>
  <c r="AF224" i="66"/>
  <c r="AG150" i="66"/>
  <c r="V103" i="67" s="1"/>
  <c r="AG175" i="66"/>
  <c r="AF229" i="66"/>
  <c r="S35" i="67"/>
  <c r="AD213" i="66"/>
  <c r="S40" i="67"/>
  <c r="AD214" i="66"/>
  <c r="M340" i="68"/>
  <c r="M514" i="68" s="1"/>
  <c r="L218" i="68"/>
  <c r="AG140" i="66"/>
  <c r="AF222" i="66"/>
  <c r="U108" i="67"/>
  <c r="AG52" i="66"/>
  <c r="AF212" i="66"/>
  <c r="AG135" i="66"/>
  <c r="V88" i="67" s="1"/>
  <c r="AF221" i="66"/>
  <c r="U98" i="67"/>
  <c r="V98" i="67" s="1"/>
  <c r="AG42" i="66"/>
  <c r="AF210" i="66"/>
  <c r="R201" i="64"/>
  <c r="M345" i="68"/>
  <c r="N176" i="68"/>
  <c r="O176" i="68" s="1"/>
  <c r="M358" i="68"/>
  <c r="K96" i="68"/>
  <c r="L436" i="68"/>
  <c r="L219" i="68" s="1"/>
  <c r="L96" i="68" s="1"/>
  <c r="K84" i="68"/>
  <c r="L148" i="68"/>
  <c r="K88" i="68"/>
  <c r="K187" i="68"/>
  <c r="K481" i="68" s="1"/>
  <c r="K157" i="68"/>
  <c r="L156" i="68"/>
  <c r="L497" i="68"/>
  <c r="L101" i="68"/>
  <c r="L336" i="68"/>
  <c r="L487" i="68"/>
  <c r="L77" i="68"/>
  <c r="Q17" i="68"/>
  <c r="K38" i="68"/>
  <c r="K98" i="68"/>
  <c r="L341" i="68"/>
  <c r="K510" i="68"/>
  <c r="K337" i="68"/>
  <c r="K37" i="68" s="1"/>
  <c r="L272" i="68"/>
  <c r="L186" i="68"/>
  <c r="L133" i="68"/>
  <c r="L135" i="68" s="1"/>
  <c r="L333" i="68"/>
  <c r="L517" i="68"/>
  <c r="L116" i="68"/>
  <c r="K239" i="68"/>
  <c r="L238" i="68"/>
  <c r="L239" i="68" s="1"/>
  <c r="L240" i="68" s="1"/>
  <c r="K351" i="68"/>
  <c r="K273" i="68"/>
  <c r="L57" i="68"/>
  <c r="K39" i="68"/>
  <c r="R202" i="68"/>
  <c r="Q180" i="68"/>
  <c r="R179" i="68"/>
  <c r="Q177" i="68"/>
  <c r="P262" i="68"/>
  <c r="P265" i="68" s="1"/>
  <c r="P268" i="68" s="1"/>
  <c r="Q182" i="68"/>
  <c r="D99" i="64"/>
  <c r="D490" i="64"/>
  <c r="D407" i="64"/>
  <c r="E490" i="64"/>
  <c r="E491" i="64" s="1"/>
  <c r="E99" i="64"/>
  <c r="E100" i="64" s="1"/>
  <c r="D31" i="65"/>
  <c r="E248" i="64"/>
  <c r="E484" i="64" s="1"/>
  <c r="E485" i="64" s="1"/>
  <c r="J248" i="64"/>
  <c r="G99" i="64"/>
  <c r="G100" i="64" s="1"/>
  <c r="H99" i="64"/>
  <c r="H100" i="64" s="1"/>
  <c r="D146" i="65"/>
  <c r="D152" i="65"/>
  <c r="E32" i="65"/>
  <c r="G32" i="65"/>
  <c r="D32" i="65"/>
  <c r="D122" i="64"/>
  <c r="F31" i="65"/>
  <c r="F32" i="65"/>
  <c r="E31" i="65"/>
  <c r="G31" i="65"/>
  <c r="F122" i="64"/>
  <c r="F336" i="64"/>
  <c r="AA49" i="67"/>
  <c r="U36" i="67"/>
  <c r="F163" i="64"/>
  <c r="G163" i="64"/>
  <c r="D163" i="64"/>
  <c r="G336" i="64"/>
  <c r="D336" i="64"/>
  <c r="S60" i="67"/>
  <c r="S13" i="67"/>
  <c r="AD205" i="66"/>
  <c r="S15" i="67"/>
  <c r="AD206" i="66"/>
  <c r="F362" i="64"/>
  <c r="G362" i="64"/>
  <c r="E389" i="65"/>
  <c r="F389" i="65"/>
  <c r="G389" i="65"/>
  <c r="F336" i="65"/>
  <c r="F146" i="65"/>
  <c r="G146" i="65"/>
  <c r="E146" i="65"/>
  <c r="F367" i="64"/>
  <c r="D367" i="64"/>
  <c r="D362" i="64"/>
  <c r="D424" i="64"/>
  <c r="G424" i="64"/>
  <c r="F424" i="64"/>
  <c r="F426" i="64"/>
  <c r="F422" i="64"/>
  <c r="G426" i="64"/>
  <c r="G422" i="64"/>
  <c r="D426" i="64"/>
  <c r="AB62" i="67"/>
  <c r="S50" i="67"/>
  <c r="Q6" i="67"/>
  <c r="F357" i="64"/>
  <c r="G357" i="64"/>
  <c r="G366" i="64" s="1"/>
  <c r="G368" i="64" s="1"/>
  <c r="D357" i="64"/>
  <c r="I248" i="64"/>
  <c r="I46" i="64" s="1"/>
  <c r="I51" i="64" s="1"/>
  <c r="S45" i="67"/>
  <c r="F410" i="64"/>
  <c r="F414" i="64" s="1"/>
  <c r="E384" i="65"/>
  <c r="Q5" i="67"/>
  <c r="Q17" i="64"/>
  <c r="R19" i="64"/>
  <c r="AE132" i="66"/>
  <c r="V92" i="67"/>
  <c r="F258" i="64"/>
  <c r="G410" i="64"/>
  <c r="G414" i="64" s="1"/>
  <c r="D258" i="64"/>
  <c r="D410" i="64"/>
  <c r="D414" i="64" s="1"/>
  <c r="F290" i="64"/>
  <c r="G290" i="64"/>
  <c r="H248" i="64"/>
  <c r="H46" i="64" s="1"/>
  <c r="D290" i="64"/>
  <c r="G258" i="64"/>
  <c r="R78" i="67"/>
  <c r="Q144" i="67"/>
  <c r="S10" i="67"/>
  <c r="R76" i="67"/>
  <c r="R4" i="67"/>
  <c r="AD6" i="66"/>
  <c r="S19" i="68" s="1"/>
  <c r="S20" i="68" s="1"/>
  <c r="AE35" i="66"/>
  <c r="AE208" i="66" s="1"/>
  <c r="AE72" i="66"/>
  <c r="AE216" i="66" s="1"/>
  <c r="AE62" i="66"/>
  <c r="AE47" i="66"/>
  <c r="AE37" i="66"/>
  <c r="AE209" i="66" s="1"/>
  <c r="AE77" i="66"/>
  <c r="AE57" i="66"/>
  <c r="AE82" i="66"/>
  <c r="AE218" i="66" s="1"/>
  <c r="AD203" i="66"/>
  <c r="S198" i="64" s="1"/>
  <c r="AE67" i="66"/>
  <c r="AE215" i="66" s="1"/>
  <c r="AH38" i="66"/>
  <c r="W16" i="67" s="1"/>
  <c r="AG58" i="66"/>
  <c r="V36" i="67" s="1"/>
  <c r="AF32" i="66"/>
  <c r="AN84" i="66"/>
  <c r="AH73" i="66"/>
  <c r="W51" i="67" s="1"/>
  <c r="AH139" i="66"/>
  <c r="AJ128" i="66"/>
  <c r="Y81" i="67" s="1"/>
  <c r="AM71" i="66"/>
  <c r="AI141" i="66"/>
  <c r="X94" i="67" s="1"/>
  <c r="AM50" i="66"/>
  <c r="AB28" i="67" s="1"/>
  <c r="G81" i="65"/>
  <c r="G99" i="65" s="1"/>
  <c r="G114" i="65" s="1"/>
  <c r="D139" i="65"/>
  <c r="F139" i="65"/>
  <c r="F81" i="65"/>
  <c r="G384" i="65"/>
  <c r="D384" i="65"/>
  <c r="G139" i="65"/>
  <c r="F384" i="65"/>
  <c r="D81" i="65"/>
  <c r="E81" i="65"/>
  <c r="K466" i="64"/>
  <c r="K461" i="64"/>
  <c r="L461" i="64" s="1"/>
  <c r="M461" i="64" s="1"/>
  <c r="N461" i="64" s="1"/>
  <c r="O461" i="64" s="1"/>
  <c r="P461" i="64" s="1"/>
  <c r="Q461" i="64" s="1"/>
  <c r="R461" i="64" s="1"/>
  <c r="S461" i="64" s="1"/>
  <c r="T461" i="64" s="1"/>
  <c r="Q406" i="64"/>
  <c r="P406" i="64"/>
  <c r="O406" i="64"/>
  <c r="N406" i="64"/>
  <c r="M406" i="64"/>
  <c r="L406" i="64"/>
  <c r="K406" i="64"/>
  <c r="Q405" i="64"/>
  <c r="Q151" i="64" s="1"/>
  <c r="P405" i="64"/>
  <c r="P151" i="64" s="1"/>
  <c r="O405" i="64"/>
  <c r="O151" i="64" s="1"/>
  <c r="N405" i="64"/>
  <c r="N151" i="64" s="1"/>
  <c r="M405" i="64"/>
  <c r="M151" i="64" s="1"/>
  <c r="L405" i="64"/>
  <c r="L151" i="64" s="1"/>
  <c r="K405" i="64"/>
  <c r="K151" i="64" s="1"/>
  <c r="Q404" i="64"/>
  <c r="P404" i="64"/>
  <c r="O404" i="64"/>
  <c r="N404" i="64"/>
  <c r="M404" i="64"/>
  <c r="L404" i="64"/>
  <c r="K404" i="64"/>
  <c r="Q403" i="64"/>
  <c r="Q263" i="64" s="1"/>
  <c r="P403" i="64"/>
  <c r="P263" i="64" s="1"/>
  <c r="O403" i="64"/>
  <c r="O263" i="64" s="1"/>
  <c r="N403" i="64"/>
  <c r="N263" i="64" s="1"/>
  <c r="M403" i="64"/>
  <c r="M263" i="64" s="1"/>
  <c r="L403" i="64"/>
  <c r="L263" i="64" s="1"/>
  <c r="K403" i="64"/>
  <c r="K263" i="64" s="1"/>
  <c r="Q402" i="64"/>
  <c r="P402" i="64"/>
  <c r="O402" i="64"/>
  <c r="N402" i="64"/>
  <c r="M402" i="64"/>
  <c r="L402" i="64"/>
  <c r="K402" i="64"/>
  <c r="Q401" i="64"/>
  <c r="P401" i="64"/>
  <c r="O401" i="64"/>
  <c r="N401" i="64"/>
  <c r="M401" i="64"/>
  <c r="L401" i="64"/>
  <c r="K401" i="64"/>
  <c r="Q380" i="64"/>
  <c r="Q489" i="64" s="1"/>
  <c r="P380" i="64"/>
  <c r="P489" i="64" s="1"/>
  <c r="O380" i="64"/>
  <c r="O489" i="64" s="1"/>
  <c r="N380" i="64"/>
  <c r="N489" i="64" s="1"/>
  <c r="M380" i="64"/>
  <c r="M489" i="64" s="1"/>
  <c r="L380" i="64"/>
  <c r="L489" i="64" s="1"/>
  <c r="K380" i="64"/>
  <c r="K489" i="64" s="1"/>
  <c r="Q376" i="64"/>
  <c r="P376" i="64"/>
  <c r="O376" i="64"/>
  <c r="N376" i="64"/>
  <c r="M376" i="64"/>
  <c r="L376" i="64"/>
  <c r="K376" i="64"/>
  <c r="K369" i="64"/>
  <c r="L369" i="64" s="1"/>
  <c r="M369" i="64" s="1"/>
  <c r="N369" i="64" s="1"/>
  <c r="O369" i="64" s="1"/>
  <c r="P369" i="64" s="1"/>
  <c r="Q369" i="64" s="1"/>
  <c r="R369" i="64" s="1"/>
  <c r="S369" i="64" s="1"/>
  <c r="T369" i="64" s="1"/>
  <c r="K360" i="64"/>
  <c r="L360" i="64" s="1"/>
  <c r="M360" i="64" s="1"/>
  <c r="N360" i="64" s="1"/>
  <c r="O360" i="64" s="1"/>
  <c r="P360" i="64" s="1"/>
  <c r="Q360" i="64" s="1"/>
  <c r="R360" i="64" s="1"/>
  <c r="S360" i="64" s="1"/>
  <c r="T360" i="64" s="1"/>
  <c r="K334" i="64"/>
  <c r="L334" i="64" s="1"/>
  <c r="M334" i="64" s="1"/>
  <c r="N334" i="64" s="1"/>
  <c r="O334" i="64" s="1"/>
  <c r="P334" i="64" s="1"/>
  <c r="Q334" i="64" s="1"/>
  <c r="R334" i="64" s="1"/>
  <c r="S334" i="64" s="1"/>
  <c r="T334" i="64" s="1"/>
  <c r="G273" i="64"/>
  <c r="F273" i="64"/>
  <c r="D273" i="64"/>
  <c r="K253" i="64"/>
  <c r="L253" i="64" s="1"/>
  <c r="M253" i="64" s="1"/>
  <c r="N253" i="64" s="1"/>
  <c r="O253" i="64" s="1"/>
  <c r="P253" i="64" s="1"/>
  <c r="Q253" i="64" s="1"/>
  <c r="R253" i="64" s="1"/>
  <c r="S253" i="64" s="1"/>
  <c r="T253" i="64" s="1"/>
  <c r="K252" i="64"/>
  <c r="L252" i="64" s="1"/>
  <c r="M252" i="64" s="1"/>
  <c r="N252" i="64" s="1"/>
  <c r="O252" i="64" s="1"/>
  <c r="P252" i="64" s="1"/>
  <c r="Q252" i="64" s="1"/>
  <c r="R252" i="64" s="1"/>
  <c r="S252" i="64" s="1"/>
  <c r="T252" i="64" s="1"/>
  <c r="K241" i="64"/>
  <c r="L241" i="64" s="1"/>
  <c r="M241" i="64" s="1"/>
  <c r="N241" i="64" s="1"/>
  <c r="O241" i="64" s="1"/>
  <c r="P241" i="64" s="1"/>
  <c r="Q241" i="64" s="1"/>
  <c r="R241" i="64" s="1"/>
  <c r="S241" i="64" s="1"/>
  <c r="T241" i="64" s="1"/>
  <c r="K190" i="64"/>
  <c r="L190" i="64" s="1"/>
  <c r="M190" i="64" s="1"/>
  <c r="N190" i="64" s="1"/>
  <c r="O190" i="64" s="1"/>
  <c r="P190" i="64" s="1"/>
  <c r="Q190" i="64" s="1"/>
  <c r="R190" i="64" s="1"/>
  <c r="S190" i="64" s="1"/>
  <c r="T190" i="64" s="1"/>
  <c r="K164" i="64"/>
  <c r="L164" i="64" s="1"/>
  <c r="M164" i="64" s="1"/>
  <c r="N164" i="64" s="1"/>
  <c r="O164" i="64" s="1"/>
  <c r="P164" i="64" s="1"/>
  <c r="Q164" i="64" s="1"/>
  <c r="R164" i="64" s="1"/>
  <c r="S164" i="64" s="1"/>
  <c r="T164" i="64" s="1"/>
  <c r="K155" i="64"/>
  <c r="L155" i="64" s="1"/>
  <c r="M155" i="64" s="1"/>
  <c r="N155" i="64" s="1"/>
  <c r="O155" i="64" s="1"/>
  <c r="P155" i="64" s="1"/>
  <c r="Q155" i="64" s="1"/>
  <c r="R155" i="64" s="1"/>
  <c r="S155" i="64" s="1"/>
  <c r="T155" i="64" s="1"/>
  <c r="K141" i="64"/>
  <c r="L141" i="64" s="1"/>
  <c r="M141" i="64" s="1"/>
  <c r="N141" i="64" s="1"/>
  <c r="O141" i="64" s="1"/>
  <c r="P141" i="64" s="1"/>
  <c r="Q141" i="64" s="1"/>
  <c r="R141" i="64" s="1"/>
  <c r="S141" i="64" s="1"/>
  <c r="T141" i="64" s="1"/>
  <c r="G197" i="64"/>
  <c r="F197" i="64"/>
  <c r="D197" i="64"/>
  <c r="G196" i="64"/>
  <c r="F196" i="64"/>
  <c r="D196" i="64"/>
  <c r="G195" i="64"/>
  <c r="F195" i="64"/>
  <c r="D195" i="64"/>
  <c r="G194" i="64"/>
  <c r="F194" i="64"/>
  <c r="D194" i="64"/>
  <c r="G31" i="64"/>
  <c r="F31" i="64"/>
  <c r="E31" i="64"/>
  <c r="D31" i="64"/>
  <c r="G29" i="64"/>
  <c r="H30" i="64" s="1"/>
  <c r="F29" i="64"/>
  <c r="E29" i="64"/>
  <c r="D29" i="64"/>
  <c r="G27" i="64"/>
  <c r="F27" i="64"/>
  <c r="E27" i="64"/>
  <c r="D27" i="64"/>
  <c r="G26" i="64"/>
  <c r="F26" i="64"/>
  <c r="E26" i="64"/>
  <c r="D26" i="64"/>
  <c r="G25" i="64"/>
  <c r="F25" i="64"/>
  <c r="E25" i="64"/>
  <c r="D25" i="64"/>
  <c r="G24" i="64"/>
  <c r="F24" i="64"/>
  <c r="E24" i="64"/>
  <c r="D24" i="64"/>
  <c r="G22" i="64"/>
  <c r="F22" i="64"/>
  <c r="E22" i="64"/>
  <c r="D22" i="64"/>
  <c r="G19" i="64"/>
  <c r="H20" i="64" s="1"/>
  <c r="F19" i="64"/>
  <c r="E19" i="64"/>
  <c r="D19" i="64"/>
  <c r="G17" i="64"/>
  <c r="F17" i="64"/>
  <c r="E17" i="64"/>
  <c r="D17" i="64"/>
  <c r="G13" i="64"/>
  <c r="H14" i="64" s="1"/>
  <c r="F13" i="64"/>
  <c r="F15" i="64" s="1"/>
  <c r="E13" i="64"/>
  <c r="E15" i="64" s="1"/>
  <c r="D13" i="64"/>
  <c r="G11" i="64"/>
  <c r="H12" i="64" s="1"/>
  <c r="F11" i="64"/>
  <c r="E11" i="64"/>
  <c r="D11" i="64"/>
  <c r="F72" i="64"/>
  <c r="D72" i="64"/>
  <c r="B525" i="64"/>
  <c r="B502" i="64"/>
  <c r="F468" i="64"/>
  <c r="D468" i="64"/>
  <c r="F490" i="64"/>
  <c r="F436" i="64"/>
  <c r="D436" i="64"/>
  <c r="G489" i="64"/>
  <c r="F489" i="64"/>
  <c r="D489" i="64"/>
  <c r="D379" i="64"/>
  <c r="D382" i="64" s="1"/>
  <c r="G331" i="64"/>
  <c r="F331" i="64"/>
  <c r="D331" i="64"/>
  <c r="G315" i="64"/>
  <c r="K314" i="64"/>
  <c r="L314" i="64" s="1"/>
  <c r="M314" i="64" s="1"/>
  <c r="N314" i="64" s="1"/>
  <c r="O314" i="64" s="1"/>
  <c r="P314" i="64" s="1"/>
  <c r="Q314" i="64" s="1"/>
  <c r="R314" i="64" s="1"/>
  <c r="S314" i="64" s="1"/>
  <c r="T314" i="64" s="1"/>
  <c r="K309" i="64"/>
  <c r="L309" i="64" s="1"/>
  <c r="M309" i="64" s="1"/>
  <c r="N309" i="64" s="1"/>
  <c r="O309" i="64" s="1"/>
  <c r="P309" i="64" s="1"/>
  <c r="Q309" i="64" s="1"/>
  <c r="R309" i="64" s="1"/>
  <c r="S309" i="64" s="1"/>
  <c r="T309" i="64" s="1"/>
  <c r="K305" i="64"/>
  <c r="L305" i="64" s="1"/>
  <c r="M305" i="64" s="1"/>
  <c r="N305" i="64" s="1"/>
  <c r="O305" i="64" s="1"/>
  <c r="P305" i="64" s="1"/>
  <c r="Q305" i="64" s="1"/>
  <c r="R305" i="64" s="1"/>
  <c r="S305" i="64" s="1"/>
  <c r="T305" i="64" s="1"/>
  <c r="K301" i="64"/>
  <c r="L301" i="64" s="1"/>
  <c r="M301" i="64" s="1"/>
  <c r="N301" i="64" s="1"/>
  <c r="O301" i="64" s="1"/>
  <c r="P301" i="64" s="1"/>
  <c r="Q301" i="64" s="1"/>
  <c r="R301" i="64" s="1"/>
  <c r="S301" i="64" s="1"/>
  <c r="T301" i="64" s="1"/>
  <c r="D295" i="64"/>
  <c r="G294" i="64"/>
  <c r="F294" i="64"/>
  <c r="D272" i="64"/>
  <c r="G271" i="64"/>
  <c r="F271" i="64"/>
  <c r="D271" i="64"/>
  <c r="G262" i="64"/>
  <c r="D262" i="64"/>
  <c r="F248" i="64"/>
  <c r="F46" i="64" s="1"/>
  <c r="D240" i="64"/>
  <c r="G240" i="64"/>
  <c r="D294" i="64"/>
  <c r="D233" i="64"/>
  <c r="G226" i="64"/>
  <c r="F226" i="64"/>
  <c r="D226" i="64"/>
  <c r="D109" i="64"/>
  <c r="F215" i="64"/>
  <c r="F108" i="64" s="1"/>
  <c r="G215" i="64"/>
  <c r="G108" i="64" s="1"/>
  <c r="G114" i="64" s="1"/>
  <c r="D215" i="64"/>
  <c r="D108" i="64" s="1"/>
  <c r="F209" i="64"/>
  <c r="D209" i="64"/>
  <c r="B197" i="64"/>
  <c r="B196" i="64"/>
  <c r="B195" i="64"/>
  <c r="B194" i="64"/>
  <c r="G272" i="64"/>
  <c r="F272" i="64"/>
  <c r="G295" i="64"/>
  <c r="F295" i="64"/>
  <c r="F262" i="64"/>
  <c r="G151" i="64"/>
  <c r="G153" i="64" s="1"/>
  <c r="F151" i="64"/>
  <c r="F153" i="64" s="1"/>
  <c r="D151" i="64"/>
  <c r="D153" i="64" s="1"/>
  <c r="D133" i="64"/>
  <c r="F109" i="64"/>
  <c r="D104" i="64"/>
  <c r="G497" i="64"/>
  <c r="G499" i="64" s="1"/>
  <c r="F497" i="64"/>
  <c r="D497" i="64"/>
  <c r="F99" i="64"/>
  <c r="F100" i="64" s="1"/>
  <c r="D100" i="64"/>
  <c r="F87" i="64"/>
  <c r="D87" i="64"/>
  <c r="B66" i="64"/>
  <c r="B31" i="64"/>
  <c r="A30" i="64"/>
  <c r="B29" i="64"/>
  <c r="B27" i="64"/>
  <c r="B26" i="64"/>
  <c r="B25" i="64"/>
  <c r="B24" i="64"/>
  <c r="A23" i="64"/>
  <c r="B22" i="64"/>
  <c r="A20" i="64"/>
  <c r="B19" i="64"/>
  <c r="A18" i="64"/>
  <c r="B17" i="64"/>
  <c r="A14" i="64"/>
  <c r="B13" i="64"/>
  <c r="R202" i="64" l="1"/>
  <c r="Q199" i="68"/>
  <c r="N435" i="68"/>
  <c r="N134" i="68"/>
  <c r="Q21" i="68"/>
  <c r="Q18" i="68"/>
  <c r="V108" i="67"/>
  <c r="S200" i="64"/>
  <c r="M397" i="68"/>
  <c r="K140" i="68"/>
  <c r="K143" i="68" s="1"/>
  <c r="L138" i="68"/>
  <c r="L471" i="68" s="1"/>
  <c r="N14" i="68"/>
  <c r="N358" i="68"/>
  <c r="N298" i="68"/>
  <c r="N327" i="68" s="1"/>
  <c r="N128" i="68"/>
  <c r="N132" i="68"/>
  <c r="N130" i="68"/>
  <c r="N147" i="68"/>
  <c r="N370" i="68"/>
  <c r="N433" i="68"/>
  <c r="N430" i="68"/>
  <c r="N335" i="68"/>
  <c r="N367" i="68"/>
  <c r="M272" i="68"/>
  <c r="N142" i="68"/>
  <c r="N289" i="68"/>
  <c r="N345" i="68"/>
  <c r="N498" i="68" s="1"/>
  <c r="N306" i="68"/>
  <c r="N462" i="68"/>
  <c r="N396" i="68"/>
  <c r="N242" i="68"/>
  <c r="N361" i="68"/>
  <c r="N15" i="68"/>
  <c r="N139" i="68"/>
  <c r="N302" i="68"/>
  <c r="N434" i="68"/>
  <c r="N310" i="68"/>
  <c r="N131" i="68"/>
  <c r="N129" i="68"/>
  <c r="M487" i="68"/>
  <c r="M218" i="68"/>
  <c r="M336" i="68"/>
  <c r="M333" i="68"/>
  <c r="M510" i="68" s="1"/>
  <c r="N332" i="68"/>
  <c r="N333" i="68" s="1"/>
  <c r="N185" i="68"/>
  <c r="N272" i="68" s="1"/>
  <c r="M517" i="68"/>
  <c r="M187" i="68"/>
  <c r="M481" i="68" s="1"/>
  <c r="M172" i="68"/>
  <c r="O12" i="68"/>
  <c r="N446" i="68"/>
  <c r="N497" i="68" s="1"/>
  <c r="N505" i="68" s="1"/>
  <c r="O13" i="68"/>
  <c r="M497" i="68"/>
  <c r="M505" i="68" s="1"/>
  <c r="N394" i="68"/>
  <c r="N487" i="68" s="1"/>
  <c r="M156" i="68"/>
  <c r="L315" i="68"/>
  <c r="M498" i="68"/>
  <c r="M496" i="68"/>
  <c r="L478" i="68"/>
  <c r="M133" i="68"/>
  <c r="M135" i="68" s="1"/>
  <c r="M436" i="68"/>
  <c r="M219" i="68" s="1"/>
  <c r="M109" i="68" s="1"/>
  <c r="M57" i="68"/>
  <c r="N170" i="68"/>
  <c r="N171" i="68" s="1"/>
  <c r="N340" i="68"/>
  <c r="N181" i="68"/>
  <c r="N189" i="68" s="1"/>
  <c r="N192" i="68" s="1"/>
  <c r="L109" i="68"/>
  <c r="T25" i="67"/>
  <c r="AE211" i="66"/>
  <c r="AH52" i="66"/>
  <c r="AG212" i="66"/>
  <c r="AH140" i="66"/>
  <c r="AG222" i="66"/>
  <c r="S201" i="68"/>
  <c r="AH130" i="66"/>
  <c r="W83" i="67" s="1"/>
  <c r="AH33" i="66"/>
  <c r="AH170" i="66"/>
  <c r="W123" i="67" s="1"/>
  <c r="AG228" i="66"/>
  <c r="V11" i="67"/>
  <c r="T55" i="67"/>
  <c r="AE217" i="66"/>
  <c r="T40" i="67"/>
  <c r="AE214" i="66"/>
  <c r="S201" i="64"/>
  <c r="AH175" i="66"/>
  <c r="AG229" i="66"/>
  <c r="AH126" i="66"/>
  <c r="AG219" i="66"/>
  <c r="AH155" i="66"/>
  <c r="W108" i="67" s="1"/>
  <c r="AG225" i="66"/>
  <c r="V79" i="67"/>
  <c r="W79" i="67" s="1"/>
  <c r="V93" i="67"/>
  <c r="S200" i="68"/>
  <c r="AH42" i="66"/>
  <c r="AG210" i="66"/>
  <c r="T35" i="67"/>
  <c r="AE213" i="66"/>
  <c r="T85" i="67"/>
  <c r="AE220" i="66"/>
  <c r="AH135" i="66"/>
  <c r="W88" i="67" s="1"/>
  <c r="AG221" i="66"/>
  <c r="V30" i="67"/>
  <c r="AG224" i="66"/>
  <c r="AH150" i="66"/>
  <c r="W103" i="67" s="1"/>
  <c r="AH145" i="66"/>
  <c r="W98" i="67" s="1"/>
  <c r="AG223" i="66"/>
  <c r="S198" i="68"/>
  <c r="AH160" i="66"/>
  <c r="AG226" i="66"/>
  <c r="AH165" i="66"/>
  <c r="W118" i="67" s="1"/>
  <c r="AG227" i="66"/>
  <c r="V20" i="67"/>
  <c r="V128" i="67"/>
  <c r="L351" i="68"/>
  <c r="K450" i="68"/>
  <c r="L157" i="68"/>
  <c r="L84" i="68"/>
  <c r="M148" i="68"/>
  <c r="M84" i="68" s="1"/>
  <c r="K107" i="68"/>
  <c r="K41" i="68"/>
  <c r="L39" i="68"/>
  <c r="L510" i="68"/>
  <c r="L337" i="68"/>
  <c r="L37" i="68" s="1"/>
  <c r="K224" i="68"/>
  <c r="K240" i="68"/>
  <c r="K207" i="68"/>
  <c r="M238" i="68"/>
  <c r="M239" i="68" s="1"/>
  <c r="M240" i="68" s="1"/>
  <c r="R17" i="68"/>
  <c r="R199" i="68" s="1"/>
  <c r="K275" i="68"/>
  <c r="K276" i="68" s="1"/>
  <c r="L273" i="68"/>
  <c r="L88" i="68"/>
  <c r="L187" i="68"/>
  <c r="L481" i="68" s="1"/>
  <c r="L98" i="68"/>
  <c r="L38" i="68"/>
  <c r="M341" i="68"/>
  <c r="L505" i="68"/>
  <c r="L499" i="68"/>
  <c r="G425" i="64"/>
  <c r="S202" i="68"/>
  <c r="E492" i="64"/>
  <c r="E500" i="64" s="1"/>
  <c r="R180" i="68"/>
  <c r="AB49" i="67"/>
  <c r="Q262" i="68"/>
  <c r="Q265" i="68" s="1"/>
  <c r="Q268" i="68" s="1"/>
  <c r="R182" i="68"/>
  <c r="R177" i="68"/>
  <c r="Q11" i="68"/>
  <c r="P12" i="68"/>
  <c r="P176" i="68"/>
  <c r="O181" i="68"/>
  <c r="S179" i="68"/>
  <c r="L466" i="64"/>
  <c r="K522" i="64"/>
  <c r="J46" i="64"/>
  <c r="J484" i="64"/>
  <c r="J485" i="64" s="1"/>
  <c r="J492" i="64" s="1"/>
  <c r="J36" i="64"/>
  <c r="J91" i="64"/>
  <c r="J92" i="64" s="1"/>
  <c r="J93" i="64" s="1"/>
  <c r="G371" i="64"/>
  <c r="G372" i="64" s="1"/>
  <c r="E46" i="64"/>
  <c r="E51" i="64" s="1"/>
  <c r="E91" i="64"/>
  <c r="E92" i="64" s="1"/>
  <c r="E93" i="64" s="1"/>
  <c r="D425" i="64"/>
  <c r="E88" i="65"/>
  <c r="E95" i="65" s="1"/>
  <c r="E97" i="65" s="1"/>
  <c r="E99" i="65"/>
  <c r="E114" i="65" s="1"/>
  <c r="F88" i="65"/>
  <c r="F95" i="65" s="1"/>
  <c r="F99" i="65"/>
  <c r="F114" i="65" s="1"/>
  <c r="D88" i="65"/>
  <c r="D95" i="65" s="1"/>
  <c r="D97" i="65" s="1"/>
  <c r="D99" i="65"/>
  <c r="D114" i="65" s="1"/>
  <c r="H36" i="64"/>
  <c r="I36" i="64"/>
  <c r="D166" i="64"/>
  <c r="G166" i="64"/>
  <c r="F166" i="64"/>
  <c r="K279" i="64"/>
  <c r="AC62" i="67"/>
  <c r="T13" i="67"/>
  <c r="AE205" i="66"/>
  <c r="T60" i="67"/>
  <c r="T15" i="67"/>
  <c r="AE206" i="66"/>
  <c r="G274" i="64"/>
  <c r="G336" i="65"/>
  <c r="D274" i="64"/>
  <c r="D275" i="64" s="1"/>
  <c r="F425" i="64"/>
  <c r="F274" i="64"/>
  <c r="F275" i="64" s="1"/>
  <c r="T50" i="67"/>
  <c r="K283" i="64"/>
  <c r="I91" i="64"/>
  <c r="I92" i="64" s="1"/>
  <c r="I93" i="64" s="1"/>
  <c r="T45" i="67"/>
  <c r="R6" i="67"/>
  <c r="S19" i="64"/>
  <c r="S202" i="64" s="1"/>
  <c r="R20" i="64"/>
  <c r="I484" i="64"/>
  <c r="I485" i="64" s="1"/>
  <c r="I492" i="64" s="1"/>
  <c r="I49" i="64" s="1"/>
  <c r="F14" i="64"/>
  <c r="G88" i="65"/>
  <c r="F21" i="64"/>
  <c r="M512" i="64"/>
  <c r="Q110" i="64"/>
  <c r="F12" i="64"/>
  <c r="R111" i="64"/>
  <c r="F18" i="64"/>
  <c r="F20" i="64"/>
  <c r="K512" i="64"/>
  <c r="O512" i="64"/>
  <c r="W92" i="67"/>
  <c r="R5" i="67"/>
  <c r="R17" i="64"/>
  <c r="AF132" i="66"/>
  <c r="AF220" i="66" s="1"/>
  <c r="N512" i="64"/>
  <c r="F23" i="64"/>
  <c r="E12" i="64"/>
  <c r="F30" i="64"/>
  <c r="G23" i="64"/>
  <c r="H23" i="64"/>
  <c r="G21" i="64"/>
  <c r="H18" i="64"/>
  <c r="H484" i="64"/>
  <c r="F264" i="64"/>
  <c r="F265" i="64" s="1"/>
  <c r="F267" i="64" s="1"/>
  <c r="R2" i="64"/>
  <c r="G18" i="64"/>
  <c r="T10" i="67"/>
  <c r="S76" i="67"/>
  <c r="S78" i="67"/>
  <c r="S4" i="67" s="1"/>
  <c r="R144" i="67"/>
  <c r="AF67" i="66"/>
  <c r="AF215" i="66" s="1"/>
  <c r="AF57" i="66"/>
  <c r="AF77" i="66"/>
  <c r="AF35" i="66"/>
  <c r="AF208" i="66" s="1"/>
  <c r="AE6" i="66"/>
  <c r="AE203" i="66"/>
  <c r="T198" i="64" s="1"/>
  <c r="AF82" i="66"/>
  <c r="AF218" i="66" s="1"/>
  <c r="AF47" i="66"/>
  <c r="AF72" i="66"/>
  <c r="AF216" i="66" s="1"/>
  <c r="AF37" i="66"/>
  <c r="AF209" i="66" s="1"/>
  <c r="AF62" i="66"/>
  <c r="AI38" i="66"/>
  <c r="X16" i="67" s="1"/>
  <c r="AG32" i="66"/>
  <c r="AH58" i="66"/>
  <c r="W36" i="67" s="1"/>
  <c r="AJ141" i="66"/>
  <c r="Y94" i="67" s="1"/>
  <c r="AK128" i="66"/>
  <c r="Z81" i="67" s="1"/>
  <c r="AI139" i="66"/>
  <c r="AI73" i="66"/>
  <c r="X51" i="67" s="1"/>
  <c r="AO84" i="66"/>
  <c r="AN50" i="66"/>
  <c r="AC28" i="67" s="1"/>
  <c r="AN71" i="66"/>
  <c r="E14" i="64"/>
  <c r="E20" i="64"/>
  <c r="E30" i="64"/>
  <c r="H331" i="64"/>
  <c r="Q2" i="64"/>
  <c r="K111" i="64"/>
  <c r="N2" i="64"/>
  <c r="P111" i="64"/>
  <c r="L111" i="64"/>
  <c r="H271" i="64"/>
  <c r="H324" i="64" s="1"/>
  <c r="M2" i="64"/>
  <c r="O111" i="64"/>
  <c r="D134" i="64"/>
  <c r="D135" i="64" s="1"/>
  <c r="D114" i="64"/>
  <c r="D296" i="64"/>
  <c r="D297" i="64" s="1"/>
  <c r="D333" i="64"/>
  <c r="D340" i="64" s="1"/>
  <c r="G264" i="64"/>
  <c r="F296" i="64"/>
  <c r="F297" i="64" s="1"/>
  <c r="G296" i="64"/>
  <c r="K296" i="64" s="1"/>
  <c r="L296" i="64" s="1"/>
  <c r="M296" i="64" s="1"/>
  <c r="N296" i="64" s="1"/>
  <c r="O296" i="64" s="1"/>
  <c r="P296" i="64" s="1"/>
  <c r="Q296" i="64" s="1"/>
  <c r="R296" i="64" s="1"/>
  <c r="S296" i="64" s="1"/>
  <c r="T296" i="64" s="1"/>
  <c r="F333" i="64"/>
  <c r="E18" i="64"/>
  <c r="G30" i="64"/>
  <c r="G87" i="64"/>
  <c r="F114" i="64"/>
  <c r="G14" i="64"/>
  <c r="G15" i="64"/>
  <c r="D21" i="64"/>
  <c r="G12" i="64"/>
  <c r="G20" i="64"/>
  <c r="E23" i="64"/>
  <c r="F104" i="64"/>
  <c r="G181" i="64"/>
  <c r="G188" i="64" s="1"/>
  <c r="K256" i="64"/>
  <c r="D15" i="64"/>
  <c r="F352" i="64"/>
  <c r="F152" i="64"/>
  <c r="K2" i="64"/>
  <c r="O2" i="64"/>
  <c r="E21" i="64"/>
  <c r="G352" i="64"/>
  <c r="M111" i="64"/>
  <c r="Q111" i="64"/>
  <c r="D152" i="64"/>
  <c r="D181" i="64"/>
  <c r="D188" i="64" s="1"/>
  <c r="D264" i="64"/>
  <c r="D324" i="64" s="1"/>
  <c r="F259" i="64"/>
  <c r="D291" i="64"/>
  <c r="L2" i="64"/>
  <c r="P2" i="64"/>
  <c r="D352" i="64"/>
  <c r="N111" i="64"/>
  <c r="G152" i="64"/>
  <c r="F240" i="64"/>
  <c r="G291" i="64"/>
  <c r="E108" i="64"/>
  <c r="E114" i="64" s="1"/>
  <c r="D248" i="64"/>
  <c r="D46" i="64" s="1"/>
  <c r="G248" i="64"/>
  <c r="G46" i="64" s="1"/>
  <c r="F315" i="64"/>
  <c r="F181" i="64"/>
  <c r="F188" i="64" s="1"/>
  <c r="G209" i="64"/>
  <c r="G233" i="64"/>
  <c r="F291" i="64"/>
  <c r="F233" i="64"/>
  <c r="G259" i="64"/>
  <c r="D315" i="64"/>
  <c r="D259" i="64"/>
  <c r="G333" i="64"/>
  <c r="G340" i="64" s="1"/>
  <c r="F379" i="64"/>
  <c r="F449" i="64"/>
  <c r="F451" i="64" s="1"/>
  <c r="F463" i="64"/>
  <c r="F55" i="64" s="1"/>
  <c r="G436" i="64"/>
  <c r="G468" i="64"/>
  <c r="G490" i="64"/>
  <c r="G491" i="64" s="1"/>
  <c r="G449" i="64"/>
  <c r="G451" i="64" s="1"/>
  <c r="D463" i="64"/>
  <c r="D55" i="64" s="1"/>
  <c r="D449" i="64"/>
  <c r="D451" i="64" s="1"/>
  <c r="G463" i="64"/>
  <c r="D499" i="64"/>
  <c r="D491" i="64"/>
  <c r="F491" i="64"/>
  <c r="F499" i="64"/>
  <c r="W11" i="67" l="1"/>
  <c r="R21" i="68"/>
  <c r="W20" i="67"/>
  <c r="W93" i="67"/>
  <c r="T201" i="68"/>
  <c r="T198" i="68"/>
  <c r="T200" i="64"/>
  <c r="N397" i="68"/>
  <c r="N315" i="68"/>
  <c r="N316" i="68" s="1"/>
  <c r="N116" i="68"/>
  <c r="N496" i="68"/>
  <c r="N499" i="68" s="1"/>
  <c r="M138" i="68"/>
  <c r="N138" i="68" s="1"/>
  <c r="N133" i="68"/>
  <c r="N135" i="68" s="1"/>
  <c r="N478" i="68"/>
  <c r="O131" i="68"/>
  <c r="N436" i="68"/>
  <c r="N219" i="68" s="1"/>
  <c r="N96" i="68" s="1"/>
  <c r="N156" i="68"/>
  <c r="N336" i="68"/>
  <c r="N337" i="68" s="1"/>
  <c r="L140" i="68"/>
  <c r="L143" i="68" s="1"/>
  <c r="N57" i="68"/>
  <c r="N218" i="68"/>
  <c r="N101" i="68"/>
  <c r="R18" i="68"/>
  <c r="O396" i="68"/>
  <c r="M337" i="68"/>
  <c r="M37" i="68" s="1"/>
  <c r="M39" i="68"/>
  <c r="N517" i="68"/>
  <c r="N172" i="68"/>
  <c r="N77" i="68"/>
  <c r="O430" i="68"/>
  <c r="O139" i="68"/>
  <c r="M157" i="68"/>
  <c r="O358" i="68"/>
  <c r="O310" i="68"/>
  <c r="O147" i="68"/>
  <c r="O345" i="68"/>
  <c r="O498" i="68" s="1"/>
  <c r="N83" i="68"/>
  <c r="O462" i="68"/>
  <c r="O289" i="68"/>
  <c r="O142" i="68"/>
  <c r="O361" i="68"/>
  <c r="O433" i="68"/>
  <c r="O302" i="68"/>
  <c r="O446" i="68"/>
  <c r="O101" i="68" s="1"/>
  <c r="P13" i="68"/>
  <c r="P14" i="68" s="1"/>
  <c r="O185" i="68"/>
  <c r="O272" i="68" s="1"/>
  <c r="O367" i="68"/>
  <c r="O129" i="68"/>
  <c r="M351" i="68"/>
  <c r="O340" i="68"/>
  <c r="O514" i="68" s="1"/>
  <c r="O298" i="68"/>
  <c r="O327" i="68" s="1"/>
  <c r="O128" i="68"/>
  <c r="O394" i="68"/>
  <c r="O487" i="68" s="1"/>
  <c r="O15" i="68"/>
  <c r="O134" i="68"/>
  <c r="O370" i="68"/>
  <c r="O132" i="68"/>
  <c r="P132" i="68" s="1"/>
  <c r="O242" i="68"/>
  <c r="O332" i="68"/>
  <c r="O517" i="68" s="1"/>
  <c r="O335" i="68"/>
  <c r="O14" i="68"/>
  <c r="O434" i="68"/>
  <c r="O130" i="68"/>
  <c r="O306" i="68"/>
  <c r="O435" i="68"/>
  <c r="P435" i="68" s="1"/>
  <c r="M499" i="68"/>
  <c r="N514" i="68"/>
  <c r="M315" i="68"/>
  <c r="M323" i="68" s="1"/>
  <c r="M83" i="68"/>
  <c r="M478" i="68"/>
  <c r="N148" i="68"/>
  <c r="N84" i="68" s="1"/>
  <c r="L316" i="68"/>
  <c r="L323" i="68"/>
  <c r="O170" i="68"/>
  <c r="M96" i="68"/>
  <c r="N183" i="68"/>
  <c r="N186" i="68" s="1"/>
  <c r="N88" i="68" s="1"/>
  <c r="L107" i="68"/>
  <c r="L207" i="68"/>
  <c r="AI165" i="66"/>
  <c r="AH227" i="66"/>
  <c r="AI126" i="66"/>
  <c r="AH219" i="66"/>
  <c r="T201" i="64"/>
  <c r="AI33" i="66"/>
  <c r="U40" i="67"/>
  <c r="AF214" i="66"/>
  <c r="AH224" i="66"/>
  <c r="AI150" i="66"/>
  <c r="AI135" i="66"/>
  <c r="AH221" i="66"/>
  <c r="X118" i="67"/>
  <c r="AI52" i="66"/>
  <c r="AH212" i="66"/>
  <c r="U55" i="67"/>
  <c r="AF217" i="66"/>
  <c r="U35" i="67"/>
  <c r="AF213" i="66"/>
  <c r="W128" i="67"/>
  <c r="W30" i="67"/>
  <c r="AI42" i="66"/>
  <c r="X20" i="67" s="1"/>
  <c r="AH210" i="66"/>
  <c r="AI130" i="66"/>
  <c r="AI140" i="66"/>
  <c r="AH222" i="66"/>
  <c r="U25" i="67"/>
  <c r="AF211" i="66"/>
  <c r="S175" i="68"/>
  <c r="T175" i="68" s="1"/>
  <c r="S178" i="68"/>
  <c r="AI160" i="66"/>
  <c r="AH226" i="66"/>
  <c r="AI145" i="66"/>
  <c r="X98" i="67" s="1"/>
  <c r="AH223" i="66"/>
  <c r="T200" i="68"/>
  <c r="AI155" i="66"/>
  <c r="AH225" i="66"/>
  <c r="AI175" i="66"/>
  <c r="AH229" i="66"/>
  <c r="AI170" i="66"/>
  <c r="AH228" i="66"/>
  <c r="W113" i="67"/>
  <c r="L450" i="68"/>
  <c r="L477" i="68" s="1"/>
  <c r="L82" i="68" s="1"/>
  <c r="K477" i="68"/>
  <c r="M98" i="68"/>
  <c r="M38" i="68"/>
  <c r="K326" i="68"/>
  <c r="N341" i="68"/>
  <c r="S17" i="68"/>
  <c r="N238" i="68"/>
  <c r="N239" i="68" s="1"/>
  <c r="N240" i="68" s="1"/>
  <c r="L275" i="68"/>
  <c r="L276" i="68" s="1"/>
  <c r="K103" i="68"/>
  <c r="L41" i="68"/>
  <c r="M273" i="68"/>
  <c r="S199" i="68"/>
  <c r="AC49" i="67"/>
  <c r="O189" i="68"/>
  <c r="O192" i="68" s="1"/>
  <c r="O183" i="68"/>
  <c r="N510" i="68"/>
  <c r="Q176" i="68"/>
  <c r="P181" i="68"/>
  <c r="S180" i="68"/>
  <c r="T19" i="68"/>
  <c r="T20" i="68" s="1"/>
  <c r="T179" i="68" s="1"/>
  <c r="T19" i="64"/>
  <c r="S18" i="68"/>
  <c r="S21" i="68"/>
  <c r="S177" i="68"/>
  <c r="R262" i="68"/>
  <c r="R265" i="68" s="1"/>
  <c r="R268" i="68" s="1"/>
  <c r="S182" i="68"/>
  <c r="R11" i="68"/>
  <c r="Q12" i="68"/>
  <c r="M466" i="64"/>
  <c r="L522" i="64"/>
  <c r="J123" i="64"/>
  <c r="J105" i="64"/>
  <c r="J40" i="64"/>
  <c r="J42" i="64"/>
  <c r="J44" i="64"/>
  <c r="J49" i="64"/>
  <c r="J500" i="64"/>
  <c r="F337" i="64"/>
  <c r="F107" i="64" s="1"/>
  <c r="F340" i="64"/>
  <c r="D394" i="64"/>
  <c r="E407" i="64"/>
  <c r="J51" i="64"/>
  <c r="J47" i="64"/>
  <c r="J48" i="64"/>
  <c r="E55" i="64"/>
  <c r="I105" i="64"/>
  <c r="I123" i="64"/>
  <c r="E105" i="64"/>
  <c r="I44" i="64"/>
  <c r="H44" i="64"/>
  <c r="K257" i="64"/>
  <c r="S20" i="64"/>
  <c r="AD62" i="67"/>
  <c r="U50" i="67"/>
  <c r="K165" i="64"/>
  <c r="L165" i="64" s="1"/>
  <c r="K320" i="64"/>
  <c r="K25" i="64"/>
  <c r="K440" i="64"/>
  <c r="F172" i="64"/>
  <c r="D172" i="64"/>
  <c r="G169" i="64"/>
  <c r="K381" i="64"/>
  <c r="K319" i="64"/>
  <c r="D169" i="64"/>
  <c r="F169" i="64"/>
  <c r="K443" i="64"/>
  <c r="K467" i="64"/>
  <c r="G172" i="64"/>
  <c r="L279" i="64"/>
  <c r="M279" i="64" s="1"/>
  <c r="N279" i="64" s="1"/>
  <c r="O279" i="64" s="1"/>
  <c r="P279" i="64" s="1"/>
  <c r="Q279" i="64" s="1"/>
  <c r="R279" i="64" s="1"/>
  <c r="S279" i="64" s="1"/>
  <c r="T279" i="64" s="1"/>
  <c r="K280" i="64"/>
  <c r="K258" i="64"/>
  <c r="U45" i="67"/>
  <c r="U60" i="67"/>
  <c r="U15" i="67"/>
  <c r="AF206" i="66"/>
  <c r="U13" i="67"/>
  <c r="AF205" i="66"/>
  <c r="H336" i="65"/>
  <c r="F97" i="65"/>
  <c r="G95" i="65"/>
  <c r="L283" i="64"/>
  <c r="K284" i="64"/>
  <c r="S17" i="64"/>
  <c r="D366" i="64"/>
  <c r="F366" i="64"/>
  <c r="I500" i="64"/>
  <c r="N110" i="64"/>
  <c r="O110" i="64"/>
  <c r="K110" i="64"/>
  <c r="F324" i="64"/>
  <c r="S5" i="67"/>
  <c r="S6" i="67"/>
  <c r="R18" i="64"/>
  <c r="R21" i="64"/>
  <c r="AG132" i="66"/>
  <c r="AG220" i="66" s="1"/>
  <c r="U85" i="67"/>
  <c r="Q512" i="64"/>
  <c r="M110" i="64"/>
  <c r="H333" i="64"/>
  <c r="H340" i="64" s="1"/>
  <c r="H275" i="64"/>
  <c r="H51" i="64" s="1"/>
  <c r="H152" i="64"/>
  <c r="T78" i="67"/>
  <c r="S144" i="67"/>
  <c r="U10" i="67"/>
  <c r="T76" i="67"/>
  <c r="T4" i="67"/>
  <c r="X92" i="67"/>
  <c r="AF6" i="66"/>
  <c r="AG35" i="66"/>
  <c r="AG208" i="66" s="1"/>
  <c r="AG62" i="66"/>
  <c r="AG67" i="66"/>
  <c r="AG215" i="66" s="1"/>
  <c r="AG72" i="66"/>
  <c r="AG216" i="66" s="1"/>
  <c r="AG47" i="66"/>
  <c r="AG37" i="66"/>
  <c r="AG209" i="66" s="1"/>
  <c r="AF203" i="66"/>
  <c r="AG82" i="66"/>
  <c r="AG218" i="66" s="1"/>
  <c r="AG77" i="66"/>
  <c r="AG57" i="66"/>
  <c r="AI58" i="66"/>
  <c r="X36" i="67" s="1"/>
  <c r="AH32" i="66"/>
  <c r="AJ38" i="66"/>
  <c r="Y16" i="67" s="1"/>
  <c r="AO71" i="66"/>
  <c r="AD49" i="67" s="1"/>
  <c r="AP84" i="66"/>
  <c r="AJ73" i="66"/>
  <c r="Y51" i="67" s="1"/>
  <c r="AJ139" i="66"/>
  <c r="AO50" i="66"/>
  <c r="AD28" i="67" s="1"/>
  <c r="AL128" i="66"/>
  <c r="AA81" i="67" s="1"/>
  <c r="AK141" i="66"/>
  <c r="Z94" i="67" s="1"/>
  <c r="G234" i="64"/>
  <c r="G265" i="64"/>
  <c r="G267" i="64" s="1"/>
  <c r="G324" i="64"/>
  <c r="G55" i="64"/>
  <c r="D74" i="64"/>
  <c r="D78" i="64" s="1"/>
  <c r="D337" i="64"/>
  <c r="D107" i="64" s="1"/>
  <c r="K237" i="64"/>
  <c r="G337" i="64"/>
  <c r="F268" i="64"/>
  <c r="E36" i="64"/>
  <c r="G353" i="64"/>
  <c r="E49" i="64"/>
  <c r="G484" i="64"/>
  <c r="G485" i="64" s="1"/>
  <c r="G492" i="64" s="1"/>
  <c r="G49" i="64" s="1"/>
  <c r="G91" i="64"/>
  <c r="G92" i="64" s="1"/>
  <c r="G93" i="64" s="1"/>
  <c r="H91" i="64"/>
  <c r="D452" i="64"/>
  <c r="D63" i="64" s="1"/>
  <c r="F183" i="64"/>
  <c r="F186" i="64" s="1"/>
  <c r="F36" i="64" s="1"/>
  <c r="F323" i="64"/>
  <c r="D353" i="64"/>
  <c r="P512" i="64"/>
  <c r="P110" i="64"/>
  <c r="G275" i="64"/>
  <c r="D323" i="64"/>
  <c r="D189" i="64"/>
  <c r="D191" i="64" s="1"/>
  <c r="D183" i="64"/>
  <c r="D186" i="64" s="1"/>
  <c r="D36" i="64" s="1"/>
  <c r="D484" i="64"/>
  <c r="D485" i="64" s="1"/>
  <c r="D492" i="64" s="1"/>
  <c r="D49" i="64" s="1"/>
  <c r="D91" i="64"/>
  <c r="D92" i="64" s="1"/>
  <c r="D93" i="64" s="1"/>
  <c r="G297" i="64"/>
  <c r="F353" i="64"/>
  <c r="G189" i="64"/>
  <c r="G191" i="64" s="1"/>
  <c r="K191" i="64" s="1"/>
  <c r="L191" i="64" s="1"/>
  <c r="M191" i="64" s="1"/>
  <c r="N191" i="64" s="1"/>
  <c r="O191" i="64" s="1"/>
  <c r="P191" i="64" s="1"/>
  <c r="Q191" i="64" s="1"/>
  <c r="R191" i="64" s="1"/>
  <c r="S191" i="64" s="1"/>
  <c r="T191" i="64" s="1"/>
  <c r="G183" i="64"/>
  <c r="G186" i="64" s="1"/>
  <c r="G36" i="64" s="1"/>
  <c r="F74" i="64"/>
  <c r="F78" i="64" s="1"/>
  <c r="E63" i="64"/>
  <c r="F452" i="64"/>
  <c r="F63" i="64" s="1"/>
  <c r="L512" i="64"/>
  <c r="L110" i="64"/>
  <c r="D265" i="64"/>
  <c r="D267" i="64" s="1"/>
  <c r="L256" i="64"/>
  <c r="F484" i="64"/>
  <c r="F485" i="64" s="1"/>
  <c r="F492" i="64" s="1"/>
  <c r="F49" i="64" s="1"/>
  <c r="F91" i="64"/>
  <c r="F92" i="64" s="1"/>
  <c r="F93" i="64" s="1"/>
  <c r="G51" i="64" l="1"/>
  <c r="M471" i="68"/>
  <c r="N323" i="68"/>
  <c r="N273" i="68"/>
  <c r="N275" i="68" s="1"/>
  <c r="T178" i="68"/>
  <c r="X113" i="67"/>
  <c r="X30" i="67"/>
  <c r="AE62" i="67"/>
  <c r="N351" i="68"/>
  <c r="N39" i="68"/>
  <c r="N107" i="68" s="1"/>
  <c r="O218" i="68"/>
  <c r="O336" i="68"/>
  <c r="N157" i="68"/>
  <c r="O156" i="68"/>
  <c r="M140" i="68"/>
  <c r="M143" i="68" s="1"/>
  <c r="M107" i="68"/>
  <c r="O397" i="68"/>
  <c r="K82" i="68"/>
  <c r="O116" i="68"/>
  <c r="O148" i="68"/>
  <c r="O84" i="68" s="1"/>
  <c r="O333" i="68"/>
  <c r="O510" i="68" s="1"/>
  <c r="P345" i="68"/>
  <c r="P498" i="68" s="1"/>
  <c r="M316" i="68"/>
  <c r="O57" i="68"/>
  <c r="O496" i="68"/>
  <c r="P430" i="68"/>
  <c r="P446" i="68"/>
  <c r="P497" i="68" s="1"/>
  <c r="P505" i="68" s="1"/>
  <c r="P367" i="68"/>
  <c r="P358" i="68"/>
  <c r="Q13" i="68"/>
  <c r="P147" i="68"/>
  <c r="P139" i="68"/>
  <c r="P433" i="68"/>
  <c r="P15" i="68"/>
  <c r="P332" i="68"/>
  <c r="P517" i="68" s="1"/>
  <c r="O133" i="68"/>
  <c r="O135" i="68" s="1"/>
  <c r="O273" i="68" s="1"/>
  <c r="O275" i="68" s="1"/>
  <c r="P170" i="68"/>
  <c r="P434" i="68"/>
  <c r="P242" i="68"/>
  <c r="P462" i="68"/>
  <c r="P310" i="68"/>
  <c r="P340" i="68"/>
  <c r="P130" i="68"/>
  <c r="P396" i="68"/>
  <c r="P302" i="68"/>
  <c r="O83" i="68"/>
  <c r="P129" i="68"/>
  <c r="P142" i="68"/>
  <c r="P289" i="68"/>
  <c r="P370" i="68"/>
  <c r="P306" i="68"/>
  <c r="P335" i="68"/>
  <c r="O77" i="68"/>
  <c r="P361" i="68"/>
  <c r="P128" i="68"/>
  <c r="O186" i="68"/>
  <c r="O187" i="68" s="1"/>
  <c r="O481" i="68" s="1"/>
  <c r="P298" i="68"/>
  <c r="P327" i="68" s="1"/>
  <c r="P131" i="68"/>
  <c r="P134" i="68"/>
  <c r="P394" i="68"/>
  <c r="O497" i="68"/>
  <c r="O505" i="68" s="1"/>
  <c r="P185" i="68"/>
  <c r="P272" i="68" s="1"/>
  <c r="O341" i="68"/>
  <c r="O436" i="68"/>
  <c r="O219" i="68" s="1"/>
  <c r="O96" i="68" s="1"/>
  <c r="O171" i="68"/>
  <c r="O172" i="68" s="1"/>
  <c r="N109" i="68"/>
  <c r="N187" i="68"/>
  <c r="N481" i="68" s="1"/>
  <c r="AJ170" i="66"/>
  <c r="AI228" i="66"/>
  <c r="AJ140" i="66"/>
  <c r="AI222" i="66"/>
  <c r="AJ33" i="66"/>
  <c r="AJ126" i="66"/>
  <c r="AI219" i="66"/>
  <c r="AJ160" i="66"/>
  <c r="AI226" i="66"/>
  <c r="AJ130" i="66"/>
  <c r="AJ42" i="66"/>
  <c r="AI210" i="66"/>
  <c r="AJ52" i="66"/>
  <c r="AI212" i="66"/>
  <c r="X11" i="67"/>
  <c r="X79" i="67"/>
  <c r="AJ155" i="66"/>
  <c r="AI225" i="66"/>
  <c r="X93" i="67"/>
  <c r="V35" i="67"/>
  <c r="AG213" i="66"/>
  <c r="V25" i="67"/>
  <c r="AG211" i="66"/>
  <c r="Y113" i="67"/>
  <c r="AJ175" i="66"/>
  <c r="AI229" i="66"/>
  <c r="Y20" i="67"/>
  <c r="AJ135" i="66"/>
  <c r="AI221" i="66"/>
  <c r="X123" i="67"/>
  <c r="T20" i="64"/>
  <c r="V55" i="67"/>
  <c r="AG217" i="66"/>
  <c r="V40" i="67"/>
  <c r="AG214" i="66"/>
  <c r="AJ145" i="66"/>
  <c r="AI223" i="66"/>
  <c r="X83" i="67"/>
  <c r="Y83" i="67" s="1"/>
  <c r="X128" i="67"/>
  <c r="Y128" i="67" s="1"/>
  <c r="X108" i="67"/>
  <c r="Y108" i="67" s="1"/>
  <c r="X103" i="67"/>
  <c r="AI224" i="66"/>
  <c r="AJ150" i="66"/>
  <c r="AJ165" i="66"/>
  <c r="AI227" i="66"/>
  <c r="X88" i="67"/>
  <c r="M275" i="68"/>
  <c r="M276" i="68" s="1"/>
  <c r="N38" i="68"/>
  <c r="N98" i="68"/>
  <c r="L103" i="68"/>
  <c r="M41" i="68"/>
  <c r="L326" i="68"/>
  <c r="L328" i="68" s="1"/>
  <c r="O238" i="68"/>
  <c r="O239" i="68" s="1"/>
  <c r="O240" i="68" s="1"/>
  <c r="K328" i="68"/>
  <c r="M450" i="68"/>
  <c r="M477" i="68" s="1"/>
  <c r="M82" i="68" s="1"/>
  <c r="T202" i="64"/>
  <c r="T202" i="68"/>
  <c r="V50" i="67"/>
  <c r="T177" i="68"/>
  <c r="S262" i="68"/>
  <c r="S265" i="68" s="1"/>
  <c r="S268" i="68" s="1"/>
  <c r="T182" i="68"/>
  <c r="T17" i="68"/>
  <c r="T199" i="68" s="1"/>
  <c r="T17" i="64"/>
  <c r="P183" i="68"/>
  <c r="P189" i="68"/>
  <c r="P192" i="68" s="1"/>
  <c r="R12" i="68"/>
  <c r="S11" i="68"/>
  <c r="R176" i="68"/>
  <c r="Q181" i="68"/>
  <c r="O315" i="68"/>
  <c r="N37" i="68"/>
  <c r="N466" i="64"/>
  <c r="M522" i="64"/>
  <c r="F37" i="64"/>
  <c r="J43" i="64"/>
  <c r="J50" i="64"/>
  <c r="J124" i="64"/>
  <c r="E394" i="64"/>
  <c r="E392" i="64"/>
  <c r="G37" i="64"/>
  <c r="G107" i="64"/>
  <c r="G123" i="64" s="1"/>
  <c r="G105" i="64"/>
  <c r="E37" i="64"/>
  <c r="E107" i="64"/>
  <c r="E123" i="64" s="1"/>
  <c r="L257" i="64"/>
  <c r="D51" i="64"/>
  <c r="D37" i="64"/>
  <c r="S21" i="64"/>
  <c r="L280" i="64"/>
  <c r="M280" i="64" s="1"/>
  <c r="N280" i="64" s="1"/>
  <c r="O280" i="64" s="1"/>
  <c r="P280" i="64" s="1"/>
  <c r="Q280" i="64" s="1"/>
  <c r="R280" i="64" s="1"/>
  <c r="S280" i="64" s="1"/>
  <c r="T280" i="64" s="1"/>
  <c r="V45" i="67"/>
  <c r="L467" i="64"/>
  <c r="F171" i="64"/>
  <c r="D171" i="64"/>
  <c r="L381" i="64"/>
  <c r="L320" i="64"/>
  <c r="H169" i="64"/>
  <c r="M165" i="64"/>
  <c r="L443" i="64"/>
  <c r="L319" i="64"/>
  <c r="G171" i="64"/>
  <c r="L440" i="64"/>
  <c r="L25" i="64"/>
  <c r="L258" i="64"/>
  <c r="K264" i="64"/>
  <c r="V60" i="67"/>
  <c r="V13" i="67"/>
  <c r="AG205" i="66"/>
  <c r="V15" i="67"/>
  <c r="AG206" i="66"/>
  <c r="I336" i="65"/>
  <c r="J336" i="65" s="1"/>
  <c r="G97" i="65"/>
  <c r="G154" i="64"/>
  <c r="F407" i="64"/>
  <c r="G407" i="64" s="1"/>
  <c r="H407" i="64" s="1"/>
  <c r="I407" i="64" s="1"/>
  <c r="J407" i="64" s="1"/>
  <c r="D154" i="64"/>
  <c r="D79" i="64"/>
  <c r="F79" i="64"/>
  <c r="M283" i="64"/>
  <c r="L284" i="64"/>
  <c r="S18" i="64"/>
  <c r="K24" i="64"/>
  <c r="T5" i="67"/>
  <c r="T6" i="67"/>
  <c r="V85" i="67"/>
  <c r="Y92" i="67"/>
  <c r="AH132" i="66"/>
  <c r="AH220" i="66" s="1"/>
  <c r="G268" i="64"/>
  <c r="H337" i="64"/>
  <c r="K274" i="64"/>
  <c r="L274" i="64" s="1"/>
  <c r="M274" i="64" s="1"/>
  <c r="N274" i="64" s="1"/>
  <c r="O274" i="64" s="1"/>
  <c r="P274" i="64" s="1"/>
  <c r="Q274" i="64" s="1"/>
  <c r="R274" i="64" s="1"/>
  <c r="S274" i="64" s="1"/>
  <c r="T274" i="64" s="1"/>
  <c r="H323" i="64"/>
  <c r="U76" i="67"/>
  <c r="V10" i="67"/>
  <c r="T144" i="67"/>
  <c r="U78" i="67"/>
  <c r="AG6" i="66"/>
  <c r="AH57" i="66"/>
  <c r="AH37" i="66"/>
  <c r="AH209" i="66" s="1"/>
  <c r="AH47" i="66"/>
  <c r="AG203" i="66"/>
  <c r="AH82" i="66"/>
  <c r="AH218" i="66" s="1"/>
  <c r="AH72" i="66"/>
  <c r="AH216" i="66" s="1"/>
  <c r="AH67" i="66"/>
  <c r="AH62" i="66"/>
  <c r="AH77" i="66"/>
  <c r="AH35" i="66"/>
  <c r="AH208" i="66" s="1"/>
  <c r="AI32" i="66"/>
  <c r="AJ58" i="66"/>
  <c r="Y36" i="67" s="1"/>
  <c r="AK38" i="66"/>
  <c r="Z16" i="67" s="1"/>
  <c r="AL141" i="66"/>
  <c r="AA94" i="67" s="1"/>
  <c r="AP50" i="66"/>
  <c r="AE28" i="67" s="1"/>
  <c r="AQ84" i="66"/>
  <c r="AF62" i="67" s="1"/>
  <c r="AM128" i="66"/>
  <c r="AB81" i="67" s="1"/>
  <c r="AK139" i="66"/>
  <c r="AK73" i="66"/>
  <c r="Z51" i="67" s="1"/>
  <c r="AP71" i="66"/>
  <c r="AE49" i="67" s="1"/>
  <c r="D123" i="64"/>
  <c r="D337" i="65"/>
  <c r="D354" i="65"/>
  <c r="M256" i="64"/>
  <c r="F234" i="64"/>
  <c r="G192" i="64"/>
  <c r="D105" i="64"/>
  <c r="G500" i="64"/>
  <c r="D192" i="64"/>
  <c r="F105" i="64"/>
  <c r="F123" i="64"/>
  <c r="F500" i="64"/>
  <c r="G452" i="64"/>
  <c r="G63" i="64" s="1"/>
  <c r="G323" i="64"/>
  <c r="D500" i="64"/>
  <c r="K294" i="64"/>
  <c r="L237" i="64"/>
  <c r="D268" i="64"/>
  <c r="F189" i="64"/>
  <c r="F51" i="64" s="1"/>
  <c r="P218" i="68" l="1"/>
  <c r="Y88" i="67"/>
  <c r="Y123" i="67"/>
  <c r="Y11" i="67"/>
  <c r="Y30" i="67"/>
  <c r="Y79" i="67"/>
  <c r="P336" i="68"/>
  <c r="O39" i="68"/>
  <c r="P156" i="68"/>
  <c r="O157" i="68"/>
  <c r="O138" i="68"/>
  <c r="O140" i="68" s="1"/>
  <c r="O143" i="68" s="1"/>
  <c r="P148" i="68"/>
  <c r="P84" i="68" s="1"/>
  <c r="N140" i="68"/>
  <c r="N143" i="68" s="1"/>
  <c r="N471" i="68"/>
  <c r="Q370" i="68"/>
  <c r="Q340" i="68"/>
  <c r="Q514" i="68" s="1"/>
  <c r="O337" i="68"/>
  <c r="O37" i="68" s="1"/>
  <c r="O88" i="68"/>
  <c r="P101" i="68"/>
  <c r="O351" i="68"/>
  <c r="P57" i="68"/>
  <c r="Q306" i="68"/>
  <c r="Q434" i="68"/>
  <c r="Q430" i="68"/>
  <c r="Q14" i="68"/>
  <c r="P496" i="68"/>
  <c r="P499" i="68" s="1"/>
  <c r="Q142" i="68"/>
  <c r="Q435" i="68"/>
  <c r="Q132" i="68"/>
  <c r="Q131" i="68"/>
  <c r="Q147" i="68"/>
  <c r="Q367" i="68"/>
  <c r="Q289" i="68"/>
  <c r="Q310" i="68"/>
  <c r="Q170" i="68"/>
  <c r="Q171" i="68" s="1"/>
  <c r="Q396" i="68"/>
  <c r="P436" i="68"/>
  <c r="P219" i="68" s="1"/>
  <c r="P109" i="68" s="1"/>
  <c r="Q345" i="68"/>
  <c r="Q498" i="68" s="1"/>
  <c r="P514" i="68"/>
  <c r="Q462" i="68"/>
  <c r="Q361" i="68"/>
  <c r="Q394" i="68"/>
  <c r="Q487" i="68" s="1"/>
  <c r="P133" i="68"/>
  <c r="P135" i="68" s="1"/>
  <c r="Q433" i="68"/>
  <c r="Q139" i="68"/>
  <c r="P186" i="68"/>
  <c r="P187" i="68" s="1"/>
  <c r="P481" i="68" s="1"/>
  <c r="Q335" i="68"/>
  <c r="R13" i="68"/>
  <c r="Q302" i="68"/>
  <c r="Q15" i="68"/>
  <c r="Q446" i="68"/>
  <c r="Q101" i="68" s="1"/>
  <c r="Q185" i="68"/>
  <c r="Q272" i="68" s="1"/>
  <c r="P341" i="68"/>
  <c r="P38" i="68" s="1"/>
  <c r="Q134" i="68"/>
  <c r="Q128" i="68"/>
  <c r="Q129" i="68"/>
  <c r="R129" i="68" s="1"/>
  <c r="Q130" i="68"/>
  <c r="Q242" i="68"/>
  <c r="Q332" i="68"/>
  <c r="Q116" i="68" s="1"/>
  <c r="Q358" i="68"/>
  <c r="R358" i="68" s="1"/>
  <c r="P171" i="68"/>
  <c r="P172" i="68" s="1"/>
  <c r="O98" i="68"/>
  <c r="O38" i="68"/>
  <c r="P116" i="68"/>
  <c r="P333" i="68"/>
  <c r="Q298" i="68"/>
  <c r="Q327" i="68" s="1"/>
  <c r="P397" i="68"/>
  <c r="P77" i="68"/>
  <c r="O499" i="68"/>
  <c r="O478" i="68"/>
  <c r="O109" i="68"/>
  <c r="P487" i="68"/>
  <c r="T180" i="68"/>
  <c r="T262" i="68"/>
  <c r="N450" i="68"/>
  <c r="N477" i="68" s="1"/>
  <c r="N82" i="68" s="1"/>
  <c r="P238" i="68"/>
  <c r="P239" i="68" s="1"/>
  <c r="P240" i="68" s="1"/>
  <c r="AK165" i="66"/>
  <c r="AJ227" i="66"/>
  <c r="AK145" i="66"/>
  <c r="AJ223" i="66"/>
  <c r="AK126" i="66"/>
  <c r="Z79" i="67" s="1"/>
  <c r="AJ219" i="66"/>
  <c r="AK140" i="66"/>
  <c r="AJ222" i="66"/>
  <c r="W25" i="67"/>
  <c r="AH211" i="66"/>
  <c r="Y103" i="67"/>
  <c r="AJ224" i="66"/>
  <c r="AK150" i="66"/>
  <c r="AK135" i="66"/>
  <c r="AJ221" i="66"/>
  <c r="Y93" i="67"/>
  <c r="AK42" i="66"/>
  <c r="AJ210" i="66"/>
  <c r="AK160" i="66"/>
  <c r="AJ226" i="66"/>
  <c r="M326" i="68"/>
  <c r="M328" i="68" s="1"/>
  <c r="W40" i="67"/>
  <c r="AH214" i="66"/>
  <c r="W45" i="67"/>
  <c r="AH215" i="66"/>
  <c r="Z88" i="67"/>
  <c r="Y118" i="67"/>
  <c r="AK175" i="66"/>
  <c r="AJ229" i="66"/>
  <c r="AK130" i="66"/>
  <c r="Z83" i="67" s="1"/>
  <c r="AK33" i="66"/>
  <c r="AK170" i="66"/>
  <c r="AJ228" i="66"/>
  <c r="W55" i="67"/>
  <c r="AH217" i="66"/>
  <c r="W35" i="67"/>
  <c r="AH213" i="66"/>
  <c r="Z123" i="67"/>
  <c r="AK155" i="66"/>
  <c r="AJ225" i="66"/>
  <c r="AK52" i="66"/>
  <c r="AJ212" i="66"/>
  <c r="Y98" i="67"/>
  <c r="N276" i="68"/>
  <c r="O276" i="68" s="1"/>
  <c r="M103" i="68"/>
  <c r="N41" i="68"/>
  <c r="T21" i="64"/>
  <c r="W50" i="67"/>
  <c r="O316" i="68"/>
  <c r="O323" i="68"/>
  <c r="S176" i="68"/>
  <c r="R181" i="68"/>
  <c r="Q183" i="68"/>
  <c r="Q189" i="68"/>
  <c r="Q192" i="68" s="1"/>
  <c r="T11" i="68"/>
  <c r="S12" i="68"/>
  <c r="T18" i="64"/>
  <c r="T21" i="68"/>
  <c r="T18" i="68"/>
  <c r="P315" i="68"/>
  <c r="G44" i="64"/>
  <c r="O466" i="64"/>
  <c r="N522" i="64"/>
  <c r="M257" i="64"/>
  <c r="E395" i="64"/>
  <c r="E397" i="64" s="1"/>
  <c r="E398" i="64" s="1"/>
  <c r="J392" i="64"/>
  <c r="J394" i="64"/>
  <c r="H37" i="64"/>
  <c r="H107" i="64"/>
  <c r="F392" i="64"/>
  <c r="F394" i="64"/>
  <c r="D44" i="64"/>
  <c r="G45" i="64"/>
  <c r="D45" i="64"/>
  <c r="L24" i="64"/>
  <c r="D158" i="64"/>
  <c r="D35" i="64" s="1"/>
  <c r="D42" i="64" s="1"/>
  <c r="M25" i="64"/>
  <c r="M320" i="64"/>
  <c r="M381" i="64"/>
  <c r="M467" i="64"/>
  <c r="G158" i="64"/>
  <c r="G35" i="64" s="1"/>
  <c r="M440" i="64"/>
  <c r="M319" i="64"/>
  <c r="M443" i="64"/>
  <c r="N165" i="64"/>
  <c r="H171" i="64"/>
  <c r="K267" i="64"/>
  <c r="L264" i="64"/>
  <c r="M264" i="64" s="1"/>
  <c r="N264" i="64" s="1"/>
  <c r="O264" i="64" s="1"/>
  <c r="P264" i="64" s="1"/>
  <c r="Q264" i="64" s="1"/>
  <c r="R264" i="64" s="1"/>
  <c r="S264" i="64" s="1"/>
  <c r="T264" i="64" s="1"/>
  <c r="K266" i="64"/>
  <c r="M258" i="64"/>
  <c r="W60" i="67"/>
  <c r="W15" i="67"/>
  <c r="AH206" i="66"/>
  <c r="W13" i="67"/>
  <c r="AH205" i="66"/>
  <c r="F154" i="64"/>
  <c r="F45" i="64" s="1"/>
  <c r="E45" i="64"/>
  <c r="N283" i="64"/>
  <c r="M284" i="64"/>
  <c r="AI132" i="66"/>
  <c r="AI220" i="66" s="1"/>
  <c r="W85" i="67"/>
  <c r="H490" i="64"/>
  <c r="H491" i="64" s="1"/>
  <c r="V78" i="67"/>
  <c r="V4" i="67" s="1"/>
  <c r="U144" i="67"/>
  <c r="U4" i="67"/>
  <c r="W10" i="67"/>
  <c r="V76" i="67"/>
  <c r="Z92" i="67"/>
  <c r="AH6" i="66"/>
  <c r="AH203" i="66"/>
  <c r="AI82" i="66"/>
  <c r="AI218" i="66" s="1"/>
  <c r="AI47" i="66"/>
  <c r="AI37" i="66"/>
  <c r="AI209" i="66" s="1"/>
  <c r="AI62" i="66"/>
  <c r="AI67" i="66"/>
  <c r="AI77" i="66"/>
  <c r="AI72" i="66"/>
  <c r="AI35" i="66"/>
  <c r="AI208" i="66" s="1"/>
  <c r="AI57" i="66"/>
  <c r="AL38" i="66"/>
  <c r="AA16" i="67" s="1"/>
  <c r="AK58" i="66"/>
  <c r="Z36" i="67" s="1"/>
  <c r="AJ32" i="66"/>
  <c r="AQ50" i="66"/>
  <c r="AF28" i="67" s="1"/>
  <c r="AQ71" i="66"/>
  <c r="AF49" i="67" s="1"/>
  <c r="AL73" i="66"/>
  <c r="AA51" i="67" s="1"/>
  <c r="AL139" i="66"/>
  <c r="AN128" i="66"/>
  <c r="AC81" i="67" s="1"/>
  <c r="AR84" i="66"/>
  <c r="AG62" i="67" s="1"/>
  <c r="AM141" i="66"/>
  <c r="AB94" i="67" s="1"/>
  <c r="F191" i="64"/>
  <c r="F192" i="64" s="1"/>
  <c r="E350" i="65"/>
  <c r="E330" i="65"/>
  <c r="E337" i="65" s="1"/>
  <c r="K378" i="64"/>
  <c r="K377" i="64"/>
  <c r="K375" i="64"/>
  <c r="L294" i="64"/>
  <c r="M237" i="64"/>
  <c r="E382" i="64"/>
  <c r="K249" i="64"/>
  <c r="N256" i="64"/>
  <c r="K26" i="64"/>
  <c r="Q218" i="68" l="1"/>
  <c r="Q397" i="68"/>
  <c r="P337" i="68"/>
  <c r="P37" i="68" s="1"/>
  <c r="Q336" i="68"/>
  <c r="Z118" i="67"/>
  <c r="Z93" i="67"/>
  <c r="P157" i="68"/>
  <c r="P39" i="68"/>
  <c r="Q148" i="68"/>
  <c r="Q84" i="68" s="1"/>
  <c r="Q156" i="68"/>
  <c r="O471" i="68"/>
  <c r="Q57" i="68"/>
  <c r="R370" i="68"/>
  <c r="P138" i="68"/>
  <c r="O107" i="68"/>
  <c r="P351" i="68"/>
  <c r="P273" i="68"/>
  <c r="Q497" i="68"/>
  <c r="Q505" i="68" s="1"/>
  <c r="P98" i="68"/>
  <c r="Q341" i="68"/>
  <c r="Q98" i="68" s="1"/>
  <c r="P88" i="68"/>
  <c r="Q172" i="68"/>
  <c r="Q333" i="68"/>
  <c r="Q510" i="68" s="1"/>
  <c r="Q517" i="68"/>
  <c r="R462" i="68"/>
  <c r="R367" i="68"/>
  <c r="R496" i="68" s="1"/>
  <c r="R435" i="68"/>
  <c r="P83" i="68"/>
  <c r="Q496" i="68"/>
  <c r="R15" i="68"/>
  <c r="R340" i="68"/>
  <c r="R514" i="68" s="1"/>
  <c r="R132" i="68"/>
  <c r="R446" i="68"/>
  <c r="R101" i="68" s="1"/>
  <c r="R396" i="68"/>
  <c r="R397" i="68" s="1"/>
  <c r="S13" i="68"/>
  <c r="R433" i="68"/>
  <c r="R361" i="68"/>
  <c r="R302" i="68"/>
  <c r="R142" i="68"/>
  <c r="S142" i="68" s="1"/>
  <c r="R306" i="68"/>
  <c r="R298" i="68"/>
  <c r="R327" i="68" s="1"/>
  <c r="R131" i="68"/>
  <c r="R14" i="68"/>
  <c r="R332" i="68"/>
  <c r="R517" i="68" s="1"/>
  <c r="Q436" i="68"/>
  <c r="Q219" i="68" s="1"/>
  <c r="Q109" i="68" s="1"/>
  <c r="R430" i="68"/>
  <c r="Q186" i="68"/>
  <c r="Q187" i="68" s="1"/>
  <c r="Q481" i="68" s="1"/>
  <c r="R170" i="68"/>
  <c r="R345" i="68"/>
  <c r="R498" i="68" s="1"/>
  <c r="R434" i="68"/>
  <c r="R289" i="68"/>
  <c r="S289" i="68" s="1"/>
  <c r="R130" i="68"/>
  <c r="Q238" i="68"/>
  <c r="Q239" i="68" s="1"/>
  <c r="Q240" i="68" s="1"/>
  <c r="R134" i="68"/>
  <c r="R310" i="68"/>
  <c r="S310" i="68" s="1"/>
  <c r="R128" i="68"/>
  <c r="R335" i="68"/>
  <c r="R147" i="68"/>
  <c r="R185" i="68"/>
  <c r="R272" i="68" s="1"/>
  <c r="Q133" i="68"/>
  <c r="Q135" i="68" s="1"/>
  <c r="R139" i="68"/>
  <c r="Q77" i="68"/>
  <c r="R242" i="68"/>
  <c r="R394" i="68"/>
  <c r="R77" i="68" s="1"/>
  <c r="P510" i="68"/>
  <c r="Q478" i="68"/>
  <c r="P478" i="68"/>
  <c r="P96" i="68"/>
  <c r="O450" i="68"/>
  <c r="O477" i="68" s="1"/>
  <c r="O82" i="68" s="1"/>
  <c r="T265" i="68"/>
  <c r="T12" i="68"/>
  <c r="N326" i="68"/>
  <c r="N328" i="68" s="1"/>
  <c r="X45" i="67"/>
  <c r="AI215" i="66"/>
  <c r="AL33" i="66"/>
  <c r="AL175" i="66"/>
  <c r="AK229" i="66"/>
  <c r="AL160" i="66"/>
  <c r="AK226" i="66"/>
  <c r="Z103" i="67"/>
  <c r="AK224" i="66"/>
  <c r="AL150" i="66"/>
  <c r="AL145" i="66"/>
  <c r="AK223" i="66"/>
  <c r="X40" i="67"/>
  <c r="AI214" i="66"/>
  <c r="Z98" i="67"/>
  <c r="AA98" i="67" s="1"/>
  <c r="AL155" i="66"/>
  <c r="AK225" i="66"/>
  <c r="AL130" i="66"/>
  <c r="AA83" i="67" s="1"/>
  <c r="Z108" i="67"/>
  <c r="AL126" i="66"/>
  <c r="AK219" i="66"/>
  <c r="X35" i="67"/>
  <c r="AI213" i="66"/>
  <c r="X50" i="67"/>
  <c r="AI216" i="66"/>
  <c r="X25" i="67"/>
  <c r="AI211" i="66"/>
  <c r="Z113" i="67"/>
  <c r="AL170" i="66"/>
  <c r="AK228" i="66"/>
  <c r="AL42" i="66"/>
  <c r="AK210" i="66"/>
  <c r="AL135" i="66"/>
  <c r="AA88" i="67" s="1"/>
  <c r="AK221" i="66"/>
  <c r="AL140" i="66"/>
  <c r="AK222" i="66"/>
  <c r="Z20" i="67"/>
  <c r="AL165" i="66"/>
  <c r="AA118" i="67" s="1"/>
  <c r="AK227" i="66"/>
  <c r="X55" i="67"/>
  <c r="AI217" i="66"/>
  <c r="AL52" i="66"/>
  <c r="AK212" i="66"/>
  <c r="Z30" i="67"/>
  <c r="Z11" i="67"/>
  <c r="AA11" i="67" s="1"/>
  <c r="Z128" i="67"/>
  <c r="AA128" i="67" s="1"/>
  <c r="V6" i="67"/>
  <c r="U6" i="67"/>
  <c r="N103" i="68"/>
  <c r="O41" i="68"/>
  <c r="L199" i="64"/>
  <c r="R183" i="68"/>
  <c r="R189" i="68"/>
  <c r="R192" i="68" s="1"/>
  <c r="Q315" i="68"/>
  <c r="T176" i="68"/>
  <c r="S181" i="68"/>
  <c r="P323" i="68"/>
  <c r="P316" i="68"/>
  <c r="N257" i="64"/>
  <c r="P466" i="64"/>
  <c r="O522" i="64"/>
  <c r="J395" i="64"/>
  <c r="J397" i="64" s="1"/>
  <c r="J398" i="64" s="1"/>
  <c r="J54" i="64" s="1"/>
  <c r="F395" i="64"/>
  <c r="F397" i="64" s="1"/>
  <c r="F398" i="64" s="1"/>
  <c r="G392" i="64"/>
  <c r="G394" i="64"/>
  <c r="E48" i="64"/>
  <c r="E47" i="64"/>
  <c r="E50" i="64" s="1"/>
  <c r="D43" i="64"/>
  <c r="F44" i="64"/>
  <c r="E44" i="64"/>
  <c r="F47" i="64"/>
  <c r="F50" i="64" s="1"/>
  <c r="F48" i="64"/>
  <c r="G47" i="64"/>
  <c r="G50" i="64" s="1"/>
  <c r="G48" i="64"/>
  <c r="G40" i="64"/>
  <c r="G124" i="64" s="1"/>
  <c r="G42" i="64"/>
  <c r="G43" i="64" s="1"/>
  <c r="D40" i="64"/>
  <c r="D124" i="64" s="1"/>
  <c r="D48" i="64"/>
  <c r="D47" i="64"/>
  <c r="D50" i="64" s="1"/>
  <c r="K29" i="64"/>
  <c r="O165" i="64"/>
  <c r="N319" i="64"/>
  <c r="N467" i="64"/>
  <c r="N320" i="64"/>
  <c r="M24" i="64"/>
  <c r="K248" i="64"/>
  <c r="K91" i="64" s="1"/>
  <c r="F158" i="64"/>
  <c r="F35" i="64" s="1"/>
  <c r="N443" i="64"/>
  <c r="N440" i="64"/>
  <c r="N381" i="64"/>
  <c r="N25" i="64"/>
  <c r="L267" i="64"/>
  <c r="M267" i="64" s="1"/>
  <c r="N267" i="64" s="1"/>
  <c r="O267" i="64" s="1"/>
  <c r="P267" i="64" s="1"/>
  <c r="Q267" i="64" s="1"/>
  <c r="R267" i="64" s="1"/>
  <c r="S267" i="64" s="1"/>
  <c r="T267" i="64" s="1"/>
  <c r="L266" i="64"/>
  <c r="M266" i="64" s="1"/>
  <c r="N266" i="64" s="1"/>
  <c r="O266" i="64" s="1"/>
  <c r="P266" i="64" s="1"/>
  <c r="Q266" i="64" s="1"/>
  <c r="R266" i="64" s="1"/>
  <c r="S266" i="64" s="1"/>
  <c r="T266" i="64" s="1"/>
  <c r="N258" i="64"/>
  <c r="X13" i="67"/>
  <c r="AI205" i="66"/>
  <c r="X15" i="67"/>
  <c r="AI206" i="66"/>
  <c r="X60" i="67"/>
  <c r="E35" i="64"/>
  <c r="O283" i="64"/>
  <c r="N284" i="64"/>
  <c r="X85" i="67"/>
  <c r="AA92" i="67"/>
  <c r="AJ132" i="66"/>
  <c r="AJ220" i="66" s="1"/>
  <c r="K441" i="64"/>
  <c r="V5" i="67"/>
  <c r="U5" i="67"/>
  <c r="V144" i="67"/>
  <c r="W78" i="67"/>
  <c r="W4" i="67" s="1"/>
  <c r="W76" i="67"/>
  <c r="X10" i="67"/>
  <c r="AI6" i="66"/>
  <c r="AJ57" i="66"/>
  <c r="AJ213" i="66" s="1"/>
  <c r="AJ62" i="66"/>
  <c r="AJ35" i="66"/>
  <c r="AJ208" i="66" s="1"/>
  <c r="AJ72" i="66"/>
  <c r="AJ47" i="66"/>
  <c r="AJ77" i="66"/>
  <c r="AJ67" i="66"/>
  <c r="AJ37" i="66"/>
  <c r="AJ209" i="66" s="1"/>
  <c r="AI203" i="66"/>
  <c r="AJ82" i="66"/>
  <c r="AJ218" i="66" s="1"/>
  <c r="AM38" i="66"/>
  <c r="AB16" i="67" s="1"/>
  <c r="AK32" i="66"/>
  <c r="AL58" i="66"/>
  <c r="AA36" i="67" s="1"/>
  <c r="AR50" i="66"/>
  <c r="AG28" i="67" s="1"/>
  <c r="AN141" i="66"/>
  <c r="AC94" i="67" s="1"/>
  <c r="AO128" i="66"/>
  <c r="AD81" i="67" s="1"/>
  <c r="AM139" i="66"/>
  <c r="AM73" i="66"/>
  <c r="AB51" i="67" s="1"/>
  <c r="AR71" i="66"/>
  <c r="AG49" i="67" s="1"/>
  <c r="AS84" i="66"/>
  <c r="AH62" i="67" s="1"/>
  <c r="E354" i="65"/>
  <c r="F350" i="65"/>
  <c r="F330" i="65"/>
  <c r="F337" i="65" s="1"/>
  <c r="L378" i="64"/>
  <c r="L377" i="64"/>
  <c r="L375" i="64"/>
  <c r="K331" i="64"/>
  <c r="K161" i="64"/>
  <c r="K152" i="64"/>
  <c r="K468" i="64"/>
  <c r="K121" i="64" s="1"/>
  <c r="M294" i="64"/>
  <c r="N237" i="64"/>
  <c r="L249" i="64"/>
  <c r="K271" i="64"/>
  <c r="K379" i="64"/>
  <c r="L26" i="64"/>
  <c r="O256" i="64"/>
  <c r="R336" i="68" l="1"/>
  <c r="P107" i="68"/>
  <c r="Q157" i="68"/>
  <c r="AA113" i="67"/>
  <c r="AA108" i="67"/>
  <c r="R148" i="68"/>
  <c r="R84" i="68" s="1"/>
  <c r="Q39" i="68"/>
  <c r="Q499" i="68"/>
  <c r="P471" i="68"/>
  <c r="R57" i="68"/>
  <c r="Q138" i="68"/>
  <c r="P140" i="68"/>
  <c r="P143" i="68" s="1"/>
  <c r="O257" i="64"/>
  <c r="Q351" i="68"/>
  <c r="P275" i="68"/>
  <c r="P276" i="68" s="1"/>
  <c r="S435" i="68"/>
  <c r="Q88" i="68"/>
  <c r="Q38" i="68"/>
  <c r="Q337" i="68"/>
  <c r="Q37" i="68" s="1"/>
  <c r="S361" i="68"/>
  <c r="R497" i="68"/>
  <c r="R505" i="68" s="1"/>
  <c r="S335" i="68"/>
  <c r="R238" i="68"/>
  <c r="R239" i="68" s="1"/>
  <c r="R240" i="68" s="1"/>
  <c r="S446" i="68"/>
  <c r="S101" i="68" s="1"/>
  <c r="S462" i="68"/>
  <c r="S367" i="68"/>
  <c r="S129" i="68"/>
  <c r="S147" i="68"/>
  <c r="S134" i="68"/>
  <c r="S434" i="68"/>
  <c r="S430" i="68"/>
  <c r="S131" i="68"/>
  <c r="T13" i="68"/>
  <c r="S358" i="68"/>
  <c r="R341" i="68"/>
  <c r="R38" i="68" s="1"/>
  <c r="S302" i="68"/>
  <c r="S14" i="68"/>
  <c r="S139" i="68"/>
  <c r="S340" i="68"/>
  <c r="S514" i="68" s="1"/>
  <c r="S242" i="68"/>
  <c r="S185" i="68"/>
  <c r="S272" i="68" s="1"/>
  <c r="S345" i="68"/>
  <c r="S498" i="68" s="1"/>
  <c r="S298" i="68"/>
  <c r="S15" i="68"/>
  <c r="S370" i="68"/>
  <c r="T370" i="68" s="1"/>
  <c r="R186" i="68"/>
  <c r="R88" i="68" s="1"/>
  <c r="S128" i="68"/>
  <c r="S130" i="68"/>
  <c r="S170" i="68"/>
  <c r="S171" i="68" s="1"/>
  <c r="S306" i="68"/>
  <c r="S433" i="68"/>
  <c r="S132" i="68"/>
  <c r="R333" i="68"/>
  <c r="R116" i="68"/>
  <c r="R436" i="68"/>
  <c r="R219" i="68" s="1"/>
  <c r="R96" i="68" s="1"/>
  <c r="Q273" i="68"/>
  <c r="S394" i="68"/>
  <c r="T394" i="68" s="1"/>
  <c r="R218" i="68"/>
  <c r="R487" i="68"/>
  <c r="R156" i="68"/>
  <c r="S396" i="68"/>
  <c r="T396" i="68" s="1"/>
  <c r="P450" i="68"/>
  <c r="P477" i="68" s="1"/>
  <c r="P82" i="68" s="1"/>
  <c r="R133" i="68"/>
  <c r="R135" i="68" s="1"/>
  <c r="S332" i="68"/>
  <c r="R171" i="68"/>
  <c r="R172" i="68" s="1"/>
  <c r="R83" i="68"/>
  <c r="Q83" i="68"/>
  <c r="T268" i="68"/>
  <c r="T181" i="68"/>
  <c r="O326" i="68"/>
  <c r="O328" i="68" s="1"/>
  <c r="AM170" i="66"/>
  <c r="AL228" i="66"/>
  <c r="AA123" i="67"/>
  <c r="Y25" i="67"/>
  <c r="AJ211" i="66"/>
  <c r="AM140" i="66"/>
  <c r="AL222" i="66"/>
  <c r="AM42" i="66"/>
  <c r="AL210" i="66"/>
  <c r="AM155" i="66"/>
  <c r="AB108" i="67" s="1"/>
  <c r="AL225" i="66"/>
  <c r="AM175" i="66"/>
  <c r="AL229" i="66"/>
  <c r="AM52" i="66"/>
  <c r="AL212" i="66"/>
  <c r="Y50" i="67"/>
  <c r="AJ216" i="66"/>
  <c r="AA30" i="67"/>
  <c r="AB30" i="67" s="1"/>
  <c r="AM165" i="66"/>
  <c r="AL227" i="66"/>
  <c r="AM126" i="66"/>
  <c r="AL219" i="66"/>
  <c r="AM130" i="66"/>
  <c r="AM145" i="66"/>
  <c r="AB98" i="67" s="1"/>
  <c r="AL223" i="66"/>
  <c r="Y55" i="67"/>
  <c r="AJ217" i="66"/>
  <c r="Y45" i="67"/>
  <c r="AJ215" i="66"/>
  <c r="Y40" i="67"/>
  <c r="AJ214" i="66"/>
  <c r="AA20" i="67"/>
  <c r="AM135" i="66"/>
  <c r="AB88" i="67" s="1"/>
  <c r="AL221" i="66"/>
  <c r="AA93" i="67"/>
  <c r="AB93" i="67" s="1"/>
  <c r="AA103" i="67"/>
  <c r="AL224" i="66"/>
  <c r="AM150" i="66"/>
  <c r="AM160" i="66"/>
  <c r="AL226" i="66"/>
  <c r="AM33" i="66"/>
  <c r="AA79" i="67"/>
  <c r="AB79" i="67" s="1"/>
  <c r="W6" i="67"/>
  <c r="O103" i="68"/>
  <c r="P41" i="68"/>
  <c r="M199" i="64"/>
  <c r="Q323" i="68"/>
  <c r="Q316" i="68"/>
  <c r="S183" i="68"/>
  <c r="S189" i="68"/>
  <c r="S192" i="68" s="1"/>
  <c r="Q96" i="68"/>
  <c r="R315" i="68"/>
  <c r="Q466" i="64"/>
  <c r="P522" i="64"/>
  <c r="J56" i="64"/>
  <c r="J58" i="64" s="1"/>
  <c r="G395" i="64"/>
  <c r="G397" i="64" s="1"/>
  <c r="G398" i="64" s="1"/>
  <c r="H392" i="64"/>
  <c r="H394" i="64"/>
  <c r="E40" i="64"/>
  <c r="E124" i="64" s="1"/>
  <c r="E42" i="64"/>
  <c r="E43" i="64" s="1"/>
  <c r="F40" i="64"/>
  <c r="F124" i="64" s="1"/>
  <c r="F42" i="64"/>
  <c r="F43" i="64" s="1"/>
  <c r="K484" i="64"/>
  <c r="K30" i="64"/>
  <c r="K313" i="64" s="1"/>
  <c r="O25" i="64"/>
  <c r="O440" i="64"/>
  <c r="O320" i="64"/>
  <c r="O319" i="64"/>
  <c r="O381" i="64"/>
  <c r="O443" i="64"/>
  <c r="N24" i="64"/>
  <c r="O467" i="64"/>
  <c r="P165" i="64"/>
  <c r="O258" i="64"/>
  <c r="Y60" i="67"/>
  <c r="Y13" i="67"/>
  <c r="AJ205" i="66"/>
  <c r="Y15" i="67"/>
  <c r="AJ206" i="66"/>
  <c r="P283" i="64"/>
  <c r="O284" i="64"/>
  <c r="AK132" i="66"/>
  <c r="AK220" i="66" s="1"/>
  <c r="AJ6" i="66"/>
  <c r="Y85" i="67"/>
  <c r="L441" i="64"/>
  <c r="D441" i="64"/>
  <c r="W5" i="67"/>
  <c r="Y35" i="67"/>
  <c r="X78" i="67"/>
  <c r="W144" i="67"/>
  <c r="Y10" i="67"/>
  <c r="X76" i="67"/>
  <c r="X4" i="67"/>
  <c r="AB92" i="67"/>
  <c r="AJ203" i="66"/>
  <c r="AK82" i="66"/>
  <c r="AK218" i="66" s="1"/>
  <c r="AK77" i="66"/>
  <c r="AK35" i="66"/>
  <c r="AK208" i="66" s="1"/>
  <c r="AK37" i="66"/>
  <c r="AK209" i="66" s="1"/>
  <c r="AK47" i="66"/>
  <c r="AK72" i="66"/>
  <c r="AK67" i="66"/>
  <c r="AK62" i="66"/>
  <c r="AK57" i="66"/>
  <c r="AK213" i="66" s="1"/>
  <c r="AM58" i="66"/>
  <c r="AB36" i="67" s="1"/>
  <c r="AL32" i="66"/>
  <c r="AN38" i="66"/>
  <c r="AC16" i="67" s="1"/>
  <c r="AS71" i="66"/>
  <c r="AH49" i="67" s="1"/>
  <c r="AN73" i="66"/>
  <c r="AC51" i="67" s="1"/>
  <c r="AN139" i="66"/>
  <c r="AO141" i="66"/>
  <c r="AD94" i="67" s="1"/>
  <c r="AP128" i="66"/>
  <c r="AE81" i="67" s="1"/>
  <c r="AS50" i="66"/>
  <c r="AH28" i="67" s="1"/>
  <c r="AT84" i="66"/>
  <c r="AI62" i="67" s="1"/>
  <c r="G350" i="65"/>
  <c r="F354" i="65"/>
  <c r="G330" i="65"/>
  <c r="G337" i="65" s="1"/>
  <c r="M378" i="64"/>
  <c r="M377" i="64"/>
  <c r="M375" i="64"/>
  <c r="L271" i="64"/>
  <c r="L379" i="64"/>
  <c r="K188" i="64"/>
  <c r="L468" i="64"/>
  <c r="L121" i="64" s="1"/>
  <c r="F382" i="64"/>
  <c r="G382" i="64" s="1"/>
  <c r="H382" i="64" s="1"/>
  <c r="I382" i="64" s="1"/>
  <c r="J382" i="64" s="1"/>
  <c r="K169" i="64"/>
  <c r="L331" i="64"/>
  <c r="N294" i="64"/>
  <c r="O237" i="64"/>
  <c r="D392" i="64"/>
  <c r="M26" i="64"/>
  <c r="D359" i="64"/>
  <c r="D345" i="64"/>
  <c r="P256" i="64"/>
  <c r="P257" i="64" s="1"/>
  <c r="M249" i="64"/>
  <c r="L248" i="64"/>
  <c r="D368" i="64"/>
  <c r="L152" i="64"/>
  <c r="L161" i="64"/>
  <c r="R337" i="68" l="1"/>
  <c r="R37" i="68" s="1"/>
  <c r="S336" i="68"/>
  <c r="R157" i="68"/>
  <c r="AB20" i="67"/>
  <c r="R39" i="68"/>
  <c r="R107" i="68" s="1"/>
  <c r="S496" i="68"/>
  <c r="T142" i="68"/>
  <c r="Q471" i="68"/>
  <c r="R138" i="68"/>
  <c r="Q140" i="68"/>
  <c r="Q143" i="68" s="1"/>
  <c r="K144" i="64"/>
  <c r="K138" i="64" s="1"/>
  <c r="R351" i="68"/>
  <c r="T435" i="68"/>
  <c r="T185" i="68"/>
  <c r="S497" i="68"/>
  <c r="S505" i="68" s="1"/>
  <c r="T446" i="68"/>
  <c r="Q107" i="68"/>
  <c r="T134" i="68"/>
  <c r="T462" i="68"/>
  <c r="R499" i="68"/>
  <c r="T170" i="68"/>
  <c r="T14" i="68"/>
  <c r="T289" i="68"/>
  <c r="S57" i="68"/>
  <c r="T306" i="68"/>
  <c r="T367" i="68"/>
  <c r="T335" i="68"/>
  <c r="R510" i="68"/>
  <c r="T310" i="68"/>
  <c r="S186" i="68"/>
  <c r="S187" i="68" s="1"/>
  <c r="S481" i="68" s="1"/>
  <c r="T345" i="68"/>
  <c r="T358" i="68"/>
  <c r="T361" i="68"/>
  <c r="T332" i="68"/>
  <c r="T132" i="68"/>
  <c r="T130" i="68"/>
  <c r="T302" i="68"/>
  <c r="T15" i="68"/>
  <c r="S218" i="68"/>
  <c r="T128" i="68"/>
  <c r="T298" i="68"/>
  <c r="T430" i="68"/>
  <c r="T129" i="68"/>
  <c r="T139" i="68"/>
  <c r="S327" i="68"/>
  <c r="R98" i="68"/>
  <c r="S341" i="68"/>
  <c r="S98" i="68" s="1"/>
  <c r="T340" i="68"/>
  <c r="T433" i="68"/>
  <c r="S436" i="68"/>
  <c r="S219" i="68" s="1"/>
  <c r="S109" i="68" s="1"/>
  <c r="R273" i="68"/>
  <c r="S238" i="68"/>
  <c r="S239" i="68" s="1"/>
  <c r="S240" i="68" s="1"/>
  <c r="R187" i="68"/>
  <c r="R481" i="68" s="1"/>
  <c r="T434" i="68"/>
  <c r="Q450" i="68"/>
  <c r="T147" i="68"/>
  <c r="T131" i="68"/>
  <c r="S148" i="68"/>
  <c r="S84" i="68" s="1"/>
  <c r="T242" i="68"/>
  <c r="S133" i="68"/>
  <c r="S135" i="68" s="1"/>
  <c r="Q275" i="68"/>
  <c r="Q276" i="68" s="1"/>
  <c r="S517" i="68"/>
  <c r="S77" i="68"/>
  <c r="S172" i="68"/>
  <c r="S397" i="68"/>
  <c r="T397" i="68" s="1"/>
  <c r="S487" i="68"/>
  <c r="S156" i="68"/>
  <c r="S116" i="68"/>
  <c r="S333" i="68"/>
  <c r="S478" i="68"/>
  <c r="R478" i="68"/>
  <c r="T189" i="68"/>
  <c r="T183" i="68"/>
  <c r="P326" i="68"/>
  <c r="P328" i="68" s="1"/>
  <c r="AB103" i="67"/>
  <c r="AM224" i="66"/>
  <c r="AN150" i="66"/>
  <c r="AN33" i="66"/>
  <c r="AN135" i="66"/>
  <c r="AM221" i="66"/>
  <c r="AB11" i="67"/>
  <c r="AN145" i="66"/>
  <c r="AM223" i="66"/>
  <c r="AN165" i="66"/>
  <c r="AM227" i="66"/>
  <c r="AN42" i="66"/>
  <c r="AC20" i="67" s="1"/>
  <c r="AM210" i="66"/>
  <c r="Z50" i="67"/>
  <c r="AK216" i="66"/>
  <c r="AN175" i="66"/>
  <c r="AM229" i="66"/>
  <c r="AC88" i="67"/>
  <c r="AC98" i="67"/>
  <c r="AN126" i="66"/>
  <c r="AM219" i="66"/>
  <c r="AN52" i="66"/>
  <c r="AM212" i="66"/>
  <c r="AN155" i="66"/>
  <c r="AM225" i="66"/>
  <c r="AN170" i="66"/>
  <c r="AM228" i="66"/>
  <c r="Z25" i="67"/>
  <c r="AK211" i="66"/>
  <c r="Z55" i="67"/>
  <c r="AK217" i="66"/>
  <c r="Z40" i="67"/>
  <c r="AK214" i="66"/>
  <c r="Z45" i="67"/>
  <c r="AK215" i="66"/>
  <c r="AC79" i="67"/>
  <c r="AN160" i="66"/>
  <c r="AM226" i="66"/>
  <c r="AB128" i="67"/>
  <c r="AC128" i="67" s="1"/>
  <c r="AN130" i="66"/>
  <c r="AB83" i="67"/>
  <c r="AB113" i="67"/>
  <c r="AC113" i="67" s="1"/>
  <c r="AN140" i="66"/>
  <c r="AC93" i="67" s="1"/>
  <c r="AM222" i="66"/>
  <c r="AB123" i="67"/>
  <c r="AB118" i="67"/>
  <c r="AC118" i="67" s="1"/>
  <c r="Q41" i="68"/>
  <c r="P103" i="68"/>
  <c r="N199" i="64"/>
  <c r="K27" i="64"/>
  <c r="K194" i="64" s="1"/>
  <c r="T77" i="68"/>
  <c r="T487" i="68"/>
  <c r="R316" i="68"/>
  <c r="R323" i="68"/>
  <c r="R109" i="68"/>
  <c r="S315" i="68"/>
  <c r="S316" i="68" s="1"/>
  <c r="T315" i="68"/>
  <c r="R466" i="64"/>
  <c r="Q522" i="64"/>
  <c r="J59" i="64"/>
  <c r="I392" i="64"/>
  <c r="I394" i="64"/>
  <c r="H395" i="64"/>
  <c r="K180" i="64"/>
  <c r="Q165" i="64"/>
  <c r="O24" i="64"/>
  <c r="P381" i="64"/>
  <c r="P320" i="64"/>
  <c r="P440" i="64"/>
  <c r="D371" i="64"/>
  <c r="D372" i="64" s="1"/>
  <c r="N249" i="64"/>
  <c r="P467" i="64"/>
  <c r="P443" i="64"/>
  <c r="P319" i="64"/>
  <c r="P25" i="64"/>
  <c r="L29" i="64"/>
  <c r="P258" i="64"/>
  <c r="Z60" i="67"/>
  <c r="Z15" i="67"/>
  <c r="AK206" i="66"/>
  <c r="Z13" i="67"/>
  <c r="AK205" i="66"/>
  <c r="Q283" i="64"/>
  <c r="P284" i="64"/>
  <c r="X5" i="67"/>
  <c r="X6" i="67"/>
  <c r="H330" i="65"/>
  <c r="H337" i="65" s="1"/>
  <c r="Z85" i="67"/>
  <c r="AL132" i="66"/>
  <c r="AL220" i="66" s="1"/>
  <c r="M441" i="64"/>
  <c r="F441" i="64"/>
  <c r="G354" i="65"/>
  <c r="H350" i="65"/>
  <c r="AC92" i="67"/>
  <c r="Z10" i="67"/>
  <c r="Y76" i="67"/>
  <c r="Y78" i="67"/>
  <c r="X144" i="67"/>
  <c r="Z35" i="67"/>
  <c r="AL67" i="66"/>
  <c r="AL37" i="66"/>
  <c r="AL209" i="66" s="1"/>
  <c r="AL77" i="66"/>
  <c r="AL62" i="66"/>
  <c r="AL72" i="66"/>
  <c r="AL47" i="66"/>
  <c r="AK203" i="66"/>
  <c r="AL82" i="66"/>
  <c r="AL218" i="66" s="1"/>
  <c r="AK6" i="66"/>
  <c r="AL35" i="66"/>
  <c r="AL208" i="66" s="1"/>
  <c r="AL57" i="66"/>
  <c r="AL213" i="66" s="1"/>
  <c r="AO38" i="66"/>
  <c r="AD16" i="67" s="1"/>
  <c r="AN58" i="66"/>
  <c r="AC36" i="67" s="1"/>
  <c r="AM32" i="66"/>
  <c r="AQ128" i="66"/>
  <c r="AF81" i="67" s="1"/>
  <c r="AT71" i="66"/>
  <c r="AI49" i="67" s="1"/>
  <c r="AU84" i="66"/>
  <c r="AJ62" i="67" s="1"/>
  <c r="AT50" i="66"/>
  <c r="AI28" i="67" s="1"/>
  <c r="AP141" i="66"/>
  <c r="AE94" i="67" s="1"/>
  <c r="AO139" i="66"/>
  <c r="AO73" i="66"/>
  <c r="AD51" i="67" s="1"/>
  <c r="N378" i="64"/>
  <c r="N377" i="64"/>
  <c r="N375" i="64"/>
  <c r="D421" i="64"/>
  <c r="D363" i="64"/>
  <c r="O294" i="64"/>
  <c r="P237" i="64"/>
  <c r="L188" i="64"/>
  <c r="M161" i="64"/>
  <c r="M152" i="64"/>
  <c r="L484" i="64"/>
  <c r="L91" i="64"/>
  <c r="M331" i="64"/>
  <c r="N26" i="64"/>
  <c r="M271" i="64"/>
  <c r="M379" i="64"/>
  <c r="M468" i="64"/>
  <c r="M121" i="64" s="1"/>
  <c r="L169" i="64"/>
  <c r="M248" i="64"/>
  <c r="Q256" i="64"/>
  <c r="R256" i="64" s="1"/>
  <c r="S256" i="64" s="1"/>
  <c r="T256" i="64" s="1"/>
  <c r="D346" i="64"/>
  <c r="D395" i="64"/>
  <c r="D397" i="64" s="1"/>
  <c r="D24" i="26"/>
  <c r="E24" i="26"/>
  <c r="F24" i="26"/>
  <c r="G24" i="26"/>
  <c r="C24" i="26"/>
  <c r="S337" i="68" l="1"/>
  <c r="S37" i="68" s="1"/>
  <c r="R450" i="68"/>
  <c r="I222" i="68"/>
  <c r="I226" i="68" s="1"/>
  <c r="I89" i="68"/>
  <c r="I482" i="68"/>
  <c r="I287" i="68"/>
  <c r="J89" i="68"/>
  <c r="J482" i="68"/>
  <c r="J287" i="68"/>
  <c r="J222" i="68"/>
  <c r="J226" i="68" s="1"/>
  <c r="H89" i="68"/>
  <c r="H482" i="68"/>
  <c r="H287" i="68"/>
  <c r="H222" i="68"/>
  <c r="H226" i="68" s="1"/>
  <c r="F89" i="68"/>
  <c r="F222" i="68"/>
  <c r="F226" i="68" s="1"/>
  <c r="F287" i="68"/>
  <c r="F482" i="68"/>
  <c r="G89" i="68"/>
  <c r="G482" i="68"/>
  <c r="G287" i="68"/>
  <c r="G222" i="68"/>
  <c r="G226" i="68" s="1"/>
  <c r="S157" i="68"/>
  <c r="S39" i="68"/>
  <c r="AC11" i="67"/>
  <c r="AC123" i="67"/>
  <c r="AC83" i="67"/>
  <c r="T327" i="68"/>
  <c r="T514" i="68"/>
  <c r="T497" i="68"/>
  <c r="T505" i="68" s="1"/>
  <c r="T498" i="68"/>
  <c r="T336" i="68"/>
  <c r="T116" i="68"/>
  <c r="T272" i="68"/>
  <c r="R471" i="68"/>
  <c r="S351" i="68"/>
  <c r="S138" i="68"/>
  <c r="R140" i="68"/>
  <c r="R143" i="68" s="1"/>
  <c r="S499" i="68"/>
  <c r="Q477" i="68"/>
  <c r="Q82" i="68" s="1"/>
  <c r="T101" i="68"/>
  <c r="T57" i="68"/>
  <c r="T496" i="68"/>
  <c r="T171" i="68"/>
  <c r="T186" i="68"/>
  <c r="T517" i="68"/>
  <c r="T436" i="68"/>
  <c r="T133" i="68"/>
  <c r="T218" i="68"/>
  <c r="T333" i="68"/>
  <c r="S88" i="68"/>
  <c r="T238" i="68"/>
  <c r="S38" i="68"/>
  <c r="R275" i="68"/>
  <c r="R276" i="68" s="1"/>
  <c r="T341" i="68"/>
  <c r="T148" i="68"/>
  <c r="T156" i="68"/>
  <c r="S273" i="68"/>
  <c r="S275" i="68" s="1"/>
  <c r="Q326" i="68"/>
  <c r="Q328" i="68" s="1"/>
  <c r="S510" i="68"/>
  <c r="S83" i="68"/>
  <c r="T192" i="68"/>
  <c r="AO155" i="66"/>
  <c r="AN225" i="66"/>
  <c r="AC108" i="67"/>
  <c r="AA50" i="67"/>
  <c r="AL216" i="66"/>
  <c r="AO126" i="66"/>
  <c r="AN219" i="66"/>
  <c r="AO135" i="66"/>
  <c r="AD88" i="67" s="1"/>
  <c r="AN221" i="66"/>
  <c r="AC103" i="67"/>
  <c r="AN224" i="66"/>
  <c r="AO150" i="66"/>
  <c r="AO165" i="66"/>
  <c r="AN227" i="66"/>
  <c r="AA55" i="67"/>
  <c r="AL217" i="66"/>
  <c r="AA45" i="67"/>
  <c r="AL215" i="66"/>
  <c r="AO130" i="66"/>
  <c r="AO170" i="66"/>
  <c r="AN228" i="66"/>
  <c r="AO52" i="66"/>
  <c r="AN212" i="66"/>
  <c r="AO175" i="66"/>
  <c r="AN229" i="66"/>
  <c r="AO42" i="66"/>
  <c r="AN210" i="66"/>
  <c r="AO145" i="66"/>
  <c r="AN223" i="66"/>
  <c r="AA25" i="67"/>
  <c r="AL211" i="66"/>
  <c r="AA40" i="67"/>
  <c r="AL214" i="66"/>
  <c r="AO140" i="66"/>
  <c r="AN222" i="66"/>
  <c r="AO160" i="66"/>
  <c r="AN226" i="66"/>
  <c r="AC30" i="67"/>
  <c r="AD30" i="67" s="1"/>
  <c r="AO33" i="66"/>
  <c r="AD11" i="67" s="1"/>
  <c r="Q103" i="68"/>
  <c r="R41" i="68"/>
  <c r="O199" i="64"/>
  <c r="S96" i="68"/>
  <c r="R477" i="68"/>
  <c r="R82" i="68" s="1"/>
  <c r="T323" i="68"/>
  <c r="T316" i="68"/>
  <c r="S323" i="68"/>
  <c r="R522" i="64"/>
  <c r="S466" i="64"/>
  <c r="I395" i="64"/>
  <c r="I397" i="64" s="1"/>
  <c r="H397" i="64"/>
  <c r="H398" i="64" s="1"/>
  <c r="K407" i="64"/>
  <c r="L407" i="64" s="1"/>
  <c r="M407" i="64" s="1"/>
  <c r="N407" i="64" s="1"/>
  <c r="O407" i="64" s="1"/>
  <c r="P407" i="64" s="1"/>
  <c r="Q407" i="64" s="1"/>
  <c r="R407" i="64" s="1"/>
  <c r="R392" i="64" s="1"/>
  <c r="D61" i="64"/>
  <c r="K195" i="64"/>
  <c r="K176" i="64" s="1"/>
  <c r="Q319" i="64"/>
  <c r="N248" i="64"/>
  <c r="N484" i="64" s="1"/>
  <c r="O249" i="64"/>
  <c r="P249" i="64" s="1"/>
  <c r="Q381" i="64"/>
  <c r="P24" i="64"/>
  <c r="Q25" i="64"/>
  <c r="Q443" i="64"/>
  <c r="Q467" i="64"/>
  <c r="L30" i="64"/>
  <c r="Q440" i="64"/>
  <c r="Q320" i="64"/>
  <c r="R165" i="64"/>
  <c r="Q258" i="64"/>
  <c r="R258" i="64" s="1"/>
  <c r="S258" i="64" s="1"/>
  <c r="T258" i="64" s="1"/>
  <c r="Q257" i="64"/>
  <c r="R257" i="64" s="1"/>
  <c r="S257" i="64" s="1"/>
  <c r="T257" i="64" s="1"/>
  <c r="AA13" i="67"/>
  <c r="AL205" i="66"/>
  <c r="AA60" i="67"/>
  <c r="AA15" i="67"/>
  <c r="AL206" i="66"/>
  <c r="H354" i="65"/>
  <c r="I350" i="65"/>
  <c r="J350" i="65" s="1"/>
  <c r="J354" i="65" s="1"/>
  <c r="R283" i="64"/>
  <c r="Q284" i="64"/>
  <c r="I330" i="65"/>
  <c r="AM132" i="66"/>
  <c r="AM220" i="66" s="1"/>
  <c r="AA85" i="67"/>
  <c r="N441" i="64"/>
  <c r="G441" i="64"/>
  <c r="Z78" i="67"/>
  <c r="Y144" i="67"/>
  <c r="AD92" i="67"/>
  <c r="Y4" i="67"/>
  <c r="AA35" i="67"/>
  <c r="AA10" i="67"/>
  <c r="Z76" i="67"/>
  <c r="AL6" i="66"/>
  <c r="AL203" i="66"/>
  <c r="AM82" i="66"/>
  <c r="AM218" i="66" s="1"/>
  <c r="AM47" i="66"/>
  <c r="AM57" i="66"/>
  <c r="AM213" i="66" s="1"/>
  <c r="AM72" i="66"/>
  <c r="AM37" i="66"/>
  <c r="AM209" i="66" s="1"/>
  <c r="AM77" i="66"/>
  <c r="AM35" i="66"/>
  <c r="AM208" i="66" s="1"/>
  <c r="AM62" i="66"/>
  <c r="AM67" i="66"/>
  <c r="AO58" i="66"/>
  <c r="AD36" i="67" s="1"/>
  <c r="AN32" i="66"/>
  <c r="AP38" i="66"/>
  <c r="AE16" i="67" s="1"/>
  <c r="AU71" i="66"/>
  <c r="AJ49" i="67" s="1"/>
  <c r="AV84" i="66"/>
  <c r="AK62" i="67" s="1"/>
  <c r="AP73" i="66"/>
  <c r="AE51" i="67" s="1"/>
  <c r="AQ141" i="66"/>
  <c r="AF94" i="67" s="1"/>
  <c r="AP139" i="66"/>
  <c r="AR128" i="66"/>
  <c r="AG81" i="67" s="1"/>
  <c r="AU50" i="66"/>
  <c r="AJ28" i="67" s="1"/>
  <c r="O378" i="64"/>
  <c r="O377" i="64"/>
  <c r="O375" i="64"/>
  <c r="M169" i="64"/>
  <c r="M484" i="64"/>
  <c r="M91" i="64"/>
  <c r="F368" i="64"/>
  <c r="N271" i="64"/>
  <c r="N379" i="64"/>
  <c r="O26" i="64"/>
  <c r="P294" i="64"/>
  <c r="Q237" i="64"/>
  <c r="D398" i="64"/>
  <c r="D54" i="64" s="1"/>
  <c r="N468" i="64"/>
  <c r="N121" i="64" s="1"/>
  <c r="N161" i="64"/>
  <c r="N152" i="64"/>
  <c r="F359" i="64"/>
  <c r="F345" i="64"/>
  <c r="N331" i="64"/>
  <c r="M188" i="64"/>
  <c r="S450" i="68" l="1"/>
  <c r="S107" i="68"/>
  <c r="I424" i="68"/>
  <c r="I425" i="68" s="1"/>
  <c r="I290" i="68"/>
  <c r="I291" i="68" s="1"/>
  <c r="I324" i="68"/>
  <c r="G424" i="68"/>
  <c r="G425" i="68" s="1"/>
  <c r="G290" i="68"/>
  <c r="G291" i="68" s="1"/>
  <c r="G324" i="68"/>
  <c r="F424" i="68"/>
  <c r="F425" i="68" s="1"/>
  <c r="F290" i="68"/>
  <c r="F291" i="68" s="1"/>
  <c r="F324" i="68"/>
  <c r="H424" i="68"/>
  <c r="H425" i="68" s="1"/>
  <c r="H290" i="68"/>
  <c r="H291" i="68" s="1"/>
  <c r="H324" i="68"/>
  <c r="K287" i="68"/>
  <c r="J424" i="68"/>
  <c r="J425" i="68" s="1"/>
  <c r="J290" i="68"/>
  <c r="J324" i="68"/>
  <c r="S471" i="68"/>
  <c r="T239" i="68"/>
  <c r="T240" i="68" s="1"/>
  <c r="T135" i="68"/>
  <c r="T273" i="68" s="1"/>
  <c r="T38" i="68"/>
  <c r="T219" i="68"/>
  <c r="T109" i="68" s="1"/>
  <c r="T172" i="68"/>
  <c r="T157" i="68"/>
  <c r="T510" i="68"/>
  <c r="T499" i="68"/>
  <c r="T187" i="68"/>
  <c r="T481" i="68" s="1"/>
  <c r="L144" i="64"/>
  <c r="L313" i="64"/>
  <c r="T138" i="68"/>
  <c r="S140" i="68"/>
  <c r="S143" i="68" s="1"/>
  <c r="T39" i="68"/>
  <c r="T88" i="68"/>
  <c r="T337" i="68"/>
  <c r="T83" i="68"/>
  <c r="T84" i="68"/>
  <c r="T98" i="68"/>
  <c r="R326" i="68"/>
  <c r="R328" i="68" s="1"/>
  <c r="T478" i="68"/>
  <c r="S276" i="68"/>
  <c r="S477" i="68"/>
  <c r="S82" i="68" s="1"/>
  <c r="AP165" i="66"/>
  <c r="AO227" i="66"/>
  <c r="AP155" i="66"/>
  <c r="AO225" i="66"/>
  <c r="AB55" i="67"/>
  <c r="AM217" i="66"/>
  <c r="AP160" i="66"/>
  <c r="AO226" i="66"/>
  <c r="AP52" i="66"/>
  <c r="AE30" i="67" s="1"/>
  <c r="AO212" i="66"/>
  <c r="AP126" i="66"/>
  <c r="AO219" i="66"/>
  <c r="AD79" i="67"/>
  <c r="AB50" i="67"/>
  <c r="AM216" i="66"/>
  <c r="AP33" i="66"/>
  <c r="AP42" i="66"/>
  <c r="AO210" i="66"/>
  <c r="AP130" i="66"/>
  <c r="AB45" i="67"/>
  <c r="AM215" i="66"/>
  <c r="AB25" i="67"/>
  <c r="AM211" i="66"/>
  <c r="AD20" i="67"/>
  <c r="AD113" i="67"/>
  <c r="AP145" i="66"/>
  <c r="AO223" i="66"/>
  <c r="AP175" i="66"/>
  <c r="AO229" i="66"/>
  <c r="AD128" i="67"/>
  <c r="AD83" i="67"/>
  <c r="AD108" i="67"/>
  <c r="AE108" i="67" s="1"/>
  <c r="AD118" i="67"/>
  <c r="AE118" i="67" s="1"/>
  <c r="AB40" i="67"/>
  <c r="AM214" i="66"/>
  <c r="AP140" i="66"/>
  <c r="AO222" i="66"/>
  <c r="AD98" i="67"/>
  <c r="AE98" i="67" s="1"/>
  <c r="AP170" i="66"/>
  <c r="AO228" i="66"/>
  <c r="AD103" i="67"/>
  <c r="AO224" i="66"/>
  <c r="AP150" i="66"/>
  <c r="AP135" i="66"/>
  <c r="AE88" i="67" s="1"/>
  <c r="AO221" i="66"/>
  <c r="AD123" i="67"/>
  <c r="AD93" i="67"/>
  <c r="Y6" i="67"/>
  <c r="R103" i="68"/>
  <c r="S41" i="68"/>
  <c r="P199" i="64"/>
  <c r="T259" i="64"/>
  <c r="S522" i="64"/>
  <c r="T466" i="64"/>
  <c r="T522" i="64" s="1"/>
  <c r="S407" i="64"/>
  <c r="I398" i="64"/>
  <c r="E61" i="64"/>
  <c r="E64" i="64" s="1"/>
  <c r="E65" i="64" s="1"/>
  <c r="J330" i="65"/>
  <c r="J337" i="65" s="1"/>
  <c r="I337" i="65"/>
  <c r="K177" i="64"/>
  <c r="K178" i="64"/>
  <c r="N91" i="64"/>
  <c r="K197" i="64"/>
  <c r="K196" i="64" s="1"/>
  <c r="K175" i="64" s="1"/>
  <c r="R443" i="64"/>
  <c r="R381" i="64"/>
  <c r="R237" i="64"/>
  <c r="R294" i="64" s="1"/>
  <c r="P248" i="64"/>
  <c r="P91" i="64" s="1"/>
  <c r="R320" i="64"/>
  <c r="O248" i="64"/>
  <c r="F371" i="64"/>
  <c r="F372" i="64" s="1"/>
  <c r="D64" i="64"/>
  <c r="S165" i="64"/>
  <c r="T165" i="64" s="1"/>
  <c r="R440" i="64"/>
  <c r="R467" i="64"/>
  <c r="R25" i="64"/>
  <c r="M29" i="64"/>
  <c r="L27" i="64"/>
  <c r="L180" i="64"/>
  <c r="Q24" i="64"/>
  <c r="R319" i="64"/>
  <c r="AB13" i="67"/>
  <c r="AM205" i="66"/>
  <c r="AB15" i="67"/>
  <c r="AM206" i="66"/>
  <c r="AB60" i="67"/>
  <c r="I354" i="65"/>
  <c r="S283" i="64"/>
  <c r="R284" i="64"/>
  <c r="D56" i="64"/>
  <c r="I359" i="64"/>
  <c r="I345" i="64"/>
  <c r="AB85" i="67"/>
  <c r="AN132" i="66"/>
  <c r="AN220" i="66" s="1"/>
  <c r="O441" i="64"/>
  <c r="H359" i="64"/>
  <c r="Z144" i="67"/>
  <c r="AA78" i="67"/>
  <c r="AA4" i="67" s="1"/>
  <c r="AA76" i="67"/>
  <c r="AB10" i="67"/>
  <c r="AB35" i="67"/>
  <c r="AE92" i="67"/>
  <c r="Z4" i="67"/>
  <c r="Y5" i="67"/>
  <c r="AM6" i="66"/>
  <c r="AN77" i="66"/>
  <c r="AN72" i="66"/>
  <c r="AM203" i="66"/>
  <c r="AN82" i="66"/>
  <c r="AN218" i="66" s="1"/>
  <c r="AN67" i="66"/>
  <c r="AN35" i="66"/>
  <c r="AN208" i="66" s="1"/>
  <c r="AN62" i="66"/>
  <c r="AN37" i="66"/>
  <c r="AN209" i="66" s="1"/>
  <c r="AN57" i="66"/>
  <c r="AN213" i="66" s="1"/>
  <c r="AN47" i="66"/>
  <c r="AO32" i="66"/>
  <c r="AP58" i="66"/>
  <c r="AE36" i="67" s="1"/>
  <c r="AQ38" i="66"/>
  <c r="AF16" i="67" s="1"/>
  <c r="AV50" i="66"/>
  <c r="AK28" i="67" s="1"/>
  <c r="AS128" i="66"/>
  <c r="AH81" i="67" s="1"/>
  <c r="AQ139" i="66"/>
  <c r="AQ73" i="66"/>
  <c r="AF51" i="67" s="1"/>
  <c r="AW84" i="66"/>
  <c r="AL62" i="67" s="1"/>
  <c r="AR141" i="66"/>
  <c r="AG94" i="67" s="1"/>
  <c r="AV71" i="66"/>
  <c r="AK49" i="67" s="1"/>
  <c r="P441" i="64"/>
  <c r="P378" i="64"/>
  <c r="P377" i="64"/>
  <c r="P375" i="64"/>
  <c r="Q249" i="64"/>
  <c r="N169" i="64"/>
  <c r="F421" i="64"/>
  <c r="G345" i="64"/>
  <c r="O152" i="64"/>
  <c r="O161" i="64"/>
  <c r="E54" i="64"/>
  <c r="E56" i="64" s="1"/>
  <c r="Q294" i="64"/>
  <c r="O271" i="64"/>
  <c r="O379" i="64"/>
  <c r="F363" i="64"/>
  <c r="P26" i="64"/>
  <c r="F346" i="64"/>
  <c r="N188" i="64"/>
  <c r="O331" i="64"/>
  <c r="O468" i="64"/>
  <c r="O121" i="64" s="1"/>
  <c r="K205" i="68" l="1"/>
  <c r="K290" i="68"/>
  <c r="K225" i="68" s="1"/>
  <c r="J291" i="68"/>
  <c r="K424" i="68"/>
  <c r="K288" i="68"/>
  <c r="L287" i="68"/>
  <c r="K429" i="68"/>
  <c r="K488" i="68" s="1"/>
  <c r="K324" i="68"/>
  <c r="K425" i="68"/>
  <c r="AE93" i="67"/>
  <c r="AE20" i="67"/>
  <c r="AE113" i="67"/>
  <c r="AE79" i="67"/>
  <c r="T471" i="68"/>
  <c r="T96" i="68"/>
  <c r="T107" i="68"/>
  <c r="T140" i="68"/>
  <c r="T351" i="68"/>
  <c r="L138" i="64"/>
  <c r="T37" i="68"/>
  <c r="S326" i="68"/>
  <c r="S328" i="68" s="1"/>
  <c r="T275" i="68"/>
  <c r="AC40" i="67"/>
  <c r="AN214" i="66"/>
  <c r="AC55" i="67"/>
  <c r="AN217" i="66"/>
  <c r="AE123" i="67"/>
  <c r="AE83" i="67"/>
  <c r="AQ130" i="66"/>
  <c r="AQ52" i="66"/>
  <c r="AP212" i="66"/>
  <c r="AQ165" i="66"/>
  <c r="AF118" i="67" s="1"/>
  <c r="AP227" i="66"/>
  <c r="AE103" i="67"/>
  <c r="AP224" i="66"/>
  <c r="AQ150" i="66"/>
  <c r="AQ175" i="66"/>
  <c r="AP229" i="66"/>
  <c r="AQ42" i="66"/>
  <c r="AF20" i="67" s="1"/>
  <c r="AP210" i="66"/>
  <c r="AC25" i="67"/>
  <c r="AN211" i="66"/>
  <c r="AE128" i="67"/>
  <c r="AQ145" i="66"/>
  <c r="AP223" i="66"/>
  <c r="AQ33" i="66"/>
  <c r="AC45" i="67"/>
  <c r="AN215" i="66"/>
  <c r="AQ170" i="66"/>
  <c r="AP228" i="66"/>
  <c r="AC50" i="67"/>
  <c r="AN216" i="66"/>
  <c r="AQ135" i="66"/>
  <c r="AP221" i="66"/>
  <c r="AQ140" i="66"/>
  <c r="AP222" i="66"/>
  <c r="AQ126" i="66"/>
  <c r="AP219" i="66"/>
  <c r="AQ160" i="66"/>
  <c r="AF113" i="67" s="1"/>
  <c r="AP226" i="66"/>
  <c r="AQ155" i="66"/>
  <c r="AP225" i="66"/>
  <c r="AE11" i="67"/>
  <c r="AF11" i="67" s="1"/>
  <c r="S103" i="68"/>
  <c r="T41" i="68"/>
  <c r="Z6" i="67"/>
  <c r="AA6" i="67"/>
  <c r="Q199" i="64"/>
  <c r="S284" i="64"/>
  <c r="T283" i="64"/>
  <c r="T284" i="64" s="1"/>
  <c r="S392" i="64"/>
  <c r="T407" i="64"/>
  <c r="E59" i="64"/>
  <c r="E58" i="64"/>
  <c r="F61" i="64"/>
  <c r="R468" i="64"/>
  <c r="S467" i="64"/>
  <c r="T467" i="64" s="1"/>
  <c r="D59" i="64"/>
  <c r="S320" i="64"/>
  <c r="T320" i="64" s="1"/>
  <c r="S237" i="64"/>
  <c r="T237" i="64" s="1"/>
  <c r="S381" i="64"/>
  <c r="T381" i="64" s="1"/>
  <c r="S440" i="64"/>
  <c r="T440" i="64" s="1"/>
  <c r="M30" i="64"/>
  <c r="M144" i="64" s="1"/>
  <c r="I346" i="64"/>
  <c r="R24" i="64"/>
  <c r="L195" i="64"/>
  <c r="L194" i="64"/>
  <c r="S25" i="64"/>
  <c r="I363" i="64"/>
  <c r="S319" i="64"/>
  <c r="T319" i="64" s="1"/>
  <c r="D65" i="64"/>
  <c r="O484" i="64"/>
  <c r="O91" i="64"/>
  <c r="P484" i="64"/>
  <c r="S443" i="64"/>
  <c r="T443" i="64" s="1"/>
  <c r="AC13" i="67"/>
  <c r="AN205" i="66"/>
  <c r="AC60" i="67"/>
  <c r="AC15" i="67"/>
  <c r="AN206" i="66"/>
  <c r="D58" i="64"/>
  <c r="K382" i="64"/>
  <c r="I421" i="64"/>
  <c r="H421" i="64"/>
  <c r="AO132" i="66"/>
  <c r="AO220" i="66" s="1"/>
  <c r="AC85" i="67"/>
  <c r="Q248" i="64"/>
  <c r="R249" i="64"/>
  <c r="H441" i="64"/>
  <c r="L442" i="64" s="1"/>
  <c r="H363" i="64"/>
  <c r="Z5" i="67"/>
  <c r="AF92" i="67"/>
  <c r="AC10" i="67"/>
  <c r="AB76" i="67"/>
  <c r="AC35" i="67"/>
  <c r="AA5" i="67"/>
  <c r="AB78" i="67"/>
  <c r="AB4" i="67" s="1"/>
  <c r="AA144" i="67"/>
  <c r="AN6" i="66"/>
  <c r="AO47" i="66"/>
  <c r="AO35" i="66"/>
  <c r="AO208" i="66" s="1"/>
  <c r="AO67" i="66"/>
  <c r="AN203" i="66"/>
  <c r="AO82" i="66"/>
  <c r="AO218" i="66" s="1"/>
  <c r="AO77" i="66"/>
  <c r="AO62" i="66"/>
  <c r="AO57" i="66"/>
  <c r="AO213" i="66" s="1"/>
  <c r="AO37" i="66"/>
  <c r="AO209" i="66" s="1"/>
  <c r="AO72" i="66"/>
  <c r="AQ58" i="66"/>
  <c r="AF36" i="67" s="1"/>
  <c r="AR38" i="66"/>
  <c r="AG16" i="67" s="1"/>
  <c r="AP32" i="66"/>
  <c r="AR139" i="66"/>
  <c r="AW50" i="66"/>
  <c r="AL28" i="67" s="1"/>
  <c r="AW71" i="66"/>
  <c r="AL49" i="67" s="1"/>
  <c r="AS141" i="66"/>
  <c r="AH94" i="67" s="1"/>
  <c r="AX84" i="66"/>
  <c r="AM62" i="67" s="1"/>
  <c r="AR73" i="66"/>
  <c r="AG51" i="67" s="1"/>
  <c r="AT128" i="66"/>
  <c r="AI81" i="67" s="1"/>
  <c r="Q378" i="64"/>
  <c r="Q377" i="64"/>
  <c r="Q375" i="64"/>
  <c r="O169" i="64"/>
  <c r="P468" i="64"/>
  <c r="P121" i="64" s="1"/>
  <c r="G346" i="64"/>
  <c r="O188" i="64"/>
  <c r="Q26" i="64"/>
  <c r="P379" i="64"/>
  <c r="P271" i="64"/>
  <c r="P331" i="64"/>
  <c r="P152" i="64"/>
  <c r="P161" i="64"/>
  <c r="G359" i="64"/>
  <c r="K208" i="68" l="1"/>
  <c r="L290" i="68"/>
  <c r="K420" i="68"/>
  <c r="L424" i="68"/>
  <c r="L288" i="68"/>
  <c r="M287" i="68"/>
  <c r="L429" i="68"/>
  <c r="L488" i="68" s="1"/>
  <c r="L324" i="68"/>
  <c r="K223" i="68"/>
  <c r="K206" i="68"/>
  <c r="K291" i="68"/>
  <c r="K419" i="68"/>
  <c r="T276" i="68"/>
  <c r="T326" i="68" s="1"/>
  <c r="T143" i="68"/>
  <c r="T450" i="68"/>
  <c r="M313" i="64"/>
  <c r="M138" i="64" s="1"/>
  <c r="T103" i="68"/>
  <c r="AR155" i="66"/>
  <c r="AQ225" i="66"/>
  <c r="AR126" i="66"/>
  <c r="AQ219" i="66"/>
  <c r="AR140" i="66"/>
  <c r="AQ222" i="66"/>
  <c r="AD45" i="67"/>
  <c r="AO215" i="66"/>
  <c r="AR145" i="66"/>
  <c r="AQ223" i="66"/>
  <c r="AR175" i="66"/>
  <c r="AQ229" i="66"/>
  <c r="AR52" i="66"/>
  <c r="AQ212" i="66"/>
  <c r="AF108" i="67"/>
  <c r="AG108" i="67" s="1"/>
  <c r="AD50" i="67"/>
  <c r="AO216" i="66"/>
  <c r="AR160" i="66"/>
  <c r="AG113" i="67" s="1"/>
  <c r="AQ226" i="66"/>
  <c r="AR135" i="66"/>
  <c r="AQ221" i="66"/>
  <c r="AR33" i="66"/>
  <c r="AG11" i="67" s="1"/>
  <c r="AF128" i="67"/>
  <c r="AG128" i="67" s="1"/>
  <c r="AF30" i="67"/>
  <c r="AG30" i="67" s="1"/>
  <c r="AF79" i="67"/>
  <c r="AF98" i="67"/>
  <c r="AF93" i="67"/>
  <c r="AG93" i="67" s="1"/>
  <c r="AD40" i="67"/>
  <c r="AO214" i="66"/>
  <c r="AD55" i="67"/>
  <c r="AO217" i="66"/>
  <c r="AD25" i="67"/>
  <c r="AO211" i="66"/>
  <c r="AR170" i="66"/>
  <c r="AQ228" i="66"/>
  <c r="AR42" i="66"/>
  <c r="AG20" i="67" s="1"/>
  <c r="AQ210" i="66"/>
  <c r="AF103" i="67"/>
  <c r="AQ224" i="66"/>
  <c r="AR150" i="66"/>
  <c r="AR165" i="66"/>
  <c r="AG118" i="67" s="1"/>
  <c r="AQ227" i="66"/>
  <c r="AF83" i="67"/>
  <c r="AR130" i="66"/>
  <c r="AF123" i="67"/>
  <c r="AF88" i="67"/>
  <c r="R199" i="64"/>
  <c r="T25" i="64"/>
  <c r="N29" i="64"/>
  <c r="N30" i="64" s="1"/>
  <c r="N144" i="64" s="1"/>
  <c r="T392" i="64"/>
  <c r="T441" i="64"/>
  <c r="T468" i="64"/>
  <c r="T294" i="64"/>
  <c r="G61" i="64"/>
  <c r="I54" i="64"/>
  <c r="S441" i="64"/>
  <c r="S294" i="64"/>
  <c r="S468" i="64"/>
  <c r="S121" i="64" s="1"/>
  <c r="Q91" i="64"/>
  <c r="R26" i="64"/>
  <c r="S24" i="64"/>
  <c r="L382" i="64"/>
  <c r="F64" i="64"/>
  <c r="L178" i="64"/>
  <c r="L176" i="64"/>
  <c r="L197" i="64"/>
  <c r="L177" i="64"/>
  <c r="M27" i="64"/>
  <c r="M194" i="64" s="1"/>
  <c r="M180" i="64"/>
  <c r="AD60" i="67"/>
  <c r="AD13" i="67"/>
  <c r="AO205" i="66"/>
  <c r="AD15" i="67"/>
  <c r="AO206" i="66"/>
  <c r="K384" i="64"/>
  <c r="R248" i="64"/>
  <c r="S249" i="64"/>
  <c r="T249" i="64" s="1"/>
  <c r="AB5" i="67"/>
  <c r="AB6" i="67"/>
  <c r="AD85" i="67"/>
  <c r="AG92" i="67"/>
  <c r="AP132" i="66"/>
  <c r="AP220" i="66" s="1"/>
  <c r="M442" i="64"/>
  <c r="R375" i="64"/>
  <c r="N442" i="64"/>
  <c r="R377" i="64"/>
  <c r="R378" i="64"/>
  <c r="Q484" i="64"/>
  <c r="R441" i="64"/>
  <c r="Q441" i="64"/>
  <c r="K442" i="64"/>
  <c r="O442" i="64"/>
  <c r="P442" i="64"/>
  <c r="AD35" i="67"/>
  <c r="AC78" i="67"/>
  <c r="AC4" i="67" s="1"/>
  <c r="AB144" i="67"/>
  <c r="AC76" i="67"/>
  <c r="AD10" i="67"/>
  <c r="AO6" i="66"/>
  <c r="AP37" i="66"/>
  <c r="AP209" i="66" s="1"/>
  <c r="AP77" i="66"/>
  <c r="AP62" i="66"/>
  <c r="AP47" i="66"/>
  <c r="AP57" i="66"/>
  <c r="AP213" i="66" s="1"/>
  <c r="AP67" i="66"/>
  <c r="AP72" i="66"/>
  <c r="AO203" i="66"/>
  <c r="AP82" i="66"/>
  <c r="AP218" i="66" s="1"/>
  <c r="AP35" i="66"/>
  <c r="AP208" i="66" s="1"/>
  <c r="AS38" i="66"/>
  <c r="AH16" i="67" s="1"/>
  <c r="AQ32" i="66"/>
  <c r="AR58" i="66"/>
  <c r="AG36" i="67" s="1"/>
  <c r="AS139" i="66"/>
  <c r="AY84" i="66"/>
  <c r="AN62" i="67" s="1"/>
  <c r="AT141" i="66"/>
  <c r="AI94" i="67" s="1"/>
  <c r="AX50" i="66"/>
  <c r="AM28" i="67" s="1"/>
  <c r="AU128" i="66"/>
  <c r="AJ81" i="67" s="1"/>
  <c r="AS73" i="66"/>
  <c r="AH51" i="67" s="1"/>
  <c r="AX71" i="66"/>
  <c r="AM49" i="67" s="1"/>
  <c r="Q331" i="64"/>
  <c r="P169" i="64"/>
  <c r="G421" i="64"/>
  <c r="Q161" i="64"/>
  <c r="Q152" i="64"/>
  <c r="Q468" i="64"/>
  <c r="Q121" i="64" s="1"/>
  <c r="Q271" i="64"/>
  <c r="Q379" i="64"/>
  <c r="P188" i="64"/>
  <c r="F54" i="64"/>
  <c r="L225" i="68" l="1"/>
  <c r="L291" i="68"/>
  <c r="L208" i="68"/>
  <c r="L426" i="68"/>
  <c r="L206" i="68"/>
  <c r="K209" i="68"/>
  <c r="M288" i="68"/>
  <c r="N287" i="68"/>
  <c r="M424" i="68"/>
  <c r="M429" i="68"/>
  <c r="M488" i="68" s="1"/>
  <c r="M324" i="68"/>
  <c r="M290" i="68"/>
  <c r="AG98" i="67"/>
  <c r="AG88" i="67"/>
  <c r="AG123" i="67"/>
  <c r="AG79" i="67"/>
  <c r="T477" i="68"/>
  <c r="T328" i="68"/>
  <c r="N313" i="64"/>
  <c r="N138" i="64" s="1"/>
  <c r="AE40" i="67"/>
  <c r="AP214" i="66"/>
  <c r="AS135" i="66"/>
  <c r="AH88" i="67" s="1"/>
  <c r="AR221" i="66"/>
  <c r="AE45" i="67"/>
  <c r="AP215" i="66"/>
  <c r="AS170" i="66"/>
  <c r="AH123" i="67" s="1"/>
  <c r="AR228" i="66"/>
  <c r="AS33" i="66"/>
  <c r="AS52" i="66"/>
  <c r="AH30" i="67" s="1"/>
  <c r="AR212" i="66"/>
  <c r="AS145" i="66"/>
  <c r="AR223" i="66"/>
  <c r="AS126" i="66"/>
  <c r="AR219" i="66"/>
  <c r="AG83" i="67"/>
  <c r="AS130" i="66"/>
  <c r="AS165" i="66"/>
  <c r="AR227" i="66"/>
  <c r="AE50" i="67"/>
  <c r="AP216" i="66"/>
  <c r="AE25" i="67"/>
  <c r="AP211" i="66"/>
  <c r="AE55" i="67"/>
  <c r="AP217" i="66"/>
  <c r="AG103" i="67"/>
  <c r="AR224" i="66"/>
  <c r="AS150" i="66"/>
  <c r="AS42" i="66"/>
  <c r="AH20" i="67" s="1"/>
  <c r="AR210" i="66"/>
  <c r="AS160" i="66"/>
  <c r="AR226" i="66"/>
  <c r="AS175" i="66"/>
  <c r="AR229" i="66"/>
  <c r="AS140" i="66"/>
  <c r="AH93" i="67" s="1"/>
  <c r="AR222" i="66"/>
  <c r="AS155" i="66"/>
  <c r="AR225" i="66"/>
  <c r="T24" i="64"/>
  <c r="S199" i="64"/>
  <c r="T248" i="64"/>
  <c r="T442" i="64"/>
  <c r="T121" i="64"/>
  <c r="R121" i="64"/>
  <c r="R484" i="64"/>
  <c r="I56" i="64"/>
  <c r="L196" i="64"/>
  <c r="N180" i="64"/>
  <c r="N27" i="64"/>
  <c r="O29" i="64"/>
  <c r="K362" i="64"/>
  <c r="Q442" i="64"/>
  <c r="Q490" i="64" s="1"/>
  <c r="M382" i="64"/>
  <c r="L99" i="64"/>
  <c r="M490" i="64"/>
  <c r="M195" i="64"/>
  <c r="M177" i="64" s="1"/>
  <c r="F65" i="64"/>
  <c r="S26" i="64"/>
  <c r="AE13" i="67"/>
  <c r="AP205" i="66"/>
  <c r="AE60" i="67"/>
  <c r="AP206" i="66"/>
  <c r="S248" i="64"/>
  <c r="K388" i="64"/>
  <c r="K391" i="64"/>
  <c r="K344" i="64"/>
  <c r="K357" i="64"/>
  <c r="L384" i="64"/>
  <c r="K385" i="64"/>
  <c r="R91" i="64"/>
  <c r="S377" i="64"/>
  <c r="R161" i="64"/>
  <c r="S375" i="64"/>
  <c r="S442" i="64"/>
  <c r="R331" i="64"/>
  <c r="S378" i="64"/>
  <c r="AC5" i="67"/>
  <c r="AC6" i="67"/>
  <c r="AE35" i="67"/>
  <c r="AQ132" i="66"/>
  <c r="AQ220" i="66" s="1"/>
  <c r="AE85" i="67"/>
  <c r="M99" i="64"/>
  <c r="K99" i="64"/>
  <c r="N490" i="64"/>
  <c r="N99" i="64"/>
  <c r="O99" i="64"/>
  <c r="K490" i="64"/>
  <c r="R152" i="64"/>
  <c r="L490" i="64"/>
  <c r="O490" i="64"/>
  <c r="R271" i="64"/>
  <c r="R379" i="64"/>
  <c r="R442" i="64"/>
  <c r="P490" i="64"/>
  <c r="P99" i="64"/>
  <c r="AE10" i="67"/>
  <c r="AD76" i="67"/>
  <c r="AD78" i="67"/>
  <c r="AD4" i="67" s="1"/>
  <c r="AC144" i="67"/>
  <c r="AE15" i="67"/>
  <c r="AH92" i="67"/>
  <c r="AP6" i="66"/>
  <c r="AQ47" i="66"/>
  <c r="AQ72" i="66"/>
  <c r="AQ62" i="66"/>
  <c r="AQ77" i="66"/>
  <c r="AP203" i="66"/>
  <c r="AQ82" i="66"/>
  <c r="AQ218" i="66" s="1"/>
  <c r="AQ57" i="66"/>
  <c r="AQ213" i="66" s="1"/>
  <c r="AQ35" i="66"/>
  <c r="AQ208" i="66" s="1"/>
  <c r="AQ67" i="66"/>
  <c r="AQ37" i="66"/>
  <c r="AQ209" i="66" s="1"/>
  <c r="AR32" i="66"/>
  <c r="AS58" i="66"/>
  <c r="AH36" i="67" s="1"/>
  <c r="AT38" i="66"/>
  <c r="AI16" i="67" s="1"/>
  <c r="AY71" i="66"/>
  <c r="AN49" i="67" s="1"/>
  <c r="AV128" i="66"/>
  <c r="AK81" i="67" s="1"/>
  <c r="AU141" i="66"/>
  <c r="AJ94" i="67" s="1"/>
  <c r="AT139" i="66"/>
  <c r="AT73" i="66"/>
  <c r="AI51" i="67" s="1"/>
  <c r="AY50" i="66"/>
  <c r="AN28" i="67" s="1"/>
  <c r="AZ84" i="66"/>
  <c r="AO62" i="67" s="1"/>
  <c r="G363" i="64"/>
  <c r="Q169" i="64"/>
  <c r="Q188" i="64"/>
  <c r="R188" i="64" s="1"/>
  <c r="S188" i="64" s="1"/>
  <c r="T188" i="64" s="1"/>
  <c r="M225" i="68" l="1"/>
  <c r="M291" i="68"/>
  <c r="L425" i="68"/>
  <c r="L420" i="68" s="1"/>
  <c r="N429" i="68"/>
  <c r="N488" i="68" s="1"/>
  <c r="O287" i="68"/>
  <c r="N288" i="68"/>
  <c r="N424" i="68"/>
  <c r="N324" i="68"/>
  <c r="N290" i="68"/>
  <c r="M208" i="68"/>
  <c r="L214" i="68"/>
  <c r="L213" i="68"/>
  <c r="AH79" i="67"/>
  <c r="T82" i="68"/>
  <c r="AF45" i="67"/>
  <c r="AQ215" i="66"/>
  <c r="AF55" i="67"/>
  <c r="AQ217" i="66"/>
  <c r="AT160" i="66"/>
  <c r="AS226" i="66"/>
  <c r="AT165" i="66"/>
  <c r="AS227" i="66"/>
  <c r="AT145" i="66"/>
  <c r="AS223" i="66"/>
  <c r="AT155" i="66"/>
  <c r="AS225" i="66"/>
  <c r="AT175" i="66"/>
  <c r="AS229" i="66"/>
  <c r="AH83" i="67"/>
  <c r="AT130" i="66"/>
  <c r="AH98" i="67"/>
  <c r="AT135" i="66"/>
  <c r="AI88" i="67" s="1"/>
  <c r="AS221" i="66"/>
  <c r="AF40" i="67"/>
  <c r="AQ214" i="66"/>
  <c r="AH103" i="67"/>
  <c r="AS224" i="66"/>
  <c r="AT150" i="66"/>
  <c r="AF50" i="67"/>
  <c r="AQ216" i="66"/>
  <c r="AF25" i="67"/>
  <c r="AQ211" i="66"/>
  <c r="AH108" i="67"/>
  <c r="AT126" i="66"/>
  <c r="AI79" i="67" s="1"/>
  <c r="AS219" i="66"/>
  <c r="AT52" i="66"/>
  <c r="AS212" i="66"/>
  <c r="AH128" i="67"/>
  <c r="AH118" i="67"/>
  <c r="AT140" i="66"/>
  <c r="AS222" i="66"/>
  <c r="AT42" i="66"/>
  <c r="AI20" i="67" s="1"/>
  <c r="AS210" i="66"/>
  <c r="AT33" i="66"/>
  <c r="AT170" i="66"/>
  <c r="AI123" i="67" s="1"/>
  <c r="AS228" i="66"/>
  <c r="AH11" i="67"/>
  <c r="AH113" i="67"/>
  <c r="AI113" i="67" s="1"/>
  <c r="AD6" i="67"/>
  <c r="T199" i="64"/>
  <c r="T26" i="64"/>
  <c r="T91" i="64"/>
  <c r="T484" i="64"/>
  <c r="T99" i="64"/>
  <c r="T375" i="64"/>
  <c r="T378" i="64"/>
  <c r="T377" i="64"/>
  <c r="T490" i="64"/>
  <c r="G54" i="64"/>
  <c r="Q99" i="64"/>
  <c r="M178" i="64"/>
  <c r="M176" i="64"/>
  <c r="F56" i="64"/>
  <c r="G64" i="64"/>
  <c r="M197" i="64"/>
  <c r="O30" i="64"/>
  <c r="O313" i="64" s="1"/>
  <c r="N382" i="64"/>
  <c r="L362" i="64"/>
  <c r="N195" i="64"/>
  <c r="I59" i="64"/>
  <c r="I58" i="64"/>
  <c r="S484" i="64"/>
  <c r="N194" i="64"/>
  <c r="L175" i="64"/>
  <c r="AF13" i="67"/>
  <c r="AQ205" i="66"/>
  <c r="AQ206" i="66"/>
  <c r="AF60" i="67"/>
  <c r="S91" i="64"/>
  <c r="S271" i="64"/>
  <c r="S331" i="64"/>
  <c r="K449" i="64"/>
  <c r="L388" i="64"/>
  <c r="L391" i="64"/>
  <c r="L344" i="64"/>
  <c r="L357" i="64"/>
  <c r="M384" i="64"/>
  <c r="L385" i="64"/>
  <c r="R169" i="64"/>
  <c r="S379" i="64"/>
  <c r="S99" i="64"/>
  <c r="S490" i="64"/>
  <c r="S161" i="64"/>
  <c r="S152" i="64"/>
  <c r="AF35" i="67"/>
  <c r="AF85" i="67"/>
  <c r="AD5" i="67"/>
  <c r="AR132" i="66"/>
  <c r="AR220" i="66" s="1"/>
  <c r="R99" i="64"/>
  <c r="R490" i="64"/>
  <c r="AI92" i="67"/>
  <c r="AF10" i="67"/>
  <c r="AE76" i="67"/>
  <c r="AF15" i="67"/>
  <c r="AE78" i="67"/>
  <c r="AE4" i="67" s="1"/>
  <c r="AD144" i="67"/>
  <c r="AQ6" i="66"/>
  <c r="AR62" i="66"/>
  <c r="AR77" i="66"/>
  <c r="AR37" i="66"/>
  <c r="AR209" i="66" s="1"/>
  <c r="AR35" i="66"/>
  <c r="AR208" i="66" s="1"/>
  <c r="AR57" i="66"/>
  <c r="AR213" i="66" s="1"/>
  <c r="AR47" i="66"/>
  <c r="AR67" i="66"/>
  <c r="AQ203" i="66"/>
  <c r="AR82" i="66"/>
  <c r="AR218" i="66" s="1"/>
  <c r="AR72" i="66"/>
  <c r="AT58" i="66"/>
  <c r="AI36" i="67" s="1"/>
  <c r="AS32" i="66"/>
  <c r="AU38" i="66"/>
  <c r="AJ16" i="67" s="1"/>
  <c r="AW128" i="66"/>
  <c r="AL81" i="67" s="1"/>
  <c r="BA84" i="66"/>
  <c r="AP62" i="67" s="1"/>
  <c r="AZ50" i="66"/>
  <c r="AO28" i="67" s="1"/>
  <c r="AU73" i="66"/>
  <c r="AJ51" i="67" s="1"/>
  <c r="AU139" i="66"/>
  <c r="AV141" i="66"/>
  <c r="AK94" i="67" s="1"/>
  <c r="AZ71" i="66"/>
  <c r="AO49" i="67" s="1"/>
  <c r="K392" i="64"/>
  <c r="N291" i="68" l="1"/>
  <c r="N208" i="68"/>
  <c r="O290" i="68"/>
  <c r="L223" i="68"/>
  <c r="M206" i="68" s="1"/>
  <c r="O424" i="68"/>
  <c r="P287" i="68"/>
  <c r="O288" i="68"/>
  <c r="O291" i="68" s="1"/>
  <c r="O429" i="68"/>
  <c r="O488" i="68" s="1"/>
  <c r="O324" i="68"/>
  <c r="L419" i="68"/>
  <c r="L224" i="68"/>
  <c r="M207" i="68" s="1"/>
  <c r="N225" i="68"/>
  <c r="AI108" i="67"/>
  <c r="AI118" i="67"/>
  <c r="P29" i="64"/>
  <c r="P30" i="64" s="1"/>
  <c r="P27" i="64" s="1"/>
  <c r="O144" i="64"/>
  <c r="O138" i="64" s="1"/>
  <c r="AU33" i="66"/>
  <c r="AU140" i="66"/>
  <c r="AT222" i="66"/>
  <c r="AU145" i="66"/>
  <c r="AT223" i="66"/>
  <c r="AU160" i="66"/>
  <c r="AT226" i="66"/>
  <c r="AG50" i="67"/>
  <c r="AR216" i="66"/>
  <c r="AG45" i="67"/>
  <c r="AR215" i="66"/>
  <c r="AG25" i="67"/>
  <c r="AR211" i="66"/>
  <c r="AU135" i="66"/>
  <c r="AT221" i="66"/>
  <c r="AG55" i="67"/>
  <c r="AR217" i="66"/>
  <c r="AJ113" i="67"/>
  <c r="AI103" i="67"/>
  <c r="AT224" i="66"/>
  <c r="AU150" i="66"/>
  <c r="AI83" i="67"/>
  <c r="AU130" i="66"/>
  <c r="AI11" i="67"/>
  <c r="AU52" i="66"/>
  <c r="AT212" i="66"/>
  <c r="AU175" i="66"/>
  <c r="AT229" i="66"/>
  <c r="AG40" i="67"/>
  <c r="AR214" i="66"/>
  <c r="AU170" i="66"/>
  <c r="AT228" i="66"/>
  <c r="AU42" i="66"/>
  <c r="AT210" i="66"/>
  <c r="AI128" i="67"/>
  <c r="AJ128" i="67" s="1"/>
  <c r="AU126" i="66"/>
  <c r="AT219" i="66"/>
  <c r="AI98" i="67"/>
  <c r="AI30" i="67"/>
  <c r="AU155" i="66"/>
  <c r="AT225" i="66"/>
  <c r="AU165" i="66"/>
  <c r="AJ118" i="67" s="1"/>
  <c r="AT227" i="66"/>
  <c r="AI93" i="67"/>
  <c r="AJ93" i="67" s="1"/>
  <c r="AE6" i="67"/>
  <c r="F58" i="64"/>
  <c r="T331" i="64"/>
  <c r="T161" i="64"/>
  <c r="T152" i="64"/>
  <c r="T271" i="64"/>
  <c r="T379" i="64"/>
  <c r="F59" i="64"/>
  <c r="G56" i="64"/>
  <c r="G58" i="64" s="1"/>
  <c r="N197" i="64"/>
  <c r="O382" i="64"/>
  <c r="N178" i="64"/>
  <c r="M196" i="64"/>
  <c r="K71" i="64"/>
  <c r="O180" i="64"/>
  <c r="O27" i="64"/>
  <c r="N176" i="64"/>
  <c r="N177" i="64"/>
  <c r="M362" i="64"/>
  <c r="G65" i="64"/>
  <c r="AG13" i="67"/>
  <c r="AR205" i="66"/>
  <c r="AR206" i="66"/>
  <c r="AG60" i="67"/>
  <c r="L449" i="64"/>
  <c r="L71" i="64" s="1"/>
  <c r="M388" i="64"/>
  <c r="M391" i="64"/>
  <c r="M344" i="64"/>
  <c r="M357" i="64"/>
  <c r="N384" i="64"/>
  <c r="M385" i="64"/>
  <c r="S169" i="64"/>
  <c r="AG35" i="67"/>
  <c r="AS132" i="66"/>
  <c r="AS220" i="66" s="1"/>
  <c r="AG85" i="67"/>
  <c r="AE5" i="67"/>
  <c r="AJ92" i="67"/>
  <c r="AG15" i="67"/>
  <c r="AG10" i="67"/>
  <c r="AF76" i="67"/>
  <c r="AF78" i="67"/>
  <c r="AF4" i="67" s="1"/>
  <c r="AE144" i="67"/>
  <c r="AR6" i="66"/>
  <c r="AS57" i="66"/>
  <c r="AS213" i="66" s="1"/>
  <c r="AS77" i="66"/>
  <c r="AS37" i="66"/>
  <c r="AS209" i="66" s="1"/>
  <c r="AR203" i="66"/>
  <c r="AS82" i="66"/>
  <c r="AS218" i="66" s="1"/>
  <c r="AS35" i="66"/>
  <c r="AS208" i="66" s="1"/>
  <c r="AS72" i="66"/>
  <c r="AS67" i="66"/>
  <c r="AS62" i="66"/>
  <c r="AS47" i="66"/>
  <c r="AV38" i="66"/>
  <c r="AK16" i="67" s="1"/>
  <c r="AU58" i="66"/>
  <c r="AJ36" i="67" s="1"/>
  <c r="AT32" i="66"/>
  <c r="AX128" i="66"/>
  <c r="AM81" i="67" s="1"/>
  <c r="BA50" i="66"/>
  <c r="AP28" i="67" s="1"/>
  <c r="BA71" i="66"/>
  <c r="AP49" i="67" s="1"/>
  <c r="AW141" i="66"/>
  <c r="AL94" i="67" s="1"/>
  <c r="AV139" i="66"/>
  <c r="AV73" i="66"/>
  <c r="AK51" i="67" s="1"/>
  <c r="BB84" i="66"/>
  <c r="AQ62" i="67" s="1"/>
  <c r="L392" i="64"/>
  <c r="O225" i="68" l="1"/>
  <c r="O208" i="68"/>
  <c r="M426" i="68"/>
  <c r="P424" i="68"/>
  <c r="Q287" i="68"/>
  <c r="P429" i="68"/>
  <c r="P488" i="68" s="1"/>
  <c r="P288" i="68"/>
  <c r="P324" i="68"/>
  <c r="P290" i="68"/>
  <c r="AJ98" i="67"/>
  <c r="P313" i="64"/>
  <c r="P144" i="64"/>
  <c r="AH45" i="67"/>
  <c r="AS215" i="66"/>
  <c r="AV155" i="66"/>
  <c r="AU225" i="66"/>
  <c r="AV52" i="66"/>
  <c r="AU212" i="66"/>
  <c r="AV33" i="66"/>
  <c r="AH40" i="67"/>
  <c r="AS214" i="66"/>
  <c r="AH55" i="67"/>
  <c r="AS217" i="66"/>
  <c r="AJ30" i="67"/>
  <c r="AV126" i="66"/>
  <c r="AU219" i="66"/>
  <c r="AJ11" i="67"/>
  <c r="AK11" i="67" s="1"/>
  <c r="AJ103" i="67"/>
  <c r="AU224" i="66"/>
  <c r="AV150" i="66"/>
  <c r="AV160" i="66"/>
  <c r="AK113" i="67" s="1"/>
  <c r="AU226" i="66"/>
  <c r="AV42" i="66"/>
  <c r="AU210" i="66"/>
  <c r="AV135" i="66"/>
  <c r="AU221" i="66"/>
  <c r="AJ108" i="67"/>
  <c r="AH50" i="67"/>
  <c r="AS216" i="66"/>
  <c r="AV165" i="66"/>
  <c r="AU227" i="66"/>
  <c r="AV170" i="66"/>
  <c r="AU228" i="66"/>
  <c r="AV175" i="66"/>
  <c r="AK128" i="67" s="1"/>
  <c r="AU229" i="66"/>
  <c r="AJ83" i="67"/>
  <c r="AV130" i="66"/>
  <c r="AV140" i="66"/>
  <c r="AK93" i="67" s="1"/>
  <c r="AU222" i="66"/>
  <c r="AJ20" i="67"/>
  <c r="AK20" i="67" s="1"/>
  <c r="AH25" i="67"/>
  <c r="AS211" i="66"/>
  <c r="AJ88" i="67"/>
  <c r="AV145" i="66"/>
  <c r="AK98" i="67" s="1"/>
  <c r="AU223" i="66"/>
  <c r="AJ79" i="67"/>
  <c r="AJ123" i="67"/>
  <c r="T169" i="64"/>
  <c r="Q29" i="64"/>
  <c r="Q30" i="64" s="1"/>
  <c r="P180" i="64"/>
  <c r="N196" i="64"/>
  <c r="N362" i="64"/>
  <c r="O195" i="64"/>
  <c r="O177" i="64" s="1"/>
  <c r="O194" i="64"/>
  <c r="M175" i="64"/>
  <c r="P382" i="64"/>
  <c r="G59" i="64"/>
  <c r="AH60" i="67"/>
  <c r="AH13" i="67"/>
  <c r="AS205" i="66"/>
  <c r="AS206" i="66"/>
  <c r="M449" i="64"/>
  <c r="M71" i="64" s="1"/>
  <c r="N388" i="64"/>
  <c r="N391" i="64"/>
  <c r="N344" i="64"/>
  <c r="N357" i="64"/>
  <c r="O384" i="64"/>
  <c r="N385" i="64"/>
  <c r="AH35" i="67"/>
  <c r="AH85" i="67"/>
  <c r="AF5" i="67"/>
  <c r="AF6" i="67"/>
  <c r="AT132" i="66"/>
  <c r="AT220" i="66" s="1"/>
  <c r="AK92" i="67"/>
  <c r="AF144" i="67"/>
  <c r="AG78" i="67"/>
  <c r="AG4" i="67" s="1"/>
  <c r="AG76" i="67"/>
  <c r="AH10" i="67"/>
  <c r="AH15" i="67"/>
  <c r="AS6" i="66"/>
  <c r="AS203" i="66"/>
  <c r="AT82" i="66"/>
  <c r="AT218" i="66" s="1"/>
  <c r="AT67" i="66"/>
  <c r="AT35" i="66"/>
  <c r="AT208" i="66" s="1"/>
  <c r="AT62" i="66"/>
  <c r="AT77" i="66"/>
  <c r="AT57" i="66"/>
  <c r="AT213" i="66" s="1"/>
  <c r="AT47" i="66"/>
  <c r="AT72" i="66"/>
  <c r="AT37" i="66"/>
  <c r="AT209" i="66" s="1"/>
  <c r="AV58" i="66"/>
  <c r="AK36" i="67" s="1"/>
  <c r="AU32" i="66"/>
  <c r="AW38" i="66"/>
  <c r="AL16" i="67" s="1"/>
  <c r="BC84" i="66"/>
  <c r="AR62" i="67" s="1"/>
  <c r="AW73" i="66"/>
  <c r="AL51" i="67" s="1"/>
  <c r="AW139" i="66"/>
  <c r="BB71" i="66"/>
  <c r="AQ49" i="67" s="1"/>
  <c r="BB50" i="66"/>
  <c r="AQ28" i="67" s="1"/>
  <c r="AY128" i="66"/>
  <c r="AN81" i="67" s="1"/>
  <c r="AX141" i="66"/>
  <c r="AM94" i="67" s="1"/>
  <c r="M392" i="64"/>
  <c r="Q290" i="68" l="1"/>
  <c r="Q424" i="68"/>
  <c r="R287" i="68"/>
  <c r="Q429" i="68"/>
  <c r="Q488" i="68" s="1"/>
  <c r="Q324" i="68"/>
  <c r="M425" i="68"/>
  <c r="M420" i="68" s="1"/>
  <c r="M213" i="68"/>
  <c r="M214" i="68"/>
  <c r="P291" i="68"/>
  <c r="P208" i="68"/>
  <c r="Q288" i="68"/>
  <c r="P225" i="68"/>
  <c r="AK88" i="67"/>
  <c r="AK30" i="67"/>
  <c r="AK123" i="67"/>
  <c r="P138" i="64"/>
  <c r="Q313" i="64"/>
  <c r="Q144" i="64"/>
  <c r="AI40" i="67"/>
  <c r="AT214" i="66"/>
  <c r="AW165" i="66"/>
  <c r="AV227" i="66"/>
  <c r="AW126" i="66"/>
  <c r="AV219" i="66"/>
  <c r="AW155" i="66"/>
  <c r="AV225" i="66"/>
  <c r="AI55" i="67"/>
  <c r="AT217" i="66"/>
  <c r="AK79" i="67"/>
  <c r="AW140" i="66"/>
  <c r="AL93" i="67" s="1"/>
  <c r="AV222" i="66"/>
  <c r="AW135" i="66"/>
  <c r="AV221" i="66"/>
  <c r="AW170" i="66"/>
  <c r="AV228" i="66"/>
  <c r="AI50" i="67"/>
  <c r="AT216" i="66"/>
  <c r="AI25" i="67"/>
  <c r="AT211" i="66"/>
  <c r="AI45" i="67"/>
  <c r="AT215" i="66"/>
  <c r="AK83" i="67"/>
  <c r="AW130" i="66"/>
  <c r="AW175" i="66"/>
  <c r="AV229" i="66"/>
  <c r="AW160" i="66"/>
  <c r="AV226" i="66"/>
  <c r="AW33" i="66"/>
  <c r="AW52" i="66"/>
  <c r="AL30" i="67" s="1"/>
  <c r="AV212" i="66"/>
  <c r="AW145" i="66"/>
  <c r="AV223" i="66"/>
  <c r="AK108" i="67"/>
  <c r="AL108" i="67" s="1"/>
  <c r="AW42" i="66"/>
  <c r="AV210" i="66"/>
  <c r="AK103" i="67"/>
  <c r="AV224" i="66"/>
  <c r="AW150" i="66"/>
  <c r="AK118" i="67"/>
  <c r="AL118" i="67" s="1"/>
  <c r="O362" i="64"/>
  <c r="Q382" i="64"/>
  <c r="N175" i="64"/>
  <c r="O176" i="64"/>
  <c r="O197" i="64"/>
  <c r="P195" i="64"/>
  <c r="O178" i="64"/>
  <c r="P194" i="64"/>
  <c r="Q180" i="64"/>
  <c r="AT206" i="66"/>
  <c r="AI13" i="67"/>
  <c r="AT205" i="66"/>
  <c r="AI60" i="67"/>
  <c r="N449" i="64"/>
  <c r="N71" i="64" s="1"/>
  <c r="O388" i="64"/>
  <c r="O391" i="64"/>
  <c r="O344" i="64"/>
  <c r="O357" i="64"/>
  <c r="O385" i="64"/>
  <c r="P384" i="64"/>
  <c r="AI35" i="67"/>
  <c r="AG5" i="67"/>
  <c r="AG6" i="67"/>
  <c r="Q27" i="64"/>
  <c r="AU132" i="66"/>
  <c r="AU220" i="66" s="1"/>
  <c r="AI85" i="67"/>
  <c r="R29" i="64"/>
  <c r="AI15" i="67"/>
  <c r="AI10" i="67"/>
  <c r="AH76" i="67"/>
  <c r="AH78" i="67"/>
  <c r="AH4" i="67" s="1"/>
  <c r="AG144" i="67"/>
  <c r="AL92" i="67"/>
  <c r="AU72" i="66"/>
  <c r="AU47" i="66"/>
  <c r="AU77" i="66"/>
  <c r="AT6" i="66"/>
  <c r="AU37" i="66"/>
  <c r="AU209" i="66" s="1"/>
  <c r="AU67" i="66"/>
  <c r="AT203" i="66"/>
  <c r="AU82" i="66"/>
  <c r="AU218" i="66" s="1"/>
  <c r="AU57" i="66"/>
  <c r="AU213" i="66" s="1"/>
  <c r="AU62" i="66"/>
  <c r="AU35" i="66"/>
  <c r="AU208" i="66" s="1"/>
  <c r="AX38" i="66"/>
  <c r="AM16" i="67" s="1"/>
  <c r="AV32" i="66"/>
  <c r="AW58" i="66"/>
  <c r="AL36" i="67" s="1"/>
  <c r="AY141" i="66"/>
  <c r="AN94" i="67" s="1"/>
  <c r="BC50" i="66"/>
  <c r="AR28" i="67" s="1"/>
  <c r="BC71" i="66"/>
  <c r="AR49" i="67" s="1"/>
  <c r="AX139" i="66"/>
  <c r="AX73" i="66"/>
  <c r="AM51" i="67" s="1"/>
  <c r="AZ128" i="66"/>
  <c r="AO81" i="67" s="1"/>
  <c r="BD84" i="66"/>
  <c r="AS62" i="67" s="1"/>
  <c r="N392" i="64"/>
  <c r="Q291" i="68" l="1"/>
  <c r="Q225" i="68"/>
  <c r="M419" i="68"/>
  <c r="N426" i="68" s="1"/>
  <c r="N425" i="68" s="1"/>
  <c r="M224" i="68"/>
  <c r="N207" i="68" s="1"/>
  <c r="M223" i="68"/>
  <c r="N206" i="68" s="1"/>
  <c r="Q208" i="68"/>
  <c r="R424" i="68"/>
  <c r="R288" i="68"/>
  <c r="S287" i="68"/>
  <c r="R429" i="68"/>
  <c r="R488" i="68" s="1"/>
  <c r="R324" i="68"/>
  <c r="R290" i="68"/>
  <c r="Q138" i="64"/>
  <c r="AX33" i="66"/>
  <c r="AJ55" i="67"/>
  <c r="AU217" i="66"/>
  <c r="AL103" i="67"/>
  <c r="AW224" i="66"/>
  <c r="AX150" i="66"/>
  <c r="AX42" i="66"/>
  <c r="AW210" i="66"/>
  <c r="AX145" i="66"/>
  <c r="AW223" i="66"/>
  <c r="AL79" i="67"/>
  <c r="AX155" i="66"/>
  <c r="AW225" i="66"/>
  <c r="AX160" i="66"/>
  <c r="AW226" i="66"/>
  <c r="AX140" i="66"/>
  <c r="AW222" i="66"/>
  <c r="AX126" i="66"/>
  <c r="AW219" i="66"/>
  <c r="AJ45" i="67"/>
  <c r="AU215" i="66"/>
  <c r="AJ25" i="67"/>
  <c r="AU211" i="66"/>
  <c r="AM108" i="67"/>
  <c r="AL11" i="67"/>
  <c r="AM11" i="67" s="1"/>
  <c r="AX175" i="66"/>
  <c r="AW229" i="66"/>
  <c r="AX170" i="66"/>
  <c r="AW228" i="66"/>
  <c r="AX135" i="66"/>
  <c r="AW221" i="66"/>
  <c r="AL113" i="67"/>
  <c r="AX165" i="66"/>
  <c r="AM118" i="67" s="1"/>
  <c r="AW227" i="66"/>
  <c r="AL98" i="67"/>
  <c r="AM98" i="67" s="1"/>
  <c r="AJ40" i="67"/>
  <c r="AU214" i="66"/>
  <c r="AJ50" i="67"/>
  <c r="AU216" i="66"/>
  <c r="AL20" i="67"/>
  <c r="AX52" i="66"/>
  <c r="AM30" i="67" s="1"/>
  <c r="AW212" i="66"/>
  <c r="AL83" i="67"/>
  <c r="AX130" i="66"/>
  <c r="AL123" i="67"/>
  <c r="AL88" i="67"/>
  <c r="AM88" i="67" s="1"/>
  <c r="AL128" i="67"/>
  <c r="AJ35" i="67"/>
  <c r="Q195" i="64"/>
  <c r="O196" i="64"/>
  <c r="P197" i="64"/>
  <c r="P177" i="64"/>
  <c r="R382" i="64"/>
  <c r="P178" i="64"/>
  <c r="P176" i="64"/>
  <c r="P362" i="64"/>
  <c r="AU206" i="66"/>
  <c r="AJ13" i="67"/>
  <c r="AU205" i="66"/>
  <c r="AJ60" i="67"/>
  <c r="O449" i="64"/>
  <c r="O71" i="64" s="1"/>
  <c r="P388" i="64"/>
  <c r="P391" i="64"/>
  <c r="P344" i="64"/>
  <c r="P357" i="64"/>
  <c r="P385" i="64"/>
  <c r="Q384" i="64"/>
  <c r="R30" i="64"/>
  <c r="R144" i="64" s="1"/>
  <c r="AH5" i="67"/>
  <c r="AH6" i="67"/>
  <c r="AU6" i="66"/>
  <c r="Q194" i="64"/>
  <c r="AJ85" i="67"/>
  <c r="AM92" i="67"/>
  <c r="AV132" i="66"/>
  <c r="AV220" i="66" s="1"/>
  <c r="AH144" i="67"/>
  <c r="AI78" i="67"/>
  <c r="AI4" i="67" s="1"/>
  <c r="AI76" i="67"/>
  <c r="AJ10" i="67"/>
  <c r="AJ15" i="67"/>
  <c r="AV77" i="66"/>
  <c r="AV67" i="66"/>
  <c r="AV47" i="66"/>
  <c r="AV62" i="66"/>
  <c r="AV57" i="66"/>
  <c r="AV213" i="66" s="1"/>
  <c r="AV37" i="66"/>
  <c r="AV209" i="66" s="1"/>
  <c r="AV72" i="66"/>
  <c r="AV35" i="66"/>
  <c r="AV208" i="66" s="1"/>
  <c r="AU203" i="66"/>
  <c r="AV82" i="66"/>
  <c r="AV218" i="66" s="1"/>
  <c r="AW32" i="66"/>
  <c r="AX58" i="66"/>
  <c r="AM36" i="67" s="1"/>
  <c r="AY38" i="66"/>
  <c r="AN16" i="67" s="1"/>
  <c r="AY73" i="66"/>
  <c r="AN51" i="67" s="1"/>
  <c r="AY139" i="66"/>
  <c r="BD50" i="66"/>
  <c r="AS28" i="67" s="1"/>
  <c r="BD71" i="66"/>
  <c r="AS49" i="67" s="1"/>
  <c r="BE84" i="66"/>
  <c r="AT62" i="67" s="1"/>
  <c r="BA128" i="66"/>
  <c r="AP81" i="67" s="1"/>
  <c r="AZ141" i="66"/>
  <c r="AO94" i="67" s="1"/>
  <c r="O392" i="64"/>
  <c r="S290" i="68" l="1"/>
  <c r="S424" i="68"/>
  <c r="S288" i="68"/>
  <c r="T287" i="68"/>
  <c r="S429" i="68"/>
  <c r="S488" i="68" s="1"/>
  <c r="S324" i="68"/>
  <c r="R208" i="68"/>
  <c r="N419" i="68"/>
  <c r="N214" i="68"/>
  <c r="R291" i="68"/>
  <c r="N420" i="68"/>
  <c r="N213" i="68"/>
  <c r="N223" i="68" s="1"/>
  <c r="O206" i="68" s="1"/>
  <c r="R225" i="68"/>
  <c r="AM20" i="67"/>
  <c r="AM113" i="67"/>
  <c r="AM128" i="67"/>
  <c r="R313" i="64"/>
  <c r="R138" i="64" s="1"/>
  <c r="AY170" i="66"/>
  <c r="AX228" i="66"/>
  <c r="AY140" i="66"/>
  <c r="AX222" i="66"/>
  <c r="AM103" i="67"/>
  <c r="AX224" i="66"/>
  <c r="AY150" i="66"/>
  <c r="AN98" i="67"/>
  <c r="AM93" i="67"/>
  <c r="AY145" i="66"/>
  <c r="AX223" i="66"/>
  <c r="AM123" i="67"/>
  <c r="AN123" i="67" s="1"/>
  <c r="AY135" i="66"/>
  <c r="AX221" i="66"/>
  <c r="AY175" i="66"/>
  <c r="AX229" i="66"/>
  <c r="AY126" i="66"/>
  <c r="AX219" i="66"/>
  <c r="AY155" i="66"/>
  <c r="AN108" i="67" s="1"/>
  <c r="AX225" i="66"/>
  <c r="AY33" i="66"/>
  <c r="AK45" i="67"/>
  <c r="AV215" i="66"/>
  <c r="AK50" i="67"/>
  <c r="AV216" i="66"/>
  <c r="AK40" i="67"/>
  <c r="AV214" i="66"/>
  <c r="AK55" i="67"/>
  <c r="AV217" i="66"/>
  <c r="AK25" i="67"/>
  <c r="AV211" i="66"/>
  <c r="AM83" i="67"/>
  <c r="AY130" i="66"/>
  <c r="AY52" i="66"/>
  <c r="AX212" i="66"/>
  <c r="AY165" i="66"/>
  <c r="AN118" i="67" s="1"/>
  <c r="AX227" i="66"/>
  <c r="AN11" i="67"/>
  <c r="AY160" i="66"/>
  <c r="AX226" i="66"/>
  <c r="AM79" i="67"/>
  <c r="AY42" i="66"/>
  <c r="AN20" i="67" s="1"/>
  <c r="AX210" i="66"/>
  <c r="AK35" i="67"/>
  <c r="Q177" i="64"/>
  <c r="Q197" i="64"/>
  <c r="S382" i="64"/>
  <c r="T382" i="64" s="1"/>
  <c r="O175" i="64"/>
  <c r="R180" i="64"/>
  <c r="Q176" i="64"/>
  <c r="P196" i="64"/>
  <c r="Q362" i="64"/>
  <c r="Q178" i="64"/>
  <c r="AK13" i="67"/>
  <c r="AV205" i="66"/>
  <c r="AV206" i="66"/>
  <c r="AK60" i="67"/>
  <c r="P449" i="64"/>
  <c r="P71" i="64" s="1"/>
  <c r="Q388" i="64"/>
  <c r="Q391" i="64"/>
  <c r="Q344" i="64"/>
  <c r="Q357" i="64"/>
  <c r="Q385" i="64"/>
  <c r="R384" i="64"/>
  <c r="R27" i="64"/>
  <c r="S29" i="64"/>
  <c r="AI5" i="67"/>
  <c r="AI6" i="67"/>
  <c r="AW132" i="66"/>
  <c r="AW220" i="66" s="1"/>
  <c r="AK85" i="67"/>
  <c r="AK15" i="67"/>
  <c r="AJ78" i="67"/>
  <c r="AJ4" i="67" s="1"/>
  <c r="AI144" i="67"/>
  <c r="AK10" i="67"/>
  <c r="AJ76" i="67"/>
  <c r="AN92" i="67"/>
  <c r="AV6" i="66"/>
  <c r="AV203" i="66"/>
  <c r="AW82" i="66"/>
  <c r="AW218" i="66" s="1"/>
  <c r="AW47" i="66"/>
  <c r="AW37" i="66"/>
  <c r="AW209" i="66" s="1"/>
  <c r="AW77" i="66"/>
  <c r="AW35" i="66"/>
  <c r="AW208" i="66" s="1"/>
  <c r="AW57" i="66"/>
  <c r="AW67" i="66"/>
  <c r="AW72" i="66"/>
  <c r="AW62" i="66"/>
  <c r="AZ38" i="66"/>
  <c r="AO16" i="67" s="1"/>
  <c r="AY58" i="66"/>
  <c r="AN36" i="67" s="1"/>
  <c r="AX32" i="66"/>
  <c r="BB128" i="66"/>
  <c r="AQ81" i="67" s="1"/>
  <c r="BE71" i="66"/>
  <c r="AT49" i="67" s="1"/>
  <c r="BE50" i="66"/>
  <c r="AT28" i="67" s="1"/>
  <c r="BA141" i="66"/>
  <c r="AP94" i="67" s="1"/>
  <c r="BF84" i="66"/>
  <c r="AU62" i="67" s="1"/>
  <c r="AZ139" i="66"/>
  <c r="AZ73" i="66"/>
  <c r="AO51" i="67" s="1"/>
  <c r="P392" i="64"/>
  <c r="Q392" i="64"/>
  <c r="S291" i="68" l="1"/>
  <c r="S225" i="68"/>
  <c r="S208" i="68"/>
  <c r="T424" i="68"/>
  <c r="T429" i="68"/>
  <c r="T488" i="68" s="1"/>
  <c r="T288" i="68"/>
  <c r="T324" i="68"/>
  <c r="N224" i="68"/>
  <c r="O207" i="68" s="1"/>
  <c r="O426" i="68"/>
  <c r="O214" i="68" s="1"/>
  <c r="T290" i="68"/>
  <c r="AN93" i="67"/>
  <c r="AL40" i="67"/>
  <c r="AW214" i="66"/>
  <c r="AL35" i="67"/>
  <c r="AW213" i="66"/>
  <c r="AZ126" i="66"/>
  <c r="AY219" i="66"/>
  <c r="AZ135" i="66"/>
  <c r="AY221" i="66"/>
  <c r="AZ140" i="66"/>
  <c r="AY222" i="66"/>
  <c r="AL45" i="67"/>
  <c r="AW215" i="66"/>
  <c r="AN79" i="67"/>
  <c r="AO79" i="67" s="1"/>
  <c r="AN83" i="67"/>
  <c r="AZ130" i="66"/>
  <c r="AZ155" i="66"/>
  <c r="AY225" i="66"/>
  <c r="AZ175" i="66"/>
  <c r="AY229" i="66"/>
  <c r="AN88" i="67"/>
  <c r="AN128" i="67"/>
  <c r="AL55" i="67"/>
  <c r="AW217" i="66"/>
  <c r="AZ160" i="66"/>
  <c r="AY226" i="66"/>
  <c r="AN113" i="67"/>
  <c r="AL25" i="67"/>
  <c r="AW211" i="66"/>
  <c r="AZ42" i="66"/>
  <c r="AY210" i="66"/>
  <c r="AZ52" i="66"/>
  <c r="AY212" i="66"/>
  <c r="AO108" i="67"/>
  <c r="AL50" i="67"/>
  <c r="AW216" i="66"/>
  <c r="AZ165" i="66"/>
  <c r="AY227" i="66"/>
  <c r="AZ33" i="66"/>
  <c r="AO11" i="67" s="1"/>
  <c r="AZ145" i="66"/>
  <c r="AY223" i="66"/>
  <c r="AN103" i="67"/>
  <c r="AY224" i="66"/>
  <c r="AZ150" i="66"/>
  <c r="AZ170" i="66"/>
  <c r="AY228" i="66"/>
  <c r="AN30" i="67"/>
  <c r="Q196" i="64"/>
  <c r="R362" i="64"/>
  <c r="P175" i="64"/>
  <c r="R195" i="64"/>
  <c r="R178" i="64" s="1"/>
  <c r="AL13" i="67"/>
  <c r="AW205" i="66"/>
  <c r="AW206" i="66"/>
  <c r="AL60" i="67"/>
  <c r="S30" i="64"/>
  <c r="S144" i="64" s="1"/>
  <c r="Q449" i="64"/>
  <c r="Q71" i="64" s="1"/>
  <c r="R388" i="64"/>
  <c r="R391" i="64"/>
  <c r="R344" i="64"/>
  <c r="R357" i="64"/>
  <c r="R385" i="64"/>
  <c r="S384" i="64"/>
  <c r="T384" i="64" s="1"/>
  <c r="R194" i="64"/>
  <c r="AJ5" i="67"/>
  <c r="AJ6" i="67"/>
  <c r="AL85" i="67"/>
  <c r="AX132" i="66"/>
  <c r="AX220" i="66" s="1"/>
  <c r="AL10" i="67"/>
  <c r="AK76" i="67"/>
  <c r="AO92" i="67"/>
  <c r="AJ144" i="67"/>
  <c r="AK78" i="67"/>
  <c r="AK4" i="67" s="1"/>
  <c r="AL15" i="67"/>
  <c r="AW6" i="66"/>
  <c r="AX57" i="66"/>
  <c r="AX67" i="66"/>
  <c r="AX35" i="66"/>
  <c r="AX208" i="66" s="1"/>
  <c r="AX77" i="66"/>
  <c r="AX72" i="66"/>
  <c r="AX47" i="66"/>
  <c r="AW203" i="66"/>
  <c r="AX82" i="66"/>
  <c r="AX218" i="66" s="1"/>
  <c r="AX62" i="66"/>
  <c r="AX37" i="66"/>
  <c r="AX209" i="66" s="1"/>
  <c r="BA38" i="66"/>
  <c r="AP16" i="67" s="1"/>
  <c r="AY32" i="66"/>
  <c r="AZ58" i="66"/>
  <c r="AO36" i="67" s="1"/>
  <c r="BB141" i="66"/>
  <c r="AQ94" i="67" s="1"/>
  <c r="BF50" i="66"/>
  <c r="AU28" i="67" s="1"/>
  <c r="BA73" i="66"/>
  <c r="AP51" i="67" s="1"/>
  <c r="BA139" i="66"/>
  <c r="BG84" i="66"/>
  <c r="AV62" i="67" s="1"/>
  <c r="BF71" i="66"/>
  <c r="AU49" i="67" s="1"/>
  <c r="BC128" i="66"/>
  <c r="AR81" i="67" s="1"/>
  <c r="T225" i="68" l="1"/>
  <c r="T291" i="68"/>
  <c r="O213" i="68"/>
  <c r="O425" i="68"/>
  <c r="O224" i="68"/>
  <c r="P207" i="68" s="1"/>
  <c r="T208" i="68"/>
  <c r="AO128" i="67"/>
  <c r="AO88" i="67"/>
  <c r="S313" i="64"/>
  <c r="S138" i="64" s="1"/>
  <c r="AM25" i="67"/>
  <c r="AX211" i="66"/>
  <c r="AM50" i="67"/>
  <c r="AX216" i="66"/>
  <c r="AM45" i="67"/>
  <c r="AX215" i="66"/>
  <c r="BA170" i="66"/>
  <c r="AZ228" i="66"/>
  <c r="BA52" i="66"/>
  <c r="AZ212" i="66"/>
  <c r="AO103" i="67"/>
  <c r="AZ224" i="66"/>
  <c r="BA150" i="66"/>
  <c r="BA145" i="66"/>
  <c r="AZ223" i="66"/>
  <c r="BA165" i="66"/>
  <c r="AZ227" i="66"/>
  <c r="AO98" i="67"/>
  <c r="AP98" i="67" s="1"/>
  <c r="BA160" i="66"/>
  <c r="AZ226" i="66"/>
  <c r="BA155" i="66"/>
  <c r="AZ225" i="66"/>
  <c r="BA140" i="66"/>
  <c r="AZ222" i="66"/>
  <c r="BA126" i="66"/>
  <c r="AP79" i="67" s="1"/>
  <c r="AZ219" i="66"/>
  <c r="AM40" i="67"/>
  <c r="AX214" i="66"/>
  <c r="AM55" i="67"/>
  <c r="AX217" i="66"/>
  <c r="AO30" i="67"/>
  <c r="BA33" i="66"/>
  <c r="AP11" i="67" s="1"/>
  <c r="AO123" i="67"/>
  <c r="AP123" i="67" s="1"/>
  <c r="AO113" i="67"/>
  <c r="AO83" i="67"/>
  <c r="BA130" i="66"/>
  <c r="AO118" i="67"/>
  <c r="AP118" i="67" s="1"/>
  <c r="AM35" i="67"/>
  <c r="AX213" i="66"/>
  <c r="BA42" i="66"/>
  <c r="AZ210" i="66"/>
  <c r="AO93" i="67"/>
  <c r="BA175" i="66"/>
  <c r="AP128" i="67" s="1"/>
  <c r="AZ229" i="66"/>
  <c r="BA135" i="66"/>
  <c r="AP88" i="67" s="1"/>
  <c r="AZ221" i="66"/>
  <c r="AO20" i="67"/>
  <c r="T29" i="64"/>
  <c r="T357" i="64"/>
  <c r="T388" i="64"/>
  <c r="T344" i="64"/>
  <c r="T385" i="64"/>
  <c r="R197" i="64"/>
  <c r="R196" i="64" s="1"/>
  <c r="R177" i="64"/>
  <c r="Q175" i="64"/>
  <c r="S362" i="64"/>
  <c r="T362" i="64" s="1"/>
  <c r="S180" i="64"/>
  <c r="R176" i="64"/>
  <c r="AX206" i="66"/>
  <c r="AM13" i="67"/>
  <c r="AX205" i="66"/>
  <c r="AM60" i="67"/>
  <c r="S27" i="64"/>
  <c r="R449" i="64"/>
  <c r="R71" i="64" s="1"/>
  <c r="S391" i="64"/>
  <c r="T391" i="64" s="1"/>
  <c r="S357" i="64"/>
  <c r="S388" i="64"/>
  <c r="S385" i="64"/>
  <c r="S344" i="64"/>
  <c r="AK5" i="67"/>
  <c r="AK6" i="67"/>
  <c r="AY132" i="66"/>
  <c r="AY220" i="66" s="1"/>
  <c r="AM85" i="67"/>
  <c r="AM15" i="67"/>
  <c r="AP92" i="67"/>
  <c r="AM10" i="67"/>
  <c r="AL76" i="67"/>
  <c r="AL78" i="67"/>
  <c r="AK144" i="67"/>
  <c r="AX6" i="66"/>
  <c r="AY35" i="66"/>
  <c r="AY208" i="66" s="1"/>
  <c r="AY37" i="66"/>
  <c r="AY209" i="66" s="1"/>
  <c r="AY77" i="66"/>
  <c r="AY62" i="66"/>
  <c r="AX203" i="66"/>
  <c r="AY82" i="66"/>
  <c r="AY218" i="66" s="1"/>
  <c r="AY47" i="66"/>
  <c r="AY72" i="66"/>
  <c r="AY67" i="66"/>
  <c r="AY57" i="66"/>
  <c r="AZ32" i="66"/>
  <c r="BA58" i="66"/>
  <c r="AP36" i="67" s="1"/>
  <c r="BB38" i="66"/>
  <c r="AQ16" i="67" s="1"/>
  <c r="BH84" i="66"/>
  <c r="AW62" i="67" s="1"/>
  <c r="BB139" i="66"/>
  <c r="BB73" i="66"/>
  <c r="AQ51" i="67" s="1"/>
  <c r="BG50" i="66"/>
  <c r="AV28" i="67" s="1"/>
  <c r="BC141" i="66"/>
  <c r="AR94" i="67" s="1"/>
  <c r="BG71" i="66"/>
  <c r="AV49" i="67" s="1"/>
  <c r="BD128" i="66"/>
  <c r="AS81" i="67" s="1"/>
  <c r="O420" i="68" l="1"/>
  <c r="O419" i="68"/>
  <c r="O223" i="68"/>
  <c r="P206" i="68" s="1"/>
  <c r="AP113" i="67"/>
  <c r="AP30" i="67"/>
  <c r="AN35" i="67"/>
  <c r="AY213" i="66"/>
  <c r="BB155" i="66"/>
  <c r="BA225" i="66"/>
  <c r="AN55" i="67"/>
  <c r="AY217" i="66"/>
  <c r="BB42" i="66"/>
  <c r="BA210" i="66"/>
  <c r="AP83" i="67"/>
  <c r="BB130" i="66"/>
  <c r="BB140" i="66"/>
  <c r="BA222" i="66"/>
  <c r="BB145" i="66"/>
  <c r="BA223" i="66"/>
  <c r="BB170" i="66"/>
  <c r="AQ123" i="67" s="1"/>
  <c r="BA228" i="66"/>
  <c r="AN40" i="67"/>
  <c r="AY214" i="66"/>
  <c r="AP20" i="67"/>
  <c r="AQ20" i="67" s="1"/>
  <c r="BB175" i="66"/>
  <c r="BA229" i="66"/>
  <c r="BB33" i="66"/>
  <c r="AP103" i="67"/>
  <c r="BA224" i="66"/>
  <c r="BB150" i="66"/>
  <c r="BB135" i="66"/>
  <c r="BA221" i="66"/>
  <c r="AN45" i="67"/>
  <c r="AY215" i="66"/>
  <c r="AN50" i="67"/>
  <c r="AY216" i="66"/>
  <c r="AN25" i="67"/>
  <c r="AY211" i="66"/>
  <c r="AP93" i="67"/>
  <c r="AP108" i="67"/>
  <c r="BB126" i="66"/>
  <c r="BA219" i="66"/>
  <c r="BB160" i="66"/>
  <c r="BA226" i="66"/>
  <c r="BB165" i="66"/>
  <c r="BA227" i="66"/>
  <c r="BB52" i="66"/>
  <c r="BA212" i="66"/>
  <c r="T30" i="64"/>
  <c r="R175" i="64"/>
  <c r="AY206" i="66"/>
  <c r="AN60" i="67"/>
  <c r="AN13" i="67"/>
  <c r="AY205" i="66"/>
  <c r="S194" i="64"/>
  <c r="S195" i="64"/>
  <c r="S449" i="64"/>
  <c r="AN85" i="67"/>
  <c r="AN15" i="67"/>
  <c r="AZ132" i="66"/>
  <c r="AZ220" i="66" s="1"/>
  <c r="AN10" i="67"/>
  <c r="AM76" i="67"/>
  <c r="AM78" i="67"/>
  <c r="AL144" i="67"/>
  <c r="AL4" i="67"/>
  <c r="AQ92" i="67"/>
  <c r="AY6" i="66"/>
  <c r="AZ57" i="66"/>
  <c r="AY203" i="66"/>
  <c r="AZ82" i="66"/>
  <c r="AZ218" i="66" s="1"/>
  <c r="AZ37" i="66"/>
  <c r="AZ209" i="66" s="1"/>
  <c r="AZ67" i="66"/>
  <c r="AZ77" i="66"/>
  <c r="AZ35" i="66"/>
  <c r="AZ208" i="66" s="1"/>
  <c r="AZ62" i="66"/>
  <c r="AZ72" i="66"/>
  <c r="AZ47" i="66"/>
  <c r="BC38" i="66"/>
  <c r="AR16" i="67" s="1"/>
  <c r="BA32" i="66"/>
  <c r="BB58" i="66"/>
  <c r="AQ36" i="67" s="1"/>
  <c r="BH50" i="66"/>
  <c r="AW28" i="67" s="1"/>
  <c r="BC73" i="66"/>
  <c r="AR51" i="67" s="1"/>
  <c r="BC139" i="66"/>
  <c r="BH71" i="66"/>
  <c r="AW49" i="67" s="1"/>
  <c r="BE128" i="66"/>
  <c r="AT81" i="67" s="1"/>
  <c r="BD141" i="66"/>
  <c r="AS94" i="67" s="1"/>
  <c r="BI84" i="66"/>
  <c r="AX62" i="67" s="1"/>
  <c r="L62" i="17"/>
  <c r="L42" i="17"/>
  <c r="L34" i="17"/>
  <c r="P426" i="68" l="1"/>
  <c r="AQ93" i="67"/>
  <c r="T144" i="64"/>
  <c r="T313" i="64"/>
  <c r="AO55" i="67"/>
  <c r="AZ217" i="66"/>
  <c r="AO35" i="67"/>
  <c r="AZ213" i="66"/>
  <c r="BC52" i="66"/>
  <c r="BB212" i="66"/>
  <c r="BC160" i="66"/>
  <c r="BB226" i="66"/>
  <c r="BC175" i="66"/>
  <c r="BB229" i="66"/>
  <c r="BC145" i="66"/>
  <c r="BB223" i="66"/>
  <c r="AR123" i="67"/>
  <c r="BC135" i="66"/>
  <c r="BB221" i="66"/>
  <c r="AQ11" i="67"/>
  <c r="BC33" i="66"/>
  <c r="BC170" i="66"/>
  <c r="BB228" i="66"/>
  <c r="AQ98" i="67"/>
  <c r="AQ83" i="67"/>
  <c r="BC130" i="66"/>
  <c r="BC42" i="66"/>
  <c r="AR20" i="67" s="1"/>
  <c r="BB210" i="66"/>
  <c r="BC155" i="66"/>
  <c r="BB225" i="66"/>
  <c r="AO40" i="67"/>
  <c r="AZ214" i="66"/>
  <c r="BC165" i="66"/>
  <c r="BB227" i="66"/>
  <c r="BC126" i="66"/>
  <c r="BB219" i="66"/>
  <c r="AQ103" i="67"/>
  <c r="BB224" i="66"/>
  <c r="BC150" i="66"/>
  <c r="AQ128" i="67"/>
  <c r="AQ113" i="67"/>
  <c r="AQ79" i="67"/>
  <c r="AO50" i="67"/>
  <c r="AZ216" i="66"/>
  <c r="AO25" i="67"/>
  <c r="AZ211" i="66"/>
  <c r="AO45" i="67"/>
  <c r="AZ215" i="66"/>
  <c r="AQ108" i="67"/>
  <c r="AR108" i="67" s="1"/>
  <c r="AQ30" i="67"/>
  <c r="BC140" i="66"/>
  <c r="BB222" i="66"/>
  <c r="AQ118" i="67"/>
  <c r="AR118" i="67" s="1"/>
  <c r="AQ88" i="67"/>
  <c r="AR88" i="67" s="1"/>
  <c r="AL6" i="67"/>
  <c r="T27" i="64"/>
  <c r="T180" i="64"/>
  <c r="S71" i="64"/>
  <c r="T449" i="64"/>
  <c r="S176" i="64"/>
  <c r="S178" i="64"/>
  <c r="S177" i="64"/>
  <c r="AO15" i="67"/>
  <c r="AZ206" i="66"/>
  <c r="AO13" i="67"/>
  <c r="AZ205" i="66"/>
  <c r="AO60" i="67"/>
  <c r="S197" i="64"/>
  <c r="BA132" i="66"/>
  <c r="BA220" i="66" s="1"/>
  <c r="AO85" i="67"/>
  <c r="AN78" i="67"/>
  <c r="AM144" i="67"/>
  <c r="AO10" i="67"/>
  <c r="AN76" i="67"/>
  <c r="AN4" i="67"/>
  <c r="AR92" i="67"/>
  <c r="AL5" i="67"/>
  <c r="AM4" i="67"/>
  <c r="AZ6" i="66"/>
  <c r="BA35" i="66"/>
  <c r="BA208" i="66" s="1"/>
  <c r="AZ203" i="66"/>
  <c r="BA82" i="66"/>
  <c r="BA218" i="66" s="1"/>
  <c r="BA47" i="66"/>
  <c r="BA67" i="66"/>
  <c r="BA72" i="66"/>
  <c r="BA62" i="66"/>
  <c r="BA77" i="66"/>
  <c r="BA37" i="66"/>
  <c r="BA209" i="66" s="1"/>
  <c r="BA57" i="66"/>
  <c r="BD38" i="66"/>
  <c r="AS16" i="67" s="1"/>
  <c r="BC58" i="66"/>
  <c r="AR36" i="67" s="1"/>
  <c r="BB32" i="66"/>
  <c r="BD73" i="66"/>
  <c r="AS51" i="67" s="1"/>
  <c r="BF128" i="66"/>
  <c r="AU81" i="67" s="1"/>
  <c r="BE141" i="66"/>
  <c r="AT94" i="67" s="1"/>
  <c r="BI50" i="66"/>
  <c r="AX28" i="67" s="1"/>
  <c r="BJ84" i="66"/>
  <c r="AY62" i="67" s="1"/>
  <c r="BI71" i="66"/>
  <c r="AX49" i="67" s="1"/>
  <c r="BD139" i="66"/>
  <c r="L10" i="17"/>
  <c r="L20" i="17"/>
  <c r="L22" i="17"/>
  <c r="L28" i="17"/>
  <c r="L36" i="17"/>
  <c r="L44" i="17"/>
  <c r="L16" i="17"/>
  <c r="L24" i="17"/>
  <c r="L30" i="17"/>
  <c r="L38" i="17"/>
  <c r="L63" i="17"/>
  <c r="L18" i="17"/>
  <c r="L26" i="17"/>
  <c r="L32" i="17"/>
  <c r="L40" i="17"/>
  <c r="L14" i="17"/>
  <c r="P214" i="68" l="1"/>
  <c r="P425" i="68"/>
  <c r="P419" i="68" s="1"/>
  <c r="P213" i="68"/>
  <c r="AR128" i="67"/>
  <c r="AR30" i="67"/>
  <c r="T138" i="64"/>
  <c r="AP25" i="67"/>
  <c r="BA211" i="66"/>
  <c r="BD140" i="66"/>
  <c r="BC222" i="66"/>
  <c r="AR103" i="67"/>
  <c r="BC224" i="66"/>
  <c r="BD150" i="66"/>
  <c r="BD126" i="66"/>
  <c r="BC219" i="66"/>
  <c r="BD42" i="66"/>
  <c r="AS20" i="67" s="1"/>
  <c r="BC210" i="66"/>
  <c r="AR98" i="67"/>
  <c r="AR11" i="67"/>
  <c r="BD33" i="66"/>
  <c r="BD135" i="66"/>
  <c r="AS88" i="67" s="1"/>
  <c r="BC221" i="66"/>
  <c r="BD160" i="66"/>
  <c r="BC226" i="66"/>
  <c r="BD145" i="66"/>
  <c r="BC223" i="66"/>
  <c r="AP50" i="67"/>
  <c r="BA216" i="66"/>
  <c r="AR79" i="67"/>
  <c r="AR83" i="67"/>
  <c r="BD130" i="66"/>
  <c r="BD175" i="66"/>
  <c r="AS128" i="67" s="1"/>
  <c r="BC229" i="66"/>
  <c r="AP55" i="67"/>
  <c r="BA217" i="66"/>
  <c r="AP45" i="67"/>
  <c r="BA215" i="66"/>
  <c r="AP35" i="67"/>
  <c r="BA213" i="66"/>
  <c r="AP40" i="67"/>
  <c r="BA214" i="66"/>
  <c r="AS118" i="67"/>
  <c r="AR113" i="67"/>
  <c r="AS113" i="67" s="1"/>
  <c r="BD165" i="66"/>
  <c r="BC227" i="66"/>
  <c r="BD155" i="66"/>
  <c r="AS108" i="67" s="1"/>
  <c r="BC225" i="66"/>
  <c r="BD170" i="66"/>
  <c r="AS123" i="67" s="1"/>
  <c r="BC228" i="66"/>
  <c r="AR93" i="67"/>
  <c r="AS93" i="67" s="1"/>
  <c r="BD52" i="66"/>
  <c r="AS30" i="67" s="1"/>
  <c r="BC212" i="66"/>
  <c r="AN6" i="67"/>
  <c r="AM6" i="67"/>
  <c r="T194" i="64"/>
  <c r="T195" i="64"/>
  <c r="T71" i="64"/>
  <c r="AP13" i="67"/>
  <c r="BA205" i="66"/>
  <c r="AP15" i="67"/>
  <c r="BA206" i="66"/>
  <c r="AP60" i="67"/>
  <c r="S196" i="64"/>
  <c r="AP85" i="67"/>
  <c r="BB132" i="66"/>
  <c r="BB220" i="66" s="1"/>
  <c r="AM5" i="67"/>
  <c r="AN5" i="67"/>
  <c r="AN144" i="67"/>
  <c r="AO78" i="67"/>
  <c r="AO4" i="67" s="1"/>
  <c r="AO76" i="67"/>
  <c r="AP10" i="67"/>
  <c r="AS92" i="67"/>
  <c r="BA6" i="66"/>
  <c r="BB57" i="66"/>
  <c r="BB37" i="66"/>
  <c r="BB209" i="66" s="1"/>
  <c r="BB62" i="66"/>
  <c r="BB77" i="66"/>
  <c r="BB67" i="66"/>
  <c r="BA203" i="66"/>
  <c r="BB82" i="66"/>
  <c r="BB218" i="66" s="1"/>
  <c r="BB72" i="66"/>
  <c r="BB47" i="66"/>
  <c r="BB35" i="66"/>
  <c r="BB208" i="66" s="1"/>
  <c r="BE38" i="66"/>
  <c r="AT16" i="67" s="1"/>
  <c r="BC32" i="66"/>
  <c r="BD58" i="66"/>
  <c r="AS36" i="67" s="1"/>
  <c r="BJ71" i="66"/>
  <c r="AY49" i="67" s="1"/>
  <c r="BJ50" i="66"/>
  <c r="AY28" i="67" s="1"/>
  <c r="BE139" i="66"/>
  <c r="BK84" i="66"/>
  <c r="AZ62" i="67" s="1"/>
  <c r="BF141" i="66"/>
  <c r="AU94" i="67" s="1"/>
  <c r="BG128" i="66"/>
  <c r="AV81" i="67" s="1"/>
  <c r="BE73" i="66"/>
  <c r="AT51" i="67" s="1"/>
  <c r="P420" i="68" l="1"/>
  <c r="Q426" i="68" s="1"/>
  <c r="Q425" i="68" s="1"/>
  <c r="Q420" i="68" s="1"/>
  <c r="P223" i="68"/>
  <c r="Q206" i="68" s="1"/>
  <c r="P224" i="68"/>
  <c r="Q207" i="68" s="1"/>
  <c r="AS79" i="67"/>
  <c r="T176" i="64"/>
  <c r="AS83" i="67"/>
  <c r="BE130" i="66"/>
  <c r="BE160" i="66"/>
  <c r="AT113" i="67" s="1"/>
  <c r="BD226" i="66"/>
  <c r="BE42" i="66"/>
  <c r="BD210" i="66"/>
  <c r="AQ40" i="67"/>
  <c r="BB214" i="66"/>
  <c r="AS11" i="67"/>
  <c r="BE33" i="66"/>
  <c r="BE140" i="66"/>
  <c r="AT93" i="67" s="1"/>
  <c r="BD222" i="66"/>
  <c r="AQ25" i="67"/>
  <c r="BB211" i="66"/>
  <c r="BE170" i="66"/>
  <c r="AT123" i="67" s="1"/>
  <c r="BD228" i="66"/>
  <c r="BE165" i="66"/>
  <c r="BD227" i="66"/>
  <c r="BE145" i="66"/>
  <c r="BD223" i="66"/>
  <c r="AQ35" i="67"/>
  <c r="BB213" i="66"/>
  <c r="BE155" i="66"/>
  <c r="AT108" i="67" s="1"/>
  <c r="BD225" i="66"/>
  <c r="AS103" i="67"/>
  <c r="BD224" i="66"/>
  <c r="BE150" i="66"/>
  <c r="AQ55" i="67"/>
  <c r="BB217" i="66"/>
  <c r="AQ50" i="67"/>
  <c r="BB216" i="66"/>
  <c r="AQ45" i="67"/>
  <c r="BB215" i="66"/>
  <c r="BE52" i="66"/>
  <c r="BD212" i="66"/>
  <c r="BE175" i="66"/>
  <c r="BD229" i="66"/>
  <c r="AT20" i="67"/>
  <c r="BE135" i="66"/>
  <c r="BD221" i="66"/>
  <c r="AS98" i="67"/>
  <c r="BE126" i="66"/>
  <c r="AT79" i="67" s="1"/>
  <c r="BD219" i="66"/>
  <c r="AO6" i="67"/>
  <c r="T177" i="64"/>
  <c r="T178" i="64"/>
  <c r="T197" i="64"/>
  <c r="S175" i="64"/>
  <c r="AQ13" i="67"/>
  <c r="BB205" i="66"/>
  <c r="AQ60" i="67"/>
  <c r="AQ15" i="67"/>
  <c r="BB206" i="66"/>
  <c r="BC132" i="66"/>
  <c r="BC220" i="66" s="1"/>
  <c r="AQ85" i="67"/>
  <c r="AO5" i="67"/>
  <c r="AT92" i="67"/>
  <c r="AQ10" i="67"/>
  <c r="AP76" i="67"/>
  <c r="AP78" i="67"/>
  <c r="AP4" i="67" s="1"/>
  <c r="AO144" i="67"/>
  <c r="BB6" i="66"/>
  <c r="BC72" i="66"/>
  <c r="BC67" i="66"/>
  <c r="BC37" i="66"/>
  <c r="BC209" i="66" s="1"/>
  <c r="BC47" i="66"/>
  <c r="BC35" i="66"/>
  <c r="BC208" i="66" s="1"/>
  <c r="BB203" i="66"/>
  <c r="BC82" i="66"/>
  <c r="BC218" i="66" s="1"/>
  <c r="BC77" i="66"/>
  <c r="BC62" i="66"/>
  <c r="BC57" i="66"/>
  <c r="BE58" i="66"/>
  <c r="AT36" i="67" s="1"/>
  <c r="BD32" i="66"/>
  <c r="BF38" i="66"/>
  <c r="AU16" i="67" s="1"/>
  <c r="BK71" i="66"/>
  <c r="AZ49" i="67" s="1"/>
  <c r="BH128" i="66"/>
  <c r="AW81" i="67" s="1"/>
  <c r="BL84" i="66"/>
  <c r="BF139" i="66"/>
  <c r="BK50" i="66"/>
  <c r="AZ28" i="67" s="1"/>
  <c r="BF73" i="66"/>
  <c r="AU51" i="67" s="1"/>
  <c r="BG141" i="66"/>
  <c r="AV94" i="67" s="1"/>
  <c r="M27" i="25"/>
  <c r="Q214" i="68" l="1"/>
  <c r="Q224" i="68" s="1"/>
  <c r="R207" i="68" s="1"/>
  <c r="Q419" i="68"/>
  <c r="R426" i="68" s="1"/>
  <c r="R425" i="68" s="1"/>
  <c r="R419" i="68" s="1"/>
  <c r="Q213" i="68"/>
  <c r="AT98" i="67"/>
  <c r="T196" i="64"/>
  <c r="BF52" i="66"/>
  <c r="BE212" i="66"/>
  <c r="BF145" i="66"/>
  <c r="BE223" i="66"/>
  <c r="AT83" i="67"/>
  <c r="BF130" i="66"/>
  <c r="BF175" i="66"/>
  <c r="BE229" i="66"/>
  <c r="AT11" i="67"/>
  <c r="BF33" i="66"/>
  <c r="BF42" i="66"/>
  <c r="BE210" i="66"/>
  <c r="AU98" i="67"/>
  <c r="BF155" i="66"/>
  <c r="BE225" i="66"/>
  <c r="BF170" i="66"/>
  <c r="BE228" i="66"/>
  <c r="AT30" i="67"/>
  <c r="AU30" i="67" s="1"/>
  <c r="AR35" i="67"/>
  <c r="BC213" i="66"/>
  <c r="AR50" i="67"/>
  <c r="BC216" i="66"/>
  <c r="BF135" i="66"/>
  <c r="BE221" i="66"/>
  <c r="BF165" i="66"/>
  <c r="BE227" i="66"/>
  <c r="AT128" i="67"/>
  <c r="AR45" i="67"/>
  <c r="BC215" i="66"/>
  <c r="BF140" i="66"/>
  <c r="AU93" i="67" s="1"/>
  <c r="BE222" i="66"/>
  <c r="AR55" i="67"/>
  <c r="BC217" i="66"/>
  <c r="AR40" i="67"/>
  <c r="BC214" i="66"/>
  <c r="AR25" i="67"/>
  <c r="BC211" i="66"/>
  <c r="BF126" i="66"/>
  <c r="AU79" i="67" s="1"/>
  <c r="BE219" i="66"/>
  <c r="AU20" i="67"/>
  <c r="AT103" i="67"/>
  <c r="BE224" i="66"/>
  <c r="BF150" i="66"/>
  <c r="BF160" i="66"/>
  <c r="BE226" i="66"/>
  <c r="AT118" i="67"/>
  <c r="AT88" i="67"/>
  <c r="AU88" i="67" s="1"/>
  <c r="BA62" i="67"/>
  <c r="BM84" i="66"/>
  <c r="BN84" i="66" s="1"/>
  <c r="BO84" i="66" s="1"/>
  <c r="BP84" i="66" s="1"/>
  <c r="BQ84" i="66" s="1"/>
  <c r="AR60" i="67"/>
  <c r="AR13" i="67"/>
  <c r="BC205" i="66"/>
  <c r="AR15" i="67"/>
  <c r="BC206" i="66"/>
  <c r="AP5" i="67"/>
  <c r="AP6" i="67"/>
  <c r="AR85" i="67"/>
  <c r="BD132" i="66"/>
  <c r="BD220" i="66" s="1"/>
  <c r="AQ76" i="67"/>
  <c r="AR10" i="67"/>
  <c r="AP144" i="67"/>
  <c r="AQ78" i="67"/>
  <c r="AQ4" i="67" s="1"/>
  <c r="AU92" i="67"/>
  <c r="BC6" i="66"/>
  <c r="BD57" i="66"/>
  <c r="BD77" i="66"/>
  <c r="BD62" i="66"/>
  <c r="BD72" i="66"/>
  <c r="BD47" i="66"/>
  <c r="BD37" i="66"/>
  <c r="BD209" i="66" s="1"/>
  <c r="BC203" i="66"/>
  <c r="BD82" i="66"/>
  <c r="BD218" i="66" s="1"/>
  <c r="BD35" i="66"/>
  <c r="BD208" i="66" s="1"/>
  <c r="BD67" i="66"/>
  <c r="BG38" i="66"/>
  <c r="AV16" i="67" s="1"/>
  <c r="BE32" i="66"/>
  <c r="BF58" i="66"/>
  <c r="AU36" i="67" s="1"/>
  <c r="BH141" i="66"/>
  <c r="AW94" i="67" s="1"/>
  <c r="BG73" i="66"/>
  <c r="AV51" i="67" s="1"/>
  <c r="BL50" i="66"/>
  <c r="BG139" i="66"/>
  <c r="BI128" i="66"/>
  <c r="AX81" i="67" s="1"/>
  <c r="BL71" i="66"/>
  <c r="R420" i="68" l="1"/>
  <c r="S426" i="68" s="1"/>
  <c r="S425" i="68" s="1"/>
  <c r="S420" i="68" s="1"/>
  <c r="Q223" i="68"/>
  <c r="R206" i="68" s="1"/>
  <c r="R213" i="68"/>
  <c r="R214" i="68"/>
  <c r="T175" i="64"/>
  <c r="AS40" i="67"/>
  <c r="BD214" i="66"/>
  <c r="BG165" i="66"/>
  <c r="BF227" i="66"/>
  <c r="BG155" i="66"/>
  <c r="BF225" i="66"/>
  <c r="BG175" i="66"/>
  <c r="BF229" i="66"/>
  <c r="BG160" i="66"/>
  <c r="BF226" i="66"/>
  <c r="AU113" i="67"/>
  <c r="AU83" i="67"/>
  <c r="BG130" i="66"/>
  <c r="BG145" i="66"/>
  <c r="BF223" i="66"/>
  <c r="AS45" i="67"/>
  <c r="BD215" i="66"/>
  <c r="AU11" i="67"/>
  <c r="BG33" i="66"/>
  <c r="AS25" i="67"/>
  <c r="BD211" i="66"/>
  <c r="AS50" i="67"/>
  <c r="BD216" i="66"/>
  <c r="AU103" i="67"/>
  <c r="BF224" i="66"/>
  <c r="BG150" i="66"/>
  <c r="AU128" i="67"/>
  <c r="BG170" i="66"/>
  <c r="BF228" i="66"/>
  <c r="AU123" i="67"/>
  <c r="AS55" i="67"/>
  <c r="BD217" i="66"/>
  <c r="AS35" i="67"/>
  <c r="BD213" i="66"/>
  <c r="AU118" i="67"/>
  <c r="BG126" i="66"/>
  <c r="BF219" i="66"/>
  <c r="BG140" i="66"/>
  <c r="BF222" i="66"/>
  <c r="BG135" i="66"/>
  <c r="BF221" i="66"/>
  <c r="BG42" i="66"/>
  <c r="AV20" i="67" s="1"/>
  <c r="BF210" i="66"/>
  <c r="BG52" i="66"/>
  <c r="BF212" i="66"/>
  <c r="AU108" i="67"/>
  <c r="AV108" i="67" s="1"/>
  <c r="BA28" i="67"/>
  <c r="BM50" i="66"/>
  <c r="BN50" i="66" s="1"/>
  <c r="BO50" i="66" s="1"/>
  <c r="BP50" i="66" s="1"/>
  <c r="BQ50" i="66" s="1"/>
  <c r="BA49" i="67"/>
  <c r="BM71" i="66"/>
  <c r="BN71" i="66" s="1"/>
  <c r="BO71" i="66" s="1"/>
  <c r="BP71" i="66" s="1"/>
  <c r="BQ71" i="66" s="1"/>
  <c r="BB62" i="67"/>
  <c r="BC62" i="67" s="1"/>
  <c r="BD62" i="67" s="1"/>
  <c r="BE62" i="67" s="1"/>
  <c r="BF62" i="67" s="1"/>
  <c r="AS13" i="67"/>
  <c r="BD205" i="66"/>
  <c r="AS60" i="67"/>
  <c r="AS15" i="67"/>
  <c r="BD206" i="66"/>
  <c r="AQ5" i="67"/>
  <c r="AQ6" i="67"/>
  <c r="AV92" i="67"/>
  <c r="BE132" i="66"/>
  <c r="BE220" i="66" s="1"/>
  <c r="AS85" i="67"/>
  <c r="AR78" i="67"/>
  <c r="AQ144" i="67"/>
  <c r="AS10" i="67"/>
  <c r="AR76" i="67"/>
  <c r="AR4" i="67"/>
  <c r="BD6" i="66"/>
  <c r="BD203" i="66"/>
  <c r="BE82" i="66"/>
  <c r="BE218" i="66" s="1"/>
  <c r="BE72" i="66"/>
  <c r="BE35" i="66"/>
  <c r="BE208" i="66" s="1"/>
  <c r="BE77" i="66"/>
  <c r="BE57" i="66"/>
  <c r="BE47" i="66"/>
  <c r="BE37" i="66"/>
  <c r="BE209" i="66" s="1"/>
  <c r="BE62" i="66"/>
  <c r="BE67" i="66"/>
  <c r="BF32" i="66"/>
  <c r="BG58" i="66"/>
  <c r="AV36" i="67" s="1"/>
  <c r="BH38" i="66"/>
  <c r="AW16" i="67" s="1"/>
  <c r="BH139" i="66"/>
  <c r="BI141" i="66"/>
  <c r="AX94" i="67" s="1"/>
  <c r="BH73" i="66"/>
  <c r="AW51" i="67" s="1"/>
  <c r="BJ128" i="66"/>
  <c r="AY81" i="67" s="1"/>
  <c r="R224" i="68" l="1"/>
  <c r="S207" i="68" s="1"/>
  <c r="S214" i="68"/>
  <c r="R223" i="68"/>
  <c r="S206" i="68" s="1"/>
  <c r="S213" i="68"/>
  <c r="S419" i="68"/>
  <c r="AV123" i="67"/>
  <c r="AV118" i="67"/>
  <c r="AT25" i="67"/>
  <c r="BE211" i="66"/>
  <c r="BH135" i="66"/>
  <c r="BG221" i="66"/>
  <c r="BH175" i="66"/>
  <c r="BG229" i="66"/>
  <c r="AT50" i="67"/>
  <c r="BE216" i="66"/>
  <c r="AT35" i="67"/>
  <c r="BE213" i="66"/>
  <c r="BH42" i="66"/>
  <c r="BG210" i="66"/>
  <c r="BH140" i="66"/>
  <c r="BG222" i="66"/>
  <c r="AV93" i="67"/>
  <c r="BH170" i="66"/>
  <c r="BG228" i="66"/>
  <c r="BH145" i="66"/>
  <c r="BG223" i="66"/>
  <c r="AV98" i="67"/>
  <c r="BH160" i="66"/>
  <c r="BG226" i="66"/>
  <c r="BH155" i="66"/>
  <c r="BG225" i="66"/>
  <c r="BH52" i="66"/>
  <c r="BG212" i="66"/>
  <c r="BH126" i="66"/>
  <c r="BG219" i="66"/>
  <c r="AV103" i="67"/>
  <c r="BG224" i="66"/>
  <c r="BH150" i="66"/>
  <c r="AV11" i="67"/>
  <c r="BH33" i="66"/>
  <c r="AW20" i="67"/>
  <c r="BH165" i="66"/>
  <c r="BG227" i="66"/>
  <c r="AT45" i="67"/>
  <c r="BE215" i="66"/>
  <c r="AT40" i="67"/>
  <c r="BE214" i="66"/>
  <c r="AT55" i="67"/>
  <c r="BE217" i="66"/>
  <c r="AV30" i="67"/>
  <c r="AV128" i="67"/>
  <c r="AW128" i="67" s="1"/>
  <c r="AV88" i="67"/>
  <c r="AV83" i="67"/>
  <c r="BH130" i="66"/>
  <c r="AV113" i="67"/>
  <c r="AV79" i="67"/>
  <c r="AW79" i="67" s="1"/>
  <c r="BB28" i="67"/>
  <c r="BC28" i="67" s="1"/>
  <c r="BD28" i="67" s="1"/>
  <c r="BE28" i="67" s="1"/>
  <c r="BF28" i="67" s="1"/>
  <c r="BB49" i="67"/>
  <c r="BC49" i="67" s="1"/>
  <c r="BD49" i="67" s="1"/>
  <c r="BE49" i="67" s="1"/>
  <c r="BF49" i="67" s="1"/>
  <c r="AT13" i="67"/>
  <c r="BE205" i="66"/>
  <c r="AT60" i="67"/>
  <c r="AT15" i="67"/>
  <c r="BE206" i="66"/>
  <c r="AR5" i="67"/>
  <c r="AR6" i="67"/>
  <c r="BF132" i="66"/>
  <c r="BF220" i="66" s="1"/>
  <c r="AW92" i="67"/>
  <c r="AT85" i="67"/>
  <c r="AT10" i="67"/>
  <c r="AS76" i="67"/>
  <c r="AR144" i="67"/>
  <c r="AS78" i="67"/>
  <c r="BE6" i="66"/>
  <c r="BF47" i="66"/>
  <c r="BF77" i="66"/>
  <c r="BE203" i="66"/>
  <c r="BF82" i="66"/>
  <c r="BF218" i="66" s="1"/>
  <c r="BF62" i="66"/>
  <c r="BF72" i="66"/>
  <c r="BF67" i="66"/>
  <c r="BF37" i="66"/>
  <c r="BF209" i="66" s="1"/>
  <c r="BF57" i="66"/>
  <c r="BF35" i="66"/>
  <c r="BF208" i="66" s="1"/>
  <c r="BI38" i="66"/>
  <c r="AX16" i="67" s="1"/>
  <c r="BH58" i="66"/>
  <c r="AW36" i="67" s="1"/>
  <c r="BG32" i="66"/>
  <c r="BJ141" i="66"/>
  <c r="AY94" i="67" s="1"/>
  <c r="BK128" i="66"/>
  <c r="AZ81" i="67" s="1"/>
  <c r="BI73" i="66"/>
  <c r="AX51" i="67" s="1"/>
  <c r="BI139" i="66"/>
  <c r="T426" i="68" l="1"/>
  <c r="T425" i="68" s="1"/>
  <c r="T420" i="68" s="1"/>
  <c r="S224" i="68"/>
  <c r="T207" i="68" s="1"/>
  <c r="S223" i="68"/>
  <c r="T206" i="68" s="1"/>
  <c r="AW98" i="67"/>
  <c r="AU25" i="67"/>
  <c r="BF211" i="66"/>
  <c r="AW83" i="67"/>
  <c r="BI130" i="66"/>
  <c r="BI52" i="66"/>
  <c r="BH212" i="66"/>
  <c r="BI135" i="66"/>
  <c r="BH221" i="66"/>
  <c r="AW30" i="67"/>
  <c r="AX30" i="67" s="1"/>
  <c r="BI165" i="66"/>
  <c r="BH227" i="66"/>
  <c r="BI170" i="66"/>
  <c r="BH228" i="66"/>
  <c r="AU45" i="67"/>
  <c r="BF215" i="66"/>
  <c r="AU40" i="67"/>
  <c r="BF214" i="66"/>
  <c r="AW103" i="67"/>
  <c r="BH224" i="66"/>
  <c r="BI150" i="66"/>
  <c r="BI126" i="66"/>
  <c r="AX79" i="67" s="1"/>
  <c r="BH219" i="66"/>
  <c r="BI155" i="66"/>
  <c r="BH225" i="66"/>
  <c r="AW93" i="67"/>
  <c r="BI42" i="66"/>
  <c r="BH210" i="66"/>
  <c r="AW123" i="67"/>
  <c r="AX123" i="67" s="1"/>
  <c r="AU50" i="67"/>
  <c r="BF216" i="66"/>
  <c r="BI160" i="66"/>
  <c r="BH226" i="66"/>
  <c r="BI140" i="66"/>
  <c r="BH222" i="66"/>
  <c r="AU35" i="67"/>
  <c r="BF213" i="66"/>
  <c r="BI175" i="66"/>
  <c r="AX128" i="67" s="1"/>
  <c r="BH229" i="66"/>
  <c r="AU55" i="67"/>
  <c r="BF217" i="66"/>
  <c r="AW113" i="67"/>
  <c r="AW88" i="67"/>
  <c r="AW11" i="67"/>
  <c r="BI33" i="66"/>
  <c r="BI145" i="66"/>
  <c r="BH223" i="66"/>
  <c r="AW108" i="67"/>
  <c r="AX108" i="67" s="1"/>
  <c r="AW118" i="67"/>
  <c r="AU13" i="67"/>
  <c r="BF205" i="66"/>
  <c r="AU15" i="67"/>
  <c r="BF206" i="66"/>
  <c r="AU60" i="67"/>
  <c r="BG132" i="66"/>
  <c r="BG220" i="66" s="1"/>
  <c r="AU85" i="67"/>
  <c r="V27" i="25"/>
  <c r="AT78" i="67"/>
  <c r="AT4" i="67" s="1"/>
  <c r="AS144" i="67"/>
  <c r="AS4" i="67"/>
  <c r="AX92" i="67"/>
  <c r="AU10" i="67"/>
  <c r="AT76" i="67"/>
  <c r="BF6" i="66"/>
  <c r="BG35" i="66"/>
  <c r="BG208" i="66" s="1"/>
  <c r="BG57" i="66"/>
  <c r="BG37" i="66"/>
  <c r="BG209" i="66" s="1"/>
  <c r="BF203" i="66"/>
  <c r="BG82" i="66"/>
  <c r="BG218" i="66" s="1"/>
  <c r="BG67" i="66"/>
  <c r="BG72" i="66"/>
  <c r="BG62" i="66"/>
  <c r="BG77" i="66"/>
  <c r="BG47" i="66"/>
  <c r="BI58" i="66"/>
  <c r="AX36" i="67" s="1"/>
  <c r="BH32" i="66"/>
  <c r="BJ38" i="66"/>
  <c r="AY16" i="67" s="1"/>
  <c r="BK141" i="66"/>
  <c r="AZ94" i="67" s="1"/>
  <c r="BJ139" i="66"/>
  <c r="BJ73" i="66"/>
  <c r="AY51" i="67" s="1"/>
  <c r="BL128" i="66"/>
  <c r="T213" i="68" l="1"/>
  <c r="T223" i="68" s="1"/>
  <c r="T214" i="68"/>
  <c r="T224" i="68" s="1"/>
  <c r="T419" i="68"/>
  <c r="AX118" i="67"/>
  <c r="AX103" i="67"/>
  <c r="BI224" i="66"/>
  <c r="BJ150" i="66"/>
  <c r="AV40" i="67"/>
  <c r="BG214" i="66"/>
  <c r="BJ145" i="66"/>
  <c r="BI223" i="66"/>
  <c r="AX88" i="67"/>
  <c r="BJ155" i="66"/>
  <c r="BI225" i="66"/>
  <c r="BJ165" i="66"/>
  <c r="BI227" i="66"/>
  <c r="AV50" i="67"/>
  <c r="BG216" i="66"/>
  <c r="BJ135" i="66"/>
  <c r="BI221" i="66"/>
  <c r="AV25" i="67"/>
  <c r="BG211" i="66"/>
  <c r="AV55" i="67"/>
  <c r="BG217" i="66"/>
  <c r="AV45" i="67"/>
  <c r="BG215" i="66"/>
  <c r="AY118" i="67"/>
  <c r="AX11" i="67"/>
  <c r="BJ33" i="66"/>
  <c r="AX113" i="67"/>
  <c r="BJ175" i="66"/>
  <c r="BI229" i="66"/>
  <c r="BJ140" i="66"/>
  <c r="BI222" i="66"/>
  <c r="BJ42" i="66"/>
  <c r="BI210" i="66"/>
  <c r="BJ170" i="66"/>
  <c r="BI228" i="66"/>
  <c r="BJ52" i="66"/>
  <c r="AY30" i="67" s="1"/>
  <c r="BI212" i="66"/>
  <c r="BJ160" i="66"/>
  <c r="BI226" i="66"/>
  <c r="AV35" i="67"/>
  <c r="BG213" i="66"/>
  <c r="AX93" i="67"/>
  <c r="AY93" i="67" s="1"/>
  <c r="BJ126" i="66"/>
  <c r="BI219" i="66"/>
  <c r="AX20" i="67"/>
  <c r="AX98" i="67"/>
  <c r="AX83" i="67"/>
  <c r="BJ130" i="66"/>
  <c r="AS6" i="67"/>
  <c r="AT6" i="67"/>
  <c r="BA81" i="67"/>
  <c r="BM128" i="66"/>
  <c r="BN128" i="66" s="1"/>
  <c r="BO128" i="66" s="1"/>
  <c r="BP128" i="66" s="1"/>
  <c r="BQ128" i="66" s="1"/>
  <c r="AV60" i="67"/>
  <c r="AV13" i="67"/>
  <c r="BG205" i="66"/>
  <c r="AV15" i="67"/>
  <c r="BG206" i="66"/>
  <c r="AV85" i="67"/>
  <c r="BH132" i="66"/>
  <c r="BH220" i="66" s="1"/>
  <c r="W27" i="25"/>
  <c r="AS5" i="67"/>
  <c r="AT5" i="67"/>
  <c r="AU78" i="67"/>
  <c r="AT144" i="67"/>
  <c r="AV10" i="67"/>
  <c r="AU76" i="67"/>
  <c r="AU4" i="67"/>
  <c r="AY92" i="67"/>
  <c r="BG6" i="66"/>
  <c r="BH47" i="66"/>
  <c r="BH72" i="66"/>
  <c r="BH37" i="66"/>
  <c r="BH209" i="66" s="1"/>
  <c r="BH35" i="66"/>
  <c r="BH208" i="66" s="1"/>
  <c r="BH62" i="66"/>
  <c r="BH57" i="66"/>
  <c r="BH77" i="66"/>
  <c r="BH67" i="66"/>
  <c r="BG203" i="66"/>
  <c r="BH82" i="66"/>
  <c r="BH218" i="66" s="1"/>
  <c r="BJ58" i="66"/>
  <c r="AY36" i="67" s="1"/>
  <c r="BI32" i="66"/>
  <c r="BK38" i="66"/>
  <c r="AZ16" i="67" s="1"/>
  <c r="BK73" i="66"/>
  <c r="AZ51" i="67" s="1"/>
  <c r="BK139" i="66"/>
  <c r="BL141" i="66"/>
  <c r="AY20" i="67" l="1"/>
  <c r="BK145" i="66"/>
  <c r="BJ223" i="66"/>
  <c r="AY103" i="67"/>
  <c r="BJ224" i="66"/>
  <c r="BK150" i="66"/>
  <c r="AW45" i="67"/>
  <c r="BH215" i="66"/>
  <c r="AY98" i="67"/>
  <c r="BK42" i="66"/>
  <c r="BJ210" i="66"/>
  <c r="BK175" i="66"/>
  <c r="BJ229" i="66"/>
  <c r="AY128" i="67"/>
  <c r="AW40" i="67"/>
  <c r="BH214" i="66"/>
  <c r="BK52" i="66"/>
  <c r="BJ212" i="66"/>
  <c r="BK155" i="66"/>
  <c r="BJ225" i="66"/>
  <c r="AW50" i="67"/>
  <c r="BH216" i="66"/>
  <c r="AW25" i="67"/>
  <c r="BH211" i="66"/>
  <c r="AY83" i="67"/>
  <c r="BK130" i="66"/>
  <c r="AZ20" i="67"/>
  <c r="AY108" i="67"/>
  <c r="BK160" i="66"/>
  <c r="BJ226" i="66"/>
  <c r="AY113" i="67"/>
  <c r="BK135" i="66"/>
  <c r="BJ221" i="66"/>
  <c r="BK165" i="66"/>
  <c r="AZ118" i="67" s="1"/>
  <c r="BJ227" i="66"/>
  <c r="AY88" i="67"/>
  <c r="AZ88" i="67" s="1"/>
  <c r="BK126" i="66"/>
  <c r="BJ219" i="66"/>
  <c r="AW55" i="67"/>
  <c r="BH217" i="66"/>
  <c r="AW35" i="67"/>
  <c r="BH213" i="66"/>
  <c r="BK170" i="66"/>
  <c r="BJ228" i="66"/>
  <c r="BK140" i="66"/>
  <c r="BJ222" i="66"/>
  <c r="AY11" i="67"/>
  <c r="BK33" i="66"/>
  <c r="AY79" i="67"/>
  <c r="AY123" i="67"/>
  <c r="BA94" i="67"/>
  <c r="BM141" i="66"/>
  <c r="BN141" i="66" s="1"/>
  <c r="BO141" i="66" s="1"/>
  <c r="BP141" i="66" s="1"/>
  <c r="BQ141" i="66" s="1"/>
  <c r="BB81" i="67"/>
  <c r="BC81" i="67" s="1"/>
  <c r="BD81" i="67" s="1"/>
  <c r="BE81" i="67" s="1"/>
  <c r="BF81" i="67" s="1"/>
  <c r="AW60" i="67"/>
  <c r="AW13" i="67"/>
  <c r="BH205" i="66"/>
  <c r="AW15" i="67"/>
  <c r="BH206" i="66"/>
  <c r="AU5" i="67"/>
  <c r="AU6" i="67"/>
  <c r="BI132" i="66"/>
  <c r="BI220" i="66" s="1"/>
  <c r="AW85" i="67"/>
  <c r="X27" i="25"/>
  <c r="AW10" i="67"/>
  <c r="AV76" i="67"/>
  <c r="AZ92" i="67"/>
  <c r="AV78" i="67"/>
  <c r="AV4" i="67" s="1"/>
  <c r="AU144" i="67"/>
  <c r="BH6" i="66"/>
  <c r="BH203" i="66"/>
  <c r="BI82" i="66"/>
  <c r="BI218" i="66" s="1"/>
  <c r="BI77" i="66"/>
  <c r="BI57" i="66"/>
  <c r="BI72" i="66"/>
  <c r="BI47" i="66"/>
  <c r="BI67" i="66"/>
  <c r="BI62" i="66"/>
  <c r="BI35" i="66"/>
  <c r="BI208" i="66" s="1"/>
  <c r="BI37" i="66"/>
  <c r="BI209" i="66" s="1"/>
  <c r="BL38" i="66"/>
  <c r="BJ32" i="66"/>
  <c r="BK58" i="66"/>
  <c r="AZ36" i="67" s="1"/>
  <c r="BL139" i="66"/>
  <c r="BM139" i="66" s="1"/>
  <c r="BN139" i="66" s="1"/>
  <c r="BO139" i="66" s="1"/>
  <c r="BP139" i="66" s="1"/>
  <c r="BQ139" i="66" s="1"/>
  <c r="BL73" i="66"/>
  <c r="AZ123" i="67" l="1"/>
  <c r="AZ98" i="67"/>
  <c r="AZ113" i="67"/>
  <c r="AX45" i="67"/>
  <c r="BI215" i="66"/>
  <c r="BL140" i="66"/>
  <c r="BK222" i="66"/>
  <c r="BL126" i="66"/>
  <c r="BK219" i="66"/>
  <c r="AZ83" i="67"/>
  <c r="BL130" i="66"/>
  <c r="BL155" i="66"/>
  <c r="BK225" i="66"/>
  <c r="AX40" i="67"/>
  <c r="BI214" i="66"/>
  <c r="AX50" i="67"/>
  <c r="BI216" i="66"/>
  <c r="AX55" i="67"/>
  <c r="BI217" i="66"/>
  <c r="BL135" i="66"/>
  <c r="BA88" i="67" s="1"/>
  <c r="BK221" i="66"/>
  <c r="BL160" i="66"/>
  <c r="BK226" i="66"/>
  <c r="AZ128" i="67"/>
  <c r="BL42" i="66"/>
  <c r="BK210" i="66"/>
  <c r="AX25" i="67"/>
  <c r="BI211" i="66"/>
  <c r="AX35" i="67"/>
  <c r="BI213" i="66"/>
  <c r="AZ11" i="67"/>
  <c r="BL33" i="66"/>
  <c r="BL170" i="66"/>
  <c r="BA123" i="67" s="1"/>
  <c r="BK228" i="66"/>
  <c r="AZ108" i="67"/>
  <c r="BL52" i="66"/>
  <c r="BK212" i="66"/>
  <c r="AZ93" i="67"/>
  <c r="AZ103" i="67"/>
  <c r="BK224" i="66"/>
  <c r="BL150" i="66"/>
  <c r="BL145" i="66"/>
  <c r="BK223" i="66"/>
  <c r="AZ79" i="67"/>
  <c r="BA79" i="67" s="1"/>
  <c r="BL165" i="66"/>
  <c r="BK227" i="66"/>
  <c r="BA20" i="67"/>
  <c r="BL175" i="66"/>
  <c r="BK229" i="66"/>
  <c r="AZ30" i="67"/>
  <c r="BA51" i="67"/>
  <c r="BM73" i="66"/>
  <c r="BN73" i="66" s="1"/>
  <c r="BO73" i="66" s="1"/>
  <c r="BP73" i="66" s="1"/>
  <c r="BQ73" i="66" s="1"/>
  <c r="BB94" i="67"/>
  <c r="BC94" i="67" s="1"/>
  <c r="BD94" i="67" s="1"/>
  <c r="BE94" i="67" s="1"/>
  <c r="BF94" i="67" s="1"/>
  <c r="BA16" i="67"/>
  <c r="BM38" i="66"/>
  <c r="BN38" i="66" s="1"/>
  <c r="BO38" i="66" s="1"/>
  <c r="BP38" i="66" s="1"/>
  <c r="BQ38" i="66" s="1"/>
  <c r="AX13" i="67"/>
  <c r="BI205" i="66"/>
  <c r="AX60" i="67"/>
  <c r="AX15" i="67"/>
  <c r="BI206" i="66"/>
  <c r="AX85" i="67"/>
  <c r="AV5" i="67"/>
  <c r="AV6" i="67"/>
  <c r="BJ132" i="66"/>
  <c r="BJ220" i="66" s="1"/>
  <c r="Y27" i="25"/>
  <c r="AX10" i="67"/>
  <c r="AW76" i="67"/>
  <c r="AW78" i="67"/>
  <c r="AW4" i="67" s="1"/>
  <c r="AV144" i="67"/>
  <c r="BA92" i="67"/>
  <c r="BB92" i="67" s="1"/>
  <c r="BC92" i="67" s="1"/>
  <c r="BD92" i="67" s="1"/>
  <c r="BE92" i="67" s="1"/>
  <c r="BF92" i="67" s="1"/>
  <c r="BI6" i="66"/>
  <c r="BJ37" i="66"/>
  <c r="BJ209" i="66" s="1"/>
  <c r="BJ62" i="66"/>
  <c r="BJ72" i="66"/>
  <c r="BI203" i="66"/>
  <c r="BJ82" i="66"/>
  <c r="BJ218" i="66" s="1"/>
  <c r="BJ35" i="66"/>
  <c r="BJ208" i="66" s="1"/>
  <c r="BJ77" i="66"/>
  <c r="BJ67" i="66"/>
  <c r="BJ47" i="66"/>
  <c r="BJ57" i="66"/>
  <c r="BL58" i="66"/>
  <c r="BK32" i="66"/>
  <c r="BA108" i="67" l="1"/>
  <c r="BA113" i="67"/>
  <c r="BA83" i="67"/>
  <c r="BA30" i="67"/>
  <c r="BA93" i="67"/>
  <c r="BA11" i="67"/>
  <c r="BM175" i="66"/>
  <c r="BL229" i="66"/>
  <c r="BM165" i="66"/>
  <c r="BL227" i="66"/>
  <c r="BL224" i="66"/>
  <c r="BM150" i="66"/>
  <c r="BM170" i="66"/>
  <c r="BL228" i="66"/>
  <c r="BM155" i="66"/>
  <c r="BL225" i="66"/>
  <c r="BA128" i="67"/>
  <c r="BM140" i="66"/>
  <c r="BL222" i="66"/>
  <c r="AY55" i="67"/>
  <c r="BJ217" i="66"/>
  <c r="AY50" i="67"/>
  <c r="BJ216" i="66"/>
  <c r="BM52" i="66"/>
  <c r="BB30" i="67" s="1"/>
  <c r="BL212" i="66"/>
  <c r="BM160" i="66"/>
  <c r="BL226" i="66"/>
  <c r="BM130" i="66"/>
  <c r="BM126" i="66"/>
  <c r="BL219" i="66"/>
  <c r="BM145" i="66"/>
  <c r="BL223" i="66"/>
  <c r="BM135" i="66"/>
  <c r="BL221" i="66"/>
  <c r="AY25" i="67"/>
  <c r="BJ211" i="66"/>
  <c r="AY35" i="67"/>
  <c r="BJ213" i="66"/>
  <c r="AY45" i="67"/>
  <c r="BJ215" i="66"/>
  <c r="AY40" i="67"/>
  <c r="BJ214" i="66"/>
  <c r="BA98" i="67"/>
  <c r="BB98" i="67" s="1"/>
  <c r="BA103" i="67"/>
  <c r="BB103" i="67" s="1"/>
  <c r="BM33" i="66"/>
  <c r="BM42" i="66"/>
  <c r="BB20" i="67" s="1"/>
  <c r="BL210" i="66"/>
  <c r="BA118" i="67"/>
  <c r="AW6" i="67"/>
  <c r="BB16" i="67"/>
  <c r="BC16" i="67" s="1"/>
  <c r="BD16" i="67" s="1"/>
  <c r="BE16" i="67" s="1"/>
  <c r="BF16" i="67" s="1"/>
  <c r="BA36" i="67"/>
  <c r="BM58" i="66"/>
  <c r="BN58" i="66" s="1"/>
  <c r="BO58" i="66" s="1"/>
  <c r="BP58" i="66" s="1"/>
  <c r="BQ58" i="66" s="1"/>
  <c r="BB51" i="67"/>
  <c r="BC51" i="67" s="1"/>
  <c r="BD51" i="67" s="1"/>
  <c r="BE51" i="67" s="1"/>
  <c r="BF51" i="67" s="1"/>
  <c r="AY15" i="67"/>
  <c r="BJ206" i="66"/>
  <c r="AY13" i="67"/>
  <c r="BJ205" i="66"/>
  <c r="AY60" i="67"/>
  <c r="AW5" i="67"/>
  <c r="BK132" i="66"/>
  <c r="BK220" i="66" s="1"/>
  <c r="AY85" i="67"/>
  <c r="Z27" i="25"/>
  <c r="AY10" i="67"/>
  <c r="AX76" i="67"/>
  <c r="AX78" i="67"/>
  <c r="AX4" i="67" s="1"/>
  <c r="AW144" i="67"/>
  <c r="BK72" i="66"/>
  <c r="BK37" i="66"/>
  <c r="BK209" i="66" s="1"/>
  <c r="BK47" i="66"/>
  <c r="BK57" i="66"/>
  <c r="BK67" i="66"/>
  <c r="BJ203" i="66"/>
  <c r="BK82" i="66"/>
  <c r="BK218" i="66" s="1"/>
  <c r="BK62" i="66"/>
  <c r="BJ6" i="66"/>
  <c r="BK77" i="66"/>
  <c r="BK35" i="66"/>
  <c r="BK208" i="66" s="1"/>
  <c r="BL32" i="66"/>
  <c r="BM32" i="66" s="1"/>
  <c r="BB128" i="67" l="1"/>
  <c r="BN160" i="66"/>
  <c r="BM226" i="66"/>
  <c r="BN140" i="66"/>
  <c r="BM222" i="66"/>
  <c r="BN170" i="66"/>
  <c r="BM228" i="66"/>
  <c r="BN33" i="66"/>
  <c r="BB113" i="67"/>
  <c r="BN130" i="66"/>
  <c r="BB123" i="67"/>
  <c r="BB83" i="67"/>
  <c r="BN155" i="66"/>
  <c r="BM225" i="66"/>
  <c r="BN150" i="66"/>
  <c r="BC103" i="67" s="1"/>
  <c r="BM224" i="66"/>
  <c r="AZ45" i="67"/>
  <c r="BK215" i="66"/>
  <c r="BN42" i="66"/>
  <c r="BM210" i="66"/>
  <c r="BN126" i="66"/>
  <c r="BM219" i="66"/>
  <c r="BB79" i="67"/>
  <c r="BB118" i="67"/>
  <c r="BN145" i="66"/>
  <c r="BM223" i="66"/>
  <c r="BB11" i="67"/>
  <c r="BN175" i="66"/>
  <c r="BC128" i="67" s="1"/>
  <c r="BM229" i="66"/>
  <c r="BN135" i="66"/>
  <c r="BM221" i="66"/>
  <c r="BN165" i="66"/>
  <c r="BM227" i="66"/>
  <c r="AZ25" i="67"/>
  <c r="BK211" i="66"/>
  <c r="AZ55" i="67"/>
  <c r="BK217" i="66"/>
  <c r="AZ40" i="67"/>
  <c r="BK214" i="66"/>
  <c r="AZ35" i="67"/>
  <c r="BK213" i="66"/>
  <c r="AZ50" i="67"/>
  <c r="BK216" i="66"/>
  <c r="BB108" i="67"/>
  <c r="BC108" i="67" s="1"/>
  <c r="BN52" i="66"/>
  <c r="BC30" i="67" s="1"/>
  <c r="BM212" i="66"/>
  <c r="BB93" i="67"/>
  <c r="BB88" i="67"/>
  <c r="BN32" i="66"/>
  <c r="BB36" i="67"/>
  <c r="BC36" i="67" s="1"/>
  <c r="BD36" i="67" s="1"/>
  <c r="BE36" i="67" s="1"/>
  <c r="BF36" i="67" s="1"/>
  <c r="AZ60" i="67"/>
  <c r="AZ15" i="67"/>
  <c r="BK206" i="66"/>
  <c r="AZ13" i="67"/>
  <c r="BK205" i="66"/>
  <c r="AX5" i="67"/>
  <c r="AX6" i="67"/>
  <c r="BL132" i="66"/>
  <c r="BL220" i="66" s="1"/>
  <c r="AZ85" i="67"/>
  <c r="AA27" i="25"/>
  <c r="AY78" i="67"/>
  <c r="AX144" i="67"/>
  <c r="AZ10" i="67"/>
  <c r="AY76" i="67"/>
  <c r="AY4" i="67"/>
  <c r="BK6" i="66"/>
  <c r="BL35" i="66"/>
  <c r="BL67" i="66"/>
  <c r="BL215" i="66" s="1"/>
  <c r="BL37" i="66"/>
  <c r="BK203" i="66"/>
  <c r="BL82" i="66"/>
  <c r="BL47" i="66"/>
  <c r="BL211" i="66" s="1"/>
  <c r="BL72" i="66"/>
  <c r="BL216" i="66" s="1"/>
  <c r="BL77" i="66"/>
  <c r="BL217" i="66" s="1"/>
  <c r="BL62" i="66"/>
  <c r="BL214" i="66" s="1"/>
  <c r="BL57" i="66"/>
  <c r="BL213" i="66" s="1"/>
  <c r="BC11" i="67" l="1"/>
  <c r="BC113" i="67"/>
  <c r="BO135" i="66"/>
  <c r="BN221" i="66"/>
  <c r="BO145" i="66"/>
  <c r="BN223" i="66"/>
  <c r="BO130" i="66"/>
  <c r="BO33" i="66"/>
  <c r="BD11" i="67" s="1"/>
  <c r="BO140" i="66"/>
  <c r="BN222" i="66"/>
  <c r="BO52" i="66"/>
  <c r="BN212" i="66"/>
  <c r="BC98" i="67"/>
  <c r="BD98" i="67" s="1"/>
  <c r="BO126" i="66"/>
  <c r="BN219" i="66"/>
  <c r="BO155" i="66"/>
  <c r="BD108" i="67" s="1"/>
  <c r="BN225" i="66"/>
  <c r="BM37" i="66"/>
  <c r="BM209" i="66" s="1"/>
  <c r="BL209" i="66"/>
  <c r="BC88" i="67"/>
  <c r="BD88" i="67" s="1"/>
  <c r="BO165" i="66"/>
  <c r="BN227" i="66"/>
  <c r="BD30" i="67"/>
  <c r="BC118" i="67"/>
  <c r="BD118" i="67" s="1"/>
  <c r="BC83" i="67"/>
  <c r="BO170" i="66"/>
  <c r="BN228" i="66"/>
  <c r="BO160" i="66"/>
  <c r="BD113" i="67" s="1"/>
  <c r="BN226" i="66"/>
  <c r="BM82" i="66"/>
  <c r="BM218" i="66" s="1"/>
  <c r="BL218" i="66"/>
  <c r="BM35" i="66"/>
  <c r="BM208" i="66" s="1"/>
  <c r="BL208" i="66"/>
  <c r="BC93" i="67"/>
  <c r="BD93" i="67" s="1"/>
  <c r="BO175" i="66"/>
  <c r="BN229" i="66"/>
  <c r="BC79" i="67"/>
  <c r="BD79" i="67" s="1"/>
  <c r="BO42" i="66"/>
  <c r="BN210" i="66"/>
  <c r="BO150" i="66"/>
  <c r="BD103" i="67" s="1"/>
  <c r="BN224" i="66"/>
  <c r="BC123" i="67"/>
  <c r="BD123" i="67" s="1"/>
  <c r="BC20" i="67"/>
  <c r="BD20" i="67" s="1"/>
  <c r="BA35" i="67"/>
  <c r="BM57" i="66"/>
  <c r="BM213" i="66" s="1"/>
  <c r="BM203" i="66"/>
  <c r="BN82" i="66"/>
  <c r="BN218" i="66" s="1"/>
  <c r="BA40" i="67"/>
  <c r="BM62" i="66"/>
  <c r="BM214" i="66" s="1"/>
  <c r="BA45" i="67"/>
  <c r="BM67" i="66"/>
  <c r="BM215" i="66" s="1"/>
  <c r="BN35" i="66"/>
  <c r="BN208" i="66" s="1"/>
  <c r="BM132" i="66"/>
  <c r="BO32" i="66"/>
  <c r="BN37" i="66"/>
  <c r="BN209" i="66" s="1"/>
  <c r="BA50" i="67"/>
  <c r="BM72" i="66"/>
  <c r="BM216" i="66" s="1"/>
  <c r="BA25" i="67"/>
  <c r="BM47" i="66"/>
  <c r="BA55" i="67"/>
  <c r="BM77" i="66"/>
  <c r="BM217" i="66" s="1"/>
  <c r="BL203" i="66"/>
  <c r="BA13" i="67"/>
  <c r="BL205" i="66"/>
  <c r="BA15" i="67"/>
  <c r="BB15" i="67" s="1"/>
  <c r="BL206" i="66"/>
  <c r="AY5" i="67"/>
  <c r="AY6" i="67"/>
  <c r="BA85" i="67"/>
  <c r="BB85" i="67" s="1"/>
  <c r="AC27" i="25"/>
  <c r="AB27" i="25"/>
  <c r="AZ78" i="67"/>
  <c r="AZ4" i="67" s="1"/>
  <c r="AY144" i="67"/>
  <c r="BA60" i="67"/>
  <c r="BB60" i="67" s="1"/>
  <c r="BA10" i="67"/>
  <c r="BB10" i="67" s="1"/>
  <c r="AZ76" i="67"/>
  <c r="BL6" i="66"/>
  <c r="BB13" i="67" l="1"/>
  <c r="BC15" i="67"/>
  <c r="BP42" i="66"/>
  <c r="BO210" i="66"/>
  <c r="BP170" i="66"/>
  <c r="BO228" i="66"/>
  <c r="BP155" i="66"/>
  <c r="BE108" i="67" s="1"/>
  <c r="BO225" i="66"/>
  <c r="BP140" i="66"/>
  <c r="BO222" i="66"/>
  <c r="BM220" i="66"/>
  <c r="BP135" i="66"/>
  <c r="BO221" i="66"/>
  <c r="BP175" i="66"/>
  <c r="BO229" i="66"/>
  <c r="BP130" i="66"/>
  <c r="BM211" i="66"/>
  <c r="BP150" i="66"/>
  <c r="BO224" i="66"/>
  <c r="BP160" i="66"/>
  <c r="BE113" i="67" s="1"/>
  <c r="BO226" i="66"/>
  <c r="BD83" i="67"/>
  <c r="BP165" i="66"/>
  <c r="BO227" i="66"/>
  <c r="BP126" i="66"/>
  <c r="BO219" i="66"/>
  <c r="BP52" i="66"/>
  <c r="BE30" i="67" s="1"/>
  <c r="BO212" i="66"/>
  <c r="BP33" i="66"/>
  <c r="BP145" i="66"/>
  <c r="BE98" i="67" s="1"/>
  <c r="BO223" i="66"/>
  <c r="BD128" i="67"/>
  <c r="BC13" i="67"/>
  <c r="BB25" i="67"/>
  <c r="BB40" i="67"/>
  <c r="BB35" i="67"/>
  <c r="BN67" i="66"/>
  <c r="BN215" i="66" s="1"/>
  <c r="BC10" i="67"/>
  <c r="BB55" i="67"/>
  <c r="BB50" i="67"/>
  <c r="BN132" i="66"/>
  <c r="BN220" i="66" s="1"/>
  <c r="BN62" i="66"/>
  <c r="BN214" i="66" s="1"/>
  <c r="BO35" i="66"/>
  <c r="BO208" i="66" s="1"/>
  <c r="BN77" i="66"/>
  <c r="BN217" i="66" s="1"/>
  <c r="BN72" i="66"/>
  <c r="BN216" i="66" s="1"/>
  <c r="BP32" i="66"/>
  <c r="BM205" i="66"/>
  <c r="BB45" i="67"/>
  <c r="BM6" i="66"/>
  <c r="BC60" i="67"/>
  <c r="BN47" i="66"/>
  <c r="BN211" i="66" s="1"/>
  <c r="BO37" i="66"/>
  <c r="BM206" i="66"/>
  <c r="BN57" i="66"/>
  <c r="BO82" i="66"/>
  <c r="BO218" i="66" s="1"/>
  <c r="BN203" i="66"/>
  <c r="AZ5" i="67"/>
  <c r="AZ6" i="67"/>
  <c r="BA76" i="67"/>
  <c r="AZ144" i="67"/>
  <c r="BA78" i="67"/>
  <c r="C1" i="48"/>
  <c r="BC45" i="67" l="1"/>
  <c r="BQ165" i="66"/>
  <c r="BQ227" i="66" s="1"/>
  <c r="BP227" i="66"/>
  <c r="BQ175" i="66"/>
  <c r="BQ229" i="66" s="1"/>
  <c r="BP229" i="66"/>
  <c r="BQ140" i="66"/>
  <c r="BQ222" i="66" s="1"/>
  <c r="BP222" i="66"/>
  <c r="BE83" i="67"/>
  <c r="BQ150" i="66"/>
  <c r="BQ224" i="66" s="1"/>
  <c r="BP224" i="66"/>
  <c r="BQ42" i="66"/>
  <c r="BQ210" i="66" s="1"/>
  <c r="BP210" i="66"/>
  <c r="BE20" i="67"/>
  <c r="BQ52" i="66"/>
  <c r="BQ212" i="66" s="1"/>
  <c r="BP212" i="66"/>
  <c r="BQ130" i="66"/>
  <c r="BE128" i="67"/>
  <c r="BQ33" i="66"/>
  <c r="BQ126" i="66"/>
  <c r="BQ219" i="66" s="1"/>
  <c r="BP219" i="66"/>
  <c r="BQ135" i="66"/>
  <c r="BQ221" i="66" s="1"/>
  <c r="BP221" i="66"/>
  <c r="BE118" i="67"/>
  <c r="BF118" i="67" s="1"/>
  <c r="BQ155" i="66"/>
  <c r="BQ225" i="66" s="1"/>
  <c r="BP225" i="66"/>
  <c r="BQ170" i="66"/>
  <c r="BQ228" i="66" s="1"/>
  <c r="BP228" i="66"/>
  <c r="BE123" i="67"/>
  <c r="BQ145" i="66"/>
  <c r="BQ223" i="66" s="1"/>
  <c r="BP223" i="66"/>
  <c r="BC35" i="67"/>
  <c r="BN213" i="66"/>
  <c r="BD15" i="67"/>
  <c r="BO209" i="66"/>
  <c r="BQ160" i="66"/>
  <c r="BQ226" i="66" s="1"/>
  <c r="BP226" i="66"/>
  <c r="BE79" i="67"/>
  <c r="BE88" i="67"/>
  <c r="BF88" i="67" s="1"/>
  <c r="BE93" i="67"/>
  <c r="BF93" i="67" s="1"/>
  <c r="BE11" i="67"/>
  <c r="BF11" i="67" s="1"/>
  <c r="BE103" i="67"/>
  <c r="BC40" i="67"/>
  <c r="D7" i="68"/>
  <c r="D8" i="68" s="1"/>
  <c r="E7" i="68"/>
  <c r="E8" i="68" s="1"/>
  <c r="D7" i="64"/>
  <c r="D8" i="64" s="1"/>
  <c r="BN206" i="66"/>
  <c r="BN205" i="66"/>
  <c r="BC50" i="67"/>
  <c r="BP82" i="66"/>
  <c r="BP218" i="66" s="1"/>
  <c r="BO203" i="66"/>
  <c r="BP35" i="66"/>
  <c r="BP208" i="66" s="1"/>
  <c r="BD13" i="67"/>
  <c r="BO57" i="66"/>
  <c r="BP37" i="66"/>
  <c r="BP209" i="66" s="1"/>
  <c r="BD60" i="67"/>
  <c r="BO62" i="66"/>
  <c r="BO132" i="66"/>
  <c r="BB76" i="67"/>
  <c r="BO67" i="66"/>
  <c r="BA144" i="67"/>
  <c r="BB78" i="67"/>
  <c r="BB4" i="67" s="1"/>
  <c r="BO47" i="66"/>
  <c r="BO211" i="66" s="1"/>
  <c r="BN6" i="66"/>
  <c r="BQ32" i="66"/>
  <c r="BC25" i="67"/>
  <c r="BO72" i="66"/>
  <c r="BO77" i="66"/>
  <c r="BO217" i="66" s="1"/>
  <c r="BC55" i="67"/>
  <c r="BD10" i="67"/>
  <c r="BC85" i="67"/>
  <c r="BA4" i="67"/>
  <c r="F7" i="64"/>
  <c r="F8" i="64" s="1"/>
  <c r="E7" i="64"/>
  <c r="E8" i="64" s="1"/>
  <c r="G7" i="64"/>
  <c r="G8" i="64" s="1"/>
  <c r="BD25" i="67" l="1"/>
  <c r="BF20" i="67"/>
  <c r="BE13" i="67"/>
  <c r="BF128" i="67"/>
  <c r="BF98" i="67"/>
  <c r="BD50" i="67"/>
  <c r="BO216" i="66"/>
  <c r="BD40" i="67"/>
  <c r="BO214" i="66"/>
  <c r="BD45" i="67"/>
  <c r="BO215" i="66"/>
  <c r="BO220" i="66"/>
  <c r="BF103" i="67"/>
  <c r="BF79" i="67"/>
  <c r="BF83" i="67"/>
  <c r="BF113" i="67"/>
  <c r="BD35" i="67"/>
  <c r="BO213" i="66"/>
  <c r="BF123" i="67"/>
  <c r="BF108" i="67"/>
  <c r="BF30" i="67"/>
  <c r="BC76" i="67"/>
  <c r="BO206" i="66"/>
  <c r="BE10" i="67"/>
  <c r="BP77" i="66"/>
  <c r="BP217" i="66" s="1"/>
  <c r="BP67" i="66"/>
  <c r="BP132" i="66"/>
  <c r="BP220" i="66" s="1"/>
  <c r="BO6" i="66"/>
  <c r="BQ35" i="66"/>
  <c r="BQ208" i="66" s="1"/>
  <c r="BD85" i="67"/>
  <c r="BD55" i="67"/>
  <c r="BP72" i="66"/>
  <c r="BP47" i="66"/>
  <c r="BP211" i="66" s="1"/>
  <c r="BE60" i="67"/>
  <c r="BP57" i="66"/>
  <c r="BO205" i="66"/>
  <c r="BB6" i="67"/>
  <c r="BB5" i="67"/>
  <c r="BC78" i="67"/>
  <c r="BB144" i="67"/>
  <c r="BQ37" i="66"/>
  <c r="BQ209" i="66" s="1"/>
  <c r="BP62" i="66"/>
  <c r="BE15" i="67"/>
  <c r="BP203" i="66"/>
  <c r="BQ82" i="66"/>
  <c r="BQ218" i="66" s="1"/>
  <c r="BA5" i="67"/>
  <c r="BA6" i="67"/>
  <c r="J42" i="17"/>
  <c r="L27" i="25"/>
  <c r="B201" i="32"/>
  <c r="BL108" i="32"/>
  <c r="BK108" i="32"/>
  <c r="BJ108" i="32"/>
  <c r="BI108" i="32"/>
  <c r="BH108" i="32"/>
  <c r="BG108" i="32"/>
  <c r="BF108" i="32"/>
  <c r="BE108" i="32"/>
  <c r="BD108" i="32"/>
  <c r="BC108" i="32"/>
  <c r="BB108" i="32"/>
  <c r="BA108" i="32"/>
  <c r="AZ108" i="32"/>
  <c r="AY108" i="32"/>
  <c r="AX108" i="32"/>
  <c r="AW108" i="32"/>
  <c r="AV108" i="32"/>
  <c r="AU108" i="32"/>
  <c r="AT108" i="32"/>
  <c r="AS108" i="32"/>
  <c r="AR108" i="32"/>
  <c r="AQ108" i="32"/>
  <c r="AP108" i="32"/>
  <c r="AO108" i="32"/>
  <c r="AN108" i="32"/>
  <c r="AM108" i="32"/>
  <c r="AL108" i="32"/>
  <c r="AK108" i="32"/>
  <c r="AJ108" i="32"/>
  <c r="AI108" i="32"/>
  <c r="AH108" i="32"/>
  <c r="AG108" i="32"/>
  <c r="AF108" i="32"/>
  <c r="AE108" i="32"/>
  <c r="AD108" i="32"/>
  <c r="AC108" i="32"/>
  <c r="AB108" i="32"/>
  <c r="AA108" i="32"/>
  <c r="Z108" i="32"/>
  <c r="Y108" i="32"/>
  <c r="X108" i="32"/>
  <c r="W108" i="32"/>
  <c r="V108" i="32"/>
  <c r="U108" i="32"/>
  <c r="T108" i="32"/>
  <c r="S108" i="32"/>
  <c r="R108" i="32"/>
  <c r="Q108" i="32"/>
  <c r="P108" i="32"/>
  <c r="O108" i="32"/>
  <c r="N108" i="32"/>
  <c r="M108" i="32"/>
  <c r="L108" i="32"/>
  <c r="K108" i="32"/>
  <c r="J108" i="32"/>
  <c r="I108" i="32"/>
  <c r="H108" i="32"/>
  <c r="G108" i="32"/>
  <c r="F108" i="32"/>
  <c r="E108" i="32"/>
  <c r="D108" i="32"/>
  <c r="C108" i="32"/>
  <c r="B108" i="32"/>
  <c r="BK8" i="32"/>
  <c r="BL9" i="32" s="1"/>
  <c r="BJ8" i="32"/>
  <c r="BI8" i="32"/>
  <c r="BH8" i="32"/>
  <c r="BG8" i="32"/>
  <c r="BF8" i="32"/>
  <c r="BE8" i="32"/>
  <c r="BD8" i="32"/>
  <c r="BC8" i="32"/>
  <c r="BB8" i="32"/>
  <c r="BA8" i="32"/>
  <c r="AZ8" i="32"/>
  <c r="AY8" i="32"/>
  <c r="AX8" i="32"/>
  <c r="AW8" i="32"/>
  <c r="AV8" i="32"/>
  <c r="AU8" i="32"/>
  <c r="AT8" i="32"/>
  <c r="AS8" i="32"/>
  <c r="AR8" i="32"/>
  <c r="AQ8" i="32"/>
  <c r="AP8" i="32"/>
  <c r="AO8" i="32"/>
  <c r="AN8" i="32"/>
  <c r="AM8" i="32"/>
  <c r="AL8" i="32"/>
  <c r="AK8" i="32"/>
  <c r="AJ8" i="32"/>
  <c r="AI8" i="32"/>
  <c r="AH8" i="32"/>
  <c r="AG8" i="32"/>
  <c r="AF8" i="32"/>
  <c r="AE8" i="32"/>
  <c r="AD8" i="32"/>
  <c r="AC8" i="32"/>
  <c r="AB8" i="32"/>
  <c r="AA8" i="32"/>
  <c r="Z8" i="32"/>
  <c r="Y8" i="32"/>
  <c r="X8" i="32"/>
  <c r="W8" i="32"/>
  <c r="V8" i="32"/>
  <c r="U8" i="32"/>
  <c r="T8" i="32"/>
  <c r="S8" i="32"/>
  <c r="R8" i="32"/>
  <c r="Q8" i="32"/>
  <c r="P8" i="32"/>
  <c r="O8" i="32"/>
  <c r="N8" i="32"/>
  <c r="M8" i="32"/>
  <c r="L8" i="32"/>
  <c r="K8" i="32"/>
  <c r="J8" i="32"/>
  <c r="I8" i="32"/>
  <c r="H8" i="32"/>
  <c r="G8" i="32"/>
  <c r="G9" i="32" s="1"/>
  <c r="F8" i="32"/>
  <c r="E8" i="32"/>
  <c r="D8" i="32"/>
  <c r="C8" i="32"/>
  <c r="B8" i="32"/>
  <c r="K62" i="17"/>
  <c r="K63" i="17" s="1"/>
  <c r="D26" i="17"/>
  <c r="E42" i="17"/>
  <c r="F26" i="17"/>
  <c r="H44" i="17"/>
  <c r="I44" i="17"/>
  <c r="K36" i="17"/>
  <c r="K42" i="17"/>
  <c r="K22" i="17"/>
  <c r="K34" i="17"/>
  <c r="K24" i="17"/>
  <c r="K30" i="17"/>
  <c r="K40" i="17"/>
  <c r="K14" i="17"/>
  <c r="K28" i="17"/>
  <c r="K18" i="17"/>
  <c r="K26" i="17"/>
  <c r="K32" i="17"/>
  <c r="K38" i="17"/>
  <c r="K16" i="17"/>
  <c r="K20" i="17"/>
  <c r="K44" i="17"/>
  <c r="D29" i="26"/>
  <c r="E29" i="26"/>
  <c r="F29" i="26"/>
  <c r="G29" i="26"/>
  <c r="C29" i="26"/>
  <c r="D27" i="26"/>
  <c r="E27" i="26"/>
  <c r="F27" i="26"/>
  <c r="G27" i="26"/>
  <c r="C27" i="26"/>
  <c r="D23" i="26"/>
  <c r="E23" i="26"/>
  <c r="F23" i="26"/>
  <c r="G23" i="26"/>
  <c r="C23" i="26"/>
  <c r="D13" i="26"/>
  <c r="E13" i="26"/>
  <c r="F13" i="26"/>
  <c r="G13" i="26"/>
  <c r="C13" i="26"/>
  <c r="C34" i="26"/>
  <c r="Q17" i="25"/>
  <c r="D27" i="25"/>
  <c r="E27" i="25"/>
  <c r="F27" i="25"/>
  <c r="G27" i="25"/>
  <c r="H27" i="25"/>
  <c r="I27" i="25"/>
  <c r="J27" i="25"/>
  <c r="K27" i="25"/>
  <c r="C27" i="25"/>
  <c r="F58" i="3"/>
  <c r="F57" i="3"/>
  <c r="F56" i="3"/>
  <c r="D57" i="3"/>
  <c r="E57" i="3" s="1"/>
  <c r="D56" i="3"/>
  <c r="E56" i="3" s="1"/>
  <c r="D55" i="3"/>
  <c r="E55" i="3" s="1"/>
  <c r="A63" i="17"/>
  <c r="B62" i="17"/>
  <c r="B63" i="17" s="1"/>
  <c r="C62" i="17"/>
  <c r="C63" i="17" s="1"/>
  <c r="D62" i="17"/>
  <c r="D63" i="17" s="1"/>
  <c r="E62" i="17"/>
  <c r="E63" i="17" s="1"/>
  <c r="F62" i="17"/>
  <c r="F63" i="17" s="1"/>
  <c r="G62" i="17"/>
  <c r="G63" i="17" s="1"/>
  <c r="H62" i="17"/>
  <c r="H63" i="17" s="1"/>
  <c r="I62" i="17"/>
  <c r="I63" i="17" s="1"/>
  <c r="J62" i="17"/>
  <c r="A42" i="17"/>
  <c r="A40" i="17"/>
  <c r="A38" i="17"/>
  <c r="A36" i="17"/>
  <c r="A34" i="17"/>
  <c r="A32" i="17"/>
  <c r="A30" i="17"/>
  <c r="A28" i="17"/>
  <c r="A26" i="17"/>
  <c r="A24" i="17"/>
  <c r="A22" i="17"/>
  <c r="A20" i="17"/>
  <c r="A18" i="17"/>
  <c r="A16" i="17"/>
  <c r="C42" i="17"/>
  <c r="C44" i="17"/>
  <c r="G44" i="17"/>
  <c r="I42" i="17"/>
  <c r="G40" i="17"/>
  <c r="G36" i="17"/>
  <c r="G42" i="17"/>
  <c r="C40" i="17"/>
  <c r="H36" i="17"/>
  <c r="C36" i="17"/>
  <c r="J26" i="17"/>
  <c r="C28" i="17"/>
  <c r="C26" i="17"/>
  <c r="I36" i="17"/>
  <c r="I34" i="17"/>
  <c r="G28" i="17"/>
  <c r="G26" i="17"/>
  <c r="D14" i="17"/>
  <c r="E22" i="17"/>
  <c r="J40" i="17"/>
  <c r="G38" i="17"/>
  <c r="C38" i="17"/>
  <c r="E20" i="17"/>
  <c r="E28" i="17"/>
  <c r="B38" i="17"/>
  <c r="G18" i="17"/>
  <c r="G30" i="17"/>
  <c r="C14" i="17"/>
  <c r="C24" i="17"/>
  <c r="C34" i="17"/>
  <c r="G16" i="17"/>
  <c r="C16" i="17"/>
  <c r="J14" i="17"/>
  <c r="E18" i="17"/>
  <c r="G22" i="17"/>
  <c r="C22" i="17"/>
  <c r="G32" i="17"/>
  <c r="C32" i="17"/>
  <c r="C18" i="17"/>
  <c r="C30" i="17"/>
  <c r="G14" i="17"/>
  <c r="G24" i="17"/>
  <c r="G34" i="17"/>
  <c r="G20" i="17"/>
  <c r="C20" i="17"/>
  <c r="F22" i="17"/>
  <c r="I24" i="17"/>
  <c r="K7" i="3"/>
  <c r="J7" i="3"/>
  <c r="I7" i="3"/>
  <c r="H7" i="3"/>
  <c r="G7" i="3"/>
  <c r="F7" i="3"/>
  <c r="E7" i="3"/>
  <c r="C7" i="3"/>
  <c r="D7" i="3"/>
  <c r="I16" i="17"/>
  <c r="E36" i="17"/>
  <c r="E26" i="17"/>
  <c r="I22" i="17"/>
  <c r="E14" i="17"/>
  <c r="E30" i="17"/>
  <c r="E40" i="17"/>
  <c r="E16" i="17"/>
  <c r="E34" i="17"/>
  <c r="E44" i="17"/>
  <c r="I18" i="17"/>
  <c r="I20" i="17"/>
  <c r="E10" i="17"/>
  <c r="E24" i="17"/>
  <c r="I14" i="17"/>
  <c r="I30" i="17"/>
  <c r="E32" i="17"/>
  <c r="I38" i="17"/>
  <c r="I40" i="17"/>
  <c r="I32" i="17"/>
  <c r="I28" i="17"/>
  <c r="E38" i="17"/>
  <c r="I26" i="17"/>
  <c r="K10" i="17"/>
  <c r="H18" i="17"/>
  <c r="D32" i="17"/>
  <c r="H28" i="17"/>
  <c r="B20" i="17"/>
  <c r="B14" i="17"/>
  <c r="J20" i="17"/>
  <c r="D10" i="17"/>
  <c r="F10" i="17"/>
  <c r="H22" i="17"/>
  <c r="B34" i="17"/>
  <c r="F30" i="17"/>
  <c r="F36" i="17"/>
  <c r="H10" i="17"/>
  <c r="H32" i="17"/>
  <c r="D38" i="17"/>
  <c r="H26" i="17"/>
  <c r="D44" i="17"/>
  <c r="D16" i="17"/>
  <c r="D20" i="17"/>
  <c r="D40" i="17"/>
  <c r="D24" i="17"/>
  <c r="H14" i="17"/>
  <c r="H38" i="17"/>
  <c r="D30" i="17"/>
  <c r="D42" i="17"/>
  <c r="D36" i="17"/>
  <c r="I10" i="17"/>
  <c r="D18" i="17"/>
  <c r="D22" i="17"/>
  <c r="D28" i="17"/>
  <c r="H20" i="17"/>
  <c r="H16" i="17"/>
  <c r="H40" i="17"/>
  <c r="D34" i="17"/>
  <c r="H24" i="17"/>
  <c r="H34" i="17"/>
  <c r="H30" i="17"/>
  <c r="H42" i="17"/>
  <c r="BE40" i="67" l="1"/>
  <c r="BP214" i="66"/>
  <c r="BE35" i="67"/>
  <c r="BP213" i="66"/>
  <c r="BE50" i="67"/>
  <c r="BP216" i="66"/>
  <c r="BE45" i="67"/>
  <c r="BP215" i="66"/>
  <c r="I442" i="68"/>
  <c r="J441" i="68"/>
  <c r="J442" i="68"/>
  <c r="H442" i="68"/>
  <c r="I441" i="68"/>
  <c r="G441" i="68"/>
  <c r="F442" i="68"/>
  <c r="H441" i="68"/>
  <c r="G442" i="68"/>
  <c r="Q24" i="25"/>
  <c r="Q23" i="25"/>
  <c r="Q21" i="25"/>
  <c r="BE55" i="67"/>
  <c r="BE85" i="67"/>
  <c r="BF15" i="67"/>
  <c r="BQ47" i="66"/>
  <c r="BQ211" i="66" s="1"/>
  <c r="BP6" i="66"/>
  <c r="BP206" i="66"/>
  <c r="BF60" i="67"/>
  <c r="BQ67" i="66"/>
  <c r="BE25" i="67"/>
  <c r="BF10" i="67"/>
  <c r="BQ203" i="66"/>
  <c r="BQ62" i="66"/>
  <c r="BD78" i="67"/>
  <c r="BC144" i="67"/>
  <c r="BC4" i="67"/>
  <c r="BQ72" i="66"/>
  <c r="BP205" i="66"/>
  <c r="BF13" i="67"/>
  <c r="BQ132" i="66"/>
  <c r="BQ77" i="66"/>
  <c r="BD76" i="67"/>
  <c r="BQ57" i="66"/>
  <c r="W9" i="32"/>
  <c r="AE9" i="32"/>
  <c r="AQ9" i="32"/>
  <c r="AY9" i="32"/>
  <c r="BC9" i="32"/>
  <c r="BK9" i="32"/>
  <c r="BI9" i="32"/>
  <c r="O9" i="32"/>
  <c r="Z9" i="32"/>
  <c r="AL9" i="32"/>
  <c r="V19" i="66"/>
  <c r="W19" i="66" s="1"/>
  <c r="X19" i="66" s="1"/>
  <c r="Y19" i="66" s="1"/>
  <c r="Z19" i="66" s="1"/>
  <c r="AA19" i="66" s="1"/>
  <c r="AB19" i="66" s="1"/>
  <c r="AC19" i="66" s="1"/>
  <c r="AD19" i="66" s="1"/>
  <c r="AE19" i="66" s="1"/>
  <c r="AF19" i="66" s="1"/>
  <c r="AG19" i="66" s="1"/>
  <c r="AH19" i="66" s="1"/>
  <c r="AI19" i="66" s="1"/>
  <c r="AJ19" i="66" s="1"/>
  <c r="AK19" i="66" s="1"/>
  <c r="AL19" i="66" s="1"/>
  <c r="AM19" i="66" s="1"/>
  <c r="AN19" i="66" s="1"/>
  <c r="AO19" i="66" s="1"/>
  <c r="AP19" i="66" s="1"/>
  <c r="AQ19" i="66" s="1"/>
  <c r="AR19" i="66" s="1"/>
  <c r="AS19" i="66" s="1"/>
  <c r="AT19" i="66" s="1"/>
  <c r="AU19" i="66" s="1"/>
  <c r="AV19" i="66" s="1"/>
  <c r="AW19" i="66" s="1"/>
  <c r="AX19" i="66" s="1"/>
  <c r="AY19" i="66" s="1"/>
  <c r="AZ19" i="66" s="1"/>
  <c r="BA19" i="66" s="1"/>
  <c r="BB19" i="66" s="1"/>
  <c r="BC19" i="66" s="1"/>
  <c r="BD19" i="66" s="1"/>
  <c r="BE19" i="66" s="1"/>
  <c r="BF19" i="66" s="1"/>
  <c r="BG19" i="66" s="1"/>
  <c r="BH19" i="66" s="1"/>
  <c r="BI19" i="66" s="1"/>
  <c r="BJ19" i="66" s="1"/>
  <c r="BK19" i="66" s="1"/>
  <c r="BL19" i="66" s="1"/>
  <c r="BM19" i="66" s="1"/>
  <c r="BN19" i="66" s="1"/>
  <c r="BO19" i="66" s="1"/>
  <c r="BP19" i="66" s="1"/>
  <c r="BQ19" i="66" s="1"/>
  <c r="V21" i="66"/>
  <c r="W21" i="66" s="1"/>
  <c r="X21" i="66" s="1"/>
  <c r="Y21" i="66" s="1"/>
  <c r="Z21" i="66" s="1"/>
  <c r="AA21" i="66" s="1"/>
  <c r="AB21" i="66" s="1"/>
  <c r="AC21" i="66" s="1"/>
  <c r="AD21" i="66" s="1"/>
  <c r="AE21" i="66" s="1"/>
  <c r="AF21" i="66" s="1"/>
  <c r="AG21" i="66" s="1"/>
  <c r="AH21" i="66" s="1"/>
  <c r="AI21" i="66" s="1"/>
  <c r="AJ21" i="66" s="1"/>
  <c r="AK21" i="66" s="1"/>
  <c r="AL21" i="66" s="1"/>
  <c r="AM21" i="66" s="1"/>
  <c r="AN21" i="66" s="1"/>
  <c r="AO21" i="66" s="1"/>
  <c r="AP21" i="66" s="1"/>
  <c r="AQ21" i="66" s="1"/>
  <c r="AR21" i="66" s="1"/>
  <c r="AS21" i="66" s="1"/>
  <c r="AT21" i="66" s="1"/>
  <c r="AU21" i="66" s="1"/>
  <c r="AV21" i="66" s="1"/>
  <c r="AW21" i="66" s="1"/>
  <c r="AX21" i="66" s="1"/>
  <c r="AY21" i="66" s="1"/>
  <c r="AZ21" i="66" s="1"/>
  <c r="BA21" i="66" s="1"/>
  <c r="BB21" i="66" s="1"/>
  <c r="BC21" i="66" s="1"/>
  <c r="BD21" i="66" s="1"/>
  <c r="BE21" i="66" s="1"/>
  <c r="BF21" i="66" s="1"/>
  <c r="BG21" i="66" s="1"/>
  <c r="BH21" i="66" s="1"/>
  <c r="BI21" i="66" s="1"/>
  <c r="BJ21" i="66" s="1"/>
  <c r="BK21" i="66" s="1"/>
  <c r="BL21" i="66" s="1"/>
  <c r="BM21" i="66" s="1"/>
  <c r="BN21" i="66" s="1"/>
  <c r="BO21" i="66" s="1"/>
  <c r="BP21" i="66" s="1"/>
  <c r="BQ21" i="66" s="1"/>
  <c r="V23" i="66"/>
  <c r="W23" i="66" s="1"/>
  <c r="X23" i="66" s="1"/>
  <c r="Y23" i="66" s="1"/>
  <c r="Z23" i="66" s="1"/>
  <c r="AA23" i="66" s="1"/>
  <c r="AB23" i="66" s="1"/>
  <c r="AC23" i="66" s="1"/>
  <c r="AD23" i="66" s="1"/>
  <c r="AE23" i="66" s="1"/>
  <c r="AF23" i="66" s="1"/>
  <c r="AG23" i="66" s="1"/>
  <c r="AH23" i="66" s="1"/>
  <c r="AI23" i="66" s="1"/>
  <c r="AJ23" i="66" s="1"/>
  <c r="AK23" i="66" s="1"/>
  <c r="AL23" i="66" s="1"/>
  <c r="AM23" i="66" s="1"/>
  <c r="AN23" i="66" s="1"/>
  <c r="AO23" i="66" s="1"/>
  <c r="AP23" i="66" s="1"/>
  <c r="AQ23" i="66" s="1"/>
  <c r="AR23" i="66" s="1"/>
  <c r="AS23" i="66" s="1"/>
  <c r="AT23" i="66" s="1"/>
  <c r="AU23" i="66" s="1"/>
  <c r="AV23" i="66" s="1"/>
  <c r="AW23" i="66" s="1"/>
  <c r="AX23" i="66" s="1"/>
  <c r="AY23" i="66" s="1"/>
  <c r="AZ23" i="66" s="1"/>
  <c r="BA23" i="66" s="1"/>
  <c r="BB23" i="66" s="1"/>
  <c r="BC23" i="66" s="1"/>
  <c r="BD23" i="66" s="1"/>
  <c r="BE23" i="66" s="1"/>
  <c r="BF23" i="66" s="1"/>
  <c r="BG23" i="66" s="1"/>
  <c r="BH23" i="66" s="1"/>
  <c r="BI23" i="66" s="1"/>
  <c r="BJ23" i="66" s="1"/>
  <c r="BK23" i="66" s="1"/>
  <c r="BL23" i="66" s="1"/>
  <c r="BM23" i="66" s="1"/>
  <c r="BN23" i="66" s="1"/>
  <c r="BO23" i="66" s="1"/>
  <c r="BP23" i="66" s="1"/>
  <c r="BQ23" i="66" s="1"/>
  <c r="V25" i="66"/>
  <c r="W25" i="66" s="1"/>
  <c r="X25" i="66" s="1"/>
  <c r="Y25" i="66" s="1"/>
  <c r="Z25" i="66" s="1"/>
  <c r="AA25" i="66" s="1"/>
  <c r="AB25" i="66" s="1"/>
  <c r="AC25" i="66" s="1"/>
  <c r="AD25" i="66" s="1"/>
  <c r="AE25" i="66" s="1"/>
  <c r="AF25" i="66" s="1"/>
  <c r="AG25" i="66" s="1"/>
  <c r="AH25" i="66" s="1"/>
  <c r="AI25" i="66" s="1"/>
  <c r="AJ25" i="66" s="1"/>
  <c r="AK25" i="66" s="1"/>
  <c r="AL25" i="66" s="1"/>
  <c r="AM25" i="66" s="1"/>
  <c r="AN25" i="66" s="1"/>
  <c r="AO25" i="66" s="1"/>
  <c r="AP25" i="66" s="1"/>
  <c r="AQ25" i="66" s="1"/>
  <c r="AR25" i="66" s="1"/>
  <c r="AS25" i="66" s="1"/>
  <c r="AT25" i="66" s="1"/>
  <c r="AU25" i="66" s="1"/>
  <c r="AV25" i="66" s="1"/>
  <c r="AW25" i="66" s="1"/>
  <c r="AX25" i="66" s="1"/>
  <c r="AY25" i="66" s="1"/>
  <c r="AZ25" i="66" s="1"/>
  <c r="BA25" i="66" s="1"/>
  <c r="BB25" i="66" s="1"/>
  <c r="BC25" i="66" s="1"/>
  <c r="BD25" i="66" s="1"/>
  <c r="BE25" i="66" s="1"/>
  <c r="BF25" i="66" s="1"/>
  <c r="BG25" i="66" s="1"/>
  <c r="BH25" i="66" s="1"/>
  <c r="BI25" i="66" s="1"/>
  <c r="BJ25" i="66" s="1"/>
  <c r="BK25" i="66" s="1"/>
  <c r="BL25" i="66" s="1"/>
  <c r="BM25" i="66" s="1"/>
  <c r="BN25" i="66" s="1"/>
  <c r="BO25" i="66" s="1"/>
  <c r="BP25" i="66" s="1"/>
  <c r="BQ25" i="66" s="1"/>
  <c r="V27" i="66"/>
  <c r="W27" i="66" s="1"/>
  <c r="X27" i="66" s="1"/>
  <c r="Y27" i="66" s="1"/>
  <c r="Z27" i="66" s="1"/>
  <c r="AA27" i="66" s="1"/>
  <c r="AB27" i="66" s="1"/>
  <c r="AC27" i="66" s="1"/>
  <c r="AD27" i="66" s="1"/>
  <c r="AE27" i="66" s="1"/>
  <c r="AF27" i="66" s="1"/>
  <c r="AG27" i="66" s="1"/>
  <c r="AH27" i="66" s="1"/>
  <c r="AI27" i="66" s="1"/>
  <c r="AJ27" i="66" s="1"/>
  <c r="AK27" i="66" s="1"/>
  <c r="AL27" i="66" s="1"/>
  <c r="AM27" i="66" s="1"/>
  <c r="AN27" i="66" s="1"/>
  <c r="AO27" i="66" s="1"/>
  <c r="AP27" i="66" s="1"/>
  <c r="AQ27" i="66" s="1"/>
  <c r="AR27" i="66" s="1"/>
  <c r="AS27" i="66" s="1"/>
  <c r="AT27" i="66" s="1"/>
  <c r="AU27" i="66" s="1"/>
  <c r="AV27" i="66" s="1"/>
  <c r="AW27" i="66" s="1"/>
  <c r="AX27" i="66" s="1"/>
  <c r="AY27" i="66" s="1"/>
  <c r="AZ27" i="66" s="1"/>
  <c r="BA27" i="66" s="1"/>
  <c r="BB27" i="66" s="1"/>
  <c r="BC27" i="66" s="1"/>
  <c r="BD27" i="66" s="1"/>
  <c r="BE27" i="66" s="1"/>
  <c r="BF27" i="66" s="1"/>
  <c r="BG27" i="66" s="1"/>
  <c r="BH27" i="66" s="1"/>
  <c r="BI27" i="66" s="1"/>
  <c r="BJ27" i="66" s="1"/>
  <c r="BK27" i="66" s="1"/>
  <c r="BL27" i="66" s="1"/>
  <c r="BM27" i="66" s="1"/>
  <c r="BN27" i="66" s="1"/>
  <c r="BO27" i="66" s="1"/>
  <c r="BP27" i="66" s="1"/>
  <c r="BQ27" i="66" s="1"/>
  <c r="V29" i="66"/>
  <c r="W29" i="66" s="1"/>
  <c r="X29" i="66" s="1"/>
  <c r="Y29" i="66" s="1"/>
  <c r="Z29" i="66" s="1"/>
  <c r="AA29" i="66" s="1"/>
  <c r="AB29" i="66" s="1"/>
  <c r="AC29" i="66" s="1"/>
  <c r="AD29" i="66" s="1"/>
  <c r="AE29" i="66" s="1"/>
  <c r="AF29" i="66" s="1"/>
  <c r="AG29" i="66" s="1"/>
  <c r="AH29" i="66" s="1"/>
  <c r="AI29" i="66" s="1"/>
  <c r="AJ29" i="66" s="1"/>
  <c r="AK29" i="66" s="1"/>
  <c r="AL29" i="66" s="1"/>
  <c r="AM29" i="66" s="1"/>
  <c r="AN29" i="66" s="1"/>
  <c r="AO29" i="66" s="1"/>
  <c r="AP29" i="66" s="1"/>
  <c r="AQ29" i="66" s="1"/>
  <c r="AR29" i="66" s="1"/>
  <c r="AS29" i="66" s="1"/>
  <c r="AT29" i="66" s="1"/>
  <c r="AU29" i="66" s="1"/>
  <c r="AV29" i="66" s="1"/>
  <c r="AW29" i="66" s="1"/>
  <c r="AX29" i="66" s="1"/>
  <c r="AY29" i="66" s="1"/>
  <c r="AZ29" i="66" s="1"/>
  <c r="BA29" i="66" s="1"/>
  <c r="BB29" i="66" s="1"/>
  <c r="BC29" i="66" s="1"/>
  <c r="BD29" i="66" s="1"/>
  <c r="BE29" i="66" s="1"/>
  <c r="BF29" i="66" s="1"/>
  <c r="BG29" i="66" s="1"/>
  <c r="BH29" i="66" s="1"/>
  <c r="BI29" i="66" s="1"/>
  <c r="BJ29" i="66" s="1"/>
  <c r="BK29" i="66" s="1"/>
  <c r="BL29" i="66" s="1"/>
  <c r="BM29" i="66" s="1"/>
  <c r="BN29" i="66" s="1"/>
  <c r="BO29" i="66" s="1"/>
  <c r="BP29" i="66" s="1"/>
  <c r="BQ29" i="66" s="1"/>
  <c r="V31" i="66"/>
  <c r="W31" i="66" s="1"/>
  <c r="X31" i="66" s="1"/>
  <c r="Y31" i="66" s="1"/>
  <c r="Z31" i="66" s="1"/>
  <c r="AA31" i="66" s="1"/>
  <c r="AB31" i="66" s="1"/>
  <c r="AC31" i="66" s="1"/>
  <c r="AD31" i="66" s="1"/>
  <c r="AE31" i="66" s="1"/>
  <c r="AF31" i="66" s="1"/>
  <c r="AG31" i="66" s="1"/>
  <c r="AH31" i="66" s="1"/>
  <c r="AI31" i="66" s="1"/>
  <c r="AJ31" i="66" s="1"/>
  <c r="AK31" i="66" s="1"/>
  <c r="AL31" i="66" s="1"/>
  <c r="AM31" i="66" s="1"/>
  <c r="AN31" i="66" s="1"/>
  <c r="AO31" i="66" s="1"/>
  <c r="AP31" i="66" s="1"/>
  <c r="AQ31" i="66" s="1"/>
  <c r="AR31" i="66" s="1"/>
  <c r="AS31" i="66" s="1"/>
  <c r="AT31" i="66" s="1"/>
  <c r="AU31" i="66" s="1"/>
  <c r="AV31" i="66" s="1"/>
  <c r="AW31" i="66" s="1"/>
  <c r="AX31" i="66" s="1"/>
  <c r="AY31" i="66" s="1"/>
  <c r="AZ31" i="66" s="1"/>
  <c r="BA31" i="66" s="1"/>
  <c r="BB31" i="66" s="1"/>
  <c r="BC31" i="66" s="1"/>
  <c r="BD31" i="66" s="1"/>
  <c r="BE31" i="66" s="1"/>
  <c r="BF31" i="66" s="1"/>
  <c r="BG31" i="66" s="1"/>
  <c r="BH31" i="66" s="1"/>
  <c r="BI31" i="66" s="1"/>
  <c r="BJ31" i="66" s="1"/>
  <c r="BK31" i="66" s="1"/>
  <c r="BL31" i="66" s="1"/>
  <c r="BM31" i="66" s="1"/>
  <c r="BN31" i="66" s="1"/>
  <c r="BO31" i="66" s="1"/>
  <c r="BP31" i="66" s="1"/>
  <c r="BQ31" i="66" s="1"/>
  <c r="V18" i="66"/>
  <c r="W18" i="66" s="1"/>
  <c r="X18" i="66" s="1"/>
  <c r="Y18" i="66" s="1"/>
  <c r="Z18" i="66" s="1"/>
  <c r="AA18" i="66" s="1"/>
  <c r="AB18" i="66" s="1"/>
  <c r="AC18" i="66" s="1"/>
  <c r="AD18" i="66" s="1"/>
  <c r="AE18" i="66" s="1"/>
  <c r="AF18" i="66" s="1"/>
  <c r="AG18" i="66" s="1"/>
  <c r="AH18" i="66" s="1"/>
  <c r="AI18" i="66" s="1"/>
  <c r="AJ18" i="66" s="1"/>
  <c r="AK18" i="66" s="1"/>
  <c r="AL18" i="66" s="1"/>
  <c r="AM18" i="66" s="1"/>
  <c r="AN18" i="66" s="1"/>
  <c r="AO18" i="66" s="1"/>
  <c r="AP18" i="66" s="1"/>
  <c r="AQ18" i="66" s="1"/>
  <c r="AR18" i="66" s="1"/>
  <c r="AS18" i="66" s="1"/>
  <c r="AT18" i="66" s="1"/>
  <c r="AU18" i="66" s="1"/>
  <c r="AV18" i="66" s="1"/>
  <c r="AW18" i="66" s="1"/>
  <c r="AX18" i="66" s="1"/>
  <c r="AY18" i="66" s="1"/>
  <c r="AZ18" i="66" s="1"/>
  <c r="BA18" i="66" s="1"/>
  <c r="BB18" i="66" s="1"/>
  <c r="BC18" i="66" s="1"/>
  <c r="BD18" i="66" s="1"/>
  <c r="BE18" i="66" s="1"/>
  <c r="BF18" i="66" s="1"/>
  <c r="BG18" i="66" s="1"/>
  <c r="BH18" i="66" s="1"/>
  <c r="BI18" i="66" s="1"/>
  <c r="BJ18" i="66" s="1"/>
  <c r="BK18" i="66" s="1"/>
  <c r="BL18" i="66" s="1"/>
  <c r="BM18" i="66" s="1"/>
  <c r="BN18" i="66" s="1"/>
  <c r="BO18" i="66" s="1"/>
  <c r="BP18" i="66" s="1"/>
  <c r="BQ18" i="66" s="1"/>
  <c r="V22" i="66"/>
  <c r="W22" i="66" s="1"/>
  <c r="X22" i="66" s="1"/>
  <c r="Y22" i="66" s="1"/>
  <c r="Z22" i="66" s="1"/>
  <c r="AA22" i="66" s="1"/>
  <c r="AB22" i="66" s="1"/>
  <c r="AC22" i="66" s="1"/>
  <c r="AD22" i="66" s="1"/>
  <c r="AE22" i="66" s="1"/>
  <c r="AF22" i="66" s="1"/>
  <c r="AG22" i="66" s="1"/>
  <c r="AH22" i="66" s="1"/>
  <c r="AI22" i="66" s="1"/>
  <c r="AJ22" i="66" s="1"/>
  <c r="AK22" i="66" s="1"/>
  <c r="AL22" i="66" s="1"/>
  <c r="AM22" i="66" s="1"/>
  <c r="AN22" i="66" s="1"/>
  <c r="AO22" i="66" s="1"/>
  <c r="AP22" i="66" s="1"/>
  <c r="AQ22" i="66" s="1"/>
  <c r="AR22" i="66" s="1"/>
  <c r="AS22" i="66" s="1"/>
  <c r="AT22" i="66" s="1"/>
  <c r="AU22" i="66" s="1"/>
  <c r="AV22" i="66" s="1"/>
  <c r="AW22" i="66" s="1"/>
  <c r="AX22" i="66" s="1"/>
  <c r="AY22" i="66" s="1"/>
  <c r="AZ22" i="66" s="1"/>
  <c r="BA22" i="66" s="1"/>
  <c r="BB22" i="66" s="1"/>
  <c r="BC22" i="66" s="1"/>
  <c r="BD22" i="66" s="1"/>
  <c r="BE22" i="66" s="1"/>
  <c r="BF22" i="66" s="1"/>
  <c r="BG22" i="66" s="1"/>
  <c r="BH22" i="66" s="1"/>
  <c r="BI22" i="66" s="1"/>
  <c r="BJ22" i="66" s="1"/>
  <c r="BK22" i="66" s="1"/>
  <c r="BL22" i="66" s="1"/>
  <c r="BM22" i="66" s="1"/>
  <c r="BN22" i="66" s="1"/>
  <c r="BO22" i="66" s="1"/>
  <c r="BP22" i="66" s="1"/>
  <c r="BQ22" i="66" s="1"/>
  <c r="V26" i="66"/>
  <c r="W26" i="66" s="1"/>
  <c r="X26" i="66" s="1"/>
  <c r="Y26" i="66" s="1"/>
  <c r="Z26" i="66" s="1"/>
  <c r="AA26" i="66" s="1"/>
  <c r="AB26" i="66" s="1"/>
  <c r="AC26" i="66" s="1"/>
  <c r="AD26" i="66" s="1"/>
  <c r="AE26" i="66" s="1"/>
  <c r="AF26" i="66" s="1"/>
  <c r="AG26" i="66" s="1"/>
  <c r="AH26" i="66" s="1"/>
  <c r="AI26" i="66" s="1"/>
  <c r="AJ26" i="66" s="1"/>
  <c r="AK26" i="66" s="1"/>
  <c r="AL26" i="66" s="1"/>
  <c r="AM26" i="66" s="1"/>
  <c r="AN26" i="66" s="1"/>
  <c r="AO26" i="66" s="1"/>
  <c r="AP26" i="66" s="1"/>
  <c r="AQ26" i="66" s="1"/>
  <c r="AR26" i="66" s="1"/>
  <c r="AS26" i="66" s="1"/>
  <c r="AT26" i="66" s="1"/>
  <c r="AU26" i="66" s="1"/>
  <c r="AV26" i="66" s="1"/>
  <c r="AW26" i="66" s="1"/>
  <c r="AX26" i="66" s="1"/>
  <c r="AY26" i="66" s="1"/>
  <c r="AZ26" i="66" s="1"/>
  <c r="BA26" i="66" s="1"/>
  <c r="BB26" i="66" s="1"/>
  <c r="BC26" i="66" s="1"/>
  <c r="BD26" i="66" s="1"/>
  <c r="BE26" i="66" s="1"/>
  <c r="BF26" i="66" s="1"/>
  <c r="BG26" i="66" s="1"/>
  <c r="BH26" i="66" s="1"/>
  <c r="BI26" i="66" s="1"/>
  <c r="BJ26" i="66" s="1"/>
  <c r="BK26" i="66" s="1"/>
  <c r="BL26" i="66" s="1"/>
  <c r="BM26" i="66" s="1"/>
  <c r="BN26" i="66" s="1"/>
  <c r="BO26" i="66" s="1"/>
  <c r="BP26" i="66" s="1"/>
  <c r="BQ26" i="66" s="1"/>
  <c r="V30" i="66"/>
  <c r="W30" i="66" s="1"/>
  <c r="X30" i="66" s="1"/>
  <c r="Y30" i="66" s="1"/>
  <c r="Z30" i="66" s="1"/>
  <c r="AA30" i="66" s="1"/>
  <c r="AB30" i="66" s="1"/>
  <c r="AC30" i="66" s="1"/>
  <c r="AD30" i="66" s="1"/>
  <c r="AE30" i="66" s="1"/>
  <c r="AF30" i="66" s="1"/>
  <c r="AG30" i="66" s="1"/>
  <c r="AH30" i="66" s="1"/>
  <c r="AI30" i="66" s="1"/>
  <c r="AJ30" i="66" s="1"/>
  <c r="AK30" i="66" s="1"/>
  <c r="AL30" i="66" s="1"/>
  <c r="AM30" i="66" s="1"/>
  <c r="AN30" i="66" s="1"/>
  <c r="AO30" i="66" s="1"/>
  <c r="AP30" i="66" s="1"/>
  <c r="AQ30" i="66" s="1"/>
  <c r="AR30" i="66" s="1"/>
  <c r="AS30" i="66" s="1"/>
  <c r="AT30" i="66" s="1"/>
  <c r="AU30" i="66" s="1"/>
  <c r="AV30" i="66" s="1"/>
  <c r="AW30" i="66" s="1"/>
  <c r="AX30" i="66" s="1"/>
  <c r="AY30" i="66" s="1"/>
  <c r="AZ30" i="66" s="1"/>
  <c r="BA30" i="66" s="1"/>
  <c r="BB30" i="66" s="1"/>
  <c r="BC30" i="66" s="1"/>
  <c r="BD30" i="66" s="1"/>
  <c r="BE30" i="66" s="1"/>
  <c r="BF30" i="66" s="1"/>
  <c r="BG30" i="66" s="1"/>
  <c r="BH30" i="66" s="1"/>
  <c r="BI30" i="66" s="1"/>
  <c r="BJ30" i="66" s="1"/>
  <c r="BK30" i="66" s="1"/>
  <c r="BL30" i="66" s="1"/>
  <c r="BM30" i="66" s="1"/>
  <c r="BN30" i="66" s="1"/>
  <c r="BO30" i="66" s="1"/>
  <c r="BP30" i="66" s="1"/>
  <c r="BQ30" i="66" s="1"/>
  <c r="V28" i="66"/>
  <c r="W28" i="66" s="1"/>
  <c r="X28" i="66" s="1"/>
  <c r="Y28" i="66" s="1"/>
  <c r="Z28" i="66" s="1"/>
  <c r="AA28" i="66" s="1"/>
  <c r="AB28" i="66" s="1"/>
  <c r="AC28" i="66" s="1"/>
  <c r="AD28" i="66" s="1"/>
  <c r="AE28" i="66" s="1"/>
  <c r="AF28" i="66" s="1"/>
  <c r="AG28" i="66" s="1"/>
  <c r="AH28" i="66" s="1"/>
  <c r="AI28" i="66" s="1"/>
  <c r="AJ28" i="66" s="1"/>
  <c r="AK28" i="66" s="1"/>
  <c r="AL28" i="66" s="1"/>
  <c r="AM28" i="66" s="1"/>
  <c r="AN28" i="66" s="1"/>
  <c r="AO28" i="66" s="1"/>
  <c r="AP28" i="66" s="1"/>
  <c r="AQ28" i="66" s="1"/>
  <c r="AR28" i="66" s="1"/>
  <c r="AS28" i="66" s="1"/>
  <c r="AT28" i="66" s="1"/>
  <c r="AU28" i="66" s="1"/>
  <c r="AV28" i="66" s="1"/>
  <c r="AW28" i="66" s="1"/>
  <c r="AX28" i="66" s="1"/>
  <c r="AY28" i="66" s="1"/>
  <c r="AZ28" i="66" s="1"/>
  <c r="BA28" i="66" s="1"/>
  <c r="BB28" i="66" s="1"/>
  <c r="BC28" i="66" s="1"/>
  <c r="BD28" i="66" s="1"/>
  <c r="BE28" i="66" s="1"/>
  <c r="BF28" i="66" s="1"/>
  <c r="BG28" i="66" s="1"/>
  <c r="BH28" i="66" s="1"/>
  <c r="BI28" i="66" s="1"/>
  <c r="BJ28" i="66" s="1"/>
  <c r="BK28" i="66" s="1"/>
  <c r="BL28" i="66" s="1"/>
  <c r="BM28" i="66" s="1"/>
  <c r="BN28" i="66" s="1"/>
  <c r="BO28" i="66" s="1"/>
  <c r="BP28" i="66" s="1"/>
  <c r="BQ28" i="66" s="1"/>
  <c r="V112" i="66"/>
  <c r="W112" i="66" s="1"/>
  <c r="X112" i="66" s="1"/>
  <c r="Y112" i="66" s="1"/>
  <c r="Z112" i="66" s="1"/>
  <c r="AA112" i="66" s="1"/>
  <c r="AB112" i="66" s="1"/>
  <c r="AC112" i="66" s="1"/>
  <c r="AD112" i="66" s="1"/>
  <c r="AE112" i="66" s="1"/>
  <c r="AF112" i="66" s="1"/>
  <c r="AG112" i="66" s="1"/>
  <c r="AH112" i="66" s="1"/>
  <c r="AI112" i="66" s="1"/>
  <c r="AJ112" i="66" s="1"/>
  <c r="AK112" i="66" s="1"/>
  <c r="AL112" i="66" s="1"/>
  <c r="AM112" i="66" s="1"/>
  <c r="AN112" i="66" s="1"/>
  <c r="AO112" i="66" s="1"/>
  <c r="AP112" i="66" s="1"/>
  <c r="AQ112" i="66" s="1"/>
  <c r="AR112" i="66" s="1"/>
  <c r="AS112" i="66" s="1"/>
  <c r="AT112" i="66" s="1"/>
  <c r="AU112" i="66" s="1"/>
  <c r="AV112" i="66" s="1"/>
  <c r="AW112" i="66" s="1"/>
  <c r="AX112" i="66" s="1"/>
  <c r="AY112" i="66" s="1"/>
  <c r="AZ112" i="66" s="1"/>
  <c r="BA112" i="66" s="1"/>
  <c r="BB112" i="66" s="1"/>
  <c r="BC112" i="66" s="1"/>
  <c r="BD112" i="66" s="1"/>
  <c r="BE112" i="66" s="1"/>
  <c r="BF112" i="66" s="1"/>
  <c r="BG112" i="66" s="1"/>
  <c r="BH112" i="66" s="1"/>
  <c r="BI112" i="66" s="1"/>
  <c r="BJ112" i="66" s="1"/>
  <c r="BK112" i="66" s="1"/>
  <c r="BL112" i="66" s="1"/>
  <c r="BM112" i="66" s="1"/>
  <c r="BN112" i="66" s="1"/>
  <c r="BO112" i="66" s="1"/>
  <c r="BP112" i="66" s="1"/>
  <c r="BQ112" i="66" s="1"/>
  <c r="V114" i="66"/>
  <c r="W114" i="66" s="1"/>
  <c r="X114" i="66" s="1"/>
  <c r="Y114" i="66" s="1"/>
  <c r="Z114" i="66" s="1"/>
  <c r="AA114" i="66" s="1"/>
  <c r="AB114" i="66" s="1"/>
  <c r="AC114" i="66" s="1"/>
  <c r="AD114" i="66" s="1"/>
  <c r="AE114" i="66" s="1"/>
  <c r="AF114" i="66" s="1"/>
  <c r="AG114" i="66" s="1"/>
  <c r="AH114" i="66" s="1"/>
  <c r="AI114" i="66" s="1"/>
  <c r="AJ114" i="66" s="1"/>
  <c r="AK114" i="66" s="1"/>
  <c r="AL114" i="66" s="1"/>
  <c r="AM114" i="66" s="1"/>
  <c r="AN114" i="66" s="1"/>
  <c r="AO114" i="66" s="1"/>
  <c r="AP114" i="66" s="1"/>
  <c r="AQ114" i="66" s="1"/>
  <c r="AR114" i="66" s="1"/>
  <c r="AS114" i="66" s="1"/>
  <c r="AT114" i="66" s="1"/>
  <c r="AU114" i="66" s="1"/>
  <c r="AV114" i="66" s="1"/>
  <c r="AW114" i="66" s="1"/>
  <c r="AX114" i="66" s="1"/>
  <c r="AY114" i="66" s="1"/>
  <c r="AZ114" i="66" s="1"/>
  <c r="BA114" i="66" s="1"/>
  <c r="BB114" i="66" s="1"/>
  <c r="BC114" i="66" s="1"/>
  <c r="BD114" i="66" s="1"/>
  <c r="BE114" i="66" s="1"/>
  <c r="BF114" i="66" s="1"/>
  <c r="BG114" i="66" s="1"/>
  <c r="BH114" i="66" s="1"/>
  <c r="BI114" i="66" s="1"/>
  <c r="BJ114" i="66" s="1"/>
  <c r="BK114" i="66" s="1"/>
  <c r="BL114" i="66" s="1"/>
  <c r="BM114" i="66" s="1"/>
  <c r="BN114" i="66" s="1"/>
  <c r="BO114" i="66" s="1"/>
  <c r="BP114" i="66" s="1"/>
  <c r="BQ114" i="66" s="1"/>
  <c r="V116" i="66"/>
  <c r="W116" i="66" s="1"/>
  <c r="X116" i="66" s="1"/>
  <c r="Y116" i="66" s="1"/>
  <c r="Z116" i="66" s="1"/>
  <c r="AA116" i="66" s="1"/>
  <c r="AB116" i="66" s="1"/>
  <c r="AC116" i="66" s="1"/>
  <c r="AD116" i="66" s="1"/>
  <c r="AE116" i="66" s="1"/>
  <c r="AF116" i="66" s="1"/>
  <c r="AG116" i="66" s="1"/>
  <c r="AH116" i="66" s="1"/>
  <c r="AI116" i="66" s="1"/>
  <c r="AJ116" i="66" s="1"/>
  <c r="AK116" i="66" s="1"/>
  <c r="AL116" i="66" s="1"/>
  <c r="AM116" i="66" s="1"/>
  <c r="AN116" i="66" s="1"/>
  <c r="AO116" i="66" s="1"/>
  <c r="AP116" i="66" s="1"/>
  <c r="AQ116" i="66" s="1"/>
  <c r="AR116" i="66" s="1"/>
  <c r="AS116" i="66" s="1"/>
  <c r="AT116" i="66" s="1"/>
  <c r="AU116" i="66" s="1"/>
  <c r="AV116" i="66" s="1"/>
  <c r="AW116" i="66" s="1"/>
  <c r="AX116" i="66" s="1"/>
  <c r="AY116" i="66" s="1"/>
  <c r="AZ116" i="66" s="1"/>
  <c r="BA116" i="66" s="1"/>
  <c r="BB116" i="66" s="1"/>
  <c r="BC116" i="66" s="1"/>
  <c r="BD116" i="66" s="1"/>
  <c r="BE116" i="66" s="1"/>
  <c r="BF116" i="66" s="1"/>
  <c r="BG116" i="66" s="1"/>
  <c r="BH116" i="66" s="1"/>
  <c r="BI116" i="66" s="1"/>
  <c r="BJ116" i="66" s="1"/>
  <c r="BK116" i="66" s="1"/>
  <c r="BL116" i="66" s="1"/>
  <c r="BM116" i="66" s="1"/>
  <c r="BN116" i="66" s="1"/>
  <c r="BO116" i="66" s="1"/>
  <c r="BP116" i="66" s="1"/>
  <c r="BQ116" i="66" s="1"/>
  <c r="V118" i="66"/>
  <c r="W118" i="66" s="1"/>
  <c r="X118" i="66" s="1"/>
  <c r="Y118" i="66" s="1"/>
  <c r="Z118" i="66" s="1"/>
  <c r="AA118" i="66" s="1"/>
  <c r="AB118" i="66" s="1"/>
  <c r="AC118" i="66" s="1"/>
  <c r="AD118" i="66" s="1"/>
  <c r="AE118" i="66" s="1"/>
  <c r="AF118" i="66" s="1"/>
  <c r="AG118" i="66" s="1"/>
  <c r="AH118" i="66" s="1"/>
  <c r="AI118" i="66" s="1"/>
  <c r="AJ118" i="66" s="1"/>
  <c r="AK118" i="66" s="1"/>
  <c r="AL118" i="66" s="1"/>
  <c r="AM118" i="66" s="1"/>
  <c r="AN118" i="66" s="1"/>
  <c r="AO118" i="66" s="1"/>
  <c r="AP118" i="66" s="1"/>
  <c r="AQ118" i="66" s="1"/>
  <c r="AR118" i="66" s="1"/>
  <c r="AS118" i="66" s="1"/>
  <c r="AT118" i="66" s="1"/>
  <c r="AU118" i="66" s="1"/>
  <c r="AV118" i="66" s="1"/>
  <c r="AW118" i="66" s="1"/>
  <c r="AX118" i="66" s="1"/>
  <c r="AY118" i="66" s="1"/>
  <c r="AZ118" i="66" s="1"/>
  <c r="BA118" i="66" s="1"/>
  <c r="BB118" i="66" s="1"/>
  <c r="BC118" i="66" s="1"/>
  <c r="BD118" i="66" s="1"/>
  <c r="BE118" i="66" s="1"/>
  <c r="BF118" i="66" s="1"/>
  <c r="BG118" i="66" s="1"/>
  <c r="BH118" i="66" s="1"/>
  <c r="BI118" i="66" s="1"/>
  <c r="BJ118" i="66" s="1"/>
  <c r="BK118" i="66" s="1"/>
  <c r="BL118" i="66" s="1"/>
  <c r="BM118" i="66" s="1"/>
  <c r="BN118" i="66" s="1"/>
  <c r="BO118" i="66" s="1"/>
  <c r="BP118" i="66" s="1"/>
  <c r="BQ118" i="66" s="1"/>
  <c r="V120" i="66"/>
  <c r="W120" i="66" s="1"/>
  <c r="X120" i="66" s="1"/>
  <c r="Y120" i="66" s="1"/>
  <c r="Z120" i="66" s="1"/>
  <c r="AA120" i="66" s="1"/>
  <c r="AB120" i="66" s="1"/>
  <c r="AC120" i="66" s="1"/>
  <c r="AD120" i="66" s="1"/>
  <c r="AE120" i="66" s="1"/>
  <c r="AF120" i="66" s="1"/>
  <c r="AG120" i="66" s="1"/>
  <c r="AH120" i="66" s="1"/>
  <c r="AI120" i="66" s="1"/>
  <c r="AJ120" i="66" s="1"/>
  <c r="AK120" i="66" s="1"/>
  <c r="AL120" i="66" s="1"/>
  <c r="AM120" i="66" s="1"/>
  <c r="AN120" i="66" s="1"/>
  <c r="AO120" i="66" s="1"/>
  <c r="AP120" i="66" s="1"/>
  <c r="AQ120" i="66" s="1"/>
  <c r="AR120" i="66" s="1"/>
  <c r="AS120" i="66" s="1"/>
  <c r="AT120" i="66" s="1"/>
  <c r="AU120" i="66" s="1"/>
  <c r="AV120" i="66" s="1"/>
  <c r="AW120" i="66" s="1"/>
  <c r="AX120" i="66" s="1"/>
  <c r="AY120" i="66" s="1"/>
  <c r="AZ120" i="66" s="1"/>
  <c r="BA120" i="66" s="1"/>
  <c r="BB120" i="66" s="1"/>
  <c r="BC120" i="66" s="1"/>
  <c r="BD120" i="66" s="1"/>
  <c r="BE120" i="66" s="1"/>
  <c r="BF120" i="66" s="1"/>
  <c r="BG120" i="66" s="1"/>
  <c r="BH120" i="66" s="1"/>
  <c r="BI120" i="66" s="1"/>
  <c r="BJ120" i="66" s="1"/>
  <c r="BK120" i="66" s="1"/>
  <c r="BL120" i="66" s="1"/>
  <c r="BM120" i="66" s="1"/>
  <c r="BN120" i="66" s="1"/>
  <c r="BO120" i="66" s="1"/>
  <c r="BP120" i="66" s="1"/>
  <c r="BQ120" i="66" s="1"/>
  <c r="V122" i="66"/>
  <c r="W122" i="66" s="1"/>
  <c r="X122" i="66" s="1"/>
  <c r="Y122" i="66" s="1"/>
  <c r="Z122" i="66" s="1"/>
  <c r="AA122" i="66" s="1"/>
  <c r="AB122" i="66" s="1"/>
  <c r="AC122" i="66" s="1"/>
  <c r="AD122" i="66" s="1"/>
  <c r="AE122" i="66" s="1"/>
  <c r="AF122" i="66" s="1"/>
  <c r="AG122" i="66" s="1"/>
  <c r="AH122" i="66" s="1"/>
  <c r="AI122" i="66" s="1"/>
  <c r="AJ122" i="66" s="1"/>
  <c r="AK122" i="66" s="1"/>
  <c r="AL122" i="66" s="1"/>
  <c r="AM122" i="66" s="1"/>
  <c r="AN122" i="66" s="1"/>
  <c r="AO122" i="66" s="1"/>
  <c r="AP122" i="66" s="1"/>
  <c r="AQ122" i="66" s="1"/>
  <c r="AR122" i="66" s="1"/>
  <c r="AS122" i="66" s="1"/>
  <c r="AT122" i="66" s="1"/>
  <c r="AU122" i="66" s="1"/>
  <c r="AV122" i="66" s="1"/>
  <c r="AW122" i="66" s="1"/>
  <c r="AX122" i="66" s="1"/>
  <c r="AY122" i="66" s="1"/>
  <c r="AZ122" i="66" s="1"/>
  <c r="BA122" i="66" s="1"/>
  <c r="BB122" i="66" s="1"/>
  <c r="BC122" i="66" s="1"/>
  <c r="BD122" i="66" s="1"/>
  <c r="BE122" i="66" s="1"/>
  <c r="BF122" i="66" s="1"/>
  <c r="BG122" i="66" s="1"/>
  <c r="BH122" i="66" s="1"/>
  <c r="BI122" i="66" s="1"/>
  <c r="BJ122" i="66" s="1"/>
  <c r="BK122" i="66" s="1"/>
  <c r="BL122" i="66" s="1"/>
  <c r="BM122" i="66" s="1"/>
  <c r="BN122" i="66" s="1"/>
  <c r="BO122" i="66" s="1"/>
  <c r="BP122" i="66" s="1"/>
  <c r="BQ122" i="66" s="1"/>
  <c r="V124" i="66"/>
  <c r="W124" i="66" s="1"/>
  <c r="X124" i="66" s="1"/>
  <c r="Y124" i="66" s="1"/>
  <c r="Z124" i="66" s="1"/>
  <c r="AA124" i="66" s="1"/>
  <c r="AB124" i="66" s="1"/>
  <c r="AC124" i="66" s="1"/>
  <c r="AD124" i="66" s="1"/>
  <c r="AE124" i="66" s="1"/>
  <c r="AF124" i="66" s="1"/>
  <c r="AG124" i="66" s="1"/>
  <c r="AH124" i="66" s="1"/>
  <c r="AI124" i="66" s="1"/>
  <c r="AJ124" i="66" s="1"/>
  <c r="AK124" i="66" s="1"/>
  <c r="AL124" i="66" s="1"/>
  <c r="AM124" i="66" s="1"/>
  <c r="AN124" i="66" s="1"/>
  <c r="AO124" i="66" s="1"/>
  <c r="AP124" i="66" s="1"/>
  <c r="AQ124" i="66" s="1"/>
  <c r="AR124" i="66" s="1"/>
  <c r="AS124" i="66" s="1"/>
  <c r="AT124" i="66" s="1"/>
  <c r="AU124" i="66" s="1"/>
  <c r="AV124" i="66" s="1"/>
  <c r="AW124" i="66" s="1"/>
  <c r="AX124" i="66" s="1"/>
  <c r="AY124" i="66" s="1"/>
  <c r="AZ124" i="66" s="1"/>
  <c r="BA124" i="66" s="1"/>
  <c r="BB124" i="66" s="1"/>
  <c r="BC124" i="66" s="1"/>
  <c r="BD124" i="66" s="1"/>
  <c r="BE124" i="66" s="1"/>
  <c r="BF124" i="66" s="1"/>
  <c r="BG124" i="66" s="1"/>
  <c r="BH124" i="66" s="1"/>
  <c r="BI124" i="66" s="1"/>
  <c r="BJ124" i="66" s="1"/>
  <c r="BK124" i="66" s="1"/>
  <c r="BL124" i="66" s="1"/>
  <c r="BM124" i="66" s="1"/>
  <c r="BN124" i="66" s="1"/>
  <c r="BO124" i="66" s="1"/>
  <c r="BP124" i="66" s="1"/>
  <c r="BQ124" i="66" s="1"/>
  <c r="V24" i="66"/>
  <c r="W24" i="66" s="1"/>
  <c r="X24" i="66" s="1"/>
  <c r="Y24" i="66" s="1"/>
  <c r="Z24" i="66" s="1"/>
  <c r="AA24" i="66" s="1"/>
  <c r="AB24" i="66" s="1"/>
  <c r="AC24" i="66" s="1"/>
  <c r="AD24" i="66" s="1"/>
  <c r="AE24" i="66" s="1"/>
  <c r="AF24" i="66" s="1"/>
  <c r="AG24" i="66" s="1"/>
  <c r="AH24" i="66" s="1"/>
  <c r="AI24" i="66" s="1"/>
  <c r="AJ24" i="66" s="1"/>
  <c r="AK24" i="66" s="1"/>
  <c r="AL24" i="66" s="1"/>
  <c r="AM24" i="66" s="1"/>
  <c r="AN24" i="66" s="1"/>
  <c r="AO24" i="66" s="1"/>
  <c r="AP24" i="66" s="1"/>
  <c r="AQ24" i="66" s="1"/>
  <c r="AR24" i="66" s="1"/>
  <c r="AS24" i="66" s="1"/>
  <c r="AT24" i="66" s="1"/>
  <c r="AU24" i="66" s="1"/>
  <c r="AV24" i="66" s="1"/>
  <c r="AW24" i="66" s="1"/>
  <c r="AX24" i="66" s="1"/>
  <c r="AY24" i="66" s="1"/>
  <c r="AZ24" i="66" s="1"/>
  <c r="BA24" i="66" s="1"/>
  <c r="BB24" i="66" s="1"/>
  <c r="BC24" i="66" s="1"/>
  <c r="BD24" i="66" s="1"/>
  <c r="BE24" i="66" s="1"/>
  <c r="BF24" i="66" s="1"/>
  <c r="BG24" i="66" s="1"/>
  <c r="BH24" i="66" s="1"/>
  <c r="BI24" i="66" s="1"/>
  <c r="BJ24" i="66" s="1"/>
  <c r="BK24" i="66" s="1"/>
  <c r="BL24" i="66" s="1"/>
  <c r="BM24" i="66" s="1"/>
  <c r="BN24" i="66" s="1"/>
  <c r="BO24" i="66" s="1"/>
  <c r="BP24" i="66" s="1"/>
  <c r="BQ24" i="66" s="1"/>
  <c r="V20" i="66"/>
  <c r="W20" i="66" s="1"/>
  <c r="X20" i="66" s="1"/>
  <c r="Y20" i="66" s="1"/>
  <c r="Z20" i="66" s="1"/>
  <c r="AA20" i="66" s="1"/>
  <c r="AB20" i="66" s="1"/>
  <c r="AC20" i="66" s="1"/>
  <c r="AD20" i="66" s="1"/>
  <c r="AE20" i="66" s="1"/>
  <c r="AF20" i="66" s="1"/>
  <c r="AG20" i="66" s="1"/>
  <c r="AH20" i="66" s="1"/>
  <c r="AI20" i="66" s="1"/>
  <c r="AJ20" i="66" s="1"/>
  <c r="AK20" i="66" s="1"/>
  <c r="AL20" i="66" s="1"/>
  <c r="AM20" i="66" s="1"/>
  <c r="AN20" i="66" s="1"/>
  <c r="AO20" i="66" s="1"/>
  <c r="AP20" i="66" s="1"/>
  <c r="AQ20" i="66" s="1"/>
  <c r="AR20" i="66" s="1"/>
  <c r="AS20" i="66" s="1"/>
  <c r="AT20" i="66" s="1"/>
  <c r="AU20" i="66" s="1"/>
  <c r="AV20" i="66" s="1"/>
  <c r="AW20" i="66" s="1"/>
  <c r="AX20" i="66" s="1"/>
  <c r="AY20" i="66" s="1"/>
  <c r="AZ20" i="66" s="1"/>
  <c r="BA20" i="66" s="1"/>
  <c r="BB20" i="66" s="1"/>
  <c r="BC20" i="66" s="1"/>
  <c r="BD20" i="66" s="1"/>
  <c r="BE20" i="66" s="1"/>
  <c r="BF20" i="66" s="1"/>
  <c r="BG20" i="66" s="1"/>
  <c r="BH20" i="66" s="1"/>
  <c r="BI20" i="66" s="1"/>
  <c r="BJ20" i="66" s="1"/>
  <c r="BK20" i="66" s="1"/>
  <c r="BL20" i="66" s="1"/>
  <c r="BM20" i="66" s="1"/>
  <c r="BN20" i="66" s="1"/>
  <c r="BO20" i="66" s="1"/>
  <c r="BP20" i="66" s="1"/>
  <c r="BQ20" i="66" s="1"/>
  <c r="V111" i="66"/>
  <c r="W111" i="66" s="1"/>
  <c r="X111" i="66" s="1"/>
  <c r="Y111" i="66" s="1"/>
  <c r="Z111" i="66" s="1"/>
  <c r="AA111" i="66" s="1"/>
  <c r="AB111" i="66" s="1"/>
  <c r="AC111" i="66" s="1"/>
  <c r="AD111" i="66" s="1"/>
  <c r="AE111" i="66" s="1"/>
  <c r="AF111" i="66" s="1"/>
  <c r="AG111" i="66" s="1"/>
  <c r="AH111" i="66" s="1"/>
  <c r="AI111" i="66" s="1"/>
  <c r="AJ111" i="66" s="1"/>
  <c r="AK111" i="66" s="1"/>
  <c r="AL111" i="66" s="1"/>
  <c r="AM111" i="66" s="1"/>
  <c r="AN111" i="66" s="1"/>
  <c r="AO111" i="66" s="1"/>
  <c r="AP111" i="66" s="1"/>
  <c r="AQ111" i="66" s="1"/>
  <c r="AR111" i="66" s="1"/>
  <c r="AS111" i="66" s="1"/>
  <c r="AT111" i="66" s="1"/>
  <c r="AU111" i="66" s="1"/>
  <c r="AV111" i="66" s="1"/>
  <c r="AW111" i="66" s="1"/>
  <c r="AX111" i="66" s="1"/>
  <c r="AY111" i="66" s="1"/>
  <c r="AZ111" i="66" s="1"/>
  <c r="BA111" i="66" s="1"/>
  <c r="BB111" i="66" s="1"/>
  <c r="BC111" i="66" s="1"/>
  <c r="BD111" i="66" s="1"/>
  <c r="BE111" i="66" s="1"/>
  <c r="BF111" i="66" s="1"/>
  <c r="BG111" i="66" s="1"/>
  <c r="BH111" i="66" s="1"/>
  <c r="BI111" i="66" s="1"/>
  <c r="BJ111" i="66" s="1"/>
  <c r="BK111" i="66" s="1"/>
  <c r="BL111" i="66" s="1"/>
  <c r="BM111" i="66" s="1"/>
  <c r="BN111" i="66" s="1"/>
  <c r="BO111" i="66" s="1"/>
  <c r="BP111" i="66" s="1"/>
  <c r="BQ111" i="66" s="1"/>
  <c r="V115" i="66"/>
  <c r="W115" i="66" s="1"/>
  <c r="X115" i="66" s="1"/>
  <c r="Y115" i="66" s="1"/>
  <c r="Z115" i="66" s="1"/>
  <c r="AA115" i="66" s="1"/>
  <c r="AB115" i="66" s="1"/>
  <c r="AC115" i="66" s="1"/>
  <c r="AD115" i="66" s="1"/>
  <c r="AE115" i="66" s="1"/>
  <c r="AF115" i="66" s="1"/>
  <c r="AG115" i="66" s="1"/>
  <c r="AH115" i="66" s="1"/>
  <c r="AI115" i="66" s="1"/>
  <c r="AJ115" i="66" s="1"/>
  <c r="AK115" i="66" s="1"/>
  <c r="AL115" i="66" s="1"/>
  <c r="AM115" i="66" s="1"/>
  <c r="AN115" i="66" s="1"/>
  <c r="AO115" i="66" s="1"/>
  <c r="AP115" i="66" s="1"/>
  <c r="AQ115" i="66" s="1"/>
  <c r="AR115" i="66" s="1"/>
  <c r="AS115" i="66" s="1"/>
  <c r="AT115" i="66" s="1"/>
  <c r="AU115" i="66" s="1"/>
  <c r="AV115" i="66" s="1"/>
  <c r="AW115" i="66" s="1"/>
  <c r="AX115" i="66" s="1"/>
  <c r="AY115" i="66" s="1"/>
  <c r="AZ115" i="66" s="1"/>
  <c r="BA115" i="66" s="1"/>
  <c r="BB115" i="66" s="1"/>
  <c r="BC115" i="66" s="1"/>
  <c r="BD115" i="66" s="1"/>
  <c r="BE115" i="66" s="1"/>
  <c r="BF115" i="66" s="1"/>
  <c r="BG115" i="66" s="1"/>
  <c r="BH115" i="66" s="1"/>
  <c r="BI115" i="66" s="1"/>
  <c r="BJ115" i="66" s="1"/>
  <c r="BK115" i="66" s="1"/>
  <c r="BL115" i="66" s="1"/>
  <c r="BM115" i="66" s="1"/>
  <c r="BN115" i="66" s="1"/>
  <c r="BO115" i="66" s="1"/>
  <c r="BP115" i="66" s="1"/>
  <c r="BQ115" i="66" s="1"/>
  <c r="V119" i="66"/>
  <c r="W119" i="66" s="1"/>
  <c r="X119" i="66" s="1"/>
  <c r="Y119" i="66" s="1"/>
  <c r="Z119" i="66" s="1"/>
  <c r="AA119" i="66" s="1"/>
  <c r="AB119" i="66" s="1"/>
  <c r="AC119" i="66" s="1"/>
  <c r="AD119" i="66" s="1"/>
  <c r="AE119" i="66" s="1"/>
  <c r="AF119" i="66" s="1"/>
  <c r="AG119" i="66" s="1"/>
  <c r="AH119" i="66" s="1"/>
  <c r="AI119" i="66" s="1"/>
  <c r="AJ119" i="66" s="1"/>
  <c r="AK119" i="66" s="1"/>
  <c r="AL119" i="66" s="1"/>
  <c r="AM119" i="66" s="1"/>
  <c r="AN119" i="66" s="1"/>
  <c r="AO119" i="66" s="1"/>
  <c r="AP119" i="66" s="1"/>
  <c r="AQ119" i="66" s="1"/>
  <c r="AR119" i="66" s="1"/>
  <c r="AS119" i="66" s="1"/>
  <c r="AT119" i="66" s="1"/>
  <c r="AU119" i="66" s="1"/>
  <c r="AV119" i="66" s="1"/>
  <c r="AW119" i="66" s="1"/>
  <c r="AX119" i="66" s="1"/>
  <c r="AY119" i="66" s="1"/>
  <c r="AZ119" i="66" s="1"/>
  <c r="BA119" i="66" s="1"/>
  <c r="BB119" i="66" s="1"/>
  <c r="BC119" i="66" s="1"/>
  <c r="BD119" i="66" s="1"/>
  <c r="BE119" i="66" s="1"/>
  <c r="BF119" i="66" s="1"/>
  <c r="BG119" i="66" s="1"/>
  <c r="BH119" i="66" s="1"/>
  <c r="BI119" i="66" s="1"/>
  <c r="BJ119" i="66" s="1"/>
  <c r="BK119" i="66" s="1"/>
  <c r="BL119" i="66" s="1"/>
  <c r="BM119" i="66" s="1"/>
  <c r="BN119" i="66" s="1"/>
  <c r="BO119" i="66" s="1"/>
  <c r="BP119" i="66" s="1"/>
  <c r="BQ119" i="66" s="1"/>
  <c r="V123" i="66"/>
  <c r="W123" i="66" s="1"/>
  <c r="X123" i="66" s="1"/>
  <c r="Y123" i="66" s="1"/>
  <c r="Z123" i="66" s="1"/>
  <c r="AA123" i="66" s="1"/>
  <c r="AB123" i="66" s="1"/>
  <c r="AC123" i="66" s="1"/>
  <c r="AD123" i="66" s="1"/>
  <c r="AE123" i="66" s="1"/>
  <c r="AF123" i="66" s="1"/>
  <c r="AG123" i="66" s="1"/>
  <c r="AH123" i="66" s="1"/>
  <c r="AI123" i="66" s="1"/>
  <c r="AJ123" i="66" s="1"/>
  <c r="AK123" i="66" s="1"/>
  <c r="AL123" i="66" s="1"/>
  <c r="AM123" i="66" s="1"/>
  <c r="AN123" i="66" s="1"/>
  <c r="AO123" i="66" s="1"/>
  <c r="AP123" i="66" s="1"/>
  <c r="AQ123" i="66" s="1"/>
  <c r="AR123" i="66" s="1"/>
  <c r="AS123" i="66" s="1"/>
  <c r="AT123" i="66" s="1"/>
  <c r="AU123" i="66" s="1"/>
  <c r="AV123" i="66" s="1"/>
  <c r="AW123" i="66" s="1"/>
  <c r="AX123" i="66" s="1"/>
  <c r="AY123" i="66" s="1"/>
  <c r="AZ123" i="66" s="1"/>
  <c r="BA123" i="66" s="1"/>
  <c r="BB123" i="66" s="1"/>
  <c r="BC123" i="66" s="1"/>
  <c r="BD123" i="66" s="1"/>
  <c r="BE123" i="66" s="1"/>
  <c r="BF123" i="66" s="1"/>
  <c r="BG123" i="66" s="1"/>
  <c r="BH123" i="66" s="1"/>
  <c r="BI123" i="66" s="1"/>
  <c r="BJ123" i="66" s="1"/>
  <c r="BK123" i="66" s="1"/>
  <c r="BL123" i="66" s="1"/>
  <c r="BM123" i="66" s="1"/>
  <c r="BN123" i="66" s="1"/>
  <c r="BO123" i="66" s="1"/>
  <c r="BP123" i="66" s="1"/>
  <c r="BQ123" i="66" s="1"/>
  <c r="V113" i="66"/>
  <c r="W113" i="66" s="1"/>
  <c r="X113" i="66" s="1"/>
  <c r="Y113" i="66" s="1"/>
  <c r="Z113" i="66" s="1"/>
  <c r="AA113" i="66" s="1"/>
  <c r="AB113" i="66" s="1"/>
  <c r="AC113" i="66" s="1"/>
  <c r="AD113" i="66" s="1"/>
  <c r="AE113" i="66" s="1"/>
  <c r="AF113" i="66" s="1"/>
  <c r="AG113" i="66" s="1"/>
  <c r="AH113" i="66" s="1"/>
  <c r="AI113" i="66" s="1"/>
  <c r="AJ113" i="66" s="1"/>
  <c r="AK113" i="66" s="1"/>
  <c r="AL113" i="66" s="1"/>
  <c r="AM113" i="66" s="1"/>
  <c r="AN113" i="66" s="1"/>
  <c r="AO113" i="66" s="1"/>
  <c r="AP113" i="66" s="1"/>
  <c r="AQ113" i="66" s="1"/>
  <c r="AR113" i="66" s="1"/>
  <c r="AS113" i="66" s="1"/>
  <c r="AT113" i="66" s="1"/>
  <c r="AU113" i="66" s="1"/>
  <c r="AV113" i="66" s="1"/>
  <c r="AW113" i="66" s="1"/>
  <c r="AX113" i="66" s="1"/>
  <c r="AY113" i="66" s="1"/>
  <c r="AZ113" i="66" s="1"/>
  <c r="BA113" i="66" s="1"/>
  <c r="BB113" i="66" s="1"/>
  <c r="BC113" i="66" s="1"/>
  <c r="BD113" i="66" s="1"/>
  <c r="BE113" i="66" s="1"/>
  <c r="BF113" i="66" s="1"/>
  <c r="BG113" i="66" s="1"/>
  <c r="BH113" i="66" s="1"/>
  <c r="BI113" i="66" s="1"/>
  <c r="BJ113" i="66" s="1"/>
  <c r="BK113" i="66" s="1"/>
  <c r="BL113" i="66" s="1"/>
  <c r="BM113" i="66" s="1"/>
  <c r="BN113" i="66" s="1"/>
  <c r="BO113" i="66" s="1"/>
  <c r="BP113" i="66" s="1"/>
  <c r="BQ113" i="66" s="1"/>
  <c r="V117" i="66"/>
  <c r="W117" i="66" s="1"/>
  <c r="X117" i="66" s="1"/>
  <c r="Y117" i="66" s="1"/>
  <c r="Z117" i="66" s="1"/>
  <c r="AA117" i="66" s="1"/>
  <c r="AB117" i="66" s="1"/>
  <c r="AC117" i="66" s="1"/>
  <c r="AD117" i="66" s="1"/>
  <c r="AE117" i="66" s="1"/>
  <c r="AF117" i="66" s="1"/>
  <c r="AG117" i="66" s="1"/>
  <c r="AH117" i="66" s="1"/>
  <c r="AI117" i="66" s="1"/>
  <c r="AJ117" i="66" s="1"/>
  <c r="AK117" i="66" s="1"/>
  <c r="AL117" i="66" s="1"/>
  <c r="AM117" i="66" s="1"/>
  <c r="AN117" i="66" s="1"/>
  <c r="AO117" i="66" s="1"/>
  <c r="AP117" i="66" s="1"/>
  <c r="AQ117" i="66" s="1"/>
  <c r="AR117" i="66" s="1"/>
  <c r="AS117" i="66" s="1"/>
  <c r="AT117" i="66" s="1"/>
  <c r="AU117" i="66" s="1"/>
  <c r="AV117" i="66" s="1"/>
  <c r="AW117" i="66" s="1"/>
  <c r="AX117" i="66" s="1"/>
  <c r="AY117" i="66" s="1"/>
  <c r="AZ117" i="66" s="1"/>
  <c r="BA117" i="66" s="1"/>
  <c r="BB117" i="66" s="1"/>
  <c r="BC117" i="66" s="1"/>
  <c r="BD117" i="66" s="1"/>
  <c r="BE117" i="66" s="1"/>
  <c r="BF117" i="66" s="1"/>
  <c r="BG117" i="66" s="1"/>
  <c r="BH117" i="66" s="1"/>
  <c r="BI117" i="66" s="1"/>
  <c r="BJ117" i="66" s="1"/>
  <c r="BK117" i="66" s="1"/>
  <c r="BL117" i="66" s="1"/>
  <c r="BM117" i="66" s="1"/>
  <c r="BN117" i="66" s="1"/>
  <c r="BO117" i="66" s="1"/>
  <c r="BP117" i="66" s="1"/>
  <c r="BQ117" i="66" s="1"/>
  <c r="V121" i="66"/>
  <c r="W121" i="66" s="1"/>
  <c r="X121" i="66" s="1"/>
  <c r="Y121" i="66" s="1"/>
  <c r="Z121" i="66" s="1"/>
  <c r="AA121" i="66" s="1"/>
  <c r="AB121" i="66" s="1"/>
  <c r="AC121" i="66" s="1"/>
  <c r="AD121" i="66" s="1"/>
  <c r="AE121" i="66" s="1"/>
  <c r="AF121" i="66" s="1"/>
  <c r="AG121" i="66" s="1"/>
  <c r="AH121" i="66" s="1"/>
  <c r="AI121" i="66" s="1"/>
  <c r="AJ121" i="66" s="1"/>
  <c r="AK121" i="66" s="1"/>
  <c r="AL121" i="66" s="1"/>
  <c r="AM121" i="66" s="1"/>
  <c r="AN121" i="66" s="1"/>
  <c r="AO121" i="66" s="1"/>
  <c r="AP121" i="66" s="1"/>
  <c r="AQ121" i="66" s="1"/>
  <c r="AR121" i="66" s="1"/>
  <c r="AS121" i="66" s="1"/>
  <c r="AT121" i="66" s="1"/>
  <c r="AU121" i="66" s="1"/>
  <c r="AV121" i="66" s="1"/>
  <c r="AW121" i="66" s="1"/>
  <c r="AX121" i="66" s="1"/>
  <c r="AY121" i="66" s="1"/>
  <c r="AZ121" i="66" s="1"/>
  <c r="BA121" i="66" s="1"/>
  <c r="BB121" i="66" s="1"/>
  <c r="BC121" i="66" s="1"/>
  <c r="BD121" i="66" s="1"/>
  <c r="BE121" i="66" s="1"/>
  <c r="BF121" i="66" s="1"/>
  <c r="BG121" i="66" s="1"/>
  <c r="BH121" i="66" s="1"/>
  <c r="BI121" i="66" s="1"/>
  <c r="BJ121" i="66" s="1"/>
  <c r="BK121" i="66" s="1"/>
  <c r="BL121" i="66" s="1"/>
  <c r="BM121" i="66" s="1"/>
  <c r="BN121" i="66" s="1"/>
  <c r="BO121" i="66" s="1"/>
  <c r="BP121" i="66" s="1"/>
  <c r="BQ121" i="66" s="1"/>
  <c r="X9" i="32"/>
  <c r="K9" i="32"/>
  <c r="D9" i="32"/>
  <c r="H9" i="32"/>
  <c r="L9" i="32"/>
  <c r="J9" i="32"/>
  <c r="T9" i="32"/>
  <c r="AD9" i="32"/>
  <c r="AB9" i="32"/>
  <c r="AN9" i="32"/>
  <c r="AV9" i="32"/>
  <c r="AZ9" i="32"/>
  <c r="BD9" i="32"/>
  <c r="BH9" i="32"/>
  <c r="P9" i="32"/>
  <c r="AF9" i="32"/>
  <c r="AA9" i="32"/>
  <c r="R9" i="32"/>
  <c r="U9" i="32"/>
  <c r="AC9" i="32"/>
  <c r="AG9" i="32"/>
  <c r="AK9" i="32"/>
  <c r="AO9" i="32"/>
  <c r="AS9" i="32"/>
  <c r="AW9" i="32"/>
  <c r="BE9" i="32"/>
  <c r="BF9" i="32"/>
  <c r="C9" i="32"/>
  <c r="N9" i="32"/>
  <c r="V9" i="32"/>
  <c r="F36" i="26"/>
  <c r="F32" i="26" s="1"/>
  <c r="F33" i="26" s="1"/>
  <c r="C36" i="26"/>
  <c r="C32" i="26" s="1"/>
  <c r="C33" i="26" s="1"/>
  <c r="C35" i="26" s="1"/>
  <c r="M9" i="32"/>
  <c r="Q9" i="32"/>
  <c r="AH9" i="32"/>
  <c r="AX9" i="32"/>
  <c r="BJ9" i="32"/>
  <c r="I9" i="32"/>
  <c r="AI9" i="32"/>
  <c r="AM9" i="32"/>
  <c r="D36" i="26"/>
  <c r="D32" i="26" s="1"/>
  <c r="D33" i="26" s="1"/>
  <c r="E36" i="26"/>
  <c r="E32" i="26" s="1"/>
  <c r="E33" i="26" s="1"/>
  <c r="G36" i="26"/>
  <c r="G32" i="26" s="1"/>
  <c r="G33" i="26" s="1"/>
  <c r="E9" i="32"/>
  <c r="S9" i="32"/>
  <c r="AP9" i="32"/>
  <c r="AT9" i="32"/>
  <c r="BB9" i="32"/>
  <c r="F9" i="32"/>
  <c r="Y9" i="32"/>
  <c r="AJ9" i="32"/>
  <c r="AR9" i="32"/>
  <c r="BG9" i="32"/>
  <c r="J44" i="17"/>
  <c r="B28" i="17"/>
  <c r="F20" i="17"/>
  <c r="B40" i="17"/>
  <c r="F16" i="17"/>
  <c r="B42" i="17"/>
  <c r="J32" i="17"/>
  <c r="B30" i="17"/>
  <c r="J34" i="17"/>
  <c r="J22" i="17"/>
  <c r="F34" i="17"/>
  <c r="B36" i="17"/>
  <c r="F32" i="17"/>
  <c r="J63" i="17"/>
  <c r="J30" i="17"/>
  <c r="F14" i="17"/>
  <c r="J16" i="17"/>
  <c r="F44" i="17"/>
  <c r="F28" i="17"/>
  <c r="J10" i="17"/>
  <c r="J18" i="17"/>
  <c r="F38" i="17"/>
  <c r="G10" i="17"/>
  <c r="J36" i="17"/>
  <c r="F18" i="17"/>
  <c r="B26" i="17"/>
  <c r="J28" i="17"/>
  <c r="F40" i="17"/>
  <c r="J24" i="17"/>
  <c r="B22" i="17"/>
  <c r="B32" i="17"/>
  <c r="J38" i="17"/>
  <c r="F24" i="17"/>
  <c r="F42" i="17"/>
  <c r="B24" i="17"/>
  <c r="B16" i="17"/>
  <c r="B18" i="17"/>
  <c r="B44" i="17"/>
  <c r="AU9" i="32"/>
  <c r="BA9" i="32"/>
  <c r="C10" i="17"/>
  <c r="BF50" i="67" l="1"/>
  <c r="BQ216" i="66"/>
  <c r="BQ213" i="66"/>
  <c r="BF45" i="67"/>
  <c r="BF76" i="67" s="1"/>
  <c r="BQ215" i="66"/>
  <c r="BF55" i="67"/>
  <c r="BQ217" i="66"/>
  <c r="BQ220" i="66"/>
  <c r="BF40" i="67"/>
  <c r="BQ214" i="66"/>
  <c r="BF25" i="67"/>
  <c r="J99" i="68"/>
  <c r="J100" i="68" s="1"/>
  <c r="J490" i="68"/>
  <c r="J491" i="68" s="1"/>
  <c r="K423" i="68"/>
  <c r="K442" i="68"/>
  <c r="Q442" i="68"/>
  <c r="N442" i="68"/>
  <c r="L442" i="68"/>
  <c r="P442" i="68"/>
  <c r="M442" i="68"/>
  <c r="T442" i="68"/>
  <c r="S442" i="68"/>
  <c r="R442" i="68"/>
  <c r="O442" i="68"/>
  <c r="F99" i="68"/>
  <c r="F100" i="68" s="1"/>
  <c r="F490" i="68"/>
  <c r="F491" i="68" s="1"/>
  <c r="G99" i="68"/>
  <c r="G100" i="68" s="1"/>
  <c r="G490" i="68"/>
  <c r="G491" i="68" s="1"/>
  <c r="H99" i="68"/>
  <c r="H100" i="68" s="1"/>
  <c r="H490" i="68"/>
  <c r="H491" i="68" s="1"/>
  <c r="I99" i="68"/>
  <c r="I100" i="68" s="1"/>
  <c r="I490" i="68"/>
  <c r="I491" i="68" s="1"/>
  <c r="BF85" i="67"/>
  <c r="BF35" i="67"/>
  <c r="BC6" i="67"/>
  <c r="BC5" i="67"/>
  <c r="BE76" i="67"/>
  <c r="BQ206" i="66"/>
  <c r="BQ205" i="66"/>
  <c r="BE78" i="67"/>
  <c r="BD144" i="67"/>
  <c r="BD4" i="67"/>
  <c r="BQ6" i="66"/>
  <c r="Q27" i="25"/>
  <c r="J201" i="66"/>
  <c r="F7" i="66"/>
  <c r="F4" i="66"/>
  <c r="M7" i="66"/>
  <c r="M4" i="66"/>
  <c r="E201" i="66"/>
  <c r="L7" i="66"/>
  <c r="L4" i="66"/>
  <c r="H201" i="66"/>
  <c r="S4" i="66"/>
  <c r="S7" i="66"/>
  <c r="K7" i="66"/>
  <c r="K4" i="66"/>
  <c r="C7" i="66"/>
  <c r="C4" i="66"/>
  <c r="R4" i="66"/>
  <c r="R7" i="66"/>
  <c r="B4" i="66"/>
  <c r="B7" i="66"/>
  <c r="B108" i="66"/>
  <c r="G201" i="66"/>
  <c r="C201" i="66"/>
  <c r="J4" i="66"/>
  <c r="J7" i="66"/>
  <c r="F201" i="66"/>
  <c r="Q7" i="66"/>
  <c r="Q4" i="66"/>
  <c r="P7" i="66"/>
  <c r="P4" i="66"/>
  <c r="L201" i="66"/>
  <c r="H7" i="66"/>
  <c r="H4" i="66"/>
  <c r="O4" i="66"/>
  <c r="O7" i="66"/>
  <c r="K201" i="66"/>
  <c r="G4" i="66"/>
  <c r="G7" i="66"/>
  <c r="N4" i="66"/>
  <c r="N7" i="66"/>
  <c r="B201" i="66"/>
  <c r="M201" i="66"/>
  <c r="I4" i="66"/>
  <c r="I7" i="66"/>
  <c r="I201" i="66"/>
  <c r="E4" i="66"/>
  <c r="E7" i="66"/>
  <c r="D201" i="66"/>
  <c r="D7" i="66"/>
  <c r="D4" i="66"/>
  <c r="C37" i="26"/>
  <c r="T490" i="68" l="1"/>
  <c r="T99" i="68"/>
  <c r="N99" i="68"/>
  <c r="N490" i="68"/>
  <c r="O490" i="68"/>
  <c r="O99" i="68"/>
  <c r="M99" i="68"/>
  <c r="M490" i="68"/>
  <c r="Q490" i="68"/>
  <c r="Q99" i="68"/>
  <c r="K422" i="68"/>
  <c r="K418" i="68" s="1"/>
  <c r="L423" i="68" s="1"/>
  <c r="K212" i="68"/>
  <c r="R99" i="68"/>
  <c r="R490" i="68"/>
  <c r="P490" i="68"/>
  <c r="P99" i="68"/>
  <c r="K99" i="68"/>
  <c r="K490" i="68"/>
  <c r="S99" i="68"/>
  <c r="S490" i="68"/>
  <c r="L490" i="68"/>
  <c r="L99" i="68"/>
  <c r="F102" i="68"/>
  <c r="F104" i="68" s="1"/>
  <c r="BF78" i="67"/>
  <c r="BF144" i="67" s="1"/>
  <c r="BE144" i="67"/>
  <c r="BE4" i="67"/>
  <c r="BD6" i="67"/>
  <c r="BD5" i="67"/>
  <c r="D5" i="66"/>
  <c r="G5" i="66"/>
  <c r="N5" i="66"/>
  <c r="S5" i="66"/>
  <c r="O5" i="66"/>
  <c r="M5" i="66"/>
  <c r="C5" i="66"/>
  <c r="I5" i="66"/>
  <c r="E5" i="66"/>
  <c r="R5" i="66"/>
  <c r="T7" i="66"/>
  <c r="T4" i="66"/>
  <c r="H5" i="66"/>
  <c r="K5" i="66"/>
  <c r="L5" i="66"/>
  <c r="P5" i="66"/>
  <c r="Q5" i="66"/>
  <c r="J5" i="66"/>
  <c r="F5" i="66"/>
  <c r="D34" i="26"/>
  <c r="D35" i="26" s="1"/>
  <c r="C38" i="26"/>
  <c r="K215" i="68" l="1"/>
  <c r="K108" i="68" s="1"/>
  <c r="K511" i="68"/>
  <c r="K222" i="68"/>
  <c r="L205" i="68" s="1"/>
  <c r="K486" i="68"/>
  <c r="K421" i="68"/>
  <c r="L422" i="68"/>
  <c r="L418" i="68" s="1"/>
  <c r="L212" i="68"/>
  <c r="BF4" i="67"/>
  <c r="BE5" i="67"/>
  <c r="BE6" i="67"/>
  <c r="V17" i="66"/>
  <c r="U7" i="66"/>
  <c r="U4" i="66"/>
  <c r="V110" i="66"/>
  <c r="T5" i="66"/>
  <c r="K18" i="64"/>
  <c r="D37" i="26"/>
  <c r="BF6" i="67" l="1"/>
  <c r="M423" i="68"/>
  <c r="L486" i="68"/>
  <c r="L421" i="68"/>
  <c r="K226" i="68"/>
  <c r="L209" i="68"/>
  <c r="K94" i="68"/>
  <c r="L511" i="68"/>
  <c r="L215" i="68"/>
  <c r="L108" i="68" s="1"/>
  <c r="L222" i="68"/>
  <c r="L226" i="68" s="1"/>
  <c r="K491" i="68"/>
  <c r="G102" i="68"/>
  <c r="G104" i="68" s="1"/>
  <c r="BF5" i="67"/>
  <c r="U5" i="66"/>
  <c r="W110" i="66"/>
  <c r="V201" i="66"/>
  <c r="W17" i="66"/>
  <c r="V7" i="66"/>
  <c r="V108" i="66"/>
  <c r="V4" i="66"/>
  <c r="K22" i="68" s="1"/>
  <c r="K23" i="68" s="1"/>
  <c r="K414" i="68" s="1"/>
  <c r="K21" i="64"/>
  <c r="K20" i="64"/>
  <c r="L21" i="64"/>
  <c r="K11" i="64"/>
  <c r="L18" i="64"/>
  <c r="D38" i="26"/>
  <c r="E34" i="26"/>
  <c r="E35" i="26" s="1"/>
  <c r="K472" i="68" l="1"/>
  <c r="K410" i="68"/>
  <c r="K456" i="68" s="1"/>
  <c r="K460" i="68"/>
  <c r="K451" i="68"/>
  <c r="M205" i="68"/>
  <c r="M209" i="68" s="1"/>
  <c r="L94" i="68"/>
  <c r="L491" i="68"/>
  <c r="M422" i="68"/>
  <c r="M418" i="68" s="1"/>
  <c r="M212" i="68"/>
  <c r="K179" i="64"/>
  <c r="K182" i="64"/>
  <c r="X17" i="66"/>
  <c r="W7" i="66"/>
  <c r="W108" i="66"/>
  <c r="W4" i="66"/>
  <c r="L22" i="68" s="1"/>
  <c r="V5" i="66"/>
  <c r="K22" i="64"/>
  <c r="K23" i="64" s="1"/>
  <c r="W201" i="66"/>
  <c r="X110" i="66"/>
  <c r="M18" i="64"/>
  <c r="N18" i="64" s="1"/>
  <c r="O18" i="64" s="1"/>
  <c r="K13" i="64"/>
  <c r="K12" i="64"/>
  <c r="L11" i="64"/>
  <c r="M21" i="64"/>
  <c r="L20" i="64"/>
  <c r="E37" i="26"/>
  <c r="K472" i="64" l="1"/>
  <c r="K414" i="64"/>
  <c r="L23" i="68"/>
  <c r="K352" i="68"/>
  <c r="K513" i="68"/>
  <c r="K515" i="68" s="1"/>
  <c r="K463" i="68"/>
  <c r="K482" i="68"/>
  <c r="K473" i="68"/>
  <c r="K474" i="68" s="1"/>
  <c r="K518" i="68"/>
  <c r="K411" i="68"/>
  <c r="K520" i="68"/>
  <c r="M511" i="68"/>
  <c r="M222" i="68"/>
  <c r="M215" i="68"/>
  <c r="M108" i="68" s="1"/>
  <c r="M486" i="68"/>
  <c r="N423" i="68"/>
  <c r="M421" i="68"/>
  <c r="H102" i="68"/>
  <c r="H104" i="68" s="1"/>
  <c r="K289" i="64"/>
  <c r="K430" i="64"/>
  <c r="L182" i="64"/>
  <c r="L179" i="64"/>
  <c r="K185" i="64"/>
  <c r="K131" i="64"/>
  <c r="K128" i="64"/>
  <c r="K130" i="64"/>
  <c r="K129" i="64"/>
  <c r="K134" i="64"/>
  <c r="K132" i="64"/>
  <c r="W5" i="66"/>
  <c r="L22" i="64"/>
  <c r="L23" i="64" s="1"/>
  <c r="Y110" i="66"/>
  <c r="X201" i="66"/>
  <c r="Y17" i="66"/>
  <c r="X7" i="66"/>
  <c r="X4" i="66"/>
  <c r="M22" i="68" s="1"/>
  <c r="M23" i="68" s="1"/>
  <c r="X108" i="66"/>
  <c r="K181" i="64"/>
  <c r="K435" i="64"/>
  <c r="K370" i="64"/>
  <c r="K358" i="64"/>
  <c r="K446" i="64"/>
  <c r="L12" i="64"/>
  <c r="M11" i="64"/>
  <c r="K433" i="64"/>
  <c r="P18" i="64"/>
  <c r="K460" i="64"/>
  <c r="K434" i="64"/>
  <c r="K262" i="64"/>
  <c r="K15" i="64"/>
  <c r="K302" i="64"/>
  <c r="K14" i="64"/>
  <c r="K335" i="64"/>
  <c r="K170" i="64"/>
  <c r="K332" i="64"/>
  <c r="K242" i="64"/>
  <c r="K147" i="64"/>
  <c r="K306" i="64"/>
  <c r="K142" i="64"/>
  <c r="K310" i="64"/>
  <c r="L13" i="64"/>
  <c r="K139" i="64"/>
  <c r="K396" i="64"/>
  <c r="M20" i="64"/>
  <c r="K361" i="64"/>
  <c r="K462" i="64"/>
  <c r="K394" i="64"/>
  <c r="K451" i="64"/>
  <c r="K410" i="64"/>
  <c r="F34" i="26"/>
  <c r="F35" i="26" s="1"/>
  <c r="E38" i="26"/>
  <c r="Q8" i="25"/>
  <c r="K456" i="64" l="1"/>
  <c r="L472" i="64"/>
  <c r="L414" i="64"/>
  <c r="L472" i="68"/>
  <c r="M472" i="68" s="1"/>
  <c r="L414" i="68"/>
  <c r="M414" i="68" s="1"/>
  <c r="K83" i="64"/>
  <c r="L460" i="68"/>
  <c r="M460" i="68" s="1"/>
  <c r="M482" i="68" s="1"/>
  <c r="L451" i="68"/>
  <c r="L410" i="68"/>
  <c r="K112" i="68"/>
  <c r="K114" i="68" s="1"/>
  <c r="K89" i="68"/>
  <c r="K117" i="68"/>
  <c r="K519" i="68"/>
  <c r="K415" i="68"/>
  <c r="K118" i="68" s="1"/>
  <c r="Q9" i="25"/>
  <c r="F483" i="68" s="1"/>
  <c r="M491" i="68"/>
  <c r="M94" i="68"/>
  <c r="M226" i="68"/>
  <c r="N205" i="68"/>
  <c r="N212" i="68"/>
  <c r="N422" i="68"/>
  <c r="N418" i="68" s="1"/>
  <c r="K77" i="64"/>
  <c r="K487" i="64"/>
  <c r="K57" i="64"/>
  <c r="K340" i="64"/>
  <c r="K514" i="64" s="1"/>
  <c r="K238" i="64"/>
  <c r="K239" i="64" s="1"/>
  <c r="K336" i="64"/>
  <c r="K352" i="64"/>
  <c r="K171" i="64"/>
  <c r="K183" i="64"/>
  <c r="L289" i="64"/>
  <c r="K287" i="64"/>
  <c r="K265" i="64"/>
  <c r="L430" i="64"/>
  <c r="M179" i="64"/>
  <c r="M182" i="64"/>
  <c r="L185" i="64"/>
  <c r="L131" i="64"/>
  <c r="L132" i="64"/>
  <c r="L129" i="64"/>
  <c r="K133" i="64"/>
  <c r="L130" i="64"/>
  <c r="L134" i="64"/>
  <c r="L128" i="64"/>
  <c r="K184" i="64"/>
  <c r="X5" i="66"/>
  <c r="M22" i="64"/>
  <c r="M23" i="64" s="1"/>
  <c r="Z110" i="66"/>
  <c r="Y201" i="66"/>
  <c r="Z17" i="66"/>
  <c r="Y7" i="66"/>
  <c r="Y108" i="66"/>
  <c r="Y4" i="66"/>
  <c r="N22" i="68" s="1"/>
  <c r="N23" i="68" s="1"/>
  <c r="K189" i="64"/>
  <c r="L181" i="64"/>
  <c r="K148" i="64"/>
  <c r="K156" i="64"/>
  <c r="L370" i="64"/>
  <c r="K397" i="64"/>
  <c r="L462" i="64"/>
  <c r="L361" i="64"/>
  <c r="Q18" i="64"/>
  <c r="L451" i="64"/>
  <c r="L394" i="64"/>
  <c r="H63" i="64"/>
  <c r="N11" i="64"/>
  <c r="M12" i="64"/>
  <c r="L358" i="64"/>
  <c r="K333" i="64"/>
  <c r="K116" i="64"/>
  <c r="K517" i="64"/>
  <c r="K518" i="64"/>
  <c r="L410" i="64"/>
  <c r="K411" i="64"/>
  <c r="L15" i="64"/>
  <c r="L302" i="64"/>
  <c r="L396" i="64"/>
  <c r="L139" i="64"/>
  <c r="M13" i="64"/>
  <c r="L142" i="64"/>
  <c r="L14" i="64"/>
  <c r="L332" i="64"/>
  <c r="L242" i="64"/>
  <c r="L310" i="64"/>
  <c r="L335" i="64"/>
  <c r="L170" i="64"/>
  <c r="L147" i="64"/>
  <c r="L306" i="64"/>
  <c r="L434" i="64"/>
  <c r="K272" i="64"/>
  <c r="N21" i="64"/>
  <c r="N20" i="64"/>
  <c r="K101" i="64"/>
  <c r="L446" i="64"/>
  <c r="K497" i="64"/>
  <c r="L262" i="64"/>
  <c r="K513" i="64"/>
  <c r="L460" i="64"/>
  <c r="K463" i="64"/>
  <c r="K436" i="64"/>
  <c r="K218" i="64"/>
  <c r="L433" i="64"/>
  <c r="L435" i="64"/>
  <c r="F37" i="26"/>
  <c r="L456" i="64" l="1"/>
  <c r="N414" i="68"/>
  <c r="M472" i="64"/>
  <c r="K478" i="64"/>
  <c r="L83" i="64"/>
  <c r="L456" i="68"/>
  <c r="L520" i="68" s="1"/>
  <c r="M414" i="64"/>
  <c r="L473" i="68"/>
  <c r="L474" i="68" s="1"/>
  <c r="K457" i="68"/>
  <c r="K119" i="68" s="1"/>
  <c r="L415" i="68"/>
  <c r="L118" i="68" s="1"/>
  <c r="L513" i="68"/>
  <c r="L515" i="68" s="1"/>
  <c r="L482" i="68"/>
  <c r="L463" i="68"/>
  <c r="L112" i="68" s="1"/>
  <c r="L114" i="68" s="1"/>
  <c r="L352" i="68"/>
  <c r="M451" i="68"/>
  <c r="N451" i="68" s="1"/>
  <c r="M513" i="68"/>
  <c r="M515" i="68" s="1"/>
  <c r="N460" i="68"/>
  <c r="M463" i="68"/>
  <c r="L411" i="68"/>
  <c r="L518" i="68"/>
  <c r="M410" i="68"/>
  <c r="N472" i="68"/>
  <c r="M473" i="68"/>
  <c r="Q10" i="25"/>
  <c r="R8" i="25" s="1"/>
  <c r="R9" i="25" s="1"/>
  <c r="G90" i="68" s="1"/>
  <c r="G92" i="68" s="1"/>
  <c r="G93" i="68" s="1"/>
  <c r="F229" i="68"/>
  <c r="F233" i="68" s="1"/>
  <c r="F36" i="68" s="1"/>
  <c r="F485" i="68"/>
  <c r="F492" i="68" s="1"/>
  <c r="F49" i="68" s="1"/>
  <c r="F90" i="68"/>
  <c r="F92" i="68" s="1"/>
  <c r="F93" i="68" s="1"/>
  <c r="F123" i="68" s="1"/>
  <c r="N209" i="68"/>
  <c r="N511" i="68"/>
  <c r="N222" i="68"/>
  <c r="N226" i="68" s="1"/>
  <c r="N215" i="68"/>
  <c r="N108" i="68" s="1"/>
  <c r="O423" i="68"/>
  <c r="N486" i="68"/>
  <c r="N421" i="68"/>
  <c r="I102" i="68"/>
  <c r="I104" i="68" s="1"/>
  <c r="L77" i="64"/>
  <c r="L487" i="64"/>
  <c r="L57" i="64"/>
  <c r="K471" i="64"/>
  <c r="L340" i="64"/>
  <c r="L514" i="64" s="1"/>
  <c r="K341" i="64"/>
  <c r="K38" i="64" s="1"/>
  <c r="K505" i="64"/>
  <c r="L352" i="64"/>
  <c r="K84" i="64"/>
  <c r="K112" i="64"/>
  <c r="K240" i="64"/>
  <c r="L171" i="64"/>
  <c r="L238" i="64"/>
  <c r="L239" i="64" s="1"/>
  <c r="K186" i="64"/>
  <c r="K290" i="64"/>
  <c r="L336" i="64"/>
  <c r="L183" i="64"/>
  <c r="K192" i="64"/>
  <c r="K315" i="64"/>
  <c r="K323" i="64" s="1"/>
  <c r="K135" i="64"/>
  <c r="K172" i="64"/>
  <c r="L287" i="64"/>
  <c r="M289" i="64"/>
  <c r="K288" i="64"/>
  <c r="K429" i="64"/>
  <c r="K268" i="64"/>
  <c r="L265" i="64"/>
  <c r="M430" i="64"/>
  <c r="K424" i="64"/>
  <c r="N182" i="64"/>
  <c r="N179" i="64"/>
  <c r="M131" i="64"/>
  <c r="M185" i="64"/>
  <c r="M128" i="64"/>
  <c r="L133" i="64"/>
  <c r="M129" i="64"/>
  <c r="M134" i="64"/>
  <c r="M132" i="64"/>
  <c r="M130" i="64"/>
  <c r="L184" i="64"/>
  <c r="K295" i="64"/>
  <c r="AA17" i="66"/>
  <c r="Z7" i="66"/>
  <c r="Z4" i="66"/>
  <c r="O22" i="68" s="1"/>
  <c r="O23" i="68" s="1"/>
  <c r="Z108" i="66"/>
  <c r="Z201" i="66"/>
  <c r="AA110" i="66"/>
  <c r="Y5" i="66"/>
  <c r="N22" i="64"/>
  <c r="N23" i="64" s="1"/>
  <c r="L189" i="64"/>
  <c r="K157" i="64"/>
  <c r="L148" i="64"/>
  <c r="M435" i="64"/>
  <c r="L397" i="64"/>
  <c r="M462" i="64"/>
  <c r="M434" i="64"/>
  <c r="L156" i="64"/>
  <c r="M361" i="64"/>
  <c r="K219" i="64"/>
  <c r="O21" i="64"/>
  <c r="O20" i="64"/>
  <c r="L513" i="64"/>
  <c r="M460" i="64"/>
  <c r="L463" i="64"/>
  <c r="O11" i="64"/>
  <c r="N12" i="64"/>
  <c r="M262" i="64"/>
  <c r="M170" i="64"/>
  <c r="M335" i="64"/>
  <c r="M396" i="64"/>
  <c r="M15" i="64"/>
  <c r="M332" i="64"/>
  <c r="M139" i="64"/>
  <c r="M242" i="64"/>
  <c r="M147" i="64"/>
  <c r="M302" i="64"/>
  <c r="M306" i="64"/>
  <c r="M310" i="64"/>
  <c r="M14" i="64"/>
  <c r="M142" i="64"/>
  <c r="N13" i="64"/>
  <c r="K337" i="64"/>
  <c r="K510" i="64"/>
  <c r="M394" i="64"/>
  <c r="M181" i="64"/>
  <c r="M446" i="64"/>
  <c r="L101" i="64"/>
  <c r="L497" i="64"/>
  <c r="L333" i="64"/>
  <c r="L517" i="64"/>
  <c r="L116" i="64"/>
  <c r="K117" i="64"/>
  <c r="M451" i="64"/>
  <c r="L218" i="64"/>
  <c r="M433" i="64"/>
  <c r="L436" i="64"/>
  <c r="L272" i="64"/>
  <c r="M410" i="64"/>
  <c r="L411" i="64"/>
  <c r="L518" i="64"/>
  <c r="M358" i="64"/>
  <c r="M370" i="64"/>
  <c r="G34" i="26"/>
  <c r="G35" i="26" s="1"/>
  <c r="F38" i="26"/>
  <c r="F46" i="68" l="1"/>
  <c r="F51" i="68" s="1"/>
  <c r="F495" i="68"/>
  <c r="M474" i="68"/>
  <c r="N472" i="64"/>
  <c r="O414" i="68"/>
  <c r="L478" i="64"/>
  <c r="M456" i="68"/>
  <c r="M520" i="68" s="1"/>
  <c r="M478" i="64"/>
  <c r="N414" i="64"/>
  <c r="M456" i="64"/>
  <c r="L457" i="68"/>
  <c r="L119" i="68" s="1"/>
  <c r="L519" i="68"/>
  <c r="M112" i="68"/>
  <c r="M114" i="68" s="1"/>
  <c r="L89" i="68"/>
  <c r="M352" i="68"/>
  <c r="N352" i="68" s="1"/>
  <c r="M89" i="68"/>
  <c r="M518" i="68"/>
  <c r="M411" i="68"/>
  <c r="N410" i="68"/>
  <c r="N513" i="68"/>
  <c r="N515" i="68" s="1"/>
  <c r="N463" i="68"/>
  <c r="N112" i="68" s="1"/>
  <c r="N114" i="68" s="1"/>
  <c r="O460" i="68"/>
  <c r="O472" i="68"/>
  <c r="N473" i="68"/>
  <c r="O451" i="68"/>
  <c r="L117" i="68"/>
  <c r="M519" i="68"/>
  <c r="M415" i="68"/>
  <c r="M118" i="68" s="1"/>
  <c r="Q11" i="25"/>
  <c r="F500" i="68"/>
  <c r="R10" i="25"/>
  <c r="S8" i="25" s="1"/>
  <c r="G229" i="68"/>
  <c r="G483" i="68"/>
  <c r="G485" i="68" s="1"/>
  <c r="G492" i="68" s="1"/>
  <c r="F105" i="68"/>
  <c r="F357" i="68"/>
  <c r="F359" i="68" s="1"/>
  <c r="F48" i="68"/>
  <c r="F47" i="68"/>
  <c r="F50" i="68" s="1"/>
  <c r="F40" i="68"/>
  <c r="F124" i="68" s="1"/>
  <c r="F44" i="68"/>
  <c r="F42" i="68"/>
  <c r="F43" i="68" s="1"/>
  <c r="G123" i="68"/>
  <c r="G105" i="68"/>
  <c r="F69" i="68"/>
  <c r="F55" i="68" s="1"/>
  <c r="F70" i="68"/>
  <c r="F62" i="68"/>
  <c r="O205" i="68"/>
  <c r="O209" i="68" s="1"/>
  <c r="O212" i="68"/>
  <c r="O422" i="68"/>
  <c r="O418" i="68" s="1"/>
  <c r="N94" i="68"/>
  <c r="N491" i="68"/>
  <c r="N482" i="68"/>
  <c r="M77" i="64"/>
  <c r="M487" i="64"/>
  <c r="M57" i="64"/>
  <c r="L471" i="64"/>
  <c r="L341" i="64"/>
  <c r="L38" i="64" s="1"/>
  <c r="M340" i="64"/>
  <c r="M514" i="64" s="1"/>
  <c r="K37" i="64"/>
  <c r="K187" i="64"/>
  <c r="K481" i="64" s="1"/>
  <c r="K351" i="64"/>
  <c r="K450" i="64" s="1"/>
  <c r="K88" i="64"/>
  <c r="K316" i="64"/>
  <c r="K273" i="64"/>
  <c r="K275" i="64" s="1"/>
  <c r="K276" i="64" s="1"/>
  <c r="M352" i="64"/>
  <c r="M171" i="64"/>
  <c r="L192" i="64"/>
  <c r="L315" i="64"/>
  <c r="L323" i="64" s="1"/>
  <c r="L172" i="64"/>
  <c r="M336" i="64"/>
  <c r="L112" i="64"/>
  <c r="K109" i="64"/>
  <c r="K297" i="64"/>
  <c r="L135" i="64"/>
  <c r="K488" i="64"/>
  <c r="L505" i="64"/>
  <c r="M238" i="64"/>
  <c r="M239" i="64" s="1"/>
  <c r="L240" i="64"/>
  <c r="L84" i="64"/>
  <c r="L186" i="64"/>
  <c r="L290" i="64"/>
  <c r="K259" i="64"/>
  <c r="K140" i="64"/>
  <c r="M287" i="64"/>
  <c r="L288" i="64"/>
  <c r="N289" i="64"/>
  <c r="K473" i="64"/>
  <c r="L429" i="64"/>
  <c r="M265" i="64"/>
  <c r="L268" i="64"/>
  <c r="N430" i="64"/>
  <c r="L424" i="64"/>
  <c r="O179" i="64"/>
  <c r="O182" i="64"/>
  <c r="N131" i="64"/>
  <c r="N185" i="64"/>
  <c r="N130" i="64"/>
  <c r="N129" i="64"/>
  <c r="N132" i="64"/>
  <c r="N128" i="64"/>
  <c r="M133" i="64"/>
  <c r="N134" i="64"/>
  <c r="M184" i="64"/>
  <c r="L295" i="64"/>
  <c r="AB110" i="66"/>
  <c r="AA201" i="66"/>
  <c r="AB17" i="66"/>
  <c r="AA7" i="66"/>
  <c r="AA108" i="66"/>
  <c r="AA4" i="66"/>
  <c r="P22" i="68" s="1"/>
  <c r="P23" i="68" s="1"/>
  <c r="Z5" i="66"/>
  <c r="O22" i="64"/>
  <c r="O23" i="64" s="1"/>
  <c r="M148" i="64"/>
  <c r="L157" i="64"/>
  <c r="N181" i="64"/>
  <c r="N462" i="64"/>
  <c r="K96" i="64"/>
  <c r="N370" i="64"/>
  <c r="M156" i="64"/>
  <c r="K291" i="64"/>
  <c r="M272" i="64"/>
  <c r="N262" i="64"/>
  <c r="M513" i="64"/>
  <c r="N460" i="64"/>
  <c r="M397" i="64"/>
  <c r="M116" i="64"/>
  <c r="M517" i="64"/>
  <c r="M333" i="64"/>
  <c r="N358" i="64"/>
  <c r="L117" i="64"/>
  <c r="K98" i="64"/>
  <c r="L219" i="64"/>
  <c r="L510" i="64"/>
  <c r="L337" i="64"/>
  <c r="N434" i="64"/>
  <c r="O12" i="64"/>
  <c r="P11" i="64"/>
  <c r="P20" i="64"/>
  <c r="P21" i="64"/>
  <c r="N435" i="64"/>
  <c r="N15" i="64"/>
  <c r="N142" i="64"/>
  <c r="N310" i="64"/>
  <c r="N139" i="64"/>
  <c r="N14" i="64"/>
  <c r="N302" i="64"/>
  <c r="N332" i="64"/>
  <c r="N335" i="64"/>
  <c r="N242" i="64"/>
  <c r="N306" i="64"/>
  <c r="N170" i="64"/>
  <c r="N396" i="64"/>
  <c r="N147" i="64"/>
  <c r="O13" i="64"/>
  <c r="N361" i="64"/>
  <c r="M183" i="64"/>
  <c r="M189" i="64"/>
  <c r="M411" i="64"/>
  <c r="M518" i="64"/>
  <c r="N410" i="64"/>
  <c r="M218" i="64"/>
  <c r="M436" i="64"/>
  <c r="N433" i="64"/>
  <c r="N451" i="64"/>
  <c r="M497" i="64"/>
  <c r="M101" i="64"/>
  <c r="N446" i="64"/>
  <c r="N394" i="64"/>
  <c r="M463" i="64"/>
  <c r="G37" i="26"/>
  <c r="O472" i="64" l="1"/>
  <c r="N474" i="68"/>
  <c r="P414" i="68"/>
  <c r="N456" i="68"/>
  <c r="N520" i="68" s="1"/>
  <c r="M83" i="64"/>
  <c r="N456" i="64"/>
  <c r="N83" i="64"/>
  <c r="O414" i="64"/>
  <c r="M457" i="68"/>
  <c r="M119" i="68" s="1"/>
  <c r="N89" i="68"/>
  <c r="P472" i="68"/>
  <c r="O473" i="68"/>
  <c r="O352" i="68"/>
  <c r="P451" i="68"/>
  <c r="O513" i="68"/>
  <c r="P460" i="68"/>
  <c r="O463" i="68"/>
  <c r="O112" i="68" s="1"/>
  <c r="N518" i="68"/>
  <c r="N411" i="68"/>
  <c r="O410" i="68"/>
  <c r="N519" i="68"/>
  <c r="N415" i="68"/>
  <c r="N118" i="68" s="1"/>
  <c r="M117" i="68"/>
  <c r="R11" i="25"/>
  <c r="G69" i="68" s="1"/>
  <c r="G55" i="68" s="1"/>
  <c r="G495" i="68"/>
  <c r="G500" i="68" s="1"/>
  <c r="G49" i="68"/>
  <c r="G233" i="68"/>
  <c r="G36" i="68" s="1"/>
  <c r="G46" i="68"/>
  <c r="G51" i="68" s="1"/>
  <c r="F366" i="68"/>
  <c r="F368" i="68" s="1"/>
  <c r="F371" i="68" s="1"/>
  <c r="F372" i="68" s="1"/>
  <c r="S9" i="25"/>
  <c r="H483" i="68" s="1"/>
  <c r="F363" i="68"/>
  <c r="F234" i="68"/>
  <c r="F72" i="68"/>
  <c r="F74" i="68" s="1"/>
  <c r="F78" i="68" s="1"/>
  <c r="F79" i="68" s="1"/>
  <c r="P423" i="68"/>
  <c r="O486" i="68"/>
  <c r="O421" i="68"/>
  <c r="O511" i="68"/>
  <c r="O222" i="68"/>
  <c r="O215" i="68"/>
  <c r="O108" i="68" s="1"/>
  <c r="J102" i="68"/>
  <c r="J104" i="68" s="1"/>
  <c r="N77" i="64"/>
  <c r="N487" i="64"/>
  <c r="N57" i="64"/>
  <c r="M471" i="64"/>
  <c r="N340" i="64"/>
  <c r="N514" i="64" s="1"/>
  <c r="M341" i="64"/>
  <c r="M38" i="64" s="1"/>
  <c r="L37" i="64"/>
  <c r="L316" i="64"/>
  <c r="L187" i="64"/>
  <c r="L481" i="64" s="1"/>
  <c r="K324" i="64"/>
  <c r="L351" i="64"/>
  <c r="L450" i="64" s="1"/>
  <c r="L88" i="64"/>
  <c r="L273" i="64"/>
  <c r="L275" i="64" s="1"/>
  <c r="M240" i="64"/>
  <c r="M505" i="64"/>
  <c r="L297" i="64"/>
  <c r="K143" i="64"/>
  <c r="M192" i="64"/>
  <c r="N171" i="64"/>
  <c r="L109" i="64"/>
  <c r="M84" i="64"/>
  <c r="K298" i="64"/>
  <c r="M172" i="64"/>
  <c r="N352" i="64"/>
  <c r="K474" i="64"/>
  <c r="M135" i="64"/>
  <c r="L488" i="64"/>
  <c r="N336" i="64"/>
  <c r="M112" i="64"/>
  <c r="N238" i="64"/>
  <c r="N239" i="64" s="1"/>
  <c r="N189" i="64"/>
  <c r="K326" i="64"/>
  <c r="L259" i="64"/>
  <c r="L140" i="64"/>
  <c r="N287" i="64"/>
  <c r="I61" i="64"/>
  <c r="M288" i="64"/>
  <c r="M290" i="64"/>
  <c r="O289" i="64"/>
  <c r="L473" i="64"/>
  <c r="M429" i="64"/>
  <c r="N265" i="64"/>
  <c r="M268" i="64"/>
  <c r="O430" i="64"/>
  <c r="M424" i="64"/>
  <c r="O131" i="64"/>
  <c r="P182" i="64"/>
  <c r="P179" i="64"/>
  <c r="O185" i="64"/>
  <c r="O129" i="64"/>
  <c r="O134" i="64"/>
  <c r="O132" i="64"/>
  <c r="O130" i="64"/>
  <c r="O128" i="64"/>
  <c r="N133" i="64"/>
  <c r="M315" i="64"/>
  <c r="M186" i="64"/>
  <c r="N184" i="64"/>
  <c r="M295" i="64"/>
  <c r="AA5" i="66"/>
  <c r="P22" i="64"/>
  <c r="P23" i="64" s="1"/>
  <c r="P472" i="64" s="1"/>
  <c r="AC17" i="66"/>
  <c r="AB7" i="66"/>
  <c r="AB4" i="66"/>
  <c r="Q22" i="68" s="1"/>
  <c r="Q23" i="68" s="1"/>
  <c r="AB108" i="66"/>
  <c r="AB201" i="66"/>
  <c r="AC110" i="66"/>
  <c r="N148" i="64"/>
  <c r="O181" i="64"/>
  <c r="M157" i="64"/>
  <c r="N183" i="64"/>
  <c r="L291" i="64"/>
  <c r="N156" i="64"/>
  <c r="L96" i="64"/>
  <c r="O361" i="64"/>
  <c r="O435" i="64"/>
  <c r="N497" i="64"/>
  <c r="N101" i="64"/>
  <c r="O446" i="64"/>
  <c r="N436" i="64"/>
  <c r="N218" i="64"/>
  <c r="O433" i="64"/>
  <c r="M117" i="64"/>
  <c r="O434" i="64"/>
  <c r="O142" i="64"/>
  <c r="O170" i="64"/>
  <c r="O302" i="64"/>
  <c r="O310" i="64"/>
  <c r="O14" i="64"/>
  <c r="O242" i="64"/>
  <c r="O335" i="64"/>
  <c r="O147" i="64"/>
  <c r="O139" i="64"/>
  <c r="O396" i="64"/>
  <c r="O306" i="64"/>
  <c r="O15" i="64"/>
  <c r="O332" i="64"/>
  <c r="P13" i="64"/>
  <c r="O370" i="64"/>
  <c r="M337" i="64"/>
  <c r="M510" i="64"/>
  <c r="N513" i="64"/>
  <c r="O460" i="64"/>
  <c r="O451" i="64"/>
  <c r="M219" i="64"/>
  <c r="P12" i="64"/>
  <c r="Q11" i="64"/>
  <c r="L98" i="64"/>
  <c r="N272" i="64"/>
  <c r="O462" i="64"/>
  <c r="O394" i="64"/>
  <c r="K477" i="64"/>
  <c r="K452" i="64"/>
  <c r="N116" i="64"/>
  <c r="N517" i="64"/>
  <c r="N333" i="64"/>
  <c r="Q20" i="64"/>
  <c r="Q21" i="64"/>
  <c r="O358" i="64"/>
  <c r="N411" i="64"/>
  <c r="N518" i="64"/>
  <c r="O410" i="64"/>
  <c r="N397" i="64"/>
  <c r="O262" i="64"/>
  <c r="N463" i="64"/>
  <c r="G38" i="26"/>
  <c r="Q414" i="68" l="1"/>
  <c r="O474" i="68"/>
  <c r="O456" i="68"/>
  <c r="O520" i="68" s="1"/>
  <c r="N478" i="64"/>
  <c r="O456" i="64"/>
  <c r="P414" i="64"/>
  <c r="N457" i="68"/>
  <c r="N119" i="68" s="1"/>
  <c r="O515" i="68"/>
  <c r="O114" i="68"/>
  <c r="P352" i="68"/>
  <c r="Q451" i="68"/>
  <c r="O411" i="68"/>
  <c r="O518" i="68"/>
  <c r="P410" i="68"/>
  <c r="P513" i="68"/>
  <c r="Q460" i="68"/>
  <c r="P463" i="68"/>
  <c r="P112" i="68" s="1"/>
  <c r="O519" i="68"/>
  <c r="O415" i="68"/>
  <c r="O118" i="68" s="1"/>
  <c r="N117" i="68"/>
  <c r="Q472" i="68"/>
  <c r="P473" i="68"/>
  <c r="H229" i="68"/>
  <c r="H233" i="68" s="1"/>
  <c r="H36" i="68" s="1"/>
  <c r="F61" i="68"/>
  <c r="F64" i="68" s="1"/>
  <c r="F65" i="68" s="1"/>
  <c r="H90" i="68"/>
  <c r="H92" i="68" s="1"/>
  <c r="H93" i="68" s="1"/>
  <c r="H123" i="68" s="1"/>
  <c r="F54" i="68"/>
  <c r="F56" i="68" s="1"/>
  <c r="F59" i="68" s="1"/>
  <c r="S10" i="25"/>
  <c r="H495" i="68" s="1"/>
  <c r="H485" i="68"/>
  <c r="H492" i="68" s="1"/>
  <c r="H49" i="68" s="1"/>
  <c r="G62" i="68"/>
  <c r="G70" i="68"/>
  <c r="G47" i="68"/>
  <c r="G50" i="68" s="1"/>
  <c r="G48" i="68"/>
  <c r="G42" i="68"/>
  <c r="G43" i="68" s="1"/>
  <c r="G44" i="68"/>
  <c r="G40" i="68"/>
  <c r="G124" i="68" s="1"/>
  <c r="P205" i="68"/>
  <c r="O226" i="68"/>
  <c r="O89" i="68" s="1"/>
  <c r="O482" i="68"/>
  <c r="O491" i="68"/>
  <c r="P422" i="68"/>
  <c r="P418" i="68" s="1"/>
  <c r="P212" i="68"/>
  <c r="O94" i="68"/>
  <c r="O77" i="64"/>
  <c r="O487" i="64"/>
  <c r="O57" i="64"/>
  <c r="N471" i="64"/>
  <c r="O340" i="64"/>
  <c r="O514" i="64" s="1"/>
  <c r="N341" i="64"/>
  <c r="N38" i="64" s="1"/>
  <c r="J61" i="64"/>
  <c r="M37" i="64"/>
  <c r="L324" i="64"/>
  <c r="L276" i="64"/>
  <c r="L326" i="64" s="1"/>
  <c r="M351" i="64"/>
  <c r="M450" i="64" s="1"/>
  <c r="M273" i="64"/>
  <c r="M324" i="64" s="1"/>
  <c r="N240" i="64"/>
  <c r="O336" i="64"/>
  <c r="O189" i="64"/>
  <c r="M88" i="64"/>
  <c r="N135" i="64"/>
  <c r="M488" i="64"/>
  <c r="M316" i="64"/>
  <c r="M109" i="64"/>
  <c r="O238" i="64"/>
  <c r="O239" i="64" s="1"/>
  <c r="O171" i="64"/>
  <c r="N84" i="64"/>
  <c r="M297" i="64"/>
  <c r="L474" i="64"/>
  <c r="K327" i="64"/>
  <c r="N505" i="64"/>
  <c r="N112" i="64"/>
  <c r="O352" i="64"/>
  <c r="N315" i="64"/>
  <c r="N316" i="64" s="1"/>
  <c r="L143" i="64"/>
  <c r="N192" i="64"/>
  <c r="N172" i="64"/>
  <c r="L298" i="64"/>
  <c r="M259" i="64"/>
  <c r="N288" i="64"/>
  <c r="O287" i="64"/>
  <c r="N290" i="64"/>
  <c r="M140" i="64"/>
  <c r="P289" i="64"/>
  <c r="M473" i="64"/>
  <c r="N429" i="64"/>
  <c r="O265" i="64"/>
  <c r="N268" i="64"/>
  <c r="P430" i="64"/>
  <c r="N424" i="64"/>
  <c r="Q179" i="64"/>
  <c r="P131" i="64"/>
  <c r="Q182" i="64"/>
  <c r="P185" i="64"/>
  <c r="P128" i="64"/>
  <c r="O133" i="64"/>
  <c r="P134" i="64"/>
  <c r="P130" i="64"/>
  <c r="P129" i="64"/>
  <c r="P132" i="64"/>
  <c r="M323" i="64"/>
  <c r="M187" i="64"/>
  <c r="N186" i="64"/>
  <c r="O184" i="64"/>
  <c r="N295" i="64"/>
  <c r="AC201" i="66"/>
  <c r="AD110" i="66"/>
  <c r="AD17" i="66"/>
  <c r="AC7" i="66"/>
  <c r="AC4" i="66"/>
  <c r="R22" i="68" s="1"/>
  <c r="R23" i="68" s="1"/>
  <c r="R414" i="68" s="1"/>
  <c r="AC108" i="66"/>
  <c r="AB5" i="66"/>
  <c r="Q22" i="64"/>
  <c r="Q23" i="64" s="1"/>
  <c r="Q472" i="64" s="1"/>
  <c r="Q12" i="64"/>
  <c r="R11" i="64"/>
  <c r="P181" i="64"/>
  <c r="O183" i="64"/>
  <c r="N157" i="64"/>
  <c r="M291" i="64"/>
  <c r="M96" i="64"/>
  <c r="M98" i="64"/>
  <c r="P394" i="64"/>
  <c r="O517" i="64"/>
  <c r="O333" i="64"/>
  <c r="O116" i="64"/>
  <c r="P434" i="64"/>
  <c r="N219" i="64"/>
  <c r="O397" i="64"/>
  <c r="P262" i="64"/>
  <c r="O411" i="64"/>
  <c r="O518" i="64"/>
  <c r="P410" i="64"/>
  <c r="P358" i="64"/>
  <c r="K82" i="64"/>
  <c r="O513" i="64"/>
  <c r="P460" i="64"/>
  <c r="P370" i="64"/>
  <c r="P139" i="64"/>
  <c r="P170" i="64"/>
  <c r="P306" i="64"/>
  <c r="P310" i="64"/>
  <c r="P147" i="64"/>
  <c r="P396" i="64"/>
  <c r="P335" i="64"/>
  <c r="P242" i="64"/>
  <c r="P302" i="64"/>
  <c r="P14" i="64"/>
  <c r="P15" i="64"/>
  <c r="Q13" i="64"/>
  <c r="P332" i="64"/>
  <c r="P142" i="64"/>
  <c r="O497" i="64"/>
  <c r="O101" i="64"/>
  <c r="P446" i="64"/>
  <c r="P361" i="64"/>
  <c r="N117" i="64"/>
  <c r="P435" i="64"/>
  <c r="K521" i="64"/>
  <c r="K453" i="64"/>
  <c r="O463" i="64"/>
  <c r="P462" i="64"/>
  <c r="N510" i="64"/>
  <c r="N337" i="64"/>
  <c r="L477" i="64"/>
  <c r="L452" i="64"/>
  <c r="O272" i="64"/>
  <c r="P451" i="64"/>
  <c r="O148" i="64"/>
  <c r="O436" i="64"/>
  <c r="O218" i="64"/>
  <c r="P433" i="64"/>
  <c r="O156" i="64"/>
  <c r="P474" i="68" l="1"/>
  <c r="P456" i="68"/>
  <c r="P520" i="68" s="1"/>
  <c r="O83" i="64"/>
  <c r="O478" i="64"/>
  <c r="P456" i="64"/>
  <c r="Q414" i="64"/>
  <c r="O457" i="68"/>
  <c r="O119" i="68" s="1"/>
  <c r="H46" i="68"/>
  <c r="H48" i="68" s="1"/>
  <c r="R472" i="68"/>
  <c r="Q473" i="68"/>
  <c r="R451" i="68"/>
  <c r="Q352" i="68"/>
  <c r="P518" i="68"/>
  <c r="P411" i="68"/>
  <c r="Q410" i="68"/>
  <c r="Q513" i="68"/>
  <c r="R460" i="68"/>
  <c r="Q463" i="68"/>
  <c r="Q112" i="68" s="1"/>
  <c r="P519" i="68"/>
  <c r="P415" i="68"/>
  <c r="P118" i="68" s="1"/>
  <c r="O117" i="68"/>
  <c r="H105" i="68"/>
  <c r="F58" i="68"/>
  <c r="F7" i="68" s="1"/>
  <c r="F8" i="68" s="1"/>
  <c r="S11" i="25"/>
  <c r="H357" i="68" s="1"/>
  <c r="H359" i="68" s="1"/>
  <c r="T8" i="25"/>
  <c r="T9" i="25" s="1"/>
  <c r="H500" i="68"/>
  <c r="G234" i="68"/>
  <c r="G72" i="68"/>
  <c r="G74" i="68" s="1"/>
  <c r="G78" i="68" s="1"/>
  <c r="G357" i="68"/>
  <c r="G359" i="68" s="1"/>
  <c r="H44" i="68"/>
  <c r="H42" i="68"/>
  <c r="H43" i="68" s="1"/>
  <c r="H40" i="68"/>
  <c r="H124" i="68" s="1"/>
  <c r="P511" i="68"/>
  <c r="P515" i="68" s="1"/>
  <c r="P222" i="68"/>
  <c r="P226" i="68" s="1"/>
  <c r="P215" i="68"/>
  <c r="P108" i="68" s="1"/>
  <c r="P114" i="68" s="1"/>
  <c r="P486" i="68"/>
  <c r="Q423" i="68"/>
  <c r="P421" i="68"/>
  <c r="P209" i="68"/>
  <c r="P77" i="64"/>
  <c r="P487" i="64"/>
  <c r="P57" i="64"/>
  <c r="P340" i="64"/>
  <c r="Q340" i="64" s="1"/>
  <c r="O471" i="64"/>
  <c r="O341" i="64"/>
  <c r="O38" i="64" s="1"/>
  <c r="P83" i="64"/>
  <c r="P478" i="64"/>
  <c r="J64" i="64"/>
  <c r="N37" i="64"/>
  <c r="M275" i="64"/>
  <c r="M276" i="64" s="1"/>
  <c r="N351" i="64"/>
  <c r="N450" i="64" s="1"/>
  <c r="N273" i="64"/>
  <c r="N324" i="64" s="1"/>
  <c r="O135" i="64"/>
  <c r="O84" i="64"/>
  <c r="P238" i="64"/>
  <c r="P239" i="64" s="1"/>
  <c r="N297" i="64"/>
  <c r="M481" i="64"/>
  <c r="R182" i="64"/>
  <c r="N488" i="64"/>
  <c r="M298" i="64"/>
  <c r="O172" i="64"/>
  <c r="I64" i="64"/>
  <c r="K120" i="64"/>
  <c r="M474" i="64"/>
  <c r="M143" i="64"/>
  <c r="P352" i="64"/>
  <c r="O505" i="64"/>
  <c r="P336" i="64"/>
  <c r="N109" i="64"/>
  <c r="P189" i="64"/>
  <c r="O315" i="64"/>
  <c r="R179" i="64"/>
  <c r="R181" i="64" s="1"/>
  <c r="K328" i="64"/>
  <c r="L327" i="64"/>
  <c r="O240" i="64"/>
  <c r="O112" i="64"/>
  <c r="P171" i="64"/>
  <c r="N323" i="64"/>
  <c r="N187" i="64"/>
  <c r="O192" i="64"/>
  <c r="N259" i="64"/>
  <c r="O290" i="64"/>
  <c r="O288" i="64"/>
  <c r="P287" i="64"/>
  <c r="N140" i="64"/>
  <c r="Q289" i="64"/>
  <c r="N473" i="64"/>
  <c r="O429" i="64"/>
  <c r="P265" i="64"/>
  <c r="O268" i="64"/>
  <c r="O424" i="64"/>
  <c r="Q131" i="64"/>
  <c r="Q430" i="64"/>
  <c r="Q185" i="64"/>
  <c r="Q132" i="64"/>
  <c r="Q129" i="64"/>
  <c r="Q130" i="64"/>
  <c r="Q128" i="64"/>
  <c r="P133" i="64"/>
  <c r="Q134" i="64"/>
  <c r="R12" i="64"/>
  <c r="S11" i="64"/>
  <c r="N88" i="64"/>
  <c r="O186" i="64"/>
  <c r="P184" i="64"/>
  <c r="O295" i="64"/>
  <c r="AC5" i="66"/>
  <c r="R22" i="64"/>
  <c r="AE17" i="66"/>
  <c r="AD7" i="66"/>
  <c r="AD108" i="66"/>
  <c r="AD4" i="66"/>
  <c r="S22" i="68" s="1"/>
  <c r="S23" i="68" s="1"/>
  <c r="S414" i="68" s="1"/>
  <c r="AD201" i="66"/>
  <c r="AE110" i="66"/>
  <c r="Q262" i="64"/>
  <c r="R13" i="64"/>
  <c r="Q181" i="64"/>
  <c r="P183" i="64"/>
  <c r="Q435" i="64"/>
  <c r="Q361" i="64"/>
  <c r="P156" i="64"/>
  <c r="N291" i="64"/>
  <c r="Q434" i="64"/>
  <c r="P397" i="64"/>
  <c r="O157" i="64"/>
  <c r="P218" i="64"/>
  <c r="P436" i="64"/>
  <c r="Q433" i="64"/>
  <c r="Q451" i="64"/>
  <c r="L453" i="64"/>
  <c r="L521" i="64"/>
  <c r="N98" i="64"/>
  <c r="O510" i="64"/>
  <c r="O337" i="64"/>
  <c r="M477" i="64"/>
  <c r="M452" i="64"/>
  <c r="P463" i="64"/>
  <c r="Q462" i="64"/>
  <c r="Q358" i="64"/>
  <c r="O219" i="64"/>
  <c r="P272" i="64"/>
  <c r="L82" i="64"/>
  <c r="P333" i="64"/>
  <c r="P116" i="64"/>
  <c r="P517" i="64"/>
  <c r="P513" i="64"/>
  <c r="Q460" i="64"/>
  <c r="O117" i="64"/>
  <c r="Q394" i="64"/>
  <c r="P497" i="64"/>
  <c r="Q446" i="64"/>
  <c r="P101" i="64"/>
  <c r="P148" i="64"/>
  <c r="Q370" i="64"/>
  <c r="Q302" i="64"/>
  <c r="Q332" i="64"/>
  <c r="Q170" i="64"/>
  <c r="Q14" i="64"/>
  <c r="Q142" i="64"/>
  <c r="Q396" i="64"/>
  <c r="Q306" i="64"/>
  <c r="Q147" i="64"/>
  <c r="Q242" i="64"/>
  <c r="Q139" i="64"/>
  <c r="Q15" i="64"/>
  <c r="Q335" i="64"/>
  <c r="Q310" i="64"/>
  <c r="P411" i="64"/>
  <c r="Q410" i="64"/>
  <c r="P518" i="64"/>
  <c r="N96" i="64"/>
  <c r="Q474" i="68" l="1"/>
  <c r="H62" i="68"/>
  <c r="H70" i="68"/>
  <c r="Q456" i="68"/>
  <c r="Q520" i="68" s="1"/>
  <c r="Q456" i="64"/>
  <c r="T11" i="64"/>
  <c r="P457" i="68"/>
  <c r="P119" i="68" s="1"/>
  <c r="H47" i="68"/>
  <c r="H50" i="68" s="1"/>
  <c r="H51" i="68"/>
  <c r="R410" i="68"/>
  <c r="Q411" i="68"/>
  <c r="Q518" i="68"/>
  <c r="R352" i="68"/>
  <c r="S451" i="68"/>
  <c r="R513" i="68"/>
  <c r="S460" i="68"/>
  <c r="R463" i="68"/>
  <c r="R112" i="68" s="1"/>
  <c r="P117" i="68"/>
  <c r="Q519" i="68"/>
  <c r="Q415" i="68"/>
  <c r="S472" i="68"/>
  <c r="R473" i="68"/>
  <c r="H69" i="68"/>
  <c r="H55" i="68" s="1"/>
  <c r="G366" i="68"/>
  <c r="G368" i="68" s="1"/>
  <c r="G371" i="68" s="1"/>
  <c r="G372" i="68" s="1"/>
  <c r="G363" i="68"/>
  <c r="G79" i="68"/>
  <c r="I229" i="68"/>
  <c r="I46" i="68" s="1"/>
  <c r="I47" i="68" s="1"/>
  <c r="I50" i="68" s="1"/>
  <c r="I483" i="68"/>
  <c r="I485" i="68" s="1"/>
  <c r="I492" i="68" s="1"/>
  <c r="I90" i="68"/>
  <c r="I92" i="68" s="1"/>
  <c r="I93" i="68" s="1"/>
  <c r="I123" i="68" s="1"/>
  <c r="T10" i="25"/>
  <c r="T11" i="25" s="1"/>
  <c r="H366" i="68"/>
  <c r="H368" i="68" s="1"/>
  <c r="H61" i="68" s="1"/>
  <c r="H64" i="68" s="1"/>
  <c r="H65" i="68" s="1"/>
  <c r="H363" i="68"/>
  <c r="H72" i="68"/>
  <c r="H74" i="68" s="1"/>
  <c r="H78" i="68" s="1"/>
  <c r="H234" i="68"/>
  <c r="Q205" i="68"/>
  <c r="Q209" i="68" s="1"/>
  <c r="P94" i="68"/>
  <c r="P491" i="68"/>
  <c r="P89" i="68"/>
  <c r="P482" i="68"/>
  <c r="Q422" i="68"/>
  <c r="Q418" i="68" s="1"/>
  <c r="Q212" i="68"/>
  <c r="P514" i="64"/>
  <c r="Q77" i="64"/>
  <c r="Q487" i="64"/>
  <c r="Q57" i="64"/>
  <c r="P341" i="64"/>
  <c r="P38" i="64" s="1"/>
  <c r="P471" i="64"/>
  <c r="Q83" i="64"/>
  <c r="Q478" i="64"/>
  <c r="J65" i="64"/>
  <c r="O37" i="64"/>
  <c r="N275" i="64"/>
  <c r="N276" i="64" s="1"/>
  <c r="O273" i="64"/>
  <c r="O324" i="64" s="1"/>
  <c r="O351" i="64"/>
  <c r="O450" i="64" s="1"/>
  <c r="K208" i="64"/>
  <c r="P505" i="64"/>
  <c r="O323" i="64"/>
  <c r="O109" i="64"/>
  <c r="L120" i="64"/>
  <c r="O88" i="64"/>
  <c r="N474" i="64"/>
  <c r="P172" i="64"/>
  <c r="Q336" i="64"/>
  <c r="N481" i="64"/>
  <c r="Q514" i="64"/>
  <c r="Q171" i="64"/>
  <c r="P84" i="64"/>
  <c r="O316" i="64"/>
  <c r="P112" i="64"/>
  <c r="P240" i="64"/>
  <c r="Q352" i="64"/>
  <c r="Q189" i="64"/>
  <c r="O297" i="64"/>
  <c r="M327" i="64"/>
  <c r="L328" i="64"/>
  <c r="S179" i="64"/>
  <c r="T179" i="64" s="1"/>
  <c r="P192" i="64"/>
  <c r="I65" i="64"/>
  <c r="P135" i="64"/>
  <c r="Q238" i="64"/>
  <c r="O488" i="64"/>
  <c r="N143" i="64"/>
  <c r="K225" i="64"/>
  <c r="S182" i="64"/>
  <c r="T182" i="64" s="1"/>
  <c r="N298" i="64"/>
  <c r="O259" i="64"/>
  <c r="P288" i="64"/>
  <c r="P290" i="64"/>
  <c r="Q287" i="64"/>
  <c r="R289" i="64"/>
  <c r="O140" i="64"/>
  <c r="K415" i="64"/>
  <c r="K457" i="64" s="1"/>
  <c r="K519" i="64"/>
  <c r="O473" i="64"/>
  <c r="AD5" i="66"/>
  <c r="S22" i="64"/>
  <c r="S12" i="64"/>
  <c r="M326" i="64"/>
  <c r="P429" i="64"/>
  <c r="Q265" i="64"/>
  <c r="P268" i="64"/>
  <c r="R131" i="64"/>
  <c r="P424" i="64"/>
  <c r="R430" i="64"/>
  <c r="R23" i="64"/>
  <c r="R414" i="64" s="1"/>
  <c r="R185" i="64"/>
  <c r="P315" i="64"/>
  <c r="R134" i="64"/>
  <c r="R132" i="64"/>
  <c r="R129" i="64"/>
  <c r="R130" i="64"/>
  <c r="R128" i="64"/>
  <c r="Q133" i="64"/>
  <c r="S13" i="64"/>
  <c r="R262" i="64"/>
  <c r="O187" i="64"/>
  <c r="P186" i="64"/>
  <c r="Q184" i="64"/>
  <c r="P295" i="64"/>
  <c r="R394" i="64"/>
  <c r="R462" i="64"/>
  <c r="AE201" i="66"/>
  <c r="AF110" i="66"/>
  <c r="AF17" i="66"/>
  <c r="AE7" i="66"/>
  <c r="AE4" i="66"/>
  <c r="AE108" i="66"/>
  <c r="R434" i="64"/>
  <c r="R435" i="64"/>
  <c r="R370" i="64"/>
  <c r="R358" i="64"/>
  <c r="R433" i="64"/>
  <c r="R361" i="64"/>
  <c r="R446" i="64"/>
  <c r="Q272" i="64"/>
  <c r="R15" i="64"/>
  <c r="R170" i="64"/>
  <c r="R242" i="64"/>
  <c r="R302" i="64"/>
  <c r="R310" i="64"/>
  <c r="R335" i="64"/>
  <c r="R142" i="64"/>
  <c r="R332" i="64"/>
  <c r="R139" i="64"/>
  <c r="R306" i="64"/>
  <c r="R340" i="64"/>
  <c r="R396" i="64"/>
  <c r="R147" i="64"/>
  <c r="R189" i="64"/>
  <c r="R183" i="64"/>
  <c r="R14" i="64"/>
  <c r="Q183" i="64"/>
  <c r="O291" i="64"/>
  <c r="O96" i="64"/>
  <c r="P157" i="64"/>
  <c r="Q397" i="64"/>
  <c r="Q411" i="64"/>
  <c r="Q518" i="64"/>
  <c r="Q148" i="64"/>
  <c r="Q513" i="64"/>
  <c r="P510" i="64"/>
  <c r="P337" i="64"/>
  <c r="M521" i="64"/>
  <c r="M453" i="64"/>
  <c r="Q436" i="64"/>
  <c r="Q218" i="64"/>
  <c r="O98" i="64"/>
  <c r="Q116" i="64"/>
  <c r="Q517" i="64"/>
  <c r="Q333" i="64"/>
  <c r="Q463" i="64"/>
  <c r="Q156" i="64"/>
  <c r="M82" i="64"/>
  <c r="P219" i="64"/>
  <c r="P117" i="64"/>
  <c r="Q497" i="64"/>
  <c r="Q101" i="64"/>
  <c r="N477" i="64"/>
  <c r="N452" i="64"/>
  <c r="R474" i="68" l="1"/>
  <c r="T12" i="64"/>
  <c r="R456" i="68"/>
  <c r="R520" i="68" s="1"/>
  <c r="Q117" i="68"/>
  <c r="Q457" i="68"/>
  <c r="Q119" i="68" s="1"/>
  <c r="T22" i="68"/>
  <c r="T23" i="68" s="1"/>
  <c r="T22" i="64"/>
  <c r="S473" i="68"/>
  <c r="S352" i="68"/>
  <c r="Q118" i="68"/>
  <c r="R518" i="68"/>
  <c r="R411" i="68"/>
  <c r="S410" i="68"/>
  <c r="S513" i="68"/>
  <c r="S463" i="68"/>
  <c r="S112" i="68" s="1"/>
  <c r="R519" i="68"/>
  <c r="R415" i="68"/>
  <c r="R118" i="68" s="1"/>
  <c r="I48" i="68"/>
  <c r="H371" i="68"/>
  <c r="H372" i="68" s="1"/>
  <c r="H54" i="68" s="1"/>
  <c r="H56" i="68" s="1"/>
  <c r="I51" i="68"/>
  <c r="G61" i="68"/>
  <c r="G64" i="68" s="1"/>
  <c r="G65" i="68" s="1"/>
  <c r="I105" i="68"/>
  <c r="G54" i="68"/>
  <c r="G56" i="68" s="1"/>
  <c r="U8" i="25"/>
  <c r="U9" i="25" s="1"/>
  <c r="J90" i="68" s="1"/>
  <c r="J92" i="68" s="1"/>
  <c r="J93" i="68" s="1"/>
  <c r="I495" i="68"/>
  <c r="I500" i="68" s="1"/>
  <c r="I49" i="68"/>
  <c r="I233" i="68"/>
  <c r="I36" i="68" s="1"/>
  <c r="I40" i="68" s="1"/>
  <c r="I124" i="68" s="1"/>
  <c r="I357" i="68"/>
  <c r="I359" i="68" s="1"/>
  <c r="H79" i="68"/>
  <c r="I62" i="68"/>
  <c r="I70" i="68"/>
  <c r="I69" i="68"/>
  <c r="I55" i="68" s="1"/>
  <c r="Q511" i="68"/>
  <c r="Q515" i="68" s="1"/>
  <c r="Q222" i="68"/>
  <c r="Q215" i="68"/>
  <c r="Q108" i="68" s="1"/>
  <c r="Q114" i="68" s="1"/>
  <c r="Q486" i="68"/>
  <c r="R423" i="68"/>
  <c r="Q421" i="68"/>
  <c r="R77" i="64"/>
  <c r="R487" i="64"/>
  <c r="Q341" i="64"/>
  <c r="Q38" i="64" s="1"/>
  <c r="R57" i="64"/>
  <c r="Q471" i="64"/>
  <c r="T181" i="64"/>
  <c r="T262" i="64"/>
  <c r="R83" i="64"/>
  <c r="R478" i="64"/>
  <c r="T13" i="64"/>
  <c r="P37" i="64"/>
  <c r="O275" i="64"/>
  <c r="O276" i="64" s="1"/>
  <c r="AE5" i="66"/>
  <c r="S23" i="64"/>
  <c r="S414" i="64" s="1"/>
  <c r="P351" i="64"/>
  <c r="P450" i="64" s="1"/>
  <c r="P273" i="64"/>
  <c r="P275" i="64" s="1"/>
  <c r="S262" i="64"/>
  <c r="S265" i="64" s="1"/>
  <c r="N327" i="64"/>
  <c r="P88" i="64"/>
  <c r="P323" i="64"/>
  <c r="M328" i="64"/>
  <c r="O474" i="64"/>
  <c r="L225" i="64"/>
  <c r="Q192" i="64"/>
  <c r="P109" i="64"/>
  <c r="R514" i="64"/>
  <c r="R238" i="64"/>
  <c r="R239" i="64" s="1"/>
  <c r="O481" i="64"/>
  <c r="Q315" i="64"/>
  <c r="Q316" i="64" s="1"/>
  <c r="S181" i="64"/>
  <c r="S183" i="64" s="1"/>
  <c r="Q172" i="64"/>
  <c r="L208" i="64"/>
  <c r="Q505" i="64"/>
  <c r="Q84" i="64"/>
  <c r="Q295" i="64"/>
  <c r="P488" i="64"/>
  <c r="Q112" i="64"/>
  <c r="Q239" i="64"/>
  <c r="M120" i="64"/>
  <c r="R192" i="64"/>
  <c r="R336" i="64"/>
  <c r="R171" i="64"/>
  <c r="P297" i="64"/>
  <c r="Q135" i="64"/>
  <c r="O143" i="64"/>
  <c r="O298" i="64"/>
  <c r="P259" i="64"/>
  <c r="Q288" i="64"/>
  <c r="R287" i="64"/>
  <c r="Q290" i="64"/>
  <c r="P140" i="64"/>
  <c r="L415" i="64"/>
  <c r="L457" i="64" s="1"/>
  <c r="L519" i="64"/>
  <c r="K520" i="64"/>
  <c r="K63" i="64"/>
  <c r="K118" i="64"/>
  <c r="R472" i="64"/>
  <c r="P473" i="64"/>
  <c r="S289" i="64"/>
  <c r="Q429" i="64"/>
  <c r="N326" i="64"/>
  <c r="R265" i="64"/>
  <c r="Q268" i="64"/>
  <c r="R410" i="64"/>
  <c r="R456" i="64" s="1"/>
  <c r="R451" i="64"/>
  <c r="R460" i="64"/>
  <c r="S131" i="64"/>
  <c r="Q424" i="64"/>
  <c r="S430" i="64"/>
  <c r="S185" i="64"/>
  <c r="P316" i="64"/>
  <c r="S132" i="64"/>
  <c r="S128" i="64"/>
  <c r="R133" i="64"/>
  <c r="S130" i="64"/>
  <c r="S134" i="64"/>
  <c r="S129" i="64"/>
  <c r="S370" i="64"/>
  <c r="S361" i="64"/>
  <c r="S435" i="64"/>
  <c r="S434" i="64"/>
  <c r="R272" i="64"/>
  <c r="S433" i="64"/>
  <c r="S462" i="64"/>
  <c r="S15" i="64"/>
  <c r="S142" i="64"/>
  <c r="S332" i="64"/>
  <c r="S139" i="64"/>
  <c r="S306" i="64"/>
  <c r="S14" i="64"/>
  <c r="S170" i="64"/>
  <c r="S147" i="64"/>
  <c r="S310" i="64"/>
  <c r="S242" i="64"/>
  <c r="S302" i="64"/>
  <c r="S335" i="64"/>
  <c r="S396" i="64"/>
  <c r="S340" i="64"/>
  <c r="R101" i="64"/>
  <c r="S446" i="64"/>
  <c r="S358" i="64"/>
  <c r="S394" i="64"/>
  <c r="S487" i="64" s="1"/>
  <c r="P187" i="64"/>
  <c r="Q186" i="64"/>
  <c r="AG17" i="66"/>
  <c r="AF7" i="66"/>
  <c r="AF4" i="66"/>
  <c r="AF5" i="66" s="1"/>
  <c r="AF108" i="66"/>
  <c r="AG110" i="66"/>
  <c r="AF201" i="66"/>
  <c r="R156" i="64"/>
  <c r="R436" i="64"/>
  <c r="R184" i="64"/>
  <c r="R218" i="64"/>
  <c r="R497" i="64"/>
  <c r="R397" i="64"/>
  <c r="R116" i="64"/>
  <c r="R517" i="64"/>
  <c r="R333" i="64"/>
  <c r="R148" i="64"/>
  <c r="Q157" i="64"/>
  <c r="P291" i="64"/>
  <c r="P96" i="64"/>
  <c r="Q219" i="64"/>
  <c r="Q117" i="64"/>
  <c r="P98" i="64"/>
  <c r="O452" i="64"/>
  <c r="O477" i="64"/>
  <c r="N82" i="64"/>
  <c r="N521" i="64"/>
  <c r="N453" i="64"/>
  <c r="Q510" i="64"/>
  <c r="Q337" i="64"/>
  <c r="S474" i="68" l="1"/>
  <c r="S456" i="68"/>
  <c r="S520" i="68" s="1"/>
  <c r="T23" i="64"/>
  <c r="T451" i="68"/>
  <c r="T414" i="68"/>
  <c r="R457" i="68"/>
  <c r="R119" i="68" s="1"/>
  <c r="S519" i="68"/>
  <c r="S415" i="68"/>
  <c r="S118" i="68" s="1"/>
  <c r="T460" i="68"/>
  <c r="S411" i="68"/>
  <c r="S518" i="68"/>
  <c r="T410" i="68"/>
  <c r="T472" i="68"/>
  <c r="R117" i="68"/>
  <c r="G59" i="68"/>
  <c r="G58" i="68"/>
  <c r="G7" i="68" s="1"/>
  <c r="G8" i="68" s="1"/>
  <c r="I44" i="68"/>
  <c r="I42" i="68"/>
  <c r="I43" i="68" s="1"/>
  <c r="J229" i="68"/>
  <c r="J483" i="68"/>
  <c r="J485" i="68" s="1"/>
  <c r="J492" i="68" s="1"/>
  <c r="U10" i="25"/>
  <c r="H58" i="68"/>
  <c r="H7" i="68" s="1"/>
  <c r="H8" i="68" s="1"/>
  <c r="H59" i="68"/>
  <c r="I366" i="68"/>
  <c r="I368" i="68" s="1"/>
  <c r="I371" i="68" s="1"/>
  <c r="I363" i="68"/>
  <c r="I72" i="68"/>
  <c r="I74" i="68" s="1"/>
  <c r="I78" i="68" s="1"/>
  <c r="I234" i="68"/>
  <c r="J123" i="68"/>
  <c r="J105" i="68"/>
  <c r="Q94" i="68"/>
  <c r="R422" i="68"/>
  <c r="R418" i="68" s="1"/>
  <c r="R212" i="68"/>
  <c r="Q226" i="68"/>
  <c r="Q89" i="68" s="1"/>
  <c r="Q482" i="68"/>
  <c r="R205" i="68"/>
  <c r="Q491" i="68"/>
  <c r="R341" i="64"/>
  <c r="R38" i="64" s="1"/>
  <c r="S57" i="64"/>
  <c r="R471" i="64"/>
  <c r="T189" i="64"/>
  <c r="T183" i="64"/>
  <c r="T265" i="64"/>
  <c r="S478" i="64"/>
  <c r="S83" i="64"/>
  <c r="T446" i="64"/>
  <c r="T462" i="64"/>
  <c r="T435" i="64"/>
  <c r="T134" i="64"/>
  <c r="T132" i="64"/>
  <c r="T185" i="64"/>
  <c r="T358" i="64"/>
  <c r="T434" i="64"/>
  <c r="T129" i="64"/>
  <c r="T128" i="64"/>
  <c r="T430" i="64"/>
  <c r="T131" i="64"/>
  <c r="T361" i="64"/>
  <c r="T433" i="64"/>
  <c r="T130" i="64"/>
  <c r="T370" i="64"/>
  <c r="S77" i="64"/>
  <c r="T394" i="64"/>
  <c r="T15" i="64"/>
  <c r="T147" i="64"/>
  <c r="T306" i="64"/>
  <c r="T170" i="64"/>
  <c r="T289" i="64"/>
  <c r="T340" i="64"/>
  <c r="T142" i="64"/>
  <c r="T242" i="64"/>
  <c r="T302" i="64"/>
  <c r="T310" i="64"/>
  <c r="T335" i="64"/>
  <c r="T14" i="64"/>
  <c r="T139" i="64"/>
  <c r="T332" i="64"/>
  <c r="T396" i="64"/>
  <c r="Q37" i="64"/>
  <c r="Q351" i="64"/>
  <c r="Q450" i="64" s="1"/>
  <c r="P324" i="64"/>
  <c r="Q273" i="64"/>
  <c r="Q275" i="64" s="1"/>
  <c r="Q323" i="64"/>
  <c r="K119" i="64"/>
  <c r="M208" i="64"/>
  <c r="M225" i="64"/>
  <c r="R240" i="64"/>
  <c r="Q240" i="64"/>
  <c r="R135" i="64"/>
  <c r="Q488" i="64"/>
  <c r="R172" i="64"/>
  <c r="S472" i="64"/>
  <c r="T472" i="64" s="1"/>
  <c r="P276" i="64"/>
  <c r="Q109" i="64"/>
  <c r="R505" i="64"/>
  <c r="Q88" i="64"/>
  <c r="Q297" i="64"/>
  <c r="O327" i="64"/>
  <c r="S460" i="64"/>
  <c r="T460" i="64" s="1"/>
  <c r="N120" i="64"/>
  <c r="R84" i="64"/>
  <c r="P481" i="64"/>
  <c r="P474" i="64"/>
  <c r="P143" i="64"/>
  <c r="P298" i="64"/>
  <c r="S189" i="64"/>
  <c r="Q259" i="64"/>
  <c r="R288" i="64"/>
  <c r="R290" i="64"/>
  <c r="R411" i="64"/>
  <c r="S451" i="64"/>
  <c r="T451" i="64" s="1"/>
  <c r="R352" i="64"/>
  <c r="Q140" i="64"/>
  <c r="M519" i="64"/>
  <c r="M415" i="64"/>
  <c r="M457" i="64" s="1"/>
  <c r="L520" i="64"/>
  <c r="L63" i="64"/>
  <c r="L118" i="64"/>
  <c r="Q473" i="64"/>
  <c r="S171" i="64"/>
  <c r="S272" i="64"/>
  <c r="S336" i="64"/>
  <c r="S514" i="64"/>
  <c r="S238" i="64"/>
  <c r="S287" i="64"/>
  <c r="O326" i="64"/>
  <c r="N328" i="64"/>
  <c r="R268" i="64"/>
  <c r="S268" i="64"/>
  <c r="S410" i="64"/>
  <c r="R518" i="64"/>
  <c r="R513" i="64"/>
  <c r="R463" i="64"/>
  <c r="R429" i="64"/>
  <c r="R424" i="64"/>
  <c r="S133" i="64"/>
  <c r="S184" i="64"/>
  <c r="S148" i="64"/>
  <c r="S397" i="64"/>
  <c r="S517" i="64"/>
  <c r="S116" i="64"/>
  <c r="S333" i="64"/>
  <c r="S218" i="64"/>
  <c r="S436" i="64"/>
  <c r="S101" i="64"/>
  <c r="S497" i="64"/>
  <c r="S156" i="64"/>
  <c r="Q187" i="64"/>
  <c r="R295" i="64"/>
  <c r="R157" i="64"/>
  <c r="AH110" i="66"/>
  <c r="AG201" i="66"/>
  <c r="AH17" i="66"/>
  <c r="AG7" i="66"/>
  <c r="AG108" i="66"/>
  <c r="AG4" i="66"/>
  <c r="AG5" i="66" s="1"/>
  <c r="R186" i="64"/>
  <c r="R315" i="64"/>
  <c r="R219" i="64"/>
  <c r="R337" i="64"/>
  <c r="R510" i="64"/>
  <c r="Q291" i="64"/>
  <c r="P452" i="64"/>
  <c r="P477" i="64"/>
  <c r="Q96" i="64"/>
  <c r="O82" i="64"/>
  <c r="O521" i="64"/>
  <c r="O453" i="64"/>
  <c r="Q98" i="64"/>
  <c r="T456" i="68" l="1"/>
  <c r="T414" i="64"/>
  <c r="S457" i="68"/>
  <c r="S119" i="68" s="1"/>
  <c r="T410" i="64"/>
  <c r="S456" i="64"/>
  <c r="T352" i="68"/>
  <c r="T473" i="68"/>
  <c r="S117" i="68"/>
  <c r="T513" i="68"/>
  <c r="T463" i="68"/>
  <c r="T411" i="68"/>
  <c r="T518" i="68"/>
  <c r="T415" i="68"/>
  <c r="T519" i="68"/>
  <c r="T487" i="64"/>
  <c r="T192" i="64"/>
  <c r="U11" i="25"/>
  <c r="K384" i="68" s="1"/>
  <c r="K391" i="68" s="1"/>
  <c r="K395" i="68" s="1"/>
  <c r="K398" i="68" s="1"/>
  <c r="K97" i="68" s="1"/>
  <c r="J495" i="68"/>
  <c r="J500" i="68" s="1"/>
  <c r="J49" i="68"/>
  <c r="J233" i="68"/>
  <c r="J36" i="68" s="1"/>
  <c r="J46" i="68"/>
  <c r="I61" i="68"/>
  <c r="I64" i="68" s="1"/>
  <c r="I65" i="68" s="1"/>
  <c r="I372" i="68"/>
  <c r="I54" i="68" s="1"/>
  <c r="I56" i="68" s="1"/>
  <c r="I79" i="68"/>
  <c r="R511" i="68"/>
  <c r="R515" i="68" s="1"/>
  <c r="R222" i="68"/>
  <c r="R482" i="68" s="1"/>
  <c r="R215" i="68"/>
  <c r="R108" i="68" s="1"/>
  <c r="R114" i="68" s="1"/>
  <c r="R209" i="68"/>
  <c r="R486" i="68"/>
  <c r="S423" i="68"/>
  <c r="R421" i="68"/>
  <c r="S341" i="64"/>
  <c r="S38" i="64" s="1"/>
  <c r="T57" i="64"/>
  <c r="S471" i="64"/>
  <c r="T359" i="64"/>
  <c r="T171" i="64"/>
  <c r="T101" i="64"/>
  <c r="T268" i="64"/>
  <c r="T514" i="64"/>
  <c r="T272" i="64"/>
  <c r="T497" i="64"/>
  <c r="T436" i="64"/>
  <c r="T287" i="64"/>
  <c r="T133" i="64"/>
  <c r="T156" i="64"/>
  <c r="T148" i="64"/>
  <c r="T218" i="64"/>
  <c r="T238" i="64"/>
  <c r="T336" i="64"/>
  <c r="T184" i="64"/>
  <c r="T77" i="64"/>
  <c r="T395" i="64"/>
  <c r="T397" i="64"/>
  <c r="T463" i="64"/>
  <c r="T513" i="64"/>
  <c r="T517" i="64"/>
  <c r="T116" i="64"/>
  <c r="T333" i="64"/>
  <c r="R37" i="64"/>
  <c r="Q324" i="64"/>
  <c r="R273" i="64"/>
  <c r="R324" i="64" s="1"/>
  <c r="R351" i="64"/>
  <c r="R450" i="64" s="1"/>
  <c r="R140" i="64"/>
  <c r="R143" i="64" s="1"/>
  <c r="L119" i="64"/>
  <c r="P327" i="64"/>
  <c r="R112" i="64"/>
  <c r="O120" i="64"/>
  <c r="R187" i="64"/>
  <c r="R297" i="64"/>
  <c r="S463" i="64"/>
  <c r="O328" i="64"/>
  <c r="S513" i="64"/>
  <c r="Q474" i="64"/>
  <c r="Q276" i="64"/>
  <c r="S192" i="64"/>
  <c r="Q481" i="64"/>
  <c r="Q143" i="64"/>
  <c r="R323" i="64"/>
  <c r="R488" i="64"/>
  <c r="Q298" i="64"/>
  <c r="S259" i="64"/>
  <c r="R259" i="64"/>
  <c r="S290" i="64"/>
  <c r="R117" i="64"/>
  <c r="S352" i="64"/>
  <c r="T352" i="64" s="1"/>
  <c r="M118" i="64"/>
  <c r="M520" i="64"/>
  <c r="M63" i="64"/>
  <c r="N415" i="64"/>
  <c r="N457" i="64" s="1"/>
  <c r="N519" i="64"/>
  <c r="R473" i="64"/>
  <c r="S239" i="64"/>
  <c r="S84" i="64"/>
  <c r="S172" i="64"/>
  <c r="S505" i="64"/>
  <c r="S295" i="64"/>
  <c r="S411" i="64"/>
  <c r="S135" i="64"/>
  <c r="S288" i="64"/>
  <c r="P326" i="64"/>
  <c r="N225" i="64"/>
  <c r="N208" i="64"/>
  <c r="S518" i="64"/>
  <c r="S429" i="64"/>
  <c r="S424" i="64"/>
  <c r="S186" i="64"/>
  <c r="S157" i="64"/>
  <c r="S219" i="64"/>
  <c r="S337" i="64"/>
  <c r="S510" i="64"/>
  <c r="S315" i="64"/>
  <c r="R291" i="64"/>
  <c r="AH201" i="66"/>
  <c r="AI110" i="66"/>
  <c r="AI17" i="66"/>
  <c r="AH7" i="66"/>
  <c r="AH108" i="66"/>
  <c r="AH4" i="66"/>
  <c r="AH5" i="66" s="1"/>
  <c r="R88" i="64"/>
  <c r="R316" i="64"/>
  <c r="R98" i="64"/>
  <c r="R109" i="64"/>
  <c r="R96" i="64"/>
  <c r="Q477" i="64"/>
  <c r="Q452" i="64"/>
  <c r="P82" i="64"/>
  <c r="P521" i="64"/>
  <c r="P453" i="64"/>
  <c r="J62" i="68" l="1"/>
  <c r="J69" i="68"/>
  <c r="J55" i="68" s="1"/>
  <c r="T518" i="64"/>
  <c r="T520" i="68"/>
  <c r="T474" i="68"/>
  <c r="T118" i="68"/>
  <c r="T112" i="68"/>
  <c r="T457" i="68"/>
  <c r="T411" i="64"/>
  <c r="T456" i="64"/>
  <c r="T117" i="68"/>
  <c r="L384" i="68"/>
  <c r="L385" i="68" s="1"/>
  <c r="K388" i="68"/>
  <c r="K344" i="68"/>
  <c r="K346" i="68" s="1"/>
  <c r="J70" i="68"/>
  <c r="J72" i="68" s="1"/>
  <c r="J74" i="68" s="1"/>
  <c r="J78" i="68" s="1"/>
  <c r="K385" i="68"/>
  <c r="K449" i="68" s="1"/>
  <c r="K71" i="68" s="1"/>
  <c r="J357" i="68"/>
  <c r="J359" i="68" s="1"/>
  <c r="J363" i="68" s="1"/>
  <c r="K357" i="68"/>
  <c r="K359" i="68" s="1"/>
  <c r="K363" i="68" s="1"/>
  <c r="J234" i="68"/>
  <c r="K234" i="68" s="1"/>
  <c r="J51" i="68"/>
  <c r="J47" i="68"/>
  <c r="J50" i="68" s="1"/>
  <c r="J48" i="68"/>
  <c r="J40" i="68"/>
  <c r="J124" i="68" s="1"/>
  <c r="J42" i="68"/>
  <c r="J43" i="68" s="1"/>
  <c r="J44" i="68"/>
  <c r="I58" i="68"/>
  <c r="I7" i="68" s="1"/>
  <c r="I8" i="68" s="1"/>
  <c r="I59" i="68"/>
  <c r="S212" i="68"/>
  <c r="S422" i="68"/>
  <c r="S418" i="68" s="1"/>
  <c r="R491" i="68"/>
  <c r="S205" i="68"/>
  <c r="R226" i="68"/>
  <c r="R89" i="68" s="1"/>
  <c r="R94" i="68"/>
  <c r="T341" i="64"/>
  <c r="T471" i="64"/>
  <c r="T172" i="64"/>
  <c r="T363" i="64"/>
  <c r="T478" i="64"/>
  <c r="T295" i="64"/>
  <c r="T239" i="64"/>
  <c r="T315" i="64"/>
  <c r="T135" i="64"/>
  <c r="T83" i="64"/>
  <c r="T84" i="64"/>
  <c r="T424" i="64"/>
  <c r="T505" i="64"/>
  <c r="T219" i="64"/>
  <c r="T429" i="64"/>
  <c r="T290" i="64"/>
  <c r="T288" i="64"/>
  <c r="T157" i="64"/>
  <c r="T186" i="64"/>
  <c r="T112" i="64"/>
  <c r="T337" i="64"/>
  <c r="T510" i="64"/>
  <c r="T398" i="64"/>
  <c r="S37" i="64"/>
  <c r="R275" i="64"/>
  <c r="R276" i="64" s="1"/>
  <c r="S112" i="64"/>
  <c r="M119" i="64"/>
  <c r="S273" i="64"/>
  <c r="R481" i="64"/>
  <c r="S473" i="64"/>
  <c r="N119" i="64"/>
  <c r="Q327" i="64"/>
  <c r="P120" i="64"/>
  <c r="P328" i="64"/>
  <c r="R474" i="64"/>
  <c r="R298" i="64"/>
  <c r="N520" i="64"/>
  <c r="N63" i="64"/>
  <c r="O519" i="64"/>
  <c r="O415" i="64"/>
  <c r="O457" i="64" s="1"/>
  <c r="N118" i="64"/>
  <c r="S117" i="64"/>
  <c r="S240" i="64"/>
  <c r="S351" i="64"/>
  <c r="S297" i="64"/>
  <c r="S488" i="64"/>
  <c r="S140" i="64"/>
  <c r="S187" i="64"/>
  <c r="S109" i="64"/>
  <c r="Q326" i="64"/>
  <c r="O225" i="64"/>
  <c r="O208" i="64"/>
  <c r="S291" i="64"/>
  <c r="S88" i="64"/>
  <c r="S96" i="64"/>
  <c r="R452" i="64"/>
  <c r="S316" i="64"/>
  <c r="S323" i="64"/>
  <c r="S98" i="64"/>
  <c r="AJ17" i="66"/>
  <c r="AI7" i="66"/>
  <c r="AI4" i="66"/>
  <c r="AI5" i="66" s="1"/>
  <c r="AI108" i="66"/>
  <c r="AJ110" i="66"/>
  <c r="AI201" i="66"/>
  <c r="R477" i="64"/>
  <c r="Q521" i="64"/>
  <c r="Q453" i="64"/>
  <c r="Q82" i="64"/>
  <c r="T117" i="64" l="1"/>
  <c r="T119" i="68"/>
  <c r="L234" i="68"/>
  <c r="L153" i="68" s="1"/>
  <c r="T316" i="64"/>
  <c r="T38" i="64"/>
  <c r="L391" i="68"/>
  <c r="L395" i="68" s="1"/>
  <c r="L398" i="68" s="1"/>
  <c r="L97" i="68" s="1"/>
  <c r="L344" i="68"/>
  <c r="L346" i="68" s="1"/>
  <c r="L357" i="68"/>
  <c r="L359" i="68" s="1"/>
  <c r="L363" i="68" s="1"/>
  <c r="M384" i="68"/>
  <c r="M344" i="68" s="1"/>
  <c r="L388" i="68"/>
  <c r="K452" i="68"/>
  <c r="K521" i="68" s="1"/>
  <c r="K153" i="68"/>
  <c r="K154" i="68" s="1"/>
  <c r="K350" i="68"/>
  <c r="K353" i="68" s="1"/>
  <c r="K516" i="68" s="1"/>
  <c r="L449" i="68"/>
  <c r="L452" i="68" s="1"/>
  <c r="J366" i="68"/>
  <c r="J368" i="68" s="1"/>
  <c r="J371" i="68" s="1"/>
  <c r="K371" i="68" s="1"/>
  <c r="L371" i="68" s="1"/>
  <c r="M371" i="68" s="1"/>
  <c r="N371" i="68" s="1"/>
  <c r="O371" i="68" s="1"/>
  <c r="P371" i="68" s="1"/>
  <c r="Q371" i="68" s="1"/>
  <c r="R371" i="68" s="1"/>
  <c r="S371" i="68" s="1"/>
  <c r="T371" i="68" s="1"/>
  <c r="J79" i="68"/>
  <c r="K347" i="68"/>
  <c r="T423" i="68"/>
  <c r="S486" i="68"/>
  <c r="S421" i="68"/>
  <c r="S209" i="68"/>
  <c r="S511" i="68"/>
  <c r="S515" i="68" s="1"/>
  <c r="S222" i="68"/>
  <c r="S215" i="68"/>
  <c r="S108" i="68" s="1"/>
  <c r="S114" i="68" s="1"/>
  <c r="T98" i="64"/>
  <c r="T351" i="64"/>
  <c r="T109" i="64"/>
  <c r="T240" i="64"/>
  <c r="T473" i="64"/>
  <c r="T187" i="64"/>
  <c r="T488" i="64"/>
  <c r="T323" i="64"/>
  <c r="T297" i="64"/>
  <c r="T96" i="64"/>
  <c r="T140" i="64"/>
  <c r="T291" i="64"/>
  <c r="T88" i="64"/>
  <c r="S275" i="64"/>
  <c r="S276" i="64" s="1"/>
  <c r="T273" i="64"/>
  <c r="T37" i="64"/>
  <c r="S324" i="64"/>
  <c r="S474" i="64"/>
  <c r="O119" i="64"/>
  <c r="S450" i="64"/>
  <c r="R82" i="64"/>
  <c r="Q120" i="64"/>
  <c r="R327" i="64"/>
  <c r="Q328" i="64"/>
  <c r="O520" i="64"/>
  <c r="O63" i="64"/>
  <c r="P415" i="64"/>
  <c r="P457" i="64" s="1"/>
  <c r="P519" i="64"/>
  <c r="O118" i="64"/>
  <c r="S481" i="64"/>
  <c r="S143" i="64"/>
  <c r="S298" i="64"/>
  <c r="R326" i="64"/>
  <c r="P208" i="64"/>
  <c r="P225" i="64"/>
  <c r="R521" i="64"/>
  <c r="AJ201" i="66"/>
  <c r="AK110" i="66"/>
  <c r="AK17" i="66"/>
  <c r="AJ7" i="66"/>
  <c r="AJ108" i="66"/>
  <c r="AJ4" i="66"/>
  <c r="AJ5" i="66" s="1"/>
  <c r="R453" i="64"/>
  <c r="M234" i="68" l="1"/>
  <c r="M153" i="68" s="1"/>
  <c r="K63" i="68"/>
  <c r="T481" i="64"/>
  <c r="K453" i="68"/>
  <c r="K120" i="68" s="1"/>
  <c r="M388" i="68"/>
  <c r="M357" i="68"/>
  <c r="M359" i="68" s="1"/>
  <c r="M363" i="68" s="1"/>
  <c r="N384" i="68"/>
  <c r="N385" i="68" s="1"/>
  <c r="M391" i="68"/>
  <c r="M385" i="68"/>
  <c r="M449" i="68" s="1"/>
  <c r="K366" i="68"/>
  <c r="K368" i="68" s="1"/>
  <c r="K85" i="68"/>
  <c r="K480" i="68"/>
  <c r="K162" i="68"/>
  <c r="K163" i="68" s="1"/>
  <c r="K166" i="68" s="1"/>
  <c r="K86" i="68" s="1"/>
  <c r="L71" i="68"/>
  <c r="L350" i="68"/>
  <c r="J372" i="68"/>
  <c r="J54" i="68" s="1"/>
  <c r="J56" i="68" s="1"/>
  <c r="J61" i="68"/>
  <c r="J64" i="68" s="1"/>
  <c r="J65" i="68" s="1"/>
  <c r="M346" i="68"/>
  <c r="L63" i="68"/>
  <c r="L521" i="68"/>
  <c r="L347" i="68"/>
  <c r="K523" i="68"/>
  <c r="K158" i="68"/>
  <c r="L162" i="68"/>
  <c r="L480" i="68"/>
  <c r="L154" i="68"/>
  <c r="L85" i="68"/>
  <c r="T205" i="68"/>
  <c r="S226" i="68"/>
  <c r="S89" i="68" s="1"/>
  <c r="S94" i="68"/>
  <c r="S491" i="68"/>
  <c r="S482" i="68"/>
  <c r="T422" i="68"/>
  <c r="T212" i="68"/>
  <c r="T298" i="64"/>
  <c r="T474" i="64"/>
  <c r="T143" i="64"/>
  <c r="S452" i="64"/>
  <c r="S453" i="64" s="1"/>
  <c r="T450" i="64"/>
  <c r="T324" i="64"/>
  <c r="T275" i="64"/>
  <c r="R328" i="64"/>
  <c r="R120" i="64"/>
  <c r="S477" i="64"/>
  <c r="P118" i="64"/>
  <c r="Q519" i="64"/>
  <c r="Q415" i="64"/>
  <c r="Q457" i="64" s="1"/>
  <c r="P520" i="64"/>
  <c r="P63" i="64"/>
  <c r="S327" i="64"/>
  <c r="S326" i="64"/>
  <c r="Q225" i="64"/>
  <c r="Q208" i="64"/>
  <c r="AL17" i="66"/>
  <c r="AK7" i="66"/>
  <c r="AK108" i="66"/>
  <c r="AK4" i="66"/>
  <c r="AK5" i="66" s="1"/>
  <c r="AL110" i="66"/>
  <c r="AK201" i="66"/>
  <c r="N234" i="68" l="1"/>
  <c r="N153" i="68" s="1"/>
  <c r="T209" i="68"/>
  <c r="T418" i="68"/>
  <c r="K354" i="68"/>
  <c r="K115" i="68" s="1"/>
  <c r="K122" i="68" s="1"/>
  <c r="L453" i="68"/>
  <c r="L120" i="68" s="1"/>
  <c r="K75" i="68"/>
  <c r="O384" i="68"/>
  <c r="O388" i="68" s="1"/>
  <c r="N391" i="68"/>
  <c r="N395" i="68" s="1"/>
  <c r="N398" i="68" s="1"/>
  <c r="N344" i="68"/>
  <c r="N346" i="68" s="1"/>
  <c r="N388" i="68"/>
  <c r="K504" i="68"/>
  <c r="M395" i="68"/>
  <c r="M398" i="68" s="1"/>
  <c r="M97" i="68" s="1"/>
  <c r="N357" i="68"/>
  <c r="N359" i="68" s="1"/>
  <c r="N363" i="68" s="1"/>
  <c r="M350" i="68"/>
  <c r="M353" i="68" s="1"/>
  <c r="K479" i="68"/>
  <c r="M452" i="68"/>
  <c r="M63" i="68" s="1"/>
  <c r="M71" i="68"/>
  <c r="K87" i="68"/>
  <c r="N449" i="68"/>
  <c r="N452" i="68" s="1"/>
  <c r="J58" i="68"/>
  <c r="J7" i="68" s="1"/>
  <c r="J8" i="68" s="1"/>
  <c r="J59" i="68"/>
  <c r="L353" i="68"/>
  <c r="L366" i="68"/>
  <c r="K372" i="68"/>
  <c r="K73" i="68"/>
  <c r="K61" i="68"/>
  <c r="M347" i="68"/>
  <c r="L163" i="68"/>
  <c r="L166" i="68" s="1"/>
  <c r="L86" i="68" s="1"/>
  <c r="L87" i="68" s="1"/>
  <c r="L479" i="68"/>
  <c r="K45" i="68"/>
  <c r="L158" i="68"/>
  <c r="K35" i="68"/>
  <c r="M162" i="68"/>
  <c r="M480" i="68"/>
  <c r="M85" i="68"/>
  <c r="M154" i="68"/>
  <c r="T511" i="68"/>
  <c r="T222" i="68"/>
  <c r="T215" i="68"/>
  <c r="T327" i="64"/>
  <c r="T276" i="64"/>
  <c r="S521" i="64"/>
  <c r="T477" i="64"/>
  <c r="T452" i="64"/>
  <c r="S82" i="64"/>
  <c r="Q119" i="64"/>
  <c r="P119" i="64"/>
  <c r="S519" i="64"/>
  <c r="Q520" i="64"/>
  <c r="Q63" i="64"/>
  <c r="Q118" i="64"/>
  <c r="R519" i="64"/>
  <c r="R415" i="64"/>
  <c r="R457" i="64" s="1"/>
  <c r="S328" i="64"/>
  <c r="S120" i="64"/>
  <c r="R208" i="64"/>
  <c r="R225" i="64"/>
  <c r="AL201" i="66"/>
  <c r="AM110" i="66"/>
  <c r="AM17" i="66"/>
  <c r="AL7" i="66"/>
  <c r="AL108" i="66"/>
  <c r="AL4" i="66"/>
  <c r="AL5" i="66" s="1"/>
  <c r="K483" i="68" l="1"/>
  <c r="K229" i="68" s="1"/>
  <c r="O234" i="68"/>
  <c r="O153" i="68" s="1"/>
  <c r="T486" i="68"/>
  <c r="M521" i="68"/>
  <c r="T421" i="68"/>
  <c r="T108" i="68"/>
  <c r="T326" i="64"/>
  <c r="T515" i="68"/>
  <c r="K54" i="68"/>
  <c r="N97" i="68"/>
  <c r="O357" i="68"/>
  <c r="O359" i="68" s="1"/>
  <c r="O363" i="68" s="1"/>
  <c r="P384" i="68"/>
  <c r="P357" i="68" s="1"/>
  <c r="P359" i="68" s="1"/>
  <c r="P363" i="68" s="1"/>
  <c r="O385" i="68"/>
  <c r="O449" i="68" s="1"/>
  <c r="O71" i="68" s="1"/>
  <c r="O344" i="68"/>
  <c r="O346" i="68" s="1"/>
  <c r="O391" i="68"/>
  <c r="O395" i="68" s="1"/>
  <c r="O398" i="68" s="1"/>
  <c r="O97" i="68" s="1"/>
  <c r="M453" i="68"/>
  <c r="M120" i="68" s="1"/>
  <c r="M366" i="68"/>
  <c r="M504" i="68" s="1"/>
  <c r="N350" i="68"/>
  <c r="N353" i="68" s="1"/>
  <c r="N516" i="68" s="1"/>
  <c r="N71" i="68"/>
  <c r="L516" i="68"/>
  <c r="L523" i="68" s="1"/>
  <c r="M516" i="68"/>
  <c r="L354" i="68"/>
  <c r="L368" i="68"/>
  <c r="L61" i="68" s="1"/>
  <c r="L75" i="68"/>
  <c r="L504" i="68"/>
  <c r="N63" i="68"/>
  <c r="N521" i="68"/>
  <c r="N347" i="68"/>
  <c r="K95" i="68"/>
  <c r="K100" i="68" s="1"/>
  <c r="K90" i="68" s="1"/>
  <c r="K92" i="68" s="1"/>
  <c r="K93" i="68" s="1"/>
  <c r="K102" i="68" s="1"/>
  <c r="L35" i="68"/>
  <c r="L45" i="68"/>
  <c r="N162" i="68"/>
  <c r="N480" i="68"/>
  <c r="N154" i="68"/>
  <c r="N85" i="68"/>
  <c r="M158" i="68"/>
  <c r="M479" i="68"/>
  <c r="M163" i="68"/>
  <c r="M166" i="68" s="1"/>
  <c r="M86" i="68" s="1"/>
  <c r="M87" i="68" s="1"/>
  <c r="T482" i="68"/>
  <c r="T226" i="68"/>
  <c r="T520" i="64"/>
  <c r="T453" i="64"/>
  <c r="T521" i="64"/>
  <c r="T63" i="64"/>
  <c r="T82" i="64"/>
  <c r="T519" i="64"/>
  <c r="R119" i="64"/>
  <c r="R118" i="64"/>
  <c r="S520" i="64"/>
  <c r="S63" i="64"/>
  <c r="S415" i="64"/>
  <c r="R520" i="64"/>
  <c r="R63" i="64"/>
  <c r="S208" i="64"/>
  <c r="S225" i="64"/>
  <c r="AN17" i="66"/>
  <c r="AM7" i="66"/>
  <c r="AM4" i="66"/>
  <c r="AM5" i="66" s="1"/>
  <c r="AM108" i="66"/>
  <c r="AM201" i="66"/>
  <c r="AN110" i="66"/>
  <c r="T328" i="64" l="1"/>
  <c r="K485" i="68"/>
  <c r="K492" i="68" s="1"/>
  <c r="K49" i="68" s="1"/>
  <c r="K503" i="68"/>
  <c r="K509" i="68" s="1"/>
  <c r="K524" i="68" s="1"/>
  <c r="P234" i="68"/>
  <c r="P153" i="68" s="1"/>
  <c r="P162" i="68" s="1"/>
  <c r="T491" i="68"/>
  <c r="T94" i="68"/>
  <c r="T415" i="64"/>
  <c r="S457" i="64"/>
  <c r="S119" i="64" s="1"/>
  <c r="M523" i="68"/>
  <c r="T89" i="68"/>
  <c r="T114" i="68"/>
  <c r="P388" i="68"/>
  <c r="M368" i="68"/>
  <c r="M61" i="68" s="1"/>
  <c r="M75" i="68"/>
  <c r="P344" i="68"/>
  <c r="P346" i="68" s="1"/>
  <c r="P391" i="68"/>
  <c r="P395" i="68" s="1"/>
  <c r="P398" i="68" s="1"/>
  <c r="P97" i="68" s="1"/>
  <c r="Q384" i="68"/>
  <c r="Q344" i="68" s="1"/>
  <c r="P385" i="68"/>
  <c r="P449" i="68" s="1"/>
  <c r="N453" i="68"/>
  <c r="N120" i="68" s="1"/>
  <c r="M354" i="68"/>
  <c r="M115" i="68" s="1"/>
  <c r="M122" i="68" s="1"/>
  <c r="N366" i="68"/>
  <c r="N368" i="68" s="1"/>
  <c r="N372" i="68" s="1"/>
  <c r="O350" i="68"/>
  <c r="O353" i="68" s="1"/>
  <c r="O516" i="68" s="1"/>
  <c r="O452" i="68"/>
  <c r="O63" i="68" s="1"/>
  <c r="L115" i="68"/>
  <c r="L122" i="68" s="1"/>
  <c r="L372" i="68"/>
  <c r="L95" i="68" s="1"/>
  <c r="L100" i="68" s="1"/>
  <c r="L73" i="68"/>
  <c r="K230" i="68"/>
  <c r="K123" i="68"/>
  <c r="K232" i="68"/>
  <c r="K231" i="68"/>
  <c r="N523" i="68"/>
  <c r="O347" i="68"/>
  <c r="O162" i="68"/>
  <c r="O154" i="68"/>
  <c r="O85" i="68"/>
  <c r="O480" i="68"/>
  <c r="N158" i="68"/>
  <c r="K104" i="68"/>
  <c r="K105" i="68" s="1"/>
  <c r="K69" i="68"/>
  <c r="M45" i="68"/>
  <c r="K46" i="68"/>
  <c r="M35" i="68"/>
  <c r="N479" i="68"/>
  <c r="N163" i="68"/>
  <c r="N166" i="68" s="1"/>
  <c r="N86" i="68" s="1"/>
  <c r="N87" i="68" s="1"/>
  <c r="T120" i="64"/>
  <c r="S118" i="64"/>
  <c r="AN201" i="66"/>
  <c r="AO110" i="66"/>
  <c r="AO17" i="66"/>
  <c r="AN7" i="66"/>
  <c r="AN108" i="66"/>
  <c r="AN4" i="66"/>
  <c r="AN5" i="66" s="1"/>
  <c r="B76" i="67"/>
  <c r="B4" i="67"/>
  <c r="T208" i="64" l="1"/>
  <c r="T225" i="64"/>
  <c r="K506" i="68"/>
  <c r="K70" i="68" s="1"/>
  <c r="K62" i="68" s="1"/>
  <c r="K64" i="68" s="1"/>
  <c r="T118" i="64"/>
  <c r="K495" i="68"/>
  <c r="K500" i="68" s="1"/>
  <c r="Q234" i="68"/>
  <c r="Q153" i="68" s="1"/>
  <c r="B6" i="67"/>
  <c r="T457" i="64"/>
  <c r="M73" i="68"/>
  <c r="M372" i="68"/>
  <c r="M54" i="68" s="1"/>
  <c r="Q357" i="68"/>
  <c r="Q359" i="68" s="1"/>
  <c r="Q363" i="68" s="1"/>
  <c r="R384" i="68"/>
  <c r="R388" i="68" s="1"/>
  <c r="Q391" i="68"/>
  <c r="Q395" i="68" s="1"/>
  <c r="Q398" i="68" s="1"/>
  <c r="Q97" i="68" s="1"/>
  <c r="Q388" i="68"/>
  <c r="Q385" i="68"/>
  <c r="Q449" i="68" s="1"/>
  <c r="Q71" i="68" s="1"/>
  <c r="N354" i="68"/>
  <c r="N115" i="68" s="1"/>
  <c r="N122" i="68" s="1"/>
  <c r="N75" i="68"/>
  <c r="O453" i="68"/>
  <c r="O120" i="68" s="1"/>
  <c r="N61" i="68"/>
  <c r="N73" i="68"/>
  <c r="N504" i="68"/>
  <c r="O521" i="68"/>
  <c r="O523" i="68" s="1"/>
  <c r="O366" i="68"/>
  <c r="O368" i="68" s="1"/>
  <c r="O372" i="68" s="1"/>
  <c r="O95" i="68" s="1"/>
  <c r="O100" i="68" s="1"/>
  <c r="L54" i="68"/>
  <c r="K233" i="68"/>
  <c r="K36" i="68" s="1"/>
  <c r="K44" i="68" s="1"/>
  <c r="M95" i="68"/>
  <c r="M100" i="68" s="1"/>
  <c r="Q346" i="68"/>
  <c r="P452" i="68"/>
  <c r="P350" i="68"/>
  <c r="P71" i="68"/>
  <c r="P347" i="68"/>
  <c r="N45" i="68"/>
  <c r="P479" i="68"/>
  <c r="P163" i="68"/>
  <c r="P166" i="68" s="1"/>
  <c r="P86" i="68" s="1"/>
  <c r="O158" i="68"/>
  <c r="N35" i="68"/>
  <c r="O163" i="68"/>
  <c r="O166" i="68" s="1"/>
  <c r="O86" i="68" s="1"/>
  <c r="O87" i="68" s="1"/>
  <c r="O479" i="68"/>
  <c r="P154" i="68"/>
  <c r="P85" i="68"/>
  <c r="P480" i="68"/>
  <c r="K47" i="68"/>
  <c r="K525" i="68" s="1"/>
  <c r="K51" i="68"/>
  <c r="K48" i="68"/>
  <c r="K55" i="68"/>
  <c r="K56" i="68" s="1"/>
  <c r="K58" i="68" s="1"/>
  <c r="L90" i="68"/>
  <c r="AP17" i="66"/>
  <c r="AO7" i="66"/>
  <c r="AO108" i="66"/>
  <c r="AO4" i="66"/>
  <c r="AO5" i="66" s="1"/>
  <c r="AP110" i="66"/>
  <c r="AO201" i="66"/>
  <c r="C5" i="67"/>
  <c r="L483" i="68" l="1"/>
  <c r="L503" i="68" s="1"/>
  <c r="K72" i="68"/>
  <c r="K74" i="68" s="1"/>
  <c r="K78" i="68" s="1"/>
  <c r="K493" i="68" s="1"/>
  <c r="K507" i="68"/>
  <c r="R234" i="68"/>
  <c r="R153" i="68" s="1"/>
  <c r="N95" i="68"/>
  <c r="N100" i="68" s="1"/>
  <c r="S384" i="68"/>
  <c r="S357" i="68" s="1"/>
  <c r="S359" i="68" s="1"/>
  <c r="S363" i="68" s="1"/>
  <c r="R385" i="68"/>
  <c r="R449" i="68" s="1"/>
  <c r="R357" i="68"/>
  <c r="R359" i="68" s="1"/>
  <c r="R363" i="68" s="1"/>
  <c r="R344" i="68"/>
  <c r="R346" i="68" s="1"/>
  <c r="R391" i="68"/>
  <c r="N54" i="68"/>
  <c r="O354" i="68"/>
  <c r="O115" i="68" s="1"/>
  <c r="O122" i="68" s="1"/>
  <c r="O61" i="68"/>
  <c r="O75" i="68"/>
  <c r="O73" i="68"/>
  <c r="O504" i="68"/>
  <c r="K40" i="68"/>
  <c r="K60" i="68" s="1"/>
  <c r="K42" i="68"/>
  <c r="P353" i="68"/>
  <c r="P366" i="68"/>
  <c r="P63" i="68"/>
  <c r="P453" i="68"/>
  <c r="P120" i="68" s="1"/>
  <c r="P521" i="68"/>
  <c r="Q347" i="68"/>
  <c r="Q350" i="68"/>
  <c r="Q452" i="68"/>
  <c r="O35" i="68"/>
  <c r="P158" i="68"/>
  <c r="P35" i="68" s="1"/>
  <c r="P45" i="68"/>
  <c r="O45" i="68"/>
  <c r="Q162" i="68"/>
  <c r="Q480" i="68"/>
  <c r="Q85" i="68"/>
  <c r="Q154" i="68"/>
  <c r="L92" i="68"/>
  <c r="L93" i="68" s="1"/>
  <c r="P87" i="68"/>
  <c r="K66" i="68"/>
  <c r="T119" i="64"/>
  <c r="H352" i="64"/>
  <c r="AQ110" i="66"/>
  <c r="AP201" i="66"/>
  <c r="AQ17" i="66"/>
  <c r="AP7" i="66"/>
  <c r="AP108" i="66"/>
  <c r="AP4" i="66"/>
  <c r="AP5" i="66" s="1"/>
  <c r="H345" i="64"/>
  <c r="L230" i="68" l="1"/>
  <c r="L229" i="68"/>
  <c r="L232" i="68"/>
  <c r="L485" i="68"/>
  <c r="L495" i="68" s="1"/>
  <c r="L231" i="68"/>
  <c r="S234" i="68"/>
  <c r="S153" i="68" s="1"/>
  <c r="S391" i="68"/>
  <c r="S395" i="68" s="1"/>
  <c r="S398" i="68" s="1"/>
  <c r="S344" i="68"/>
  <c r="S346" i="68" s="1"/>
  <c r="T384" i="68"/>
  <c r="S385" i="68"/>
  <c r="S449" i="68" s="1"/>
  <c r="S71" i="68" s="1"/>
  <c r="S388" i="68"/>
  <c r="O54" i="68"/>
  <c r="R395" i="68"/>
  <c r="R398" i="68" s="1"/>
  <c r="R97" i="68" s="1"/>
  <c r="K7" i="68"/>
  <c r="K8" i="68" s="1"/>
  <c r="K124" i="68"/>
  <c r="R347" i="68"/>
  <c r="R71" i="68"/>
  <c r="R452" i="68"/>
  <c r="R350" i="68"/>
  <c r="P368" i="68"/>
  <c r="P61" i="68" s="1"/>
  <c r="P75" i="68"/>
  <c r="P504" i="68"/>
  <c r="Q353" i="68"/>
  <c r="Q366" i="68"/>
  <c r="Q63" i="68"/>
  <c r="Q521" i="68"/>
  <c r="Q453" i="68"/>
  <c r="Q120" i="68" s="1"/>
  <c r="P516" i="68"/>
  <c r="P523" i="68" s="1"/>
  <c r="P354" i="68"/>
  <c r="R162" i="68"/>
  <c r="R480" i="68"/>
  <c r="R154" i="68"/>
  <c r="R85" i="68"/>
  <c r="L123" i="68"/>
  <c r="L102" i="68"/>
  <c r="Q163" i="68"/>
  <c r="Q166" i="68" s="1"/>
  <c r="Q86" i="68" s="1"/>
  <c r="Q87" i="68" s="1"/>
  <c r="Q479" i="68"/>
  <c r="L46" i="68"/>
  <c r="Q158" i="68"/>
  <c r="L506" i="68"/>
  <c r="L70" i="68" s="1"/>
  <c r="L509" i="68"/>
  <c r="L524" i="68" s="1"/>
  <c r="H353" i="64"/>
  <c r="AR17" i="66"/>
  <c r="AQ7" i="66"/>
  <c r="AQ4" i="66"/>
  <c r="AQ5" i="66" s="1"/>
  <c r="AQ108" i="66"/>
  <c r="AQ201" i="66"/>
  <c r="AR110" i="66"/>
  <c r="H346" i="64"/>
  <c r="L233" i="68" l="1"/>
  <c r="L36" i="68" s="1"/>
  <c r="L44" i="68" s="1"/>
  <c r="L492" i="68"/>
  <c r="L49" i="68" s="1"/>
  <c r="T234" i="68"/>
  <c r="T357" i="68"/>
  <c r="T391" i="68"/>
  <c r="T385" i="68"/>
  <c r="T344" i="68"/>
  <c r="T388" i="68"/>
  <c r="S97" i="68"/>
  <c r="S347" i="68"/>
  <c r="Q368" i="68"/>
  <c r="Q61" i="68" s="1"/>
  <c r="Q75" i="68"/>
  <c r="Q504" i="68"/>
  <c r="R353" i="68"/>
  <c r="R366" i="68"/>
  <c r="Q516" i="68"/>
  <c r="Q523" i="68" s="1"/>
  <c r="R521" i="68"/>
  <c r="R63" i="68"/>
  <c r="R453" i="68"/>
  <c r="R120" i="68" s="1"/>
  <c r="P115" i="68"/>
  <c r="P122" i="68" s="1"/>
  <c r="Q354" i="68"/>
  <c r="P372" i="68"/>
  <c r="P95" i="68" s="1"/>
  <c r="P100" i="68" s="1"/>
  <c r="P73" i="68"/>
  <c r="S452" i="68"/>
  <c r="S350" i="68"/>
  <c r="Q45" i="68"/>
  <c r="Q35" i="68"/>
  <c r="L507" i="68"/>
  <c r="R158" i="68"/>
  <c r="S162" i="68"/>
  <c r="S154" i="68"/>
  <c r="S480" i="68"/>
  <c r="S85" i="68"/>
  <c r="L500" i="68"/>
  <c r="L104" i="68"/>
  <c r="L105" i="68" s="1"/>
  <c r="L69" i="68"/>
  <c r="L62" i="68"/>
  <c r="L64" i="68" s="1"/>
  <c r="L72" i="68"/>
  <c r="L74" i="68" s="1"/>
  <c r="L78" i="68" s="1"/>
  <c r="M483" i="68"/>
  <c r="L47" i="68"/>
  <c r="L525" i="68" s="1"/>
  <c r="L48" i="68"/>
  <c r="L51" i="68"/>
  <c r="R479" i="68"/>
  <c r="R163" i="68"/>
  <c r="R166" i="68" s="1"/>
  <c r="R86" i="68" s="1"/>
  <c r="R87" i="68" s="1"/>
  <c r="K367" i="64"/>
  <c r="H61" i="64"/>
  <c r="H54" i="64"/>
  <c r="AS110" i="66"/>
  <c r="AR201" i="66"/>
  <c r="AS17" i="66"/>
  <c r="AR7" i="66"/>
  <c r="AR4" i="66"/>
  <c r="AR5" i="66" s="1"/>
  <c r="AR108" i="66"/>
  <c r="K350" i="64"/>
  <c r="L40" i="68" l="1"/>
  <c r="L124" i="68" s="1"/>
  <c r="L42" i="68"/>
  <c r="T359" i="68"/>
  <c r="T153" i="68"/>
  <c r="T162" i="68" s="1"/>
  <c r="T449" i="68"/>
  <c r="T395" i="68"/>
  <c r="T346" i="68"/>
  <c r="P54" i="68"/>
  <c r="R368" i="68"/>
  <c r="R504" i="68"/>
  <c r="R75" i="68"/>
  <c r="Q372" i="68"/>
  <c r="Q95" i="68" s="1"/>
  <c r="Q100" i="68" s="1"/>
  <c r="Q73" i="68"/>
  <c r="S353" i="68"/>
  <c r="S366" i="68"/>
  <c r="R516" i="68"/>
  <c r="R523" i="68" s="1"/>
  <c r="R61" i="68"/>
  <c r="S63" i="68"/>
  <c r="S521" i="68"/>
  <c r="S453" i="68"/>
  <c r="S120" i="68" s="1"/>
  <c r="Q115" i="68"/>
  <c r="Q122" i="68" s="1"/>
  <c r="R354" i="68"/>
  <c r="S479" i="68"/>
  <c r="S163" i="68"/>
  <c r="S166" i="68" s="1"/>
  <c r="S86" i="68" s="1"/>
  <c r="S87" i="68" s="1"/>
  <c r="L55" i="68"/>
  <c r="L56" i="68" s="1"/>
  <c r="L58" i="68" s="1"/>
  <c r="M90" i="68"/>
  <c r="M229" i="68"/>
  <c r="M503" i="68"/>
  <c r="M485" i="68"/>
  <c r="R35" i="68"/>
  <c r="S158" i="68"/>
  <c r="L66" i="68"/>
  <c r="L493" i="68"/>
  <c r="R45" i="68"/>
  <c r="K366" i="64"/>
  <c r="K496" i="64"/>
  <c r="L367" i="64"/>
  <c r="AT17" i="66"/>
  <c r="AS7" i="66"/>
  <c r="AS4" i="66"/>
  <c r="AS5" i="66" s="1"/>
  <c r="AS108" i="66"/>
  <c r="AT110" i="66"/>
  <c r="AS201" i="66"/>
  <c r="K353" i="64"/>
  <c r="L350" i="64"/>
  <c r="K345" i="64"/>
  <c r="T363" i="68" l="1"/>
  <c r="T85" i="68"/>
  <c r="T154" i="68"/>
  <c r="T480" i="68"/>
  <c r="T398" i="68"/>
  <c r="T350" i="68"/>
  <c r="T353" i="68" s="1"/>
  <c r="T452" i="68"/>
  <c r="T347" i="68"/>
  <c r="T71" i="68"/>
  <c r="T163" i="68"/>
  <c r="L7" i="68"/>
  <c r="L8" i="68" s="1"/>
  <c r="T479" i="68"/>
  <c r="S368" i="68"/>
  <c r="S61" i="68" s="1"/>
  <c r="S75" i="68"/>
  <c r="S504" i="68"/>
  <c r="Q54" i="68"/>
  <c r="S516" i="68"/>
  <c r="S523" i="68" s="1"/>
  <c r="S354" i="68"/>
  <c r="R115" i="68"/>
  <c r="R122" i="68" s="1"/>
  <c r="R372" i="68"/>
  <c r="R95" i="68" s="1"/>
  <c r="R100" i="68" s="1"/>
  <c r="R73" i="68"/>
  <c r="S35" i="68"/>
  <c r="S45" i="68"/>
  <c r="L60" i="68"/>
  <c r="M506" i="68"/>
  <c r="M70" i="68" s="1"/>
  <c r="M509" i="68"/>
  <c r="M524" i="68" s="1"/>
  <c r="T158" i="68"/>
  <c r="M46" i="68"/>
  <c r="M92" i="68"/>
  <c r="M93" i="68" s="1"/>
  <c r="M232" i="68"/>
  <c r="M230" i="68"/>
  <c r="M231" i="68"/>
  <c r="M492" i="68"/>
  <c r="M495" i="68"/>
  <c r="K371" i="64"/>
  <c r="L371" i="64" s="1"/>
  <c r="K75" i="64"/>
  <c r="L366" i="64"/>
  <c r="L75" i="64" s="1"/>
  <c r="K516" i="64"/>
  <c r="K523" i="64" s="1"/>
  <c r="L496" i="64"/>
  <c r="M367" i="64"/>
  <c r="AU110" i="66"/>
  <c r="AT201" i="66"/>
  <c r="AU17" i="66"/>
  <c r="AT7" i="66"/>
  <c r="AT4" i="66"/>
  <c r="AT5" i="66" s="1"/>
  <c r="AT108" i="66"/>
  <c r="L353" i="64"/>
  <c r="M350" i="64"/>
  <c r="K498" i="64"/>
  <c r="L345" i="64"/>
  <c r="K354" i="64"/>
  <c r="T97" i="68" l="1"/>
  <c r="T63" i="68"/>
  <c r="T366" i="68"/>
  <c r="T368" i="68" s="1"/>
  <c r="T166" i="68"/>
  <c r="T86" i="68" s="1"/>
  <c r="T453" i="68"/>
  <c r="T45" i="68"/>
  <c r="T521" i="68"/>
  <c r="R54" i="68"/>
  <c r="S115" i="68"/>
  <c r="S122" i="68" s="1"/>
  <c r="S372" i="68"/>
  <c r="S95" i="68" s="1"/>
  <c r="S100" i="68" s="1"/>
  <c r="S73" i="68"/>
  <c r="T516" i="68"/>
  <c r="M233" i="68"/>
  <c r="M36" i="68" s="1"/>
  <c r="M42" i="68" s="1"/>
  <c r="M507" i="68"/>
  <c r="M500" i="68"/>
  <c r="M49" i="68"/>
  <c r="M123" i="68"/>
  <c r="M102" i="68"/>
  <c r="M48" i="68"/>
  <c r="M47" i="68"/>
  <c r="M51" i="68"/>
  <c r="N483" i="68"/>
  <c r="M62" i="68"/>
  <c r="M64" i="68" s="1"/>
  <c r="M72" i="68"/>
  <c r="M74" i="68" s="1"/>
  <c r="M78" i="68" s="1"/>
  <c r="M371" i="64"/>
  <c r="M366" i="64"/>
  <c r="M75" i="64" s="1"/>
  <c r="K499" i="64"/>
  <c r="L516" i="64"/>
  <c r="L523" i="64" s="1"/>
  <c r="N367" i="64"/>
  <c r="M496" i="64"/>
  <c r="AV17" i="66"/>
  <c r="AU7" i="66"/>
  <c r="AU108" i="66"/>
  <c r="AU4" i="66"/>
  <c r="AU5" i="66" s="1"/>
  <c r="AV110" i="66"/>
  <c r="AU201" i="66"/>
  <c r="M345" i="64"/>
  <c r="L498" i="64"/>
  <c r="K115" i="64"/>
  <c r="K122" i="64" s="1"/>
  <c r="L354" i="64"/>
  <c r="K395" i="64"/>
  <c r="K368" i="64"/>
  <c r="M353" i="64"/>
  <c r="N350" i="64"/>
  <c r="T75" i="68" l="1"/>
  <c r="T354" i="68"/>
  <c r="T115" i="68" s="1"/>
  <c r="T504" i="68"/>
  <c r="T35" i="68"/>
  <c r="T120" i="68"/>
  <c r="T523" i="68"/>
  <c r="T87" i="68"/>
  <c r="T372" i="68"/>
  <c r="T73" i="68"/>
  <c r="S54" i="68"/>
  <c r="T61" i="68"/>
  <c r="M44" i="68"/>
  <c r="M40" i="68"/>
  <c r="M124" i="68" s="1"/>
  <c r="N485" i="68"/>
  <c r="N503" i="68"/>
  <c r="N229" i="68"/>
  <c r="M66" i="68"/>
  <c r="M104" i="68"/>
  <c r="M105" i="68" s="1"/>
  <c r="M69" i="68"/>
  <c r="M493" i="68"/>
  <c r="M525" i="68"/>
  <c r="K398" i="64"/>
  <c r="L499" i="64"/>
  <c r="N366" i="64"/>
  <c r="N75" i="64" s="1"/>
  <c r="K372" i="64"/>
  <c r="N371" i="64"/>
  <c r="M516" i="64"/>
  <c r="M523" i="64" s="1"/>
  <c r="O367" i="64"/>
  <c r="N496" i="64"/>
  <c r="AW110" i="66"/>
  <c r="AV201" i="66"/>
  <c r="AW17" i="66"/>
  <c r="AV7" i="66"/>
  <c r="AV108" i="66"/>
  <c r="AV4" i="66"/>
  <c r="AV5" i="66" s="1"/>
  <c r="K359" i="64"/>
  <c r="N353" i="64"/>
  <c r="O350" i="64"/>
  <c r="K346" i="64"/>
  <c r="L115" i="64"/>
  <c r="L122" i="64" s="1"/>
  <c r="M354" i="64"/>
  <c r="M498" i="64"/>
  <c r="N345" i="64"/>
  <c r="T122" i="68" l="1"/>
  <c r="T95" i="68"/>
  <c r="T54" i="68"/>
  <c r="N46" i="68"/>
  <c r="N90" i="68"/>
  <c r="M55" i="68"/>
  <c r="N506" i="68"/>
  <c r="N70" i="68" s="1"/>
  <c r="N509" i="68"/>
  <c r="N524" i="68" s="1"/>
  <c r="N495" i="68"/>
  <c r="N492" i="68"/>
  <c r="K73" i="64"/>
  <c r="M499" i="64"/>
  <c r="O366" i="64"/>
  <c r="O75" i="64" s="1"/>
  <c r="O371" i="64"/>
  <c r="K363" i="64"/>
  <c r="K97" i="64"/>
  <c r="N516" i="64"/>
  <c r="N523" i="64" s="1"/>
  <c r="P367" i="64"/>
  <c r="O496" i="64"/>
  <c r="AX17" i="66"/>
  <c r="AW7" i="66"/>
  <c r="AW108" i="66"/>
  <c r="AW4" i="66"/>
  <c r="AW5" i="66" s="1"/>
  <c r="AW201" i="66"/>
  <c r="AX110" i="66"/>
  <c r="N498" i="64"/>
  <c r="O345" i="64"/>
  <c r="L368" i="64"/>
  <c r="L395" i="64"/>
  <c r="K347" i="64"/>
  <c r="O353" i="64"/>
  <c r="P350" i="64"/>
  <c r="N354" i="64"/>
  <c r="M115" i="64"/>
  <c r="M122" i="64" s="1"/>
  <c r="T100" i="68" l="1"/>
  <c r="M56" i="68"/>
  <c r="M58" i="68" s="1"/>
  <c r="N507" i="68"/>
  <c r="N92" i="68"/>
  <c r="N93" i="68" s="1"/>
  <c r="N230" i="68"/>
  <c r="N232" i="68"/>
  <c r="N231" i="68"/>
  <c r="N500" i="68"/>
  <c r="N49" i="68"/>
  <c r="O483" i="68"/>
  <c r="N62" i="68"/>
  <c r="N64" i="68" s="1"/>
  <c r="N72" i="68"/>
  <c r="N74" i="68" s="1"/>
  <c r="N78" i="68" s="1"/>
  <c r="N51" i="68"/>
  <c r="N47" i="68"/>
  <c r="N525" i="68" s="1"/>
  <c r="N48" i="68"/>
  <c r="K205" i="64"/>
  <c r="N499" i="64"/>
  <c r="K95" i="64"/>
  <c r="P371" i="64"/>
  <c r="P366" i="64"/>
  <c r="P75" i="64" s="1"/>
  <c r="L398" i="64"/>
  <c r="L372" i="64"/>
  <c r="O516" i="64"/>
  <c r="O523" i="64" s="1"/>
  <c r="P496" i="64"/>
  <c r="Q367" i="64"/>
  <c r="AY110" i="66"/>
  <c r="AX201" i="66"/>
  <c r="AY17" i="66"/>
  <c r="AX7" i="66"/>
  <c r="AX4" i="66"/>
  <c r="AX5" i="66" s="1"/>
  <c r="AX108" i="66"/>
  <c r="O498" i="64"/>
  <c r="P345" i="64"/>
  <c r="L359" i="64"/>
  <c r="L346" i="64"/>
  <c r="N115" i="64"/>
  <c r="N122" i="64" s="1"/>
  <c r="O354" i="64"/>
  <c r="P353" i="64"/>
  <c r="Q350" i="64"/>
  <c r="M7" i="68" l="1"/>
  <c r="M8" i="68" s="1"/>
  <c r="M60" i="68"/>
  <c r="N102" i="68"/>
  <c r="N123" i="68"/>
  <c r="N493" i="68"/>
  <c r="N66" i="68"/>
  <c r="O485" i="68"/>
  <c r="O229" i="68"/>
  <c r="O503" i="68"/>
  <c r="N233" i="68"/>
  <c r="N36" i="68" s="1"/>
  <c r="L73" i="64"/>
  <c r="K206" i="64"/>
  <c r="L97" i="64"/>
  <c r="Q371" i="64"/>
  <c r="K207" i="64"/>
  <c r="O499" i="64"/>
  <c r="L363" i="64"/>
  <c r="P516" i="64"/>
  <c r="P523" i="64" s="1"/>
  <c r="R367" i="64"/>
  <c r="Q496" i="64"/>
  <c r="K423" i="64"/>
  <c r="L347" i="64"/>
  <c r="R350" i="64"/>
  <c r="Q366" i="64"/>
  <c r="Q75" i="64" s="1"/>
  <c r="AZ17" i="66"/>
  <c r="AY7" i="66"/>
  <c r="AY108" i="66"/>
  <c r="AY4" i="66"/>
  <c r="AY5" i="66" s="1"/>
  <c r="AZ110" i="66"/>
  <c r="AY201" i="66"/>
  <c r="Q353" i="64"/>
  <c r="P354" i="64"/>
  <c r="O115" i="64"/>
  <c r="O122" i="64" s="1"/>
  <c r="P498" i="64"/>
  <c r="Q345" i="64"/>
  <c r="M395" i="64"/>
  <c r="M368" i="64"/>
  <c r="N44" i="68" l="1"/>
  <c r="N40" i="68"/>
  <c r="N42" i="68"/>
  <c r="O495" i="68"/>
  <c r="O492" i="68"/>
  <c r="O46" i="68"/>
  <c r="O509" i="68"/>
  <c r="O524" i="68" s="1"/>
  <c r="O506" i="68"/>
  <c r="O70" i="68" s="1"/>
  <c r="N104" i="68"/>
  <c r="N105" i="68" s="1"/>
  <c r="N69" i="68"/>
  <c r="K209" i="64"/>
  <c r="P499" i="64"/>
  <c r="M372" i="64"/>
  <c r="M398" i="64"/>
  <c r="L95" i="64"/>
  <c r="R371" i="64"/>
  <c r="R353" i="64"/>
  <c r="Q516" i="64"/>
  <c r="Q523" i="64" s="1"/>
  <c r="K212" i="64"/>
  <c r="K422" i="64"/>
  <c r="S367" i="64"/>
  <c r="T367" i="64" s="1"/>
  <c r="R496" i="64"/>
  <c r="S350" i="64"/>
  <c r="T350" i="64" s="1"/>
  <c r="R366" i="64"/>
  <c r="R75" i="64" s="1"/>
  <c r="K426" i="64"/>
  <c r="AZ201" i="66"/>
  <c r="BA110" i="66"/>
  <c r="BA17" i="66"/>
  <c r="AZ7" i="66"/>
  <c r="AZ108" i="66"/>
  <c r="AZ4" i="66"/>
  <c r="AZ5" i="66" s="1"/>
  <c r="Q498" i="64"/>
  <c r="R345" i="64"/>
  <c r="M359" i="64"/>
  <c r="Q354" i="64"/>
  <c r="P115" i="64"/>
  <c r="P122" i="64" s="1"/>
  <c r="M346" i="64"/>
  <c r="N55" i="68" l="1"/>
  <c r="N56" i="68" s="1"/>
  <c r="N58" i="68" s="1"/>
  <c r="O90" i="68"/>
  <c r="O507" i="68"/>
  <c r="O51" i="68"/>
  <c r="O47" i="68"/>
  <c r="O525" i="68" s="1"/>
  <c r="O48" i="68"/>
  <c r="N124" i="68"/>
  <c r="O62" i="68"/>
  <c r="O64" i="68" s="1"/>
  <c r="O72" i="68"/>
  <c r="O74" i="68" s="1"/>
  <c r="O78" i="68" s="1"/>
  <c r="P483" i="68"/>
  <c r="O49" i="68"/>
  <c r="O500" i="68"/>
  <c r="T496" i="64"/>
  <c r="T353" i="64"/>
  <c r="T366" i="64"/>
  <c r="M73" i="64"/>
  <c r="R516" i="64"/>
  <c r="R523" i="64" s="1"/>
  <c r="K425" i="64"/>
  <c r="S371" i="64"/>
  <c r="T371" i="64" s="1"/>
  <c r="M97" i="64"/>
  <c r="Q499" i="64"/>
  <c r="K418" i="64"/>
  <c r="K61" i="64" s="1"/>
  <c r="M363" i="64"/>
  <c r="K222" i="64"/>
  <c r="K482" i="64" s="1"/>
  <c r="S496" i="64"/>
  <c r="K511" i="64"/>
  <c r="K213" i="64"/>
  <c r="K214" i="64"/>
  <c r="S366" i="64"/>
  <c r="S75" i="64" s="1"/>
  <c r="S353" i="64"/>
  <c r="R498" i="64"/>
  <c r="S345" i="64"/>
  <c r="T345" i="64" s="1"/>
  <c r="BB17" i="66"/>
  <c r="BA7" i="66"/>
  <c r="BA4" i="66"/>
  <c r="BA5" i="66" s="1"/>
  <c r="BA108" i="66"/>
  <c r="BB110" i="66"/>
  <c r="BA201" i="66"/>
  <c r="Q115" i="64"/>
  <c r="Q122" i="64" s="1"/>
  <c r="R354" i="64"/>
  <c r="N368" i="64"/>
  <c r="N395" i="64"/>
  <c r="M347" i="64"/>
  <c r="N7" i="68" l="1"/>
  <c r="N8" i="68" s="1"/>
  <c r="O66" i="68"/>
  <c r="N60" i="68"/>
  <c r="O92" i="68"/>
  <c r="O93" i="68" s="1"/>
  <c r="O231" i="68"/>
  <c r="O232" i="68"/>
  <c r="O230" i="68"/>
  <c r="O493" i="68"/>
  <c r="P485" i="68"/>
  <c r="P229" i="68"/>
  <c r="P46" i="68" s="1"/>
  <c r="P503" i="68"/>
  <c r="T498" i="64"/>
  <c r="T346" i="64"/>
  <c r="T368" i="64"/>
  <c r="T75" i="64"/>
  <c r="T516" i="64"/>
  <c r="K486" i="64"/>
  <c r="K504" i="64" s="1"/>
  <c r="K419" i="64"/>
  <c r="L205" i="64"/>
  <c r="K515" i="64"/>
  <c r="N372" i="64"/>
  <c r="R499" i="64"/>
  <c r="N398" i="64"/>
  <c r="M95" i="64"/>
  <c r="S516" i="64"/>
  <c r="S523" i="64" s="1"/>
  <c r="S498" i="64"/>
  <c r="K420" i="64"/>
  <c r="L423" i="64"/>
  <c r="R115" i="64"/>
  <c r="R122" i="64" s="1"/>
  <c r="S354" i="64"/>
  <c r="T354" i="64" s="1"/>
  <c r="BC110" i="66"/>
  <c r="BB201" i="66"/>
  <c r="BC17" i="66"/>
  <c r="BB7" i="66"/>
  <c r="BB108" i="66"/>
  <c r="BB4" i="66"/>
  <c r="BB5" i="66" s="1"/>
  <c r="N359" i="64"/>
  <c r="N346" i="64"/>
  <c r="K224" i="64"/>
  <c r="K223" i="64"/>
  <c r="K215" i="64"/>
  <c r="T523" i="64" l="1"/>
  <c r="O233" i="68"/>
  <c r="O36" i="68" s="1"/>
  <c r="P48" i="68"/>
  <c r="P47" i="68"/>
  <c r="P51" i="68"/>
  <c r="P495" i="68"/>
  <c r="P492" i="68"/>
  <c r="P509" i="68"/>
  <c r="P524" i="68" s="1"/>
  <c r="P506" i="68"/>
  <c r="P70" i="68" s="1"/>
  <c r="O123" i="68"/>
  <c r="O102" i="68"/>
  <c r="T372" i="64"/>
  <c r="T115" i="64"/>
  <c r="T499" i="64"/>
  <c r="T73" i="64"/>
  <c r="N73" i="64"/>
  <c r="K491" i="64"/>
  <c r="L207" i="64"/>
  <c r="K108" i="64"/>
  <c r="N363" i="64"/>
  <c r="N97" i="64"/>
  <c r="S499" i="64"/>
  <c r="S115" i="64"/>
  <c r="S122" i="64" s="1"/>
  <c r="L422" i="64"/>
  <c r="L212" i="64"/>
  <c r="BD17" i="66"/>
  <c r="BC7" i="66"/>
  <c r="BC4" i="66"/>
  <c r="BC5" i="66" s="1"/>
  <c r="BC108" i="66"/>
  <c r="BD110" i="66"/>
  <c r="BC201" i="66"/>
  <c r="K226" i="64"/>
  <c r="L206" i="64"/>
  <c r="O368" i="64"/>
  <c r="O395" i="64"/>
  <c r="N347" i="64"/>
  <c r="K39" i="64"/>
  <c r="L426" i="64"/>
  <c r="O104" i="68" l="1"/>
  <c r="O105" i="68" s="1"/>
  <c r="O69" i="68"/>
  <c r="P525" i="68"/>
  <c r="P500" i="68"/>
  <c r="P49" i="68"/>
  <c r="Q483" i="68"/>
  <c r="P62" i="68"/>
  <c r="P64" i="68" s="1"/>
  <c r="P66" i="68" s="1"/>
  <c r="P72" i="68"/>
  <c r="P74" i="68" s="1"/>
  <c r="P78" i="68" s="1"/>
  <c r="P507" i="68"/>
  <c r="O42" i="68"/>
  <c r="O44" i="68"/>
  <c r="O40" i="68"/>
  <c r="K41" i="64"/>
  <c r="K103" i="64" s="1"/>
  <c r="K107" i="64"/>
  <c r="T122" i="64"/>
  <c r="L209" i="64"/>
  <c r="L222" i="64"/>
  <c r="L482" i="64" s="1"/>
  <c r="O372" i="64"/>
  <c r="K89" i="64"/>
  <c r="L425" i="64"/>
  <c r="O398" i="64"/>
  <c r="N95" i="64"/>
  <c r="L213" i="64"/>
  <c r="L214" i="64"/>
  <c r="L418" i="64"/>
  <c r="L61" i="64" s="1"/>
  <c r="L511" i="64"/>
  <c r="BE110" i="66"/>
  <c r="BD201" i="66"/>
  <c r="BE17" i="66"/>
  <c r="BD7" i="66"/>
  <c r="BD4" i="66"/>
  <c r="BD5" i="66" s="1"/>
  <c r="BD108" i="66"/>
  <c r="O359" i="64"/>
  <c r="O346" i="64"/>
  <c r="K421" i="64"/>
  <c r="P493" i="68" l="1"/>
  <c r="Q229" i="68"/>
  <c r="Q46" i="68" s="1"/>
  <c r="Q503" i="68"/>
  <c r="Q485" i="68"/>
  <c r="O55" i="68"/>
  <c r="O56" i="68" s="1"/>
  <c r="O58" i="68" s="1"/>
  <c r="P90" i="68"/>
  <c r="O124" i="68"/>
  <c r="K54" i="64"/>
  <c r="K94" i="64"/>
  <c r="O73" i="64"/>
  <c r="L419" i="64"/>
  <c r="L486" i="64"/>
  <c r="L491" i="64" s="1"/>
  <c r="M205" i="64"/>
  <c r="L515" i="64"/>
  <c r="O97" i="64"/>
  <c r="K114" i="64"/>
  <c r="O363" i="64"/>
  <c r="L420" i="64"/>
  <c r="M423" i="64"/>
  <c r="BF17" i="66"/>
  <c r="BE7" i="66"/>
  <c r="BE108" i="66"/>
  <c r="BE4" i="66"/>
  <c r="BE5" i="66" s="1"/>
  <c r="BF110" i="66"/>
  <c r="BE201" i="66"/>
  <c r="P368" i="64"/>
  <c r="P395" i="64"/>
  <c r="O347" i="64"/>
  <c r="O7" i="68" l="1"/>
  <c r="O8" i="68" s="1"/>
  <c r="O60" i="68"/>
  <c r="Q509" i="68"/>
  <c r="Q524" i="68" s="1"/>
  <c r="Q506" i="68"/>
  <c r="Q70" i="68" s="1"/>
  <c r="P92" i="68"/>
  <c r="P93" i="68" s="1"/>
  <c r="P232" i="68"/>
  <c r="P230" i="68"/>
  <c r="P231" i="68"/>
  <c r="Q48" i="68"/>
  <c r="Q47" i="68"/>
  <c r="Q51" i="68"/>
  <c r="Q492" i="68"/>
  <c r="Q495" i="68"/>
  <c r="P398" i="64"/>
  <c r="O95" i="64"/>
  <c r="P372" i="64"/>
  <c r="K100" i="64"/>
  <c r="L504" i="64"/>
  <c r="M212" i="64"/>
  <c r="M422" i="64"/>
  <c r="BG110" i="66"/>
  <c r="BF201" i="66"/>
  <c r="BG17" i="66"/>
  <c r="BF7" i="66"/>
  <c r="BF108" i="66"/>
  <c r="BF4" i="66"/>
  <c r="BF5" i="66" s="1"/>
  <c r="L223" i="64"/>
  <c r="L215" i="64"/>
  <c r="P346" i="64"/>
  <c r="L224" i="64"/>
  <c r="P359" i="64"/>
  <c r="Q507" i="68" l="1"/>
  <c r="P123" i="68"/>
  <c r="P102" i="68"/>
  <c r="Q49" i="68"/>
  <c r="Q500" i="68"/>
  <c r="P233" i="68"/>
  <c r="P36" i="68" s="1"/>
  <c r="R483" i="68"/>
  <c r="Q62" i="68"/>
  <c r="Q64" i="68" s="1"/>
  <c r="Q66" i="68" s="1"/>
  <c r="Q72" i="68"/>
  <c r="Q74" i="68" s="1"/>
  <c r="Q78" i="68" s="1"/>
  <c r="Q525" i="68"/>
  <c r="P73" i="64"/>
  <c r="P363" i="64"/>
  <c r="L108" i="64"/>
  <c r="M207" i="64"/>
  <c r="M206" i="64"/>
  <c r="M511" i="64"/>
  <c r="P97" i="64"/>
  <c r="M222" i="64"/>
  <c r="M418" i="64"/>
  <c r="M61" i="64" s="1"/>
  <c r="BH17" i="66"/>
  <c r="BG7" i="66"/>
  <c r="BG4" i="66"/>
  <c r="BG5" i="66" s="1"/>
  <c r="BG108" i="66"/>
  <c r="BH110" i="66"/>
  <c r="BG201" i="66"/>
  <c r="L226" i="64"/>
  <c r="L39" i="64"/>
  <c r="P347" i="64"/>
  <c r="Q368" i="64"/>
  <c r="Q395" i="64"/>
  <c r="R485" i="68" l="1"/>
  <c r="R229" i="68"/>
  <c r="R46" i="68" s="1"/>
  <c r="R503" i="68"/>
  <c r="Q493" i="68"/>
  <c r="P44" i="68"/>
  <c r="P40" i="68"/>
  <c r="P42" i="68"/>
  <c r="P104" i="68"/>
  <c r="P105" i="68" s="1"/>
  <c r="P69" i="68"/>
  <c r="L41" i="64"/>
  <c r="L103" i="64" s="1"/>
  <c r="L107" i="64"/>
  <c r="M209" i="64"/>
  <c r="Q398" i="64"/>
  <c r="Q372" i="64"/>
  <c r="L89" i="64"/>
  <c r="M486" i="64"/>
  <c r="M491" i="64" s="1"/>
  <c r="M482" i="64"/>
  <c r="M515" i="64"/>
  <c r="P95" i="64"/>
  <c r="N205" i="64"/>
  <c r="N423" i="64"/>
  <c r="L421" i="64"/>
  <c r="M426" i="64"/>
  <c r="BH201" i="66"/>
  <c r="BI110" i="66"/>
  <c r="BI17" i="66"/>
  <c r="BH7" i="66"/>
  <c r="BH108" i="66"/>
  <c r="BH4" i="66"/>
  <c r="BH5" i="66" s="1"/>
  <c r="Q359" i="64"/>
  <c r="Q346" i="64"/>
  <c r="P124" i="68" l="1"/>
  <c r="R506" i="68"/>
  <c r="R70" i="68" s="1"/>
  <c r="R509" i="68"/>
  <c r="R524" i="68" s="1"/>
  <c r="Q90" i="68"/>
  <c r="P55" i="68"/>
  <c r="P56" i="68" s="1"/>
  <c r="P58" i="68" s="1"/>
  <c r="R47" i="68"/>
  <c r="R48" i="68"/>
  <c r="R51" i="68"/>
  <c r="R495" i="68"/>
  <c r="R492" i="68"/>
  <c r="L54" i="64"/>
  <c r="L94" i="64"/>
  <c r="Q73" i="64"/>
  <c r="M504" i="64"/>
  <c r="L114" i="64"/>
  <c r="M425" i="64"/>
  <c r="M419" i="64" s="1"/>
  <c r="Q363" i="64"/>
  <c r="Q97" i="64"/>
  <c r="M213" i="64"/>
  <c r="M214" i="64"/>
  <c r="N212" i="64"/>
  <c r="N422" i="64"/>
  <c r="BJ17" i="66"/>
  <c r="BI7" i="66"/>
  <c r="BI108" i="66"/>
  <c r="BI4" i="66"/>
  <c r="BI5" i="66" s="1"/>
  <c r="BJ110" i="66"/>
  <c r="BI201" i="66"/>
  <c r="R395" i="64"/>
  <c r="R368" i="64"/>
  <c r="Q347" i="64"/>
  <c r="P7" i="68" l="1"/>
  <c r="P8" i="68" s="1"/>
  <c r="R525" i="68"/>
  <c r="S483" i="68"/>
  <c r="R72" i="68"/>
  <c r="R74" i="68" s="1"/>
  <c r="R78" i="68" s="1"/>
  <c r="R62" i="68"/>
  <c r="R64" i="68" s="1"/>
  <c r="R66" i="68" s="1"/>
  <c r="Q92" i="68"/>
  <c r="Q93" i="68" s="1"/>
  <c r="Q231" i="68"/>
  <c r="Q230" i="68"/>
  <c r="Q232" i="68"/>
  <c r="P60" i="68"/>
  <c r="R49" i="68"/>
  <c r="R500" i="68"/>
  <c r="R507" i="68"/>
  <c r="M224" i="64"/>
  <c r="R398" i="64"/>
  <c r="M223" i="64"/>
  <c r="N206" i="64" s="1"/>
  <c r="Q95" i="64"/>
  <c r="R372" i="64"/>
  <c r="L100" i="64"/>
  <c r="N222" i="64"/>
  <c r="M420" i="64"/>
  <c r="N511" i="64"/>
  <c r="N418" i="64"/>
  <c r="N61" i="64" s="1"/>
  <c r="R359" i="64"/>
  <c r="BK110" i="66"/>
  <c r="BJ201" i="66"/>
  <c r="BK17" i="66"/>
  <c r="BJ7" i="66"/>
  <c r="BJ108" i="66"/>
  <c r="BJ4" i="66"/>
  <c r="BJ5" i="66" s="1"/>
  <c r="R346" i="64"/>
  <c r="M215" i="64"/>
  <c r="Q102" i="68" l="1"/>
  <c r="Q123" i="68"/>
  <c r="Q233" i="68"/>
  <c r="Q36" i="68" s="1"/>
  <c r="R493" i="68"/>
  <c r="S229" i="68"/>
  <c r="S46" i="68" s="1"/>
  <c r="S485" i="68"/>
  <c r="S503" i="68"/>
  <c r="R73" i="64"/>
  <c r="M226" i="64"/>
  <c r="M89" i="64" s="1"/>
  <c r="O205" i="64"/>
  <c r="N482" i="64"/>
  <c r="R97" i="64"/>
  <c r="N515" i="64"/>
  <c r="M108" i="64"/>
  <c r="R363" i="64"/>
  <c r="N486" i="64"/>
  <c r="N491" i="64" s="1"/>
  <c r="N207" i="64"/>
  <c r="O423" i="64"/>
  <c r="N426" i="64"/>
  <c r="S359" i="64"/>
  <c r="S368" i="64"/>
  <c r="S395" i="64"/>
  <c r="BL17" i="66"/>
  <c r="BM17" i="66" s="1"/>
  <c r="BK7" i="66"/>
  <c r="BK108" i="66"/>
  <c r="BK4" i="66"/>
  <c r="BK5" i="66" s="1"/>
  <c r="BL110" i="66"/>
  <c r="BK201" i="66"/>
  <c r="R347" i="64"/>
  <c r="M421" i="64"/>
  <c r="M39" i="64"/>
  <c r="S506" i="68" l="1"/>
  <c r="S70" i="68" s="1"/>
  <c r="S509" i="68"/>
  <c r="S524" i="68" s="1"/>
  <c r="Q40" i="68"/>
  <c r="Q42" i="68"/>
  <c r="Q44" i="68"/>
  <c r="S495" i="68"/>
  <c r="S492" i="68"/>
  <c r="S51" i="68"/>
  <c r="S47" i="68"/>
  <c r="S48" i="68"/>
  <c r="Q104" i="68"/>
  <c r="Q105" i="68" s="1"/>
  <c r="Q69" i="68"/>
  <c r="M107" i="64"/>
  <c r="M41" i="64"/>
  <c r="M114" i="64" s="1"/>
  <c r="M54" i="64"/>
  <c r="BL201" i="66"/>
  <c r="BM110" i="66"/>
  <c r="BM4" i="66" s="1"/>
  <c r="BM108" i="66"/>
  <c r="BN17" i="66"/>
  <c r="N425" i="64"/>
  <c r="N420" i="64" s="1"/>
  <c r="N504" i="64"/>
  <c r="R95" i="64"/>
  <c r="N209" i="64"/>
  <c r="S363" i="64"/>
  <c r="S372" i="64"/>
  <c r="S398" i="64"/>
  <c r="T97" i="64" s="1"/>
  <c r="N214" i="64"/>
  <c r="N213" i="64"/>
  <c r="O422" i="64"/>
  <c r="O212" i="64"/>
  <c r="S346" i="64"/>
  <c r="S73" i="64" s="1"/>
  <c r="BL7" i="66"/>
  <c r="BL4" i="66"/>
  <c r="BL5" i="66" s="1"/>
  <c r="BL108" i="66"/>
  <c r="S507" i="68" l="1"/>
  <c r="S49" i="68"/>
  <c r="S500" i="68"/>
  <c r="Q124" i="68"/>
  <c r="S525" i="68"/>
  <c r="Q55" i="68"/>
  <c r="Q56" i="68" s="1"/>
  <c r="Q58" i="68" s="1"/>
  <c r="R90" i="68"/>
  <c r="T483" i="68"/>
  <c r="S62" i="68"/>
  <c r="S64" i="68" s="1"/>
  <c r="S66" i="68" s="1"/>
  <c r="S72" i="68"/>
  <c r="S74" i="68" s="1"/>
  <c r="S78" i="68" s="1"/>
  <c r="M103" i="64"/>
  <c r="M94" i="64"/>
  <c r="M100" i="64" s="1"/>
  <c r="T95" i="64"/>
  <c r="BM7" i="66"/>
  <c r="BM5" i="66"/>
  <c r="BO17" i="66"/>
  <c r="BN108" i="66"/>
  <c r="BN110" i="66"/>
  <c r="BN7" i="66" s="1"/>
  <c r="BM201" i="66"/>
  <c r="O222" i="64"/>
  <c r="N223" i="64"/>
  <c r="O206" i="64" s="1"/>
  <c r="S95" i="64"/>
  <c r="S97" i="64"/>
  <c r="N215" i="64"/>
  <c r="N419" i="64"/>
  <c r="O511" i="64"/>
  <c r="O418" i="64"/>
  <c r="O61" i="64" s="1"/>
  <c r="S347" i="64"/>
  <c r="T347" i="64" s="1"/>
  <c r="N224" i="64"/>
  <c r="BN4" i="66" l="1"/>
  <c r="BN5" i="66" s="1"/>
  <c r="Q7" i="68"/>
  <c r="Q8" i="68" s="1"/>
  <c r="Q60" i="68"/>
  <c r="S493" i="68"/>
  <c r="R92" i="68"/>
  <c r="R93" i="68" s="1"/>
  <c r="R230" i="68"/>
  <c r="R232" i="68"/>
  <c r="R231" i="68"/>
  <c r="T229" i="68"/>
  <c r="T485" i="68"/>
  <c r="T503" i="68"/>
  <c r="BO110" i="66"/>
  <c r="BN201" i="66"/>
  <c r="BP17" i="66"/>
  <c r="BO108" i="66"/>
  <c r="P205" i="64"/>
  <c r="O482" i="64"/>
  <c r="O486" i="64"/>
  <c r="O491" i="64" s="1"/>
  <c r="O515" i="64"/>
  <c r="O207" i="64"/>
  <c r="O209" i="64" s="1"/>
  <c r="N108" i="64"/>
  <c r="P423" i="64"/>
  <c r="O426" i="64"/>
  <c r="N226" i="64"/>
  <c r="N39" i="64"/>
  <c r="N421" i="64"/>
  <c r="T46" i="68" l="1"/>
  <c r="R102" i="68"/>
  <c r="R123" i="68"/>
  <c r="T492" i="68"/>
  <c r="T495" i="68"/>
  <c r="R233" i="68"/>
  <c r="R36" i="68" s="1"/>
  <c r="T509" i="68"/>
  <c r="T506" i="68"/>
  <c r="N107" i="64"/>
  <c r="N41" i="64"/>
  <c r="N103" i="64" s="1"/>
  <c r="N54" i="64"/>
  <c r="BO201" i="66"/>
  <c r="BP110" i="66"/>
  <c r="BP7" i="66" s="1"/>
  <c r="BO7" i="66"/>
  <c r="BP108" i="66"/>
  <c r="BQ17" i="66"/>
  <c r="BO4" i="66"/>
  <c r="BO5" i="66" s="1"/>
  <c r="N89" i="64"/>
  <c r="O425" i="64"/>
  <c r="O419" i="64" s="1"/>
  <c r="O504" i="64"/>
  <c r="O213" i="64"/>
  <c r="O214" i="64"/>
  <c r="P212" i="64"/>
  <c r="P422" i="64"/>
  <c r="T48" i="68" l="1"/>
  <c r="BP4" i="66"/>
  <c r="BP5" i="66" s="1"/>
  <c r="T70" i="68"/>
  <c r="T51" i="68"/>
  <c r="T524" i="68"/>
  <c r="T47" i="68"/>
  <c r="R104" i="68"/>
  <c r="R105" i="68" s="1"/>
  <c r="R69" i="68"/>
  <c r="T49" i="68"/>
  <c r="T500" i="68"/>
  <c r="R40" i="68"/>
  <c r="R42" i="68"/>
  <c r="R44" i="68"/>
  <c r="T507" i="68"/>
  <c r="N94" i="64"/>
  <c r="N100" i="64" s="1"/>
  <c r="BQ108" i="66"/>
  <c r="BP201" i="66"/>
  <c r="BQ110" i="66"/>
  <c r="BQ201" i="66" s="1"/>
  <c r="N114" i="64"/>
  <c r="P511" i="64"/>
  <c r="O420" i="64"/>
  <c r="P222" i="64"/>
  <c r="P418" i="64"/>
  <c r="P61" i="64" s="1"/>
  <c r="O224" i="64"/>
  <c r="O223" i="64"/>
  <c r="O215" i="64"/>
  <c r="T62" i="68" l="1"/>
  <c r="T72" i="68"/>
  <c r="T525" i="68"/>
  <c r="S90" i="68"/>
  <c r="R55" i="68"/>
  <c r="R56" i="68" s="1"/>
  <c r="R58" i="68" s="1"/>
  <c r="R124" i="68"/>
  <c r="BQ4" i="66"/>
  <c r="BQ5" i="66" s="1"/>
  <c r="BQ7" i="66"/>
  <c r="O108" i="64"/>
  <c r="P482" i="64"/>
  <c r="P207" i="64"/>
  <c r="P486" i="64"/>
  <c r="P515" i="64"/>
  <c r="Q205" i="64"/>
  <c r="Q423" i="64"/>
  <c r="O39" i="64"/>
  <c r="O226" i="64"/>
  <c r="P206" i="64"/>
  <c r="T64" i="68" l="1"/>
  <c r="T74" i="68"/>
  <c r="R7" i="68"/>
  <c r="R8" i="68" s="1"/>
  <c r="R60" i="68"/>
  <c r="S92" i="68"/>
  <c r="S93" i="68" s="1"/>
  <c r="S230" i="68"/>
  <c r="S231" i="68"/>
  <c r="S232" i="68"/>
  <c r="O107" i="64"/>
  <c r="O41" i="64"/>
  <c r="O103" i="64" s="1"/>
  <c r="O89" i="64"/>
  <c r="P504" i="64"/>
  <c r="P491" i="64"/>
  <c r="Q422" i="64"/>
  <c r="Q212" i="64"/>
  <c r="P426" i="64"/>
  <c r="O421" i="64"/>
  <c r="P209" i="64"/>
  <c r="T66" i="68" l="1"/>
  <c r="T78" i="68"/>
  <c r="S233" i="68"/>
  <c r="S36" i="68" s="1"/>
  <c r="S123" i="68"/>
  <c r="S102" i="68"/>
  <c r="O54" i="64"/>
  <c r="O94" i="64"/>
  <c r="P425" i="64"/>
  <c r="P214" i="64"/>
  <c r="P213" i="64"/>
  <c r="Q418" i="64"/>
  <c r="Q61" i="64" s="1"/>
  <c r="Q511" i="64"/>
  <c r="Q222" i="64"/>
  <c r="T493" i="68" l="1"/>
  <c r="S40" i="68"/>
  <c r="S44" i="68"/>
  <c r="S42" i="68"/>
  <c r="S104" i="68"/>
  <c r="S105" i="68" s="1"/>
  <c r="S69" i="68"/>
  <c r="R205" i="64"/>
  <c r="P224" i="64"/>
  <c r="Q486" i="64"/>
  <c r="Q491" i="64" s="1"/>
  <c r="Q515" i="64"/>
  <c r="O100" i="64"/>
  <c r="P419" i="64"/>
  <c r="O114" i="64"/>
  <c r="P215" i="64"/>
  <c r="P420" i="64"/>
  <c r="R423" i="64"/>
  <c r="Q482" i="64"/>
  <c r="P223" i="64"/>
  <c r="S55" i="68" l="1"/>
  <c r="S56" i="68" s="1"/>
  <c r="S58" i="68" s="1"/>
  <c r="T90" i="68"/>
  <c r="S124" i="68"/>
  <c r="Q207" i="64"/>
  <c r="P108" i="64"/>
  <c r="P226" i="64"/>
  <c r="R212" i="64"/>
  <c r="R511" i="64" s="1"/>
  <c r="Q504" i="64"/>
  <c r="R422" i="64"/>
  <c r="Q426" i="64"/>
  <c r="Q206" i="64"/>
  <c r="P39" i="64"/>
  <c r="P421" i="64"/>
  <c r="S7" i="68" l="1"/>
  <c r="S8" i="68" s="1"/>
  <c r="S60" i="68"/>
  <c r="T92" i="68"/>
  <c r="T232" i="68"/>
  <c r="T231" i="68"/>
  <c r="T230" i="68"/>
  <c r="P107" i="64"/>
  <c r="P41" i="64"/>
  <c r="P103" i="64" s="1"/>
  <c r="P54" i="64"/>
  <c r="R515" i="64"/>
  <c r="R222" i="64"/>
  <c r="Q425" i="64"/>
  <c r="P89" i="64"/>
  <c r="Q213" i="64"/>
  <c r="Q214" i="64"/>
  <c r="R418" i="64"/>
  <c r="R61" i="64" s="1"/>
  <c r="Q209" i="64"/>
  <c r="T93" i="68" l="1"/>
  <c r="T233" i="68"/>
  <c r="P114" i="64"/>
  <c r="P94" i="64"/>
  <c r="P100" i="64" s="1"/>
  <c r="Q419" i="64"/>
  <c r="R482" i="64"/>
  <c r="S205" i="64"/>
  <c r="R486" i="64"/>
  <c r="Q420" i="64"/>
  <c r="S423" i="64"/>
  <c r="Q224" i="64"/>
  <c r="Q223" i="64"/>
  <c r="Q215" i="64"/>
  <c r="T123" i="68" l="1"/>
  <c r="T102" i="68"/>
  <c r="T36" i="68"/>
  <c r="R504" i="64"/>
  <c r="Q108" i="64"/>
  <c r="R491" i="64"/>
  <c r="R207" i="64"/>
  <c r="S212" i="64"/>
  <c r="S422" i="64"/>
  <c r="Q226" i="64"/>
  <c r="R206" i="64"/>
  <c r="Q421" i="64"/>
  <c r="T104" i="68" l="1"/>
  <c r="T40" i="68"/>
  <c r="T69" i="68"/>
  <c r="T44" i="68"/>
  <c r="T42" i="68"/>
  <c r="Q54" i="64"/>
  <c r="Q89" i="64"/>
  <c r="S222" i="64"/>
  <c r="T205" i="64" s="1"/>
  <c r="S511" i="64"/>
  <c r="S418" i="64"/>
  <c r="R426" i="64"/>
  <c r="R209" i="64"/>
  <c r="Q39" i="64"/>
  <c r="T105" i="68" l="1"/>
  <c r="T124" i="68"/>
  <c r="T55" i="68"/>
  <c r="Q107" i="64"/>
  <c r="Q41" i="64"/>
  <c r="Q103" i="64" s="1"/>
  <c r="S61" i="64"/>
  <c r="T423" i="64"/>
  <c r="R425" i="64"/>
  <c r="R420" i="64" s="1"/>
  <c r="S482" i="64"/>
  <c r="S515" i="64"/>
  <c r="S486" i="64"/>
  <c r="R214" i="64"/>
  <c r="R213" i="64"/>
  <c r="I234" i="64"/>
  <c r="T56" i="68" l="1"/>
  <c r="Q94" i="64"/>
  <c r="Q100" i="64" s="1"/>
  <c r="T212" i="64"/>
  <c r="T422" i="64"/>
  <c r="S491" i="64"/>
  <c r="Q114" i="64"/>
  <c r="I154" i="64"/>
  <c r="I45" i="64" s="1"/>
  <c r="S504" i="64"/>
  <c r="R419" i="64"/>
  <c r="R224" i="64"/>
  <c r="R223" i="64"/>
  <c r="R215" i="64"/>
  <c r="H234" i="64"/>
  <c r="H55" i="64"/>
  <c r="T60" i="68" l="1"/>
  <c r="T58" i="68"/>
  <c r="T7" i="68"/>
  <c r="T8" i="68" s="1"/>
  <c r="T418" i="64"/>
  <c r="T222" i="64"/>
  <c r="T511" i="64"/>
  <c r="I47" i="64"/>
  <c r="I50" i="64" s="1"/>
  <c r="I48" i="64"/>
  <c r="R108" i="64"/>
  <c r="I158" i="64"/>
  <c r="I35" i="64" s="1"/>
  <c r="S207" i="64"/>
  <c r="R226" i="64"/>
  <c r="S206" i="64"/>
  <c r="R39" i="64"/>
  <c r="S426" i="64"/>
  <c r="H56" i="64"/>
  <c r="H64" i="64"/>
  <c r="R107" i="64" l="1"/>
  <c r="R41" i="64"/>
  <c r="R103" i="64" s="1"/>
  <c r="T61" i="64"/>
  <c r="T486" i="64"/>
  <c r="T515" i="64"/>
  <c r="T482" i="64"/>
  <c r="I40" i="64"/>
  <c r="I124" i="64" s="1"/>
  <c r="I42" i="64"/>
  <c r="I43" i="64" s="1"/>
  <c r="S425" i="64"/>
  <c r="H65" i="64"/>
  <c r="R89" i="64"/>
  <c r="H154" i="64"/>
  <c r="H45" i="64" s="1"/>
  <c r="S209" i="64"/>
  <c r="S213" i="64"/>
  <c r="S214" i="64"/>
  <c r="R421" i="64"/>
  <c r="H485" i="64"/>
  <c r="H492" i="64" s="1"/>
  <c r="H49" i="64" s="1"/>
  <c r="H58" i="64"/>
  <c r="H59" i="64"/>
  <c r="H92" i="64"/>
  <c r="H93" i="64" s="1"/>
  <c r="T491" i="64" l="1"/>
  <c r="T504" i="64"/>
  <c r="R54" i="64"/>
  <c r="R94" i="64"/>
  <c r="H123" i="64"/>
  <c r="H105" i="64"/>
  <c r="H47" i="64"/>
  <c r="H50" i="64" s="1"/>
  <c r="H48" i="64"/>
  <c r="R114" i="64"/>
  <c r="H158" i="64"/>
  <c r="H35" i="64" s="1"/>
  <c r="S419" i="64"/>
  <c r="S420" i="64"/>
  <c r="S224" i="64"/>
  <c r="T207" i="64" s="1"/>
  <c r="H500" i="64"/>
  <c r="T426" i="64" l="1"/>
  <c r="H40" i="64"/>
  <c r="H124" i="64" s="1"/>
  <c r="H42" i="64"/>
  <c r="H43" i="64" s="1"/>
  <c r="R100" i="64"/>
  <c r="S223" i="64"/>
  <c r="T206" i="64" s="1"/>
  <c r="S215" i="64"/>
  <c r="K153" i="64"/>
  <c r="H7" i="64" l="1"/>
  <c r="H8" i="64" s="1"/>
  <c r="T209" i="64"/>
  <c r="T213" i="64"/>
  <c r="T425" i="64"/>
  <c r="T214" i="64"/>
  <c r="K480" i="64"/>
  <c r="K162" i="64"/>
  <c r="K85" i="64"/>
  <c r="S226" i="64"/>
  <c r="S108" i="64"/>
  <c r="S39" i="64"/>
  <c r="S421" i="64"/>
  <c r="K154" i="64"/>
  <c r="L153" i="64"/>
  <c r="S107" i="64" l="1"/>
  <c r="S41" i="64"/>
  <c r="S94" i="64" s="1"/>
  <c r="T223" i="64"/>
  <c r="T224" i="64"/>
  <c r="T419" i="64"/>
  <c r="S54" i="64"/>
  <c r="T215" i="64"/>
  <c r="T420" i="64"/>
  <c r="L480" i="64"/>
  <c r="K479" i="64"/>
  <c r="K163" i="64"/>
  <c r="K45" i="64" s="1"/>
  <c r="L85" i="64"/>
  <c r="L162" i="64"/>
  <c r="S89" i="64"/>
  <c r="M153" i="64"/>
  <c r="L154" i="64"/>
  <c r="K158" i="64"/>
  <c r="S103" i="64" l="1"/>
  <c r="S114" i="64"/>
  <c r="T226" i="64"/>
  <c r="T108" i="64"/>
  <c r="T421" i="64"/>
  <c r="L163" i="64"/>
  <c r="L45" i="64" s="1"/>
  <c r="K166" i="64"/>
  <c r="K35" i="64" s="1"/>
  <c r="M85" i="64"/>
  <c r="M480" i="64"/>
  <c r="L479" i="64"/>
  <c r="S100" i="64"/>
  <c r="M154" i="64"/>
  <c r="L158" i="64"/>
  <c r="N153" i="64"/>
  <c r="M162" i="64"/>
  <c r="T39" i="64" l="1"/>
  <c r="T89" i="64"/>
  <c r="T54" i="64"/>
  <c r="N480" i="64"/>
  <c r="K86" i="64"/>
  <c r="L166" i="64"/>
  <c r="L35" i="64" s="1"/>
  <c r="N85" i="64"/>
  <c r="N162" i="64"/>
  <c r="M158" i="64"/>
  <c r="O153" i="64"/>
  <c r="M479" i="64"/>
  <c r="M163" i="64"/>
  <c r="M45" i="64" s="1"/>
  <c r="N154" i="64"/>
  <c r="T107" i="64" l="1"/>
  <c r="T41" i="64"/>
  <c r="M166" i="64"/>
  <c r="M35" i="64" s="1"/>
  <c r="L86" i="64"/>
  <c r="N163" i="64"/>
  <c r="N45" i="64" s="1"/>
  <c r="O480" i="64"/>
  <c r="K87" i="64"/>
  <c r="O85" i="64"/>
  <c r="O162" i="64"/>
  <c r="N479" i="64"/>
  <c r="P153" i="64"/>
  <c r="N158" i="64"/>
  <c r="O154" i="64"/>
  <c r="T103" i="64" l="1"/>
  <c r="T94" i="64"/>
  <c r="T153" i="64"/>
  <c r="L87" i="64"/>
  <c r="O163" i="64"/>
  <c r="O45" i="64" s="1"/>
  <c r="P480" i="64"/>
  <c r="N166" i="64"/>
  <c r="N35" i="64" s="1"/>
  <c r="M86" i="64"/>
  <c r="P85" i="64"/>
  <c r="O479" i="64"/>
  <c r="P162" i="64"/>
  <c r="S153" i="64"/>
  <c r="R153" i="64"/>
  <c r="P154" i="64"/>
  <c r="O158" i="64"/>
  <c r="Q153" i="64"/>
  <c r="T100" i="64" l="1"/>
  <c r="T114" i="64"/>
  <c r="T162" i="64"/>
  <c r="T480" i="64"/>
  <c r="T85" i="64"/>
  <c r="T154" i="64"/>
  <c r="N86" i="64"/>
  <c r="O166" i="64"/>
  <c r="O35" i="64" s="1"/>
  <c r="Q480" i="64"/>
  <c r="S480" i="64"/>
  <c r="P163" i="64"/>
  <c r="P45" i="64" s="1"/>
  <c r="M87" i="64"/>
  <c r="R85" i="64"/>
  <c r="R480" i="64"/>
  <c r="Q85" i="64"/>
  <c r="S162" i="64"/>
  <c r="S85" i="64"/>
  <c r="P479" i="64"/>
  <c r="Q162" i="64"/>
  <c r="S154" i="64"/>
  <c r="R154" i="64"/>
  <c r="R162" i="64"/>
  <c r="K483" i="64"/>
  <c r="P158" i="64"/>
  <c r="Q154" i="64"/>
  <c r="T479" i="64" l="1"/>
  <c r="T163" i="64"/>
  <c r="T158" i="64"/>
  <c r="S158" i="64"/>
  <c r="Q479" i="64"/>
  <c r="S479" i="64"/>
  <c r="O86" i="64"/>
  <c r="P166" i="64"/>
  <c r="P35" i="64" s="1"/>
  <c r="N87" i="64"/>
  <c r="S163" i="64"/>
  <c r="S45" i="64" s="1"/>
  <c r="Q163" i="64"/>
  <c r="Q45" i="64" s="1"/>
  <c r="R158" i="64"/>
  <c r="R163" i="64"/>
  <c r="R45" i="64" s="1"/>
  <c r="R479" i="64"/>
  <c r="Q158" i="64"/>
  <c r="I7" i="64"/>
  <c r="I8" i="64" s="1"/>
  <c r="T166" i="64" l="1"/>
  <c r="T45" i="64"/>
  <c r="S166" i="64"/>
  <c r="S35" i="64" s="1"/>
  <c r="P86" i="64"/>
  <c r="O87" i="64"/>
  <c r="Q166" i="64"/>
  <c r="Q35" i="64" s="1"/>
  <c r="R166" i="64"/>
  <c r="R35" i="64" s="1"/>
  <c r="T86" i="64" l="1"/>
  <c r="T35" i="64"/>
  <c r="Q86" i="64"/>
  <c r="P87" i="64"/>
  <c r="R86" i="64"/>
  <c r="S86" i="64"/>
  <c r="K229" i="64"/>
  <c r="K46" i="64" s="1"/>
  <c r="K51" i="64" s="1"/>
  <c r="K503" i="64"/>
  <c r="K485" i="64"/>
  <c r="T87" i="64" l="1"/>
  <c r="K90" i="64"/>
  <c r="K47" i="64"/>
  <c r="K48" i="64"/>
  <c r="Q87" i="64"/>
  <c r="R87" i="64"/>
  <c r="S87" i="64"/>
  <c r="K492" i="64"/>
  <c r="K49" i="64" s="1"/>
  <c r="K495" i="64"/>
  <c r="K509" i="64"/>
  <c r="K506" i="64"/>
  <c r="K70" i="64" s="1"/>
  <c r="L483" i="64" l="1"/>
  <c r="K524" i="64"/>
  <c r="K507" i="64"/>
  <c r="K92" i="64"/>
  <c r="K232" i="64"/>
  <c r="K230" i="64"/>
  <c r="K231" i="64"/>
  <c r="K500" i="64"/>
  <c r="K93" i="64" l="1"/>
  <c r="J7" i="64"/>
  <c r="J8" i="64" s="1"/>
  <c r="K233" i="64"/>
  <c r="K36" i="64" s="1"/>
  <c r="K42" i="64" l="1"/>
  <c r="K44" i="64"/>
  <c r="K40" i="64"/>
  <c r="K123" i="64"/>
  <c r="K102" i="64"/>
  <c r="L229" i="64"/>
  <c r="L46" i="64" s="1"/>
  <c r="L51" i="64" s="1"/>
  <c r="L503" i="64"/>
  <c r="L485" i="64"/>
  <c r="K62" i="64"/>
  <c r="K72" i="64"/>
  <c r="K124" i="64" l="1"/>
  <c r="K104" i="64"/>
  <c r="K105" i="64" s="1"/>
  <c r="K69" i="64"/>
  <c r="L47" i="64"/>
  <c r="L48" i="64"/>
  <c r="K74" i="64"/>
  <c r="K64" i="64"/>
  <c r="L492" i="64"/>
  <c r="L49" i="64" s="1"/>
  <c r="L495" i="64"/>
  <c r="L506" i="64"/>
  <c r="L509" i="64"/>
  <c r="L70" i="64" l="1"/>
  <c r="L90" i="64"/>
  <c r="K66" i="64"/>
  <c r="L524" i="64"/>
  <c r="K78" i="64"/>
  <c r="L507" i="64"/>
  <c r="L500" i="64"/>
  <c r="L72" i="64" l="1"/>
  <c r="L74" i="64" s="1"/>
  <c r="L78" i="64" s="1"/>
  <c r="M483" i="64"/>
  <c r="K55" i="64"/>
  <c r="K525" i="64"/>
  <c r="K493" i="64"/>
  <c r="L92" i="64"/>
  <c r="L231" i="64"/>
  <c r="L230" i="64"/>
  <c r="L232" i="64"/>
  <c r="K56" i="64" l="1"/>
  <c r="K60" i="64" s="1"/>
  <c r="L93" i="64"/>
  <c r="M229" i="64"/>
  <c r="M46" i="64" s="1"/>
  <c r="M51" i="64" s="1"/>
  <c r="M485" i="64"/>
  <c r="M503" i="64"/>
  <c r="L233" i="64"/>
  <c r="L36" i="64" s="1"/>
  <c r="L42" i="64" l="1"/>
  <c r="L44" i="64"/>
  <c r="L40" i="64"/>
  <c r="M47" i="64"/>
  <c r="M48" i="64"/>
  <c r="L62" i="64"/>
  <c r="L123" i="64"/>
  <c r="L102" i="64"/>
  <c r="L69" i="64" s="1"/>
  <c r="K58" i="64"/>
  <c r="K7" i="64" s="1"/>
  <c r="K8" i="64" s="1"/>
  <c r="M506" i="64"/>
  <c r="M509" i="64"/>
  <c r="M492" i="64"/>
  <c r="M49" i="64" s="1"/>
  <c r="M495" i="64"/>
  <c r="L124" i="64" l="1"/>
  <c r="M70" i="64"/>
  <c r="L104" i="64"/>
  <c r="L105" i="64" s="1"/>
  <c r="M90" i="64"/>
  <c r="L64" i="64"/>
  <c r="L493" i="64"/>
  <c r="M524" i="64"/>
  <c r="M507" i="64"/>
  <c r="M500" i="64"/>
  <c r="M72" i="64" l="1"/>
  <c r="M74" i="64" s="1"/>
  <c r="M78" i="64" s="1"/>
  <c r="N483" i="64"/>
  <c r="L66" i="64"/>
  <c r="L525" i="64"/>
  <c r="M62" i="64" l="1"/>
  <c r="L55" i="64"/>
  <c r="N229" i="64"/>
  <c r="N46" i="64" s="1"/>
  <c r="N51" i="64" s="1"/>
  <c r="N503" i="64"/>
  <c r="N485" i="64"/>
  <c r="M92" i="64"/>
  <c r="M231" i="64"/>
  <c r="M230" i="64"/>
  <c r="M232" i="64"/>
  <c r="N47" i="64" l="1"/>
  <c r="N48" i="64"/>
  <c r="M93" i="64"/>
  <c r="M64" i="64"/>
  <c r="L56" i="64"/>
  <c r="L60" i="64" s="1"/>
  <c r="N492" i="64"/>
  <c r="N49" i="64" s="1"/>
  <c r="N495" i="64"/>
  <c r="N506" i="64"/>
  <c r="N509" i="64"/>
  <c r="M233" i="64"/>
  <c r="M36" i="64" s="1"/>
  <c r="N70" i="64" l="1"/>
  <c r="M42" i="64"/>
  <c r="M44" i="64"/>
  <c r="M40" i="64"/>
  <c r="M525" i="64"/>
  <c r="M66" i="64"/>
  <c r="M102" i="64"/>
  <c r="M123" i="64"/>
  <c r="M493" i="64"/>
  <c r="L58" i="64"/>
  <c r="L7" i="64" s="1"/>
  <c r="L8" i="64" s="1"/>
  <c r="N524" i="64"/>
  <c r="N507" i="64"/>
  <c r="N500" i="64"/>
  <c r="M124" i="64" l="1"/>
  <c r="M69" i="64"/>
  <c r="N72" i="64"/>
  <c r="N74" i="64" s="1"/>
  <c r="N78" i="64" s="1"/>
  <c r="O483" i="64"/>
  <c r="M104" i="64"/>
  <c r="M105" i="64" s="1"/>
  <c r="N90" i="64" l="1"/>
  <c r="O229" i="64"/>
  <c r="O46" i="64" s="1"/>
  <c r="O51" i="64" s="1"/>
  <c r="O47" i="64" l="1"/>
  <c r="O48" i="64"/>
  <c r="O503" i="64"/>
  <c r="O506" i="64" s="1"/>
  <c r="O485" i="64"/>
  <c r="O492" i="64" s="1"/>
  <c r="O49" i="64" s="1"/>
  <c r="N62" i="64"/>
  <c r="N64" i="64" s="1"/>
  <c r="N525" i="64"/>
  <c r="M55" i="64"/>
  <c r="N92" i="64"/>
  <c r="N230" i="64"/>
  <c r="N232" i="64"/>
  <c r="N231" i="64"/>
  <c r="O70" i="64" l="1"/>
  <c r="O509" i="64"/>
  <c r="O524" i="64" s="1"/>
  <c r="O495" i="64"/>
  <c r="O500" i="64" s="1"/>
  <c r="N493" i="64"/>
  <c r="M56" i="64"/>
  <c r="M60" i="64" s="1"/>
  <c r="N66" i="64"/>
  <c r="N93" i="64"/>
  <c r="N233" i="64"/>
  <c r="N36" i="64" s="1"/>
  <c r="O507" i="64"/>
  <c r="O72" i="64" l="1"/>
  <c r="O74" i="64" s="1"/>
  <c r="O78" i="64" s="1"/>
  <c r="P483" i="64"/>
  <c r="N42" i="64"/>
  <c r="N44" i="64"/>
  <c r="N40" i="64"/>
  <c r="N102" i="64"/>
  <c r="N69" i="64" s="1"/>
  <c r="N123" i="64"/>
  <c r="M58" i="64"/>
  <c r="M7" i="64" s="1"/>
  <c r="M8" i="64" s="1"/>
  <c r="N124" i="64" l="1"/>
  <c r="N104" i="64"/>
  <c r="N105" i="64" s="1"/>
  <c r="O90" i="64"/>
  <c r="O62" i="64"/>
  <c r="P229" i="64"/>
  <c r="P46" i="64" s="1"/>
  <c r="P51" i="64" s="1"/>
  <c r="P503" i="64"/>
  <c r="P485" i="64"/>
  <c r="P47" i="64" l="1"/>
  <c r="P48" i="64"/>
  <c r="O64" i="64"/>
  <c r="P506" i="64"/>
  <c r="P509" i="64"/>
  <c r="P492" i="64"/>
  <c r="P49" i="64" s="1"/>
  <c r="P495" i="64"/>
  <c r="P70" i="64" l="1"/>
  <c r="N55" i="64"/>
  <c r="O66" i="64"/>
  <c r="O525" i="64"/>
  <c r="P524" i="64"/>
  <c r="O92" i="64"/>
  <c r="O230" i="64"/>
  <c r="O231" i="64"/>
  <c r="O232" i="64"/>
  <c r="P500" i="64"/>
  <c r="P507" i="64"/>
  <c r="P72" i="64" l="1"/>
  <c r="P74" i="64" s="1"/>
  <c r="P78" i="64" s="1"/>
  <c r="Q483" i="64"/>
  <c r="N56" i="64"/>
  <c r="N60" i="64" s="1"/>
  <c r="O93" i="64"/>
  <c r="O493" i="64"/>
  <c r="O233" i="64"/>
  <c r="O36" i="64" s="1"/>
  <c r="O42" i="64" l="1"/>
  <c r="O44" i="64"/>
  <c r="O40" i="64"/>
  <c r="O123" i="64"/>
  <c r="O102" i="64"/>
  <c r="O69" i="64" s="1"/>
  <c r="N58" i="64"/>
  <c r="N7" i="64" s="1"/>
  <c r="N8" i="64" s="1"/>
  <c r="Q229" i="64"/>
  <c r="Q46" i="64" s="1"/>
  <c r="Q51" i="64" s="1"/>
  <c r="Q503" i="64"/>
  <c r="Q485" i="64"/>
  <c r="P62" i="64"/>
  <c r="O124" i="64" l="1"/>
  <c r="P90" i="64"/>
  <c r="Q47" i="64"/>
  <c r="Q48" i="64"/>
  <c r="O104" i="64"/>
  <c r="O105" i="64" s="1"/>
  <c r="Q492" i="64"/>
  <c r="Q49" i="64" s="1"/>
  <c r="Q495" i="64"/>
  <c r="Q506" i="64"/>
  <c r="Q509" i="64"/>
  <c r="Q70" i="64" l="1"/>
  <c r="P64" i="64"/>
  <c r="Q524" i="64"/>
  <c r="Q500" i="64"/>
  <c r="Q507" i="64"/>
  <c r="Q72" i="64" l="1"/>
  <c r="Q74" i="64" s="1"/>
  <c r="Q78" i="64" s="1"/>
  <c r="R483" i="64"/>
  <c r="P493" i="64"/>
  <c r="O55" i="64"/>
  <c r="P525" i="64"/>
  <c r="P66" i="64"/>
  <c r="P92" i="64"/>
  <c r="P231" i="64"/>
  <c r="P232" i="64"/>
  <c r="P230" i="64"/>
  <c r="P93" i="64" l="1"/>
  <c r="P123" i="64" s="1"/>
  <c r="O56" i="64"/>
  <c r="O60" i="64" s="1"/>
  <c r="R229" i="64"/>
  <c r="R46" i="64" s="1"/>
  <c r="R51" i="64" s="1"/>
  <c r="R503" i="64"/>
  <c r="R485" i="64"/>
  <c r="P233" i="64"/>
  <c r="P36" i="64" s="1"/>
  <c r="Q62" i="64"/>
  <c r="P42" i="64" l="1"/>
  <c r="P44" i="64"/>
  <c r="P40" i="64"/>
  <c r="R47" i="64"/>
  <c r="R48" i="64"/>
  <c r="P102" i="64"/>
  <c r="P69" i="64" s="1"/>
  <c r="O58" i="64"/>
  <c r="O7" i="64" s="1"/>
  <c r="O8" i="64" s="1"/>
  <c r="R492" i="64"/>
  <c r="R49" i="64" s="1"/>
  <c r="R495" i="64"/>
  <c r="R509" i="64"/>
  <c r="R506" i="64"/>
  <c r="Q64" i="64"/>
  <c r="P124" i="64" l="1"/>
  <c r="R70" i="64"/>
  <c r="P104" i="64"/>
  <c r="P105" i="64" s="1"/>
  <c r="Q90" i="64"/>
  <c r="Q525" i="64"/>
  <c r="R524" i="64"/>
  <c r="R507" i="64"/>
  <c r="R500" i="64"/>
  <c r="R72" i="64" l="1"/>
  <c r="R74" i="64" s="1"/>
  <c r="R78" i="64" s="1"/>
  <c r="S483" i="64"/>
  <c r="Q66" i="64"/>
  <c r="Q493" i="64"/>
  <c r="P55" i="64" l="1"/>
  <c r="S229" i="64"/>
  <c r="S46" i="64" s="1"/>
  <c r="S51" i="64" s="1"/>
  <c r="S485" i="64"/>
  <c r="S503" i="64"/>
  <c r="R62" i="64"/>
  <c r="Q92" i="64"/>
  <c r="Q232" i="64"/>
  <c r="Q230" i="64"/>
  <c r="Q231" i="64"/>
  <c r="S47" i="64" l="1"/>
  <c r="S48" i="64"/>
  <c r="R64" i="64"/>
  <c r="P56" i="64"/>
  <c r="P60" i="64" s="1"/>
  <c r="Q93" i="64"/>
  <c r="S509" i="64"/>
  <c r="S506" i="64"/>
  <c r="S70" i="64" s="1"/>
  <c r="S492" i="64"/>
  <c r="S49" i="64" s="1"/>
  <c r="S495" i="64"/>
  <c r="Q233" i="64"/>
  <c r="Q36" i="64" s="1"/>
  <c r="T483" i="64" l="1"/>
  <c r="S72" i="64"/>
  <c r="Q42" i="64"/>
  <c r="Q44" i="64"/>
  <c r="Q40" i="64"/>
  <c r="Q102" i="64"/>
  <c r="R493" i="64"/>
  <c r="Q123" i="64"/>
  <c r="P58" i="64"/>
  <c r="P7" i="64" s="1"/>
  <c r="P8" i="64" s="1"/>
  <c r="S524" i="64"/>
  <c r="S500" i="64"/>
  <c r="S507" i="64"/>
  <c r="S74" i="64" l="1"/>
  <c r="S78" i="64" s="1"/>
  <c r="T229" i="64"/>
  <c r="T485" i="64"/>
  <c r="T503" i="64"/>
  <c r="Q124" i="64"/>
  <c r="Q69" i="64"/>
  <c r="Q104" i="64"/>
  <c r="R525" i="64"/>
  <c r="R66" i="64"/>
  <c r="T492" i="64" l="1"/>
  <c r="T495" i="64"/>
  <c r="T509" i="64"/>
  <c r="T506" i="64"/>
  <c r="T46" i="64"/>
  <c r="R90" i="64"/>
  <c r="Q105" i="64"/>
  <c r="T70" i="64" l="1"/>
  <c r="T524" i="64"/>
  <c r="T507" i="64"/>
  <c r="T51" i="64"/>
  <c r="T47" i="64"/>
  <c r="T48" i="64"/>
  <c r="T49" i="64"/>
  <c r="T500" i="64"/>
  <c r="Q55" i="64"/>
  <c r="S62" i="64"/>
  <c r="R232" i="64"/>
  <c r="R230" i="64"/>
  <c r="R231" i="64"/>
  <c r="R92" i="64"/>
  <c r="T72" i="64" l="1"/>
  <c r="T62" i="64"/>
  <c r="T525" i="64"/>
  <c r="R93" i="64"/>
  <c r="R102" i="64" s="1"/>
  <c r="Q56" i="64"/>
  <c r="Q60" i="64" s="1"/>
  <c r="S64" i="64"/>
  <c r="R233" i="64"/>
  <c r="R36" i="64" s="1"/>
  <c r="T74" i="64" l="1"/>
  <c r="T64" i="64"/>
  <c r="R69" i="64"/>
  <c r="R42" i="64"/>
  <c r="R44" i="64"/>
  <c r="R40" i="64"/>
  <c r="R123" i="64"/>
  <c r="Q58" i="64"/>
  <c r="Q7" i="64" s="1"/>
  <c r="Q8" i="64" s="1"/>
  <c r="R104" i="64"/>
  <c r="T78" i="64" l="1"/>
  <c r="T66" i="64"/>
  <c r="R124" i="64"/>
  <c r="S90" i="64"/>
  <c r="R105" i="64"/>
  <c r="S493" i="64"/>
  <c r="S525" i="64"/>
  <c r="S66" i="64"/>
  <c r="T493" i="64" l="1"/>
  <c r="R55" i="64"/>
  <c r="S230" i="64"/>
  <c r="S231" i="64"/>
  <c r="S232" i="64"/>
  <c r="S92" i="64"/>
  <c r="R56" i="64" l="1"/>
  <c r="R60" i="64" s="1"/>
  <c r="S93" i="64"/>
  <c r="S233" i="64"/>
  <c r="S36" i="64" s="1"/>
  <c r="S42" i="64" l="1"/>
  <c r="S44" i="64"/>
  <c r="S40" i="64"/>
  <c r="S102" i="64"/>
  <c r="S69" i="64" s="1"/>
  <c r="R58" i="64"/>
  <c r="R7" i="64" s="1"/>
  <c r="R8" i="64" s="1"/>
  <c r="S123" i="64"/>
  <c r="T90" i="64" l="1"/>
  <c r="S124" i="64"/>
  <c r="S104" i="64"/>
  <c r="S105" i="64" s="1"/>
  <c r="T230" i="64" l="1"/>
  <c r="T231" i="64"/>
  <c r="T232" i="64"/>
  <c r="T92" i="64"/>
  <c r="T93" i="64" l="1"/>
  <c r="T233" i="64"/>
  <c r="S55" i="64"/>
  <c r="S56" i="64" s="1"/>
  <c r="S60" i="64" s="1"/>
  <c r="T102" i="64" l="1"/>
  <c r="T123" i="64"/>
  <c r="T36" i="64"/>
  <c r="S58" i="64"/>
  <c r="T42" i="64" l="1"/>
  <c r="T104" i="64"/>
  <c r="T69" i="64"/>
  <c r="T40" i="64"/>
  <c r="T44" i="64"/>
  <c r="T55" i="64" l="1"/>
  <c r="T105" i="64"/>
  <c r="T124" i="64"/>
  <c r="S7" i="64"/>
  <c r="S8" i="64" s="1"/>
  <c r="T56" i="64" l="1"/>
  <c r="T60" i="64" l="1"/>
  <c r="T58" i="64"/>
  <c r="T7" i="64" l="1"/>
  <c r="T8" i="6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4" authorId="0" shapeId="0" xr:uid="{00000000-0006-0000-0600-000001000000}">
      <text>
        <r>
          <rPr>
            <sz val="9"/>
            <color indexed="81"/>
            <rFont val="Tahoma"/>
            <family val="2"/>
          </rPr>
          <t xml:space="preserve">Non-Earners' Account and non-earners' share of the Treatment Injury Account is paid by the government. Hence those shares of the levy income are removed in the preparation of consolidated accounts. 
</t>
        </r>
      </text>
    </comment>
    <comment ref="A26" authorId="0" shapeId="0" xr:uid="{00000000-0006-0000-0600-000002000000}">
      <text>
        <r>
          <rPr>
            <sz val="9"/>
            <color indexed="81"/>
            <rFont val="Tahoma"/>
            <family val="2"/>
          </rPr>
          <t xml:space="preserve">Non-Earners' Account and non-earners' share of the Treatment Injury Account is paid by the government. Hence those shares of the claims and other expenses are removed in the preparation of consolidated accounts.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59" authorId="0" shapeId="0" xr:uid="{00000000-0006-0000-0900-000001000000}">
      <text>
        <r>
          <rPr>
            <sz val="9"/>
            <color indexed="81"/>
            <rFont val="Tahoma"/>
            <family val="2"/>
          </rPr>
          <t xml:space="preserve">These expenses were included in Heritage, culture and recreation expenses until 2010/11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9" authorId="0" shapeId="0" xr:uid="{00000000-0006-0000-0B00-000001000000}">
      <text>
        <r>
          <rPr>
            <sz val="9"/>
            <color indexed="81"/>
            <rFont val="Tahoma"/>
            <family val="2"/>
          </rPr>
          <t xml:space="preserve">NAC stands for Needed As Check. The data in this row is not actually picked up in the model itself, but is used as a check on other data in this worksheet.
</t>
        </r>
      </text>
    </comment>
    <comment ref="B10" authorId="0" shapeId="0" xr:uid="{7C8544D2-0CF7-41CF-90D3-83B3D4747F16}">
      <text>
        <r>
          <rPr>
            <sz val="9"/>
            <color indexed="81"/>
            <rFont val="Tahoma"/>
            <family val="2"/>
          </rPr>
          <t xml:space="preserve">UIM stands for Used In Model. The data in this row is directly referenced in the main modelling worksheets of the model.
</t>
        </r>
      </text>
    </comment>
    <comment ref="B127" authorId="0" shapeId="0" xr:uid="{00000000-0006-0000-0B00-000004000000}">
      <text>
        <r>
          <rPr>
            <sz val="9"/>
            <color indexed="81"/>
            <rFont val="Tahoma"/>
            <family val="2"/>
          </rPr>
          <t>These are Used In Modelling worksheets, so are UIM, but some formulae in this worksheet need this cell to be empty.</t>
        </r>
      </text>
    </comment>
    <comment ref="B128" authorId="0" shapeId="0" xr:uid="{00000000-0006-0000-0B00-000005000000}">
      <text>
        <r>
          <rPr>
            <sz val="9"/>
            <color indexed="81"/>
            <rFont val="Tahoma"/>
            <family val="2"/>
          </rPr>
          <t>These are Used In Modelling worksheets, so are UIM, but some formulae in this worksheet need this cell to be empty.</t>
        </r>
      </text>
    </comment>
    <comment ref="A142" authorId="0" shapeId="0" xr:uid="{00000000-0006-0000-0B00-000006000000}">
      <text>
        <r>
          <rPr>
            <sz val="9"/>
            <color indexed="81"/>
            <rFont val="Tahoma"/>
            <family val="2"/>
          </rPr>
          <t>Includes unsettled purchases of securities, which are classified as accounts payable in the Statement of Financial Position.</t>
        </r>
      </text>
    </comment>
    <comment ref="A161" authorId="0" shapeId="0" xr:uid="{00000000-0006-0000-0B00-000007000000}">
      <text>
        <r>
          <rPr>
            <sz val="9"/>
            <color indexed="81"/>
            <rFont val="Tahoma"/>
            <family val="2"/>
          </rPr>
          <t>In the Statement of Segments this variable is labelled Social assistance and official development assistance, but it is exactly the same variable which is labelled Transfer payments and subsidies in the Statement of Financial Performance.</t>
        </r>
      </text>
    </comment>
    <comment ref="A195" authorId="0" shapeId="0" xr:uid="{00000000-0006-0000-0B00-000008000000}">
      <text>
        <r>
          <rPr>
            <sz val="9"/>
            <color indexed="81"/>
            <rFont val="Tahoma"/>
            <family val="2"/>
          </rPr>
          <t xml:space="preserve">Often there are no inter-segment eliminations for Insurance expenses and this is what is assumed in projected years. However, occasionally they occur in historical and forecast years, and, if they do, they are normally very small. In such cases they are included with State-owned enterprises numbers. </t>
        </r>
      </text>
    </comment>
    <comment ref="A230" authorId="0" shapeId="0" xr:uid="{00000000-0006-0000-0B00-000009000000}">
      <text>
        <r>
          <rPr>
            <sz val="9"/>
            <color indexed="81"/>
            <rFont val="Tahoma"/>
            <family val="2"/>
          </rPr>
          <t xml:space="preserve">Often there is no State-owned enterprises Dividend revenue and this is what is assumed in projected years. However, occasionally it occurs in historical and forecast years, and, if it does, it is normally very small. In such cases it is included with Inter-segment eliminations numbers. </t>
        </r>
      </text>
    </comment>
    <comment ref="A251" authorId="0" shapeId="0" xr:uid="{00000000-0006-0000-0B00-00000A000000}">
      <text>
        <r>
          <rPr>
            <sz val="9"/>
            <color indexed="81"/>
            <rFont val="Tahoma"/>
            <family val="2"/>
          </rPr>
          <t xml:space="preserve">Often there are no inter-segment eliminations for Depreciation expenses and this is what is assumed in projected years. However, occasionally they occur in historical and forecast years, and, if they do, they are normally very small. In such cases they are included with State-owned enterprises numbers. </t>
        </r>
      </text>
    </comment>
    <comment ref="A256" authorId="0" shapeId="0" xr:uid="{00000000-0006-0000-0B00-00000B000000}">
      <text>
        <r>
          <rPr>
            <sz val="9"/>
            <color indexed="81"/>
            <rFont val="Tahoma"/>
            <family val="2"/>
          </rPr>
          <t xml:space="preserve">Often there are no inter-segment eliminations for Amortisation expenses and this is what is assumed in projected years. However, occasionally they occur in historical and forecast years, and, if they do, they are normally very small. In such cases they are included with State-owned enterprises numbers. </t>
        </r>
      </text>
    </comment>
    <comment ref="D337" authorId="0" shapeId="0" xr:uid="{F1FF54D5-3A8F-461B-91F4-F1126C46BEFB}">
      <text>
        <r>
          <rPr>
            <sz val="9"/>
            <color indexed="81"/>
            <rFont val="Tahoma"/>
            <family val="2"/>
          </rPr>
          <t xml:space="preserve">Adjustment made for accounting measurement change to previous year
</t>
        </r>
      </text>
    </comment>
    <comment ref="D354" authorId="0" shapeId="0" xr:uid="{175D32BB-3D1E-4E18-9873-55A138946A12}">
      <text>
        <r>
          <rPr>
            <sz val="9"/>
            <color indexed="81"/>
            <rFont val="Tahoma"/>
            <family val="2"/>
          </rPr>
          <t xml:space="preserve">Adjustment made for accounting measurement change to previous year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51" authorId="0" shapeId="0" xr:uid="{B15F751E-FF86-439F-B52D-27C18B64F302}">
      <text>
        <r>
          <rPr>
            <sz val="9"/>
            <color indexed="81"/>
            <rFont val="Tahoma"/>
            <family val="2"/>
          </rPr>
          <t>Formula includes a small adjustment to allow for rounding error differences</t>
        </r>
      </text>
    </comment>
    <comment ref="A263" authorId="0" shapeId="0" xr:uid="{00000000-0006-0000-0D00-000002000000}">
      <text>
        <r>
          <rPr>
            <sz val="9"/>
            <color indexed="81"/>
            <rFont val="Tahoma"/>
            <family val="2"/>
          </rPr>
          <t>Includes gains/(losses) and reversal of impairment /(impairment) until 2016/17 but not in later years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51" authorId="0" shapeId="0" xr:uid="{67E1E713-593D-4CA5-A87E-63635E9CC993}">
      <text>
        <r>
          <rPr>
            <sz val="9"/>
            <color indexed="81"/>
            <rFont val="Tahoma"/>
            <family val="2"/>
          </rPr>
          <t>Formula includes a small adjustment to allow for rounding error differences</t>
        </r>
      </text>
    </comment>
    <comment ref="A263" authorId="0" shapeId="0" xr:uid="{26810D07-F660-41BA-838D-DEE9E6EB6161}">
      <text>
        <r>
          <rPr>
            <sz val="9"/>
            <color indexed="81"/>
            <rFont val="Tahoma"/>
            <family val="2"/>
          </rPr>
          <t>Includes gains/(losses) and reversal of impairment /(impairment) until 2016/17 but not in later years</t>
        </r>
      </text>
    </comment>
  </commentList>
</comments>
</file>

<file path=xl/sharedStrings.xml><?xml version="1.0" encoding="utf-8"?>
<sst xmlns="http://schemas.openxmlformats.org/spreadsheetml/2006/main" count="2537" uniqueCount="1319">
  <si>
    <t>90 &amp; over</t>
  </si>
  <si>
    <t>Female total</t>
  </si>
  <si>
    <t>Population projections</t>
  </si>
  <si>
    <t>Male total</t>
  </si>
  <si>
    <t>Year ended 30 June</t>
  </si>
  <si>
    <t>2005/06</t>
  </si>
  <si>
    <t>2006/07</t>
  </si>
  <si>
    <t>2007/08</t>
  </si>
  <si>
    <t>2008/09</t>
  </si>
  <si>
    <t>2010/11</t>
  </si>
  <si>
    <t>2009/10</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</si>
  <si>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</si>
  <si>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</si>
  <si>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</si>
  <si>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</si>
  <si>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</si>
  <si>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</si>
  <si>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</si>
  <si>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</si>
  <si>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</si>
  <si>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</si>
  <si>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</si>
  <si>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</si>
  <si>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</si>
  <si>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</si>
  <si>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</si>
  <si>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</si>
  <si>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</si>
  <si>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</si>
  <si>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</si>
  <si>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</si>
  <si>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</si>
  <si>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</si>
  <si>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</si>
  <si>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</si>
  <si>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</si>
  <si>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</si>
  <si>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</si>
  <si>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</si>
  <si>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</si>
  <si>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</si>
  <si>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</si>
  <si>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</si>
  <si>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</si>
  <si>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</si>
  <si>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</si>
  <si>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</si>
  <si>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</si>
  <si>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</si>
  <si>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</si>
  <si>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</si>
  <si>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</si>
  <si>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</si>
  <si>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</si>
  <si>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</si>
  <si>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</si>
  <si>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</si>
  <si>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</si>
  <si>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</si>
  <si>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</si>
  <si>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</si>
  <si>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</si>
  <si>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</si>
  <si>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</si>
  <si>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2064/65</t>
  </si>
  <si>
    <t>2065/66</t>
  </si>
  <si>
    <t>2066/67</t>
  </si>
  <si>
    <t>2067/68</t>
  </si>
  <si>
    <t>Population (millions)</t>
  </si>
  <si>
    <t>Annual growth (%)</t>
  </si>
  <si>
    <t>INPUT PROJECTIONS AND DATA, EXOGENOUS TO LONG-TERM FISCAL MODEL OUTPUTS</t>
  </si>
  <si>
    <t>NEW ZEALAND SUPERANNUATION FUND (NZSF)</t>
  </si>
  <si>
    <t>(billions of $NZ)</t>
  </si>
  <si>
    <t>Revenue and gains/(losses) less non-tax expenses</t>
  </si>
  <si>
    <t>Capital contribution/(withdrawal) from Government</t>
  </si>
  <si>
    <t>Other movements in reserves</t>
  </si>
  <si>
    <t>Closing Balance</t>
  </si>
  <si>
    <t>STUDENT LOANS</t>
  </si>
  <si>
    <t>Interest unwind</t>
  </si>
  <si>
    <t>ACCIDENT COMPENSATION CORPORATION (ACC)</t>
  </si>
  <si>
    <t>Levy income</t>
  </si>
  <si>
    <t>Claims and other expenses</t>
  </si>
  <si>
    <t>Non-Earners (NE) &amp; NE share of Treatment Injury levy income</t>
  </si>
  <si>
    <t>Non-Earners &amp; NE share of Treatment Injury claims &amp; expenses</t>
  </si>
  <si>
    <t>Investment income</t>
  </si>
  <si>
    <t>Closing assets</t>
  </si>
  <si>
    <t>Closing liabilities</t>
  </si>
  <si>
    <t>GOVERNMENT SUPERANNUATION FUND (GSF)</t>
  </si>
  <si>
    <t>Pension expenses</t>
  </si>
  <si>
    <t>KIWI SAVER EXPENSE TRACK</t>
  </si>
  <si>
    <t>ECONOMIC HISTORICAL AND FORECAST DATA</t>
  </si>
  <si>
    <t>Labour productivity annual growth (percentage) (hours worked measure)</t>
  </si>
  <si>
    <t>Consumers Price Index (CPI)</t>
  </si>
  <si>
    <t>Average hourly wage growth (percentage) (ordinary time measure)</t>
  </si>
  <si>
    <t>Government 10-year bond annual rate of return (percentage) (average of 4 quarters)</t>
  </si>
  <si>
    <t xml:space="preserve">Real Gross Domestic Product (GDP) ($09/10 billion) (production, base is 2009/10) </t>
  </si>
  <si>
    <t>Unemployment Rate (percentage of labour force)</t>
  </si>
  <si>
    <r>
      <t xml:space="preserve">Average weekly hours worked (Total hours worked </t>
    </r>
    <r>
      <rPr>
        <b/>
        <sz val="11"/>
        <color indexed="8"/>
        <rFont val="Calibri"/>
        <family val="2"/>
      </rPr>
      <t>÷</t>
    </r>
    <r>
      <rPr>
        <b/>
        <sz val="11"/>
        <color indexed="8"/>
        <rFont val="Arial"/>
        <family val="2"/>
      </rPr>
      <t xml:space="preserve"> total employed labour force)</t>
    </r>
  </si>
  <si>
    <t>ECONOMIC AND FISCAL PROJECTION ASSUMPTIONS</t>
  </si>
  <si>
    <t>Unless specifically stated otherwise, all references in this worksheet to GDP should be taken to mean the current price variable Nominal Gross Domestic Product (GDP).</t>
  </si>
  <si>
    <t>Assumptions are picked up in a modelling worksheet by formulae connected to the scenario name used at the top of the "set of assumptions" column in this worksheet.</t>
  </si>
  <si>
    <t>SCENARIO NAME</t>
  </si>
  <si>
    <t>ECONOMIC ASSUMPTIONS</t>
  </si>
  <si>
    <t>The following are the economic variables most often altered in scenarios. The values used are the desired long-run stable levels or annual growth rates.</t>
  </si>
  <si>
    <r>
      <t xml:space="preserve">SCENARIO NAME SELECTED IN </t>
    </r>
    <r>
      <rPr>
        <b/>
        <i/>
        <sz val="11"/>
        <color indexed="8"/>
        <rFont val="Arial"/>
        <family val="2"/>
      </rPr>
      <t>ASSUMPTIONS</t>
    </r>
    <r>
      <rPr>
        <b/>
        <sz val="11"/>
        <color indexed="8"/>
        <rFont val="Arial"/>
        <family val="2"/>
      </rPr>
      <t xml:space="preserve"> WORKSHEET WRITTEN HERE </t>
    </r>
    <r>
      <rPr>
        <b/>
        <sz val="11"/>
        <color indexed="8"/>
        <rFont val="Calibri"/>
        <family val="2"/>
      </rPr>
      <t>→</t>
    </r>
  </si>
  <si>
    <r>
      <rPr>
        <i/>
        <sz val="11"/>
        <color indexed="8"/>
        <rFont val="Calibri"/>
        <family val="2"/>
      </rPr>
      <t>←</t>
    </r>
    <r>
      <rPr>
        <i/>
        <sz val="11"/>
        <color indexed="8"/>
        <rFont val="Arial"/>
        <family val="2"/>
      </rPr>
      <t xml:space="preserve"> This number is calculated from Scenario name entry and used in formulae throughout model</t>
    </r>
  </si>
  <si>
    <t>All monetary values, unless otherwise stated, are in units of billions of New Zealand dollars</t>
  </si>
  <si>
    <t>Fiscal Year (year from 1 July to the following 30 June)</t>
  </si>
  <si>
    <t>ECONOMIC HISTORICAL, FORECAST AND PROJECTED VARIABLES</t>
  </si>
  <si>
    <t>Annual percentage growth</t>
  </si>
  <si>
    <t>Nominal GDP ($ billion) (expenditure measure)</t>
  </si>
  <si>
    <t>Nominal GDP (expenditure measure)</t>
  </si>
  <si>
    <t>Annual transition rates to long-run stable assumptions</t>
  </si>
  <si>
    <t>Select annual rates at which various economic variables move towards their long-run stable values from their end-of-forecast values.</t>
  </si>
  <si>
    <t>Unemployment Rate (percentage points per year)</t>
  </si>
  <si>
    <r>
      <t>Labour productivity growth</t>
    </r>
    <r>
      <rPr>
        <sz val="11"/>
        <color indexed="8"/>
        <rFont val="Arial"/>
        <family val="2"/>
      </rPr>
      <t xml:space="preserve"> (percentage points per year)</t>
    </r>
  </si>
  <si>
    <t>Labour productivity annual growth (percentage)</t>
  </si>
  <si>
    <t>Consumers Price Index (CPI) annual growth (percentage)</t>
  </si>
  <si>
    <t>Consumers Price Index growth (percentage points per year)</t>
  </si>
  <si>
    <t>Government 10-year bond annual rate of return (percentage)</t>
  </si>
  <si>
    <t>Government 10-year bond annual rate of return (percentage points per year)</t>
  </si>
  <si>
    <t>FISCAL ASSUMPTIONS</t>
  </si>
  <si>
    <t>Forecast years are shaded red</t>
  </si>
  <si>
    <t>Projected years are shaded black</t>
  </si>
  <si>
    <t>FISCAL HISTORICAL AND FORECAST DATA</t>
  </si>
  <si>
    <t>STATEMENT OF FINANCIAL PERFORMANCE</t>
  </si>
  <si>
    <t>Historical data sourced from Treasury past Budget publications</t>
  </si>
  <si>
    <t xml:space="preserve">Forecast data sourced from Treasury publication of latest Economic &amp; Fiscal Update </t>
  </si>
  <si>
    <t>Taxation revenue</t>
  </si>
  <si>
    <t>Other sovereign revenue</t>
  </si>
  <si>
    <t>Sales of goods and services</t>
  </si>
  <si>
    <t>Other revenue</t>
  </si>
  <si>
    <t>Total revenue (excluding gains)</t>
  </si>
  <si>
    <t>Transfer payments and subsidies</t>
  </si>
  <si>
    <t>Personnel expenses</t>
  </si>
  <si>
    <t>Other operating expenses</t>
  </si>
  <si>
    <t>Interest expenses</t>
  </si>
  <si>
    <t>Insurance expenses</t>
  </si>
  <si>
    <t>Forecast new operating spending</t>
  </si>
  <si>
    <t>Top-down expense adjustment</t>
  </si>
  <si>
    <t>Total expenses (excluding losses)</t>
  </si>
  <si>
    <t>Net gains/(losses) on financial instruments</t>
  </si>
  <si>
    <t>Net gains/(losses) on non-financial instruments</t>
  </si>
  <si>
    <t>Total gains/(losses)</t>
  </si>
  <si>
    <t>Total Crown Expenses - By functional classification</t>
  </si>
  <si>
    <t>Social security and welfare</t>
  </si>
  <si>
    <t>Government Superannuation Fund (GSF) pension expense</t>
  </si>
  <si>
    <t>Health</t>
  </si>
  <si>
    <t>Education</t>
  </si>
  <si>
    <t>Core government services</t>
  </si>
  <si>
    <t>Law and order</t>
  </si>
  <si>
    <t>Defence</t>
  </si>
  <si>
    <t>Transport and communication</t>
  </si>
  <si>
    <t>Economic and industrial services</t>
  </si>
  <si>
    <t>Primary services</t>
  </si>
  <si>
    <t>Heritage, culture and recreation</t>
  </si>
  <si>
    <t>Housing and community development</t>
  </si>
  <si>
    <t>Environmental protection</t>
  </si>
  <si>
    <t>Other</t>
  </si>
  <si>
    <t>Finance costs</t>
  </si>
  <si>
    <t>Core Crown Expenses - By functional classification</t>
  </si>
  <si>
    <t>STATEMENT OF CASH FLOWS</t>
  </si>
  <si>
    <t>Taxation receipts</t>
  </si>
  <si>
    <t>Other sovereign receipts</t>
  </si>
  <si>
    <t>Other operating receipts</t>
  </si>
  <si>
    <t>Total cash provided from operations</t>
  </si>
  <si>
    <t>Personnel and operating payments</t>
  </si>
  <si>
    <t>Interest payments</t>
  </si>
  <si>
    <t>Net cash flows from operations</t>
  </si>
  <si>
    <t>Net sales/(purchase) of physical assets</t>
  </si>
  <si>
    <t>Net sales/(purchase) of shares and other securities</t>
  </si>
  <si>
    <t>Net sales/(purchase) of intangible assets</t>
  </si>
  <si>
    <t xml:space="preserve">Net repayment/(issue) of advances </t>
  </si>
  <si>
    <t>Net divestment/(acquisition) of investments in associates</t>
  </si>
  <si>
    <t>Net cash flows from operating and investing activities</t>
  </si>
  <si>
    <t>Issues of circulating currency</t>
  </si>
  <si>
    <t xml:space="preserve">Net issue/(repayment) of government stock </t>
  </si>
  <si>
    <t xml:space="preserve">Net issue/(repayment) of foreign-currency borrowings </t>
  </si>
  <si>
    <t xml:space="preserve">Net issue/(repayment) of other New Zealand dollar borrowings </t>
  </si>
  <si>
    <t>Dividends received from/(paid to) minority interests</t>
  </si>
  <si>
    <t>Net cash flows from financing activities</t>
  </si>
  <si>
    <t>Net movement in cash</t>
  </si>
  <si>
    <t>Foreign exchange gains/(losses) on opening cash balance</t>
  </si>
  <si>
    <t>Net cash flow from investing (incl annual Forecast new capital spend &amp; Top-down adjust)</t>
  </si>
  <si>
    <t>Impairment on financial assets (excludes receivables)</t>
  </si>
  <si>
    <t>Decrease/(increase) in defined benefit retirement plan liabilities</t>
  </si>
  <si>
    <t>Decrease/(increase) in insurance liabilities</t>
  </si>
  <si>
    <t>Increase/(decrease) in receivables</t>
  </si>
  <si>
    <t>Increase/(decrease) in accrued interest</t>
  </si>
  <si>
    <t>Increase/(decrease) in inventories</t>
  </si>
  <si>
    <t>Increase/(decrease) in prepayments</t>
  </si>
  <si>
    <t>Decrease/(increase) in deferred revenue</t>
  </si>
  <si>
    <t>Decrease/(increase) in payables/provisions</t>
  </si>
  <si>
    <t>Total movements in working capital</t>
  </si>
  <si>
    <t>Reconciliation: Between Net cash flows from operations and the Operating balance</t>
  </si>
  <si>
    <t>CHECK: Annual change in Cash asset =Net movement in cash +Forex gains/(losses)</t>
  </si>
  <si>
    <t>CHECK: Op Bal (excl Min Ints) = Op cash +Gains +Non-cash items +Movements in WC</t>
  </si>
  <si>
    <t>STATEMENT OF FINANCIAL POSITION</t>
  </si>
  <si>
    <t>Cash and cash equivalents</t>
  </si>
  <si>
    <t>Receivables</t>
  </si>
  <si>
    <t>Marketable securities, deposits and derivatives in gain</t>
  </si>
  <si>
    <t>Share investments</t>
  </si>
  <si>
    <t>Advances</t>
  </si>
  <si>
    <t>Inventory</t>
  </si>
  <si>
    <t>Other assets</t>
  </si>
  <si>
    <t xml:space="preserve">Property, plant and equipment </t>
  </si>
  <si>
    <t>Equity accounted investments</t>
  </si>
  <si>
    <t>Intangible assets and goodwill</t>
  </si>
  <si>
    <t>Forecast for new capital spending</t>
  </si>
  <si>
    <t>Top-down capital adjustment</t>
  </si>
  <si>
    <t>Total assets</t>
  </si>
  <si>
    <t>Issued currency</t>
  </si>
  <si>
    <t>Payables</t>
  </si>
  <si>
    <t>Deferred revenue</t>
  </si>
  <si>
    <t>Borrowings</t>
  </si>
  <si>
    <t>Insurance liabilities</t>
  </si>
  <si>
    <t>Retirement plan liabilities</t>
  </si>
  <si>
    <t>Provisions</t>
  </si>
  <si>
    <t>Total liabilities</t>
  </si>
  <si>
    <t>Total net worth</t>
  </si>
  <si>
    <t>CHECK: Net worth =Total assets - Total liabilities</t>
  </si>
  <si>
    <t>Net worth attributable to minority interest</t>
  </si>
  <si>
    <t>STATEMENT OF BORROWINGS</t>
  </si>
  <si>
    <t>Core crown borrowings</t>
  </si>
  <si>
    <t>Less New Zealand Superannuation Fund (NZSF) borrowings</t>
  </si>
  <si>
    <t>Gross sovereign-issued debt (GSID)</t>
  </si>
  <si>
    <t>Less core Crown financial assets (excluding receivables)</t>
  </si>
  <si>
    <t>Net core Crown debt</t>
  </si>
  <si>
    <t>Net core Crown debt (excluding NZSF and advances)</t>
  </si>
  <si>
    <t>Core Crown revenue</t>
  </si>
  <si>
    <t>Social assistance and official development assistance</t>
  </si>
  <si>
    <t>Core Crown expenses</t>
  </si>
  <si>
    <t>NOTES TO THE FINANCIAL STATEMENTS</t>
  </si>
  <si>
    <t>Taxation revenue (accrual)</t>
  </si>
  <si>
    <t>Source deductions</t>
  </si>
  <si>
    <t>Corporate tax</t>
  </si>
  <si>
    <t>Total goods and services tax (GST)</t>
  </si>
  <si>
    <t>Hypothecated transport taxes</t>
  </si>
  <si>
    <t>Remaining tax types</t>
  </si>
  <si>
    <t>CHECK: Tax revenue in Statement of Financial Performance =Sum of tax types</t>
  </si>
  <si>
    <t>Accident Compensation Corporation (ACC) levies</t>
  </si>
  <si>
    <t>STATEMENT OF SEGMENTS - CORE CROWN SECTION</t>
  </si>
  <si>
    <t>CHECK: CC revenue =Tax +Other sovereign +Sales of g&amp;s +Interest +Other revenue</t>
  </si>
  <si>
    <t xml:space="preserve">Personnel expenses </t>
  </si>
  <si>
    <t xml:space="preserve">Other operating expenses </t>
  </si>
  <si>
    <t>Net surplus/(deficit) from associates and joint ventures</t>
  </si>
  <si>
    <t>Core Crown operating balance</t>
  </si>
  <si>
    <t>CHECK: CC op balance =Revenue -Expenses +Total gains/(losses) +Net surp/(def) A&amp;JV</t>
  </si>
  <si>
    <t>Inventory and other assets</t>
  </si>
  <si>
    <t>Core Crown assets</t>
  </si>
  <si>
    <t>Core Crown liabilities</t>
  </si>
  <si>
    <t>CHECK: CC liabilities =Issued currency +Borrowings +Paybls +Def rev +IL +RPL +Provs</t>
  </si>
  <si>
    <t>Core Crown net worth</t>
  </si>
  <si>
    <t>Other sovereign revenue (accrual)</t>
  </si>
  <si>
    <t>CHECK: Other sovereign rev in Statement of Financial Performance =Sum of OSR types</t>
  </si>
  <si>
    <t>Remaining other sovereign revenue types</t>
  </si>
  <si>
    <t>Crown entities</t>
  </si>
  <si>
    <t>State-owned Enterprises</t>
  </si>
  <si>
    <t>Inter-segment eliminations</t>
  </si>
  <si>
    <t>FISCAL HISTORICAL, FORECAST AND PROJECTED VARIABLES</t>
  </si>
  <si>
    <t>Gross Domestic Product (GDP) measures</t>
  </si>
  <si>
    <t xml:space="preserve">Real GDP (production measure, in 2009/10 dollars) </t>
  </si>
  <si>
    <t>Labour Force and Demographic measures</t>
  </si>
  <si>
    <t>Inverse of nominal GDP (used in several projection formulae)</t>
  </si>
  <si>
    <t>Price measures</t>
  </si>
  <si>
    <t>Aggregate Labour Force Participation Rate (LFPR) (LF as percentage of WAP)</t>
  </si>
  <si>
    <t>Consumers Price Index (CPI) (June quarter index number)</t>
  </si>
  <si>
    <t>Total Crown Borrowings</t>
  </si>
  <si>
    <t>Net worth attributable to minority interests</t>
  </si>
  <si>
    <t>Projected Years only</t>
  </si>
  <si>
    <t>New Zealand Superannuation</t>
  </si>
  <si>
    <t>Jobseeker support and Emergency benefit</t>
  </si>
  <si>
    <t>Supported living payment</t>
  </si>
  <si>
    <t>Sole parent support</t>
  </si>
  <si>
    <t>Student allowances</t>
  </si>
  <si>
    <t>CHECK: Transfer pmts &amp; subsidies in Statement of Financial Performance =Sum of types</t>
  </si>
  <si>
    <t>KiwiSaver</t>
  </si>
  <si>
    <t>Official development assistance</t>
  </si>
  <si>
    <t>CHECK: Personnel expenses in Statement of Financial Performance =Sum of segments</t>
  </si>
  <si>
    <t>Core Crown</t>
  </si>
  <si>
    <t>CHECK: Other Oper expenses in Statement of Financial Performance =Sum of segments</t>
  </si>
  <si>
    <t>Finance costs (Interest expenses)</t>
  </si>
  <si>
    <t>CHECK: Interest expenses in Statement of Financial Performance =Sum of segments</t>
  </si>
  <si>
    <t>Accident Compensation Corporation (ACC)</t>
  </si>
  <si>
    <t>Earthquake Commission (EQC)</t>
  </si>
  <si>
    <t>CHECK: Insurance expenses in Statement of Financial Performance =Sum of types</t>
  </si>
  <si>
    <t>STATEMENT OF SEGMENTS -CROWN ENTITY (CE) STATE-OWNED ENTERPRISE (SOE)</t>
  </si>
  <si>
    <t>CE social security and welfare</t>
  </si>
  <si>
    <t>CE insurance expenses</t>
  </si>
  <si>
    <t>SOE transport and communications expenses</t>
  </si>
  <si>
    <t>CE health expenses</t>
  </si>
  <si>
    <t>CE education expenses</t>
  </si>
  <si>
    <t>CE transport and communications expenses</t>
  </si>
  <si>
    <t>Inter-segment elimination for other non-finance exps (excl welfare, health, education &amp; transport)</t>
  </si>
  <si>
    <t>CHECK: Insurance expenses in Statement of Financial Performance =Sum of segments</t>
  </si>
  <si>
    <t>Other (includes inter-segment eliminations)</t>
  </si>
  <si>
    <t>Operating balance before gains/(losses) [OBEGAL] (excludes minority interests)</t>
  </si>
  <si>
    <t>Operating balance (excludes minority interests)</t>
  </si>
  <si>
    <t>Unallocated contingencies</t>
  </si>
  <si>
    <t>Forecast new operating spending for second forecast year</t>
  </si>
  <si>
    <t>Forecast new operating spending for third forecast year</t>
  </si>
  <si>
    <t>Forecast new operating spending for fourth forecast year</t>
  </si>
  <si>
    <t>Forecast new operating spending for fifth forecast year</t>
  </si>
  <si>
    <t>Forecast new capital spending</t>
  </si>
  <si>
    <t>CHECK: Forecast new oper spend in Statement of Financial Performance =Sum of years</t>
  </si>
  <si>
    <t>CHECK: Forecast new capital spending in Statement of Financial Position =Sum of years</t>
  </si>
  <si>
    <t>Core Crown Net Worth (Assets - Liabilities)</t>
  </si>
  <si>
    <r>
      <t xml:space="preserve">CHECK: Core Crown Net Worth in </t>
    </r>
    <r>
      <rPr>
        <b/>
        <i/>
        <sz val="11"/>
        <rFont val="Arial"/>
        <family val="2"/>
      </rPr>
      <t>Fiscal</t>
    </r>
    <r>
      <rPr>
        <b/>
        <sz val="11"/>
        <rFont val="Arial"/>
        <family val="2"/>
      </rPr>
      <t xml:space="preserve"> worksheet = Calculated value</t>
    </r>
  </si>
  <si>
    <t>CHECK: Annual change in Core Crown Net Worth = Operating Balance</t>
  </si>
  <si>
    <t>Core Crown borrowings (includes unsettled purchases of securities)</t>
  </si>
  <si>
    <t>Gross sovereign-issued debt (GSID) (a core Crown debt measure)</t>
  </si>
  <si>
    <t>Less core Crown financial assets (excludes receivables)</t>
  </si>
  <si>
    <t>Net core Crown debt excluding NZS Fund and advances</t>
  </si>
  <si>
    <t>Net cash flow from operations</t>
  </si>
  <si>
    <t>Net sale/(purchase) of physical assets</t>
  </si>
  <si>
    <t>Net issue/(repayment) of borrowings</t>
  </si>
  <si>
    <t>Reconciliation between net cash flows from operations and operating balance</t>
  </si>
  <si>
    <t>Net cash flow from financing</t>
  </si>
  <si>
    <t>UIM</t>
  </si>
  <si>
    <t>Gains and losses on financial instruments</t>
  </si>
  <si>
    <t>State-owned enterprises</t>
  </si>
  <si>
    <t>Gains and losses on non-financial instruments</t>
  </si>
  <si>
    <t>Tax receivables</t>
  </si>
  <si>
    <t>Trade and other receivables</t>
  </si>
  <si>
    <t>Kiwibank mortgages</t>
  </si>
  <si>
    <t>Student Loans</t>
  </si>
  <si>
    <t>Less initial write-down to fair value</t>
  </si>
  <si>
    <t>Schedule of movements</t>
  </si>
  <si>
    <t>Additions</t>
  </si>
  <si>
    <t>Disposals</t>
  </si>
  <si>
    <t>Net revaluations</t>
  </si>
  <si>
    <t>Other (mainly transfers to/from other asset categories)</t>
  </si>
  <si>
    <t>Closing balance of cost or valuation</t>
  </si>
  <si>
    <t>Eliminated on disposal</t>
  </si>
  <si>
    <t>Eliminated on revaluation</t>
  </si>
  <si>
    <t>Impairment losses charged to operating balance</t>
  </si>
  <si>
    <t>Depreciation expense</t>
  </si>
  <si>
    <t>Total accumulated depreciation and impairment</t>
  </si>
  <si>
    <t>Revenue</t>
  </si>
  <si>
    <t>Less current tax expense</t>
  </si>
  <si>
    <t>Less other expenses</t>
  </si>
  <si>
    <t>Add gains/(losses)</t>
  </si>
  <si>
    <t>Gross capital contribution from the Crown</t>
  </si>
  <si>
    <t>Closing net worth</t>
  </si>
  <si>
    <t>Financial assets</t>
  </si>
  <si>
    <t>Financial liabilities</t>
  </si>
  <si>
    <t>Net other assets</t>
  </si>
  <si>
    <t>Accounts payable</t>
  </si>
  <si>
    <t>Taxes repayable</t>
  </si>
  <si>
    <t>Other (includes inter-segment elimination)</t>
  </si>
  <si>
    <t>Gains/(losses)</t>
  </si>
  <si>
    <t>Tax receipts</t>
  </si>
  <si>
    <t>Sales of goods and services and other receipts</t>
  </si>
  <si>
    <t>Net repayment/(issue) of advances</t>
  </si>
  <si>
    <t>Net sale/(purchase) of investments</t>
  </si>
  <si>
    <t>Core Crown Residual cash surplus/(deficit)</t>
  </si>
  <si>
    <t>Total borrowing cash flows</t>
  </si>
  <si>
    <t>Net sale/(purchase) of marketable securities and deposits</t>
  </si>
  <si>
    <t>Decrease/(increase) in cash</t>
  </si>
  <si>
    <t>Residual cash deficit/(surplus) funding or investing</t>
  </si>
  <si>
    <t>CHECK: Gain/(loss) on fncl ins in Statement of Financial Performance =Sum of segments</t>
  </si>
  <si>
    <t>CHECK: Gain/(loss) on n-f ins in Statement of Financial Performance =Sum of segments</t>
  </si>
  <si>
    <t>CHECK: Receivables in Statement of Financial Position =Sum of Tax &amp; Trade versions</t>
  </si>
  <si>
    <t>Receivables from Financial assets note</t>
  </si>
  <si>
    <t>Student Loans and Kiwibank mortgages from Financial assets note</t>
  </si>
  <si>
    <t>CHECK: Student Loans in Financial assets note =Closing book value</t>
  </si>
  <si>
    <t>CHECK: Property, plant &amp; equipmt in Statement of Financial Position =Sum of segments</t>
  </si>
  <si>
    <t>Property, plant and equipment (P,P&amp;E)</t>
  </si>
  <si>
    <t>CHECK: P,P&amp;E in Statement of Financial Position =Closing balance - Accum deprc &amp; impt</t>
  </si>
  <si>
    <t>CHECK: Intangible assets &amp;goodwill in Statement of Financial Position =Sum of segments</t>
  </si>
  <si>
    <t>CHECK: Closing net worth =Sum of financial assets less liabilities and net other assets</t>
  </si>
  <si>
    <t>CHECK: Payables in Statement of Financial Position =Sum of types</t>
  </si>
  <si>
    <t>CHECK: Insurance liabilities in Statement of Financial Position =Sum of types</t>
  </si>
  <si>
    <t>New Zealand Superannuation Fund (NZS Fund)</t>
  </si>
  <si>
    <t>Net core Crown operating cash flows  (incl Forecast new oper spend &amp; Top-down adjust)</t>
  </si>
  <si>
    <t>CHECK: Residual cash =Sum of Core Crown operating and capital cash flows</t>
  </si>
  <si>
    <t>Source deductions (mainly PAYE on wages and salaries)</t>
  </si>
  <si>
    <t>Total corporate tax (mainly company tax)</t>
  </si>
  <si>
    <t>Total goods and services tax (consolidated GST)</t>
  </si>
  <si>
    <t>Total taxation revenue</t>
  </si>
  <si>
    <t>Inter-segment elimination of tax revenue</t>
  </si>
  <si>
    <t>Core Crown taxation revenue</t>
  </si>
  <si>
    <t>Hypothecated transport taxes (petrol duties, road user charges &amp; vehicle registration fees)</t>
  </si>
  <si>
    <t>Stable percentage of nominal GDP for source deductions tax revenue</t>
  </si>
  <si>
    <t>Stable percentage of nominal GDP for corporate tax revenue</t>
  </si>
  <si>
    <t>Stable percentage of nominal GDP for goods and services tax (GST) revenue</t>
  </si>
  <si>
    <t>Stable percentage of nominal GDP for hypothecated transport taxes revenue</t>
  </si>
  <si>
    <t>Stable percentage of nominal GDP for remaining tax types revenue</t>
  </si>
  <si>
    <t>Stable percentage of nominal GDP for tax inter-segment elimination</t>
  </si>
  <si>
    <t>Core Crown other sovereign revenue</t>
  </si>
  <si>
    <t>Other non-core Crown other sovereign revenue</t>
  </si>
  <si>
    <t>Total other sovereign revenue</t>
  </si>
  <si>
    <t>Core Crown sales of goods and services</t>
  </si>
  <si>
    <t>Total sales of goods and services (dominated by SOE sales)</t>
  </si>
  <si>
    <t>NAC</t>
  </si>
  <si>
    <t>Core Crown other revenue</t>
  </si>
  <si>
    <t>Total other revenue</t>
  </si>
  <si>
    <t>WORKING-AGE MAIN BENEFIT AGE &amp; GENDER SHARES</t>
  </si>
  <si>
    <t>New Zealand Superannuation (NZS), main public pension</t>
  </si>
  <si>
    <t>Supported Living Payment aged 60 to 64 years</t>
  </si>
  <si>
    <t>Jobseeker support and emergency benefit</t>
  </si>
  <si>
    <t>Net of tax &amp; ACC Earner levy average ordinary time weekly earnings ($ per week)</t>
  </si>
  <si>
    <t>Gross per person weekly couple rate of New Zealand Superannuation ($ per week)</t>
  </si>
  <si>
    <t>Percentage of net ordinary time weekly earnings that serves as NZS wage floor</t>
  </si>
  <si>
    <t>Net per person weekly couple rate of New Zealand Superannuation ($ per week)</t>
  </si>
  <si>
    <t>Working for Families tax credits</t>
  </si>
  <si>
    <t>Supplementary benefits</t>
  </si>
  <si>
    <t>Welfare benefits (approx. as Total social asstnce grants minus Student allowances)</t>
  </si>
  <si>
    <t>Total social assistance grants</t>
  </si>
  <si>
    <t>KiwiSaver subsidies</t>
  </si>
  <si>
    <t>Total transfer payments and subsidies</t>
  </si>
  <si>
    <t>Stable percentage of nominal GDP for official development assistance (ODA)</t>
  </si>
  <si>
    <t>Core Crown transfer payments and subsidies</t>
  </si>
  <si>
    <t>Departmental and non-departmental social security and welfare expenses</t>
  </si>
  <si>
    <t>Core Crown social security and welfare expenses</t>
  </si>
  <si>
    <t>Crown entities social security and welfare expenses (dominated by ACC payments)</t>
  </si>
  <si>
    <t>Inter-segment elimination for social security &amp; welfare exps (Crown share of ACC paymts)</t>
  </si>
  <si>
    <t>Total social security and welfare expenses</t>
  </si>
  <si>
    <t>State-owned enterprises (SOE's)</t>
  </si>
  <si>
    <t>Inter-segment elimination</t>
  </si>
  <si>
    <t>Total personnel expenses</t>
  </si>
  <si>
    <t>Total other operating expenses</t>
  </si>
  <si>
    <t>Interest expenses (also called Finance costs)</t>
  </si>
  <si>
    <t>Total interest expenses</t>
  </si>
  <si>
    <t>Effective interest rate on core Crown gross debt</t>
  </si>
  <si>
    <t>Total insurance expenses</t>
  </si>
  <si>
    <t>ACC</t>
  </si>
  <si>
    <t>EQC &amp; other insurance expenses</t>
  </si>
  <si>
    <t>Forecasting new operating spending</t>
  </si>
  <si>
    <t>New operating spending annual increment in first projected year ($ billion)</t>
  </si>
  <si>
    <t>Annual growth rate of annual increment to new operating spending in later projected years</t>
  </si>
  <si>
    <t>Health expenses</t>
  </si>
  <si>
    <t>Total health expenses</t>
  </si>
  <si>
    <t>Education expenses</t>
  </si>
  <si>
    <t>Student loans - initial write-down to fair value and impairment</t>
  </si>
  <si>
    <t>Student loans</t>
  </si>
  <si>
    <t>Closing book value</t>
  </si>
  <si>
    <t>Other core Crown education expenses</t>
  </si>
  <si>
    <t>Core Crown education expenses</t>
  </si>
  <si>
    <t>Total education expenses</t>
  </si>
  <si>
    <t>Core government services expenses</t>
  </si>
  <si>
    <t>Operating balance of NZS Fund</t>
  </si>
  <si>
    <t>Capital contribution from/(withdrawal to) the Crown</t>
  </si>
  <si>
    <t>Less repayments made during the year</t>
  </si>
  <si>
    <t>Comprising:</t>
  </si>
  <si>
    <t>Less Financial liabilities</t>
  </si>
  <si>
    <t>Tax receivable write-down and impairments</t>
  </si>
  <si>
    <t>From Exogenous</t>
  </si>
  <si>
    <t>TAX RECEIVABLE WRITE-DOWN AND IMPAIRMENTS</t>
  </si>
  <si>
    <t>($ billions)</t>
  </si>
  <si>
    <t>Other core Crown core government services expenses</t>
  </si>
  <si>
    <t>Core Crown core government services expenses</t>
  </si>
  <si>
    <t>Total core government services expenses</t>
  </si>
  <si>
    <t>Core Crown law and order expenses</t>
  </si>
  <si>
    <t>Total law and order expenses</t>
  </si>
  <si>
    <t>Core Crown defence expenses</t>
  </si>
  <si>
    <t>Total defence expenses</t>
  </si>
  <si>
    <t>Transport and communications expenses</t>
  </si>
  <si>
    <t>Total transport and communications expenses</t>
  </si>
  <si>
    <t>Economic and industrial services expenses</t>
  </si>
  <si>
    <t>Other core Crown economic and industrial services expenses</t>
  </si>
  <si>
    <t>Core Crown economic and industrial services expenses</t>
  </si>
  <si>
    <t>Total economic and industrial services expenses</t>
  </si>
  <si>
    <t>Core Crown heritage, culture and recreation expenses</t>
  </si>
  <si>
    <t>Total heritage, culture and recreation expenses</t>
  </si>
  <si>
    <t>Core Crown primary services expenses</t>
  </si>
  <si>
    <t>Total primary services expenses</t>
  </si>
  <si>
    <t>Core Crown housing and community development expenses</t>
  </si>
  <si>
    <t>Total housing and community development expenses</t>
  </si>
  <si>
    <t>Core Crown environmental protection expenses</t>
  </si>
  <si>
    <t>Total environmental protection expenses</t>
  </si>
  <si>
    <t>Core Crown other expenses</t>
  </si>
  <si>
    <t>Total other expenses</t>
  </si>
  <si>
    <t>Non-core Crown expenses excluding welfare, health, education, transport &amp; interest</t>
  </si>
  <si>
    <t>State-owned enterprises (projected as ratio of Economic &amp; industrial services)</t>
  </si>
  <si>
    <t>Inter-segment elimination (projected as Total less core Crown less CE &amp; SOE terms)</t>
  </si>
  <si>
    <t>Gains and losses on financial and non-financial instruments</t>
  </si>
  <si>
    <t>Total gains and losses</t>
  </si>
  <si>
    <t>Core Crown net surplus/(deficit) from associates and joint ventures</t>
  </si>
  <si>
    <t>Total net surplus/(deficit) from associates and joint ventures</t>
  </si>
  <si>
    <t>NZS Fund cash and cash equivalents</t>
  </si>
  <si>
    <t>Other core Crown cash and cash equivalents</t>
  </si>
  <si>
    <t>Core Crown cash and cash equivalents</t>
  </si>
  <si>
    <t>Total cash and cash equivalents</t>
  </si>
  <si>
    <t>NZS Fund receivables</t>
  </si>
  <si>
    <t>Other core Crown receivables</t>
  </si>
  <si>
    <t>Core Crown receivables</t>
  </si>
  <si>
    <t>Total receivables</t>
  </si>
  <si>
    <t>CE marketable securities, deposits and derivatives in gain</t>
  </si>
  <si>
    <t>SOE marketable securities, deposits and derivatives in gain</t>
  </si>
  <si>
    <t>CE share investments</t>
  </si>
  <si>
    <t>SOE share investments</t>
  </si>
  <si>
    <t>NZS Fund marketable securities, deposits and derivatives in gain</t>
  </si>
  <si>
    <t>Other core Crown marketable securities, deposits and derivatives in gain</t>
  </si>
  <si>
    <t>Core Crown marketable securities, deposits and derivatives in gain</t>
  </si>
  <si>
    <t>CORE CROWN RESIDUAL CASH (EXCLUDES NZS FUND)</t>
  </si>
  <si>
    <t>Net core Crown operating cash flows</t>
  </si>
  <si>
    <t>Net core Crown capital cash flows</t>
  </si>
  <si>
    <t>Residual cash surplus/(deficit)</t>
  </si>
  <si>
    <t>Total investing cash flows</t>
  </si>
  <si>
    <t>Less Transfer payments and subsidies</t>
  </si>
  <si>
    <t>Less Personnel and operating costs</t>
  </si>
  <si>
    <t>Less Interest payments</t>
  </si>
  <si>
    <t>Less Capital contribution/(withdrawal) to the NZS Fund</t>
  </si>
  <si>
    <t>Total marketable securities, deposits and derivatives in gain</t>
  </si>
  <si>
    <t>Operating allowances</t>
  </si>
  <si>
    <t>Government Superannuation Fund (GSF) pension expenses</t>
  </si>
  <si>
    <t>Core Crown GSF pension expenses</t>
  </si>
  <si>
    <t>Total GSF pension expenses</t>
  </si>
  <si>
    <t>Law and order expenses</t>
  </si>
  <si>
    <t>Defence expenses</t>
  </si>
  <si>
    <t>Heritage, culture and recreation expenses</t>
  </si>
  <si>
    <t>Primary services expenses</t>
  </si>
  <si>
    <t>Housing and community development expenses</t>
  </si>
  <si>
    <t>Environmental protection expenses</t>
  </si>
  <si>
    <t>Other expenses</t>
  </si>
  <si>
    <t>NZS Fund share investments</t>
  </si>
  <si>
    <t>Other core Crown share investments</t>
  </si>
  <si>
    <t>Core Crown share investments</t>
  </si>
  <si>
    <t>Total share investments</t>
  </si>
  <si>
    <t>NZS Fund advances</t>
  </si>
  <si>
    <t>Other core Crown advances</t>
  </si>
  <si>
    <t>Core Crown advances</t>
  </si>
  <si>
    <t>Total advances</t>
  </si>
  <si>
    <t>Kiwibank mortgages (SOE)</t>
  </si>
  <si>
    <t>Other non-core Crown advances, mainly inter-segment eliminations</t>
  </si>
  <si>
    <t>Core Crown inventory (approximated)</t>
  </si>
  <si>
    <t>Total inventory</t>
  </si>
  <si>
    <t>Core Crown other assets (approximated)</t>
  </si>
  <si>
    <t>Total other assets</t>
  </si>
  <si>
    <t>Property, plant and equipment</t>
  </si>
  <si>
    <t>Total property, plant and equipment</t>
  </si>
  <si>
    <t>Core Crown property, plant and equipment</t>
  </si>
  <si>
    <t>Core Crown equity accounted investments</t>
  </si>
  <si>
    <t>Total equity accounted investments</t>
  </si>
  <si>
    <t>Total intangible assets and goodwill</t>
  </si>
  <si>
    <t>Total addition to forecast new capital spending in year</t>
  </si>
  <si>
    <t>New capital spending annual increment in first projected year ($ billion)</t>
  </si>
  <si>
    <t>Annual growth rate of annual increment to new capital spending in later projected years</t>
  </si>
  <si>
    <t>Core Crown (there are no Crown entity or SOE issued currency liabilities)</t>
  </si>
  <si>
    <t>NZS Fund payables</t>
  </si>
  <si>
    <t>Other core Crown payables</t>
  </si>
  <si>
    <t>Core Crown payables</t>
  </si>
  <si>
    <t>Total payables</t>
  </si>
  <si>
    <t>Core Crown deferred revenue</t>
  </si>
  <si>
    <t>Total deferred revenue</t>
  </si>
  <si>
    <t>Accident Compensation Corporation (ACC, a Crown entity)</t>
  </si>
  <si>
    <t>Other non-core Crown insurance liabilities, including inter-segment eliminations</t>
  </si>
  <si>
    <t>Total insurance liabilities</t>
  </si>
  <si>
    <t>Core Crown insurance liabilities</t>
  </si>
  <si>
    <t>Retirement plan liabilities (dominated by Government Superannuation Fund)</t>
  </si>
  <si>
    <t>Core Crown retirement plan liabilities</t>
  </si>
  <si>
    <t>Non-core Crown retirement plan liabilities</t>
  </si>
  <si>
    <t>Total retirement plan liabilities</t>
  </si>
  <si>
    <t>Core Crown provisions</t>
  </si>
  <si>
    <t>Total provisions</t>
  </si>
  <si>
    <t>Student loans (interest unwind)</t>
  </si>
  <si>
    <t>Total Crown revenue (excluding Gains)</t>
  </si>
  <si>
    <t>Less Total Crown expenses (excluding Losses)</t>
  </si>
  <si>
    <t>Total Crown total gains/(losses)</t>
  </si>
  <si>
    <t>Operating balance (excluding Minority interests)</t>
  </si>
  <si>
    <t>Core Crown revenue (excluding Gains)</t>
  </si>
  <si>
    <t>Core Crown expenses (excluding Losses)</t>
  </si>
  <si>
    <t>Total Crown operating balance before gains and losses (OBEGAL)</t>
  </si>
  <si>
    <t>Total Crown operating balance (excluding minority interests)</t>
  </si>
  <si>
    <t>CHECK: Total Crown expenses: Functional classes sum = Operational classes sum</t>
  </si>
  <si>
    <t>Core Crown primary balance</t>
  </si>
  <si>
    <t>Core Crown residual cash</t>
  </si>
  <si>
    <t>CHECK: Core Crown expenses: Functional classes sum = Operational classes sum</t>
  </si>
  <si>
    <t>Total Crown assets</t>
  </si>
  <si>
    <t>Total net worth attributable to the Crown</t>
  </si>
  <si>
    <r>
      <t xml:space="preserve">CHECK: Total Crown net worth in </t>
    </r>
    <r>
      <rPr>
        <b/>
        <i/>
        <sz val="11"/>
        <rFont val="Arial"/>
        <family val="2"/>
      </rPr>
      <t>Fiscal</t>
    </r>
    <r>
      <rPr>
        <b/>
        <sz val="11"/>
        <rFont val="Arial"/>
        <family val="2"/>
      </rPr>
      <t xml:space="preserve"> worksheet = Calculated value</t>
    </r>
  </si>
  <si>
    <t>CHECK: Annual change in Total Crown net worth = Operating balance (ex min int)</t>
  </si>
  <si>
    <t>Less Total Crown liabilities</t>
  </si>
  <si>
    <t>Total Crown net worth</t>
  </si>
  <si>
    <t>Less Core Crown borrowings (excludes unsettled purchases of securities)</t>
  </si>
  <si>
    <t xml:space="preserve">Final projected year for KiwiSaver subsidies exogenous track (switches to GDP growth after this) </t>
  </si>
  <si>
    <t>Small asset &amp; liability class transition parameters to reach stable % of GDP in projections</t>
  </si>
  <si>
    <t>For several small asset and liability classes the projection moves towards an average percentage of nominal GDP. This average is</t>
  </si>
  <si>
    <t>last forecast year and cannot be more than 5 years. The number of projected years to achieve the full transition is also selected here.</t>
  </si>
  <si>
    <t>Number of forecast years, beginning with the last, used to calculate average percentage of GDP</t>
  </si>
  <si>
    <t>Number of projected years used to transition from the end of forecast to the stable % of GDP</t>
  </si>
  <si>
    <t>Transition increments for small asset &amp; liability classes</t>
  </si>
  <si>
    <t>Cost of concessionary lending</t>
  </si>
  <si>
    <t>CHECK: Residual cash s/(d) = Negative of sum of borrowing + investing cash flows</t>
  </si>
  <si>
    <t>CORE CROWN STATEMENT OF CASH FLOWS (FROM RESIDUAL CASH)</t>
  </si>
  <si>
    <t>Net cash flow from operations (add back NZS Fund variables, subtract NZS Fund tax)</t>
  </si>
  <si>
    <t>Net cash flow from investing (capital cash + cash from MSDs &amp; shares &amp; NZS Fund cash)</t>
  </si>
  <si>
    <t>Net movement in core Crown cash and cash equivalents</t>
  </si>
  <si>
    <t>CHECK: Core Crown Oper Bal = Net cash from oper+Gains+Non-cash+Mvmt WC</t>
  </si>
  <si>
    <t>Less Forecast for future new capital spending and Top-down capital expense adjustment</t>
  </si>
  <si>
    <t>Less Forecast for future new operating spending and Top-down expense adjustment</t>
  </si>
  <si>
    <t>Forecast for future new operating spending and Top-down expense adjustment</t>
  </si>
  <si>
    <t>Less Depreciation and amortisation</t>
  </si>
  <si>
    <t>Total cash disbursed to operations</t>
  </si>
  <si>
    <t>Net cash flow from investing</t>
  </si>
  <si>
    <t>Less Cost of concessionary lending and impairment on financial assets (excluding receivables)</t>
  </si>
  <si>
    <t>Total other non-cash items</t>
  </si>
  <si>
    <t>Net issue/(repayment) of borrowings = Ann. change in cash - Sum of components above</t>
  </si>
  <si>
    <t>Less NZS Fund borrowings minus any holdings of sovereign-issued debt by the NZS Fund</t>
  </si>
  <si>
    <t>Less Net purchase/(sale) of physical assets</t>
  </si>
  <si>
    <t>Less Net purchase/(sale) of shares and other securities</t>
  </si>
  <si>
    <t>Less Net purchase/(sale) of intangible assets</t>
  </si>
  <si>
    <t>Less Net issues/(repayment) of advances</t>
  </si>
  <si>
    <t>Less Net acquisition/(divestment) of investments in associates</t>
  </si>
  <si>
    <t>Less Increase/(decrease) in defined benefit retirement plan liabilities</t>
  </si>
  <si>
    <t>Less Increase/(decrease) in insurance liabilities</t>
  </si>
  <si>
    <t>Less Other</t>
  </si>
  <si>
    <t>Less Increase/(decrease) in deferred revenue</t>
  </si>
  <si>
    <t>Less Increase/(decrease) in payables/provisions</t>
  </si>
  <si>
    <t>Less Net issue/(repayment) of advances</t>
  </si>
  <si>
    <t>Less Net purchase/(sale) of investments</t>
  </si>
  <si>
    <r>
      <t xml:space="preserve">Select key fiscal variable, in nominal dollars, from drop-down box </t>
    </r>
    <r>
      <rPr>
        <b/>
        <sz val="11"/>
        <color indexed="8"/>
        <rFont val="Calibri"/>
        <family val="2"/>
      </rPr>
      <t>↓</t>
    </r>
  </si>
  <si>
    <t>Total Crown OBEGAL</t>
  </si>
  <si>
    <t>Gross sovereign-issued debt</t>
  </si>
  <si>
    <t>Net core Crown debt (excl. NZS Fund financial assets &amp; advances)</t>
  </si>
  <si>
    <t>Total Crown revenue</t>
  </si>
  <si>
    <t>Total Crown expenses</t>
  </si>
  <si>
    <t>Total Crown net worth attributable to the Crown</t>
  </si>
  <si>
    <t>Total Crown borrowings</t>
  </si>
  <si>
    <t>Total Crown tax revenue</t>
  </si>
  <si>
    <t>Core Crown tax revenue</t>
  </si>
  <si>
    <t>Key fiscal indicator displayed as percentage of nominal GDP</t>
  </si>
  <si>
    <r>
      <t xml:space="preserve">Key fiscal variable selected from drop-down list box </t>
    </r>
    <r>
      <rPr>
        <b/>
        <sz val="12"/>
        <color indexed="8"/>
        <rFont val="Calibri"/>
        <family val="2"/>
      </rPr>
      <t>↓</t>
    </r>
  </si>
  <si>
    <t>Less Net purchase/(sale) of marketable securities and deposits (MSDs) and shares</t>
  </si>
  <si>
    <t>2004/05</t>
  </si>
  <si>
    <t>The Financial Statements of the Government of New Zealand are now prepared under the Public Sector Public Benefit Entities (PBE) accounting standard.</t>
  </si>
  <si>
    <t>However prior to the fiscal year (year ended 30 June) 2014/15  these accounts were prepared using an International Financial Reporting Standards (IFRS) standard.</t>
  </si>
  <si>
    <t>As all fiscal data has not been backdated to the PBE standard only the main fiscal indicators reported in the drop-down box at the top of the main modelling worksheet are given in this worksheet.</t>
  </si>
  <si>
    <t>As percentage of nominal GDP</t>
  </si>
  <si>
    <t>Total core Crown expenses</t>
  </si>
  <si>
    <t>Zero marker (set to zero to avoid using any pasted in numbers in modelling worksheets)</t>
  </si>
  <si>
    <t>Historical</t>
  </si>
  <si>
    <r>
      <t xml:space="preserve">Year </t>
    </r>
    <r>
      <rPr>
        <b/>
        <sz val="11"/>
        <color indexed="12"/>
        <rFont val="Calibri"/>
        <family val="2"/>
      </rPr>
      <t>↓</t>
    </r>
  </si>
  <si>
    <t>History &amp; Forecast only</t>
  </si>
  <si>
    <t>First Projected Year (key variable, must set to year immediately after last forecast year)</t>
  </si>
  <si>
    <t>Any year variable used in this worksheet should be a number variable but will refer to a June-end year e.g. enter the number 2021 for the year ended 30 June 2021 or fiscal year 2020/21.</t>
  </si>
  <si>
    <t>The nominal GDP divisor used in the main modelling worksheet has also been provided in this worksheet for these historical years.</t>
  </si>
  <si>
    <t>NOMINAL GDP (expenditure measure)</t>
  </si>
  <si>
    <t>Assumptions</t>
  </si>
  <si>
    <t>Exogenous</t>
  </si>
  <si>
    <t>Display</t>
  </si>
  <si>
    <t>None.</t>
  </si>
  <si>
    <t>In cell B1 at the top of the new modelling</t>
  </si>
  <si>
    <t>There are standard sets of assumptions</t>
  </si>
  <si>
    <t>needed to run a scenario are entered by</t>
  </si>
  <si>
    <t>Any modelling worksheet that is set up.</t>
  </si>
  <si>
    <t xml:space="preserve">All of the assumptions and parameters </t>
  </si>
  <si>
    <t>Used in many places throughout the main</t>
  </si>
  <si>
    <t>various sections tally with each other.</t>
  </si>
  <si>
    <t>in this worksheet. Because there is so</t>
  </si>
  <si>
    <t>liability, revenue and expense categories</t>
  </si>
  <si>
    <t>Used as the base of projections of asset,</t>
  </si>
  <si>
    <t>Also used as the base of various inputs</t>
  </si>
  <si>
    <t>in the main modelling worksheets.</t>
  </si>
  <si>
    <t>Used as the base of economic projections</t>
  </si>
  <si>
    <t>and to help users of the model.</t>
  </si>
  <si>
    <t>None. Purely for information purposes</t>
  </si>
  <si>
    <t>characteristic of being produced outside</t>
  </si>
  <si>
    <t>outside agencies. They all share the</t>
  </si>
  <si>
    <t>modelling worksheets, often in regard to</t>
  </si>
  <si>
    <t xml:space="preserve">projected tracks and demographic </t>
  </si>
  <si>
    <t>This worksheet contains a number of</t>
  </si>
  <si>
    <t>real and nominal GDP.</t>
  </si>
  <si>
    <t>a key driver in the projections of both</t>
  </si>
  <si>
    <t>aggregate labour force. This variable is</t>
  </si>
  <si>
    <t>main modelling worksheets to project the</t>
  </si>
  <si>
    <t>Used in the economic projections of the</t>
  </si>
  <si>
    <t>Zealand Superannuation (NZS) and other</t>
  </si>
  <si>
    <t>some expense types, especially New</t>
  </si>
  <si>
    <t>Used as a driver of recipient numbers for</t>
  </si>
  <si>
    <t>in projecting some economic variables.</t>
  </si>
  <si>
    <t>modelling worksheets, wherever</t>
  </si>
  <si>
    <t>Used in numerous places in the main</t>
  </si>
  <si>
    <t>Sources</t>
  </si>
  <si>
    <t>various worksheets in the model interact.</t>
  </si>
  <si>
    <t>information to help users know how the</t>
  </si>
  <si>
    <t>Guide</t>
  </si>
  <si>
    <t>of the main modelling worksheets.</t>
  </si>
  <si>
    <t>track to be displayed at the top of each</t>
  </si>
  <si>
    <t>offsets to allow the chosen fiscal variable</t>
  </si>
  <si>
    <t>Each of the main modelling worksheets.</t>
  </si>
  <si>
    <t>This is a hidden worksheet. It provides</t>
  </si>
  <si>
    <t>Uses outputs from these worksheets</t>
  </si>
  <si>
    <t>Provides inputs to these worksheets</t>
  </si>
  <si>
    <t>Purpose</t>
  </si>
  <si>
    <t>Forecasts</t>
  </si>
  <si>
    <t>downs &amp; impairments</t>
  </si>
  <si>
    <t>Mainly from Financial Statements published in past Budget EFU reports</t>
  </si>
  <si>
    <t>Historic data from Treasury publications</t>
  </si>
  <si>
    <t>History</t>
  </si>
  <si>
    <t>Tax Receivable write-</t>
  </si>
  <si>
    <t>2012 version</t>
  </si>
  <si>
    <t>Projection produced by actuaries for GSF</t>
  </si>
  <si>
    <t>Projections</t>
  </si>
  <si>
    <t>Fund (GSF)</t>
  </si>
  <si>
    <t>Superannuation</t>
  </si>
  <si>
    <t>Government</t>
  </si>
  <si>
    <t>Department (IRD)</t>
  </si>
  <si>
    <t xml:space="preserve">Inland Revenue </t>
  </si>
  <si>
    <t>KiwiSaver expenses</t>
  </si>
  <si>
    <t>Projection produced by ACC</t>
  </si>
  <si>
    <t>NZS Fund model website</t>
  </si>
  <si>
    <t>Projection produced by Treasury</t>
  </si>
  <si>
    <t>New Zealand</t>
  </si>
  <si>
    <t>Forecasts from Ministry of Social</t>
  </si>
  <si>
    <t>transfers</t>
  </si>
  <si>
    <t>Social welfare</t>
  </si>
  <si>
    <t>single year of age)</t>
  </si>
  <si>
    <t>(by gender and</t>
  </si>
  <si>
    <t>Based on Household Labour Force Survey (HLFS)</t>
  </si>
  <si>
    <t>Labour Force</t>
  </si>
  <si>
    <t>Statistics New Zealand website</t>
  </si>
  <si>
    <t>Historic data from Treasury databases</t>
  </si>
  <si>
    <t>This version of the FSM uses:</t>
  </si>
  <si>
    <t>Fiscal drag elasticity applied to nominal wage growth</t>
  </si>
  <si>
    <t>No</t>
  </si>
  <si>
    <t>TAX PARAMETERS</t>
  </si>
  <si>
    <t>Tax rate</t>
  </si>
  <si>
    <t>Gross ordinary time weekly earnings ($ per week)</t>
  </si>
  <si>
    <t>Gross average ordinary time weekly earnings ($ per week)</t>
  </si>
  <si>
    <t>ACC Earner levy</t>
  </si>
  <si>
    <t>Income limits</t>
  </si>
  <si>
    <t>Gross</t>
  </si>
  <si>
    <t>Net</t>
  </si>
  <si>
    <t>Tax</t>
  </si>
  <si>
    <t>Net-to-gross tax wedge</t>
  </si>
  <si>
    <t>Annual increment to forecast new operating spending (depicted whether allocated or not)</t>
  </si>
  <si>
    <t>Annual increment to top-down expense adjustment (depicted whether allocated or not)</t>
  </si>
  <si>
    <t>Total forecast new capital spending (cumulative)(displayed whether allocated or not)</t>
  </si>
  <si>
    <t>Top-down capital adjustment (cumulative) (displayed whether allocated or not)</t>
  </si>
  <si>
    <t>on the Treasury</t>
  </si>
  <si>
    <t>Makes use of forecast core Crown gross</t>
  </si>
  <si>
    <t>debt and debt financing costs from the</t>
  </si>
  <si>
    <t>The projections and/or data in this worksheet are either produced by other Treasury models or obtained from other public sector agencies. They are used in the main modelling worksheets of the Fiscal Strategy Model.</t>
  </si>
  <si>
    <t>Historical and forecast data in this worksheet are produced by the Treasury. They are used in the main modelling worksheets of the Fiscal Strategy Model.</t>
  </si>
  <si>
    <t>This worksheet is where the economic and fiscal modelling assumptions are entered. They are used in the main modelling worksheets of the Fiscal Strategy Model.</t>
  </si>
  <si>
    <t>Tax expense</t>
  </si>
  <si>
    <t>Non-tax expenses</t>
  </si>
  <si>
    <t>Check components add up to closing balance</t>
  </si>
  <si>
    <r>
      <rPr>
        <i/>
        <sz val="11"/>
        <color indexed="8"/>
        <rFont val="Arial"/>
        <family val="2"/>
      </rPr>
      <t>less</t>
    </r>
    <r>
      <rPr>
        <sz val="11"/>
        <color indexed="8"/>
        <rFont val="Arial"/>
        <family val="2"/>
      </rPr>
      <t xml:space="preserve"> Tax expense</t>
    </r>
  </si>
  <si>
    <r>
      <rPr>
        <i/>
        <sz val="11"/>
        <color indexed="8"/>
        <rFont val="Arial"/>
        <family val="2"/>
      </rPr>
      <t>less</t>
    </r>
    <r>
      <rPr>
        <sz val="11"/>
        <color indexed="8"/>
        <rFont val="Arial"/>
        <family val="2"/>
      </rPr>
      <t xml:space="preserve"> Non-tax expenses</t>
    </r>
  </si>
  <si>
    <t>Latest forecast distribution of revenue, non-tax expenses and gains/(losses)</t>
  </si>
  <si>
    <t>TRACK 1</t>
  </si>
  <si>
    <t>TRACK 2</t>
  </si>
  <si>
    <t>Capital contrib/(withdr)</t>
  </si>
  <si>
    <t>Rev - N-t exp + G/(L)</t>
  </si>
  <si>
    <t>Other mvmts in res</t>
  </si>
  <si>
    <r>
      <t xml:space="preserve">Select track number to apply </t>
    </r>
    <r>
      <rPr>
        <b/>
        <sz val="11"/>
        <color indexed="8"/>
        <rFont val="Calibri"/>
        <family val="2"/>
      </rPr>
      <t>→</t>
    </r>
  </si>
  <si>
    <r>
      <rPr>
        <sz val="11"/>
        <color indexed="8"/>
        <rFont val="Calibri"/>
        <family val="2"/>
      </rPr>
      <t>∆</t>
    </r>
    <r>
      <rPr>
        <sz val="11"/>
        <color indexed="8"/>
        <rFont val="Arial"/>
        <family val="2"/>
      </rPr>
      <t xml:space="preserve"> finance costs from current year impacts</t>
    </r>
  </si>
  <si>
    <r>
      <rPr>
        <sz val="11"/>
        <color indexed="8"/>
        <rFont val="Calibri"/>
        <family val="2"/>
      </rPr>
      <t>∆</t>
    </r>
    <r>
      <rPr>
        <sz val="11"/>
        <color indexed="8"/>
        <rFont val="Arial"/>
        <family val="2"/>
      </rPr>
      <t xml:space="preserve"> finance costs from earlier year debt impacts</t>
    </r>
  </si>
  <si>
    <t>Total change to debt-financing costs</t>
  </si>
  <si>
    <t>Total change to gross debt</t>
  </si>
  <si>
    <t>FISCAL FORECAST ADJUSTER</t>
  </si>
  <si>
    <t>Enter additions or subtractions in units of $ million in each year. If a revenue or expense type or allowance amount is to remain unchanged in any year, enter a zero for it in that year.</t>
  </si>
  <si>
    <t>Current forecast horizon</t>
  </si>
  <si>
    <t>Goods and services tax (GST</t>
  </si>
  <si>
    <t>Other taxes</t>
  </si>
  <si>
    <t>Total tax revenue</t>
  </si>
  <si>
    <t>New Zealand Superannuation (NZS)</t>
  </si>
  <si>
    <t>Total benefits and transfers</t>
  </si>
  <si>
    <t>Forecast new operating spending (annual increment)</t>
  </si>
  <si>
    <t>Forecast new capital spending (annual increment)</t>
  </si>
  <si>
    <t>Forecast new operating spending (total for year)</t>
  </si>
  <si>
    <t>Forecast new capital spending (total for year)</t>
  </si>
  <si>
    <t>Calculated impacts on debt and finance costs</t>
  </si>
  <si>
    <r>
      <t xml:space="preserve">Annual </t>
    </r>
    <r>
      <rPr>
        <sz val="11"/>
        <color indexed="8"/>
        <rFont val="Calibri"/>
        <family val="2"/>
      </rPr>
      <t>∆</t>
    </r>
    <r>
      <rPr>
        <sz val="11"/>
        <color indexed="8"/>
        <rFont val="Arial"/>
        <family val="2"/>
      </rPr>
      <t xml:space="preserve"> debt (includes finance cost impacts)</t>
    </r>
  </si>
  <si>
    <r>
      <t xml:space="preserve">Annual </t>
    </r>
    <r>
      <rPr>
        <sz val="11"/>
        <color indexed="8"/>
        <rFont val="Calibri"/>
        <family val="2"/>
      </rPr>
      <t>∆</t>
    </r>
    <r>
      <rPr>
        <sz val="11"/>
        <color indexed="8"/>
        <rFont val="Arial"/>
        <family val="2"/>
      </rPr>
      <t xml:space="preserve"> debt (excludes finance cost impacts)</t>
    </r>
  </si>
  <si>
    <r>
      <rPr>
        <sz val="11"/>
        <color indexed="8"/>
        <rFont val="Calibri"/>
        <family val="2"/>
      </rPr>
      <t>∆</t>
    </r>
    <r>
      <rPr>
        <sz val="11"/>
        <color indexed="8"/>
        <rFont val="Arial"/>
        <family val="2"/>
      </rPr>
      <t xml:space="preserve"> finance costs from finance cost impact on debt in year</t>
    </r>
  </si>
  <si>
    <r>
      <rPr>
        <sz val="11"/>
        <color indexed="8"/>
        <rFont val="Calibri"/>
        <family val="2"/>
      </rPr>
      <t>∆</t>
    </r>
    <r>
      <rPr>
        <sz val="11"/>
        <color indexed="8"/>
        <rFont val="Arial"/>
        <family val="2"/>
      </rPr>
      <t xml:space="preserve"> finance costs from non-finance cost impact on debt in year</t>
    </r>
  </si>
  <si>
    <r>
      <t xml:space="preserve">Adjust fiscal forecasts </t>
    </r>
    <r>
      <rPr>
        <sz val="11"/>
        <color indexed="8"/>
        <rFont val="Calibri"/>
        <family val="2"/>
      </rPr>
      <t>→</t>
    </r>
  </si>
  <si>
    <t>Tax revenue ($ millions)</t>
  </si>
  <si>
    <t>Benefits and transfers ($ millions)</t>
  </si>
  <si>
    <t>Forecast new operating and capital spending ($ millions)</t>
  </si>
  <si>
    <t>Total change to debt-financing costs ($ millions)</t>
  </si>
  <si>
    <t>Total change to gross debt ($ millions)</t>
  </si>
  <si>
    <t>MAIN FISCAL INDICATOR  ACTUAL OUTTURNS ($ billions)</t>
  </si>
  <si>
    <t>CORE CROWN EXPENSES ($ billions)</t>
  </si>
  <si>
    <t>Total Population (millions)</t>
  </si>
  <si>
    <t>These are the latest forecast round main</t>
  </si>
  <si>
    <t>FSM scenario (labelled with the forecast</t>
  </si>
  <si>
    <t>demographic growth is required. Used</t>
  </si>
  <si>
    <t>These are the most recent New Zealand</t>
  </si>
  <si>
    <t>tracks used in the model. Information is</t>
  </si>
  <si>
    <t>It provides lists of data and exogenous</t>
  </si>
  <si>
    <t>This is also an information worksheet.</t>
  </si>
  <si>
    <t>numbers the worksheet has participation</t>
  </si>
  <si>
    <t>rates (numbers in labour force divided by</t>
  </si>
  <si>
    <t>Name of worksheet</t>
  </si>
  <si>
    <t>provided about the data, distribution or</t>
  </si>
  <si>
    <t>track, including from where it is sourced</t>
  </si>
  <si>
    <t>and when it was produced.</t>
  </si>
  <si>
    <t>distributions. Some are produced by</t>
  </si>
  <si>
    <t>a particular asset, liability or expense</t>
  </si>
  <si>
    <t>Treasury, while others are sourced from</t>
  </si>
  <si>
    <t>type. Demographic distributions are used</t>
  </si>
  <si>
    <t>as inputs to the projected growth of</t>
  </si>
  <si>
    <t>recipient numbers in various welfare</t>
  </si>
  <si>
    <t>the model i.e. are exogenous inputs.</t>
  </si>
  <si>
    <t>expenses and Student Allowances.</t>
  </si>
  <si>
    <t>This worksheet contains alternative</t>
  </si>
  <si>
    <t>projections of the New Zealand</t>
  </si>
  <si>
    <r>
      <t xml:space="preserve">Fiscal Forecasts </t>
    </r>
    <r>
      <rPr>
        <sz val="10"/>
        <color indexed="8"/>
        <rFont val="Arial"/>
        <family val="2"/>
      </rPr>
      <t>worksheet to calculate</t>
    </r>
  </si>
  <si>
    <t>label it activates the modelling in this</t>
  </si>
  <si>
    <t>the effective interest rate applied to debt</t>
  </si>
  <si>
    <t>in each forecast year. These are applied</t>
  </si>
  <si>
    <r>
      <t xml:space="preserve">in </t>
    </r>
    <r>
      <rPr>
        <i/>
        <sz val="10"/>
        <color indexed="8"/>
        <rFont val="Arial"/>
        <family val="2"/>
      </rPr>
      <t xml:space="preserve">Exogenous </t>
    </r>
    <r>
      <rPr>
        <sz val="10"/>
        <color indexed="8"/>
        <rFont val="Arial"/>
        <family val="2"/>
      </rPr>
      <t>with the alternative one</t>
    </r>
  </si>
  <si>
    <t>to the calculated gross debt changes to</t>
  </si>
  <si>
    <t>website. From that model an alternative</t>
  </si>
  <si>
    <t>calculate debt financing costs changes.</t>
  </si>
  <si>
    <t>More generally, and as described in the</t>
  </si>
  <si>
    <t>into this worksheet.</t>
  </si>
  <si>
    <r>
      <rPr>
        <i/>
        <sz val="10"/>
        <color indexed="8"/>
        <rFont val="Arial"/>
        <family val="2"/>
      </rPr>
      <t xml:space="preserve">Purpose </t>
    </r>
    <r>
      <rPr>
        <sz val="10"/>
        <color indexed="8"/>
        <rFont val="Arial"/>
        <family val="2"/>
      </rPr>
      <t>column, this worksheet uses</t>
    </r>
  </si>
  <si>
    <t>outputs from another Treasury model.</t>
  </si>
  <si>
    <t>Fiscal Forecast Adjuster</t>
  </si>
  <si>
    <t>This worksheet allows changes to be</t>
  </si>
  <si>
    <t>made to forecast year values of major tax</t>
  </si>
  <si>
    <r>
      <t xml:space="preserve">is a label </t>
    </r>
    <r>
      <rPr>
        <i/>
        <sz val="10"/>
        <color indexed="8"/>
        <rFont val="Arial"/>
        <family val="2"/>
      </rPr>
      <t>Adjust fiscal forecasts</t>
    </r>
    <r>
      <rPr>
        <sz val="10"/>
        <color indexed="8"/>
        <rFont val="Arial"/>
        <family val="2"/>
      </rPr>
      <t>. If the</t>
    </r>
  </si>
  <si>
    <t>types, several welfare expense classes,</t>
  </si>
  <si>
    <t>and allowances for both new operating</t>
  </si>
  <si>
    <t>and new capital spending. It calculates</t>
  </si>
  <si>
    <t>worksheet to add the various adjustments</t>
  </si>
  <si>
    <t>how these changes impact on gross</t>
  </si>
  <si>
    <t>debt and debt financing costs in those</t>
  </si>
  <si>
    <t>the appropriate fiscal variables in forecast</t>
  </si>
  <si>
    <t>forecast years. This spreadsheet is the</t>
  </si>
  <si>
    <t>years. It also adjusts forecast debt and</t>
  </si>
  <si>
    <t>means of correctly altering the fiscal</t>
  </si>
  <si>
    <t>debt financing costs by the amounts</t>
  </si>
  <si>
    <r>
      <t xml:space="preserve">forecast base </t>
    </r>
    <r>
      <rPr>
        <sz val="10"/>
        <color indexed="8"/>
        <rFont val="Arial"/>
        <family val="2"/>
      </rPr>
      <t>for the forecast years.</t>
    </r>
  </si>
  <si>
    <r>
      <rPr>
        <sz val="10"/>
        <color indexed="8"/>
        <rFont val="Arial"/>
        <family val="2"/>
      </rPr>
      <t xml:space="preserve">calculated in </t>
    </r>
    <r>
      <rPr>
        <i/>
        <sz val="10"/>
        <color indexed="8"/>
        <rFont val="Arial"/>
        <family val="2"/>
      </rPr>
      <t xml:space="preserve">Fiscal Forecast Adjuster </t>
    </r>
    <r>
      <rPr>
        <sz val="10"/>
        <color indexed="8"/>
        <rFont val="Arial"/>
        <family val="2"/>
      </rPr>
      <t>to</t>
    </r>
  </si>
  <si>
    <t>reflect the combined impact of all</t>
  </si>
  <si>
    <t>the changes on these fiscal variables.</t>
  </si>
  <si>
    <t>Fiscal Outturns</t>
  </si>
  <si>
    <t>This worksheet contains historical data</t>
  </si>
  <si>
    <t>relating to the main fiscal indicators that</t>
  </si>
  <si>
    <t>can be selected in the pull-down box at</t>
  </si>
  <si>
    <t>the top of the main modelling worksheets.</t>
  </si>
  <si>
    <t>There is more explanation at the top of</t>
  </si>
  <si>
    <t>this worksheet about why data prior to</t>
  </si>
  <si>
    <t>2014/15 is given here and not in the main</t>
  </si>
  <si>
    <t>modelling worksheets themselves.</t>
  </si>
  <si>
    <t>Economic Forecasts</t>
  </si>
  <si>
    <t>The latest set of economic forecast</t>
  </si>
  <si>
    <t>variables, as well as historical outturns</t>
  </si>
  <si>
    <t>of these variables, are stored in this</t>
  </si>
  <si>
    <t>At the bottom of this worksheet are</t>
  </si>
  <si>
    <t>parameters related to the NZ personal</t>
  </si>
  <si>
    <t>tax regime that are used in fiscal drag</t>
  </si>
  <si>
    <t>modelling for both tax and NZS.</t>
  </si>
  <si>
    <t>Fiscal Forecasts</t>
  </si>
  <si>
    <r>
      <t>The fiscal equivalent of the</t>
    </r>
    <r>
      <rPr>
        <i/>
        <sz val="10"/>
        <color indexed="8"/>
        <rFont val="Arial"/>
        <family val="2"/>
      </rPr>
      <t xml:space="preserve"> Economic </t>
    </r>
  </si>
  <si>
    <r>
      <rPr>
        <i/>
        <sz val="10"/>
        <color indexed="8"/>
        <rFont val="Arial"/>
        <family val="2"/>
      </rPr>
      <t xml:space="preserve">Forecasts </t>
    </r>
    <r>
      <rPr>
        <sz val="10"/>
        <color indexed="8"/>
        <rFont val="Arial"/>
        <family val="2"/>
      </rPr>
      <t>worksheet, this contains the</t>
    </r>
  </si>
  <si>
    <t>most recent set of fiscal forecast</t>
  </si>
  <si>
    <t>variables. For reasons explained in the</t>
  </si>
  <si>
    <r>
      <rPr>
        <i/>
        <sz val="10"/>
        <color indexed="8"/>
        <rFont val="Arial"/>
        <family val="2"/>
      </rPr>
      <t xml:space="preserve">Fiscal Outturns </t>
    </r>
    <r>
      <rPr>
        <sz val="10"/>
        <color indexed="8"/>
        <rFont val="Arial"/>
        <family val="2"/>
      </rPr>
      <t>worksheet, there are only</t>
    </r>
  </si>
  <si>
    <t>historical outturns dating from 2014/15</t>
  </si>
  <si>
    <t>numerous check calculations to ensure</t>
  </si>
  <si>
    <t>the model user in this worksheet.</t>
  </si>
  <si>
    <t>Most selections relate to projection</t>
  </si>
  <si>
    <t>assumptions or parameters, but there are</t>
  </si>
  <si>
    <t>clicking the worksheet tab, ensuring to</t>
  </si>
  <si>
    <t>some that affect the forecast base.</t>
  </si>
  <si>
    <t>and parameters used in the main</t>
  </si>
  <si>
    <t>the name of the new worksheet tab.</t>
  </si>
  <si>
    <t>modelling worksheet scenarios.</t>
  </si>
  <si>
    <t>As most options will not be altered in</t>
  </si>
  <si>
    <t>worksheet, enter the name used at the</t>
  </si>
  <si>
    <t>setting up a scenario, the easiest way to</t>
  </si>
  <si>
    <r>
      <t xml:space="preserve">top of the column set up in </t>
    </r>
    <r>
      <rPr>
        <i/>
        <sz val="10"/>
        <color indexed="8"/>
        <rFont val="Arial"/>
        <family val="2"/>
      </rPr>
      <t>Assumptions</t>
    </r>
  </si>
  <si>
    <t>produce a new scenario is to copy one of</t>
  </si>
  <si>
    <t>with the chosen set of assumptions and</t>
  </si>
  <si>
    <t>these columns and paste it into a new</t>
  </si>
  <si>
    <r>
      <t>parameters</t>
    </r>
    <r>
      <rPr>
        <sz val="10"/>
        <color indexed="8"/>
        <rFont val="Arial"/>
        <family val="2"/>
      </rPr>
      <t>. In numerous places in this</t>
    </r>
  </si>
  <si>
    <t>column in this worksheet, changing its</t>
  </si>
  <si>
    <t>new modelling worksheet these</t>
  </si>
  <si>
    <t>name at the top of the column in the row</t>
  </si>
  <si>
    <r>
      <rPr>
        <sz val="10"/>
        <color indexed="8"/>
        <rFont val="Arial"/>
        <family val="2"/>
      </rPr>
      <t xml:space="preserve">labelled </t>
    </r>
    <r>
      <rPr>
        <i/>
        <sz val="10"/>
        <color indexed="8"/>
        <rFont val="Arial"/>
        <family val="2"/>
      </rPr>
      <t>SCENARIO NAME</t>
    </r>
    <r>
      <rPr>
        <sz val="10"/>
        <color indexed="8"/>
        <rFont val="Arial"/>
        <family val="2"/>
      </rPr>
      <t>.</t>
    </r>
  </si>
  <si>
    <t>The main modelling</t>
  </si>
  <si>
    <t>These worksheets provide the</t>
  </si>
  <si>
    <t>worksheets.</t>
  </si>
  <si>
    <t>fundamental outputs of the FSM, such as</t>
  </si>
  <si>
    <t>The standards are</t>
  </si>
  <si>
    <t>projections of net core Crown debt as a</t>
  </si>
  <si>
    <t>the one labelled with</t>
  </si>
  <si>
    <t>percentage of nominal GDP for a given</t>
  </si>
  <si>
    <t>the latest forecast</t>
  </si>
  <si>
    <t>set of assumptions and parameters.</t>
  </si>
  <si>
    <t>round name and the</t>
  </si>
  <si>
    <r>
      <rPr>
        <i/>
        <sz val="10"/>
        <color indexed="8"/>
        <rFont val="Arial"/>
        <family val="2"/>
      </rPr>
      <t xml:space="preserve">Fiscal Forecast Adjuster </t>
    </r>
    <r>
      <rPr>
        <sz val="10"/>
        <color indexed="8"/>
        <rFont val="Arial"/>
        <family val="2"/>
      </rPr>
      <t>(potentially)</t>
    </r>
  </si>
  <si>
    <t>As explained in the</t>
  </si>
  <si>
    <t>description a user</t>
  </si>
  <si>
    <t>can create a new</t>
  </si>
  <si>
    <t>modelling worksheet</t>
  </si>
  <si>
    <t>word Yes is entered in cell C3 beside this</t>
  </si>
  <si>
    <t>word Yes is entered in cell C2 beside this</t>
  </si>
  <si>
    <t>Unless otherwise stated, forecasts and projections are produced by the New Zealand Treasury</t>
  </si>
  <si>
    <t>Unless otherwise stated, all post-forecast projections are produced by the FSM model</t>
  </si>
  <si>
    <t>Economic Data</t>
  </si>
  <si>
    <t>Mainly Statistics New Zealand (NZ) measures</t>
  </si>
  <si>
    <t>Fiscal Data</t>
  </si>
  <si>
    <t>Demographic Data</t>
  </si>
  <si>
    <t>Historic data from Statistics NZ</t>
  </si>
  <si>
    <t>Source at</t>
  </si>
  <si>
    <t>Treasury forecasts aggregate population</t>
  </si>
  <si>
    <t>Treasury forecasts aggregate labour force</t>
  </si>
  <si>
    <t>Development (MSD) and Inland Revenue</t>
  </si>
  <si>
    <t>Department (IRD) for Working for Families</t>
  </si>
  <si>
    <t>Accident Compen-</t>
  </si>
  <si>
    <t>sation Corporation</t>
  </si>
  <si>
    <t>Forecasts from ACC</t>
  </si>
  <si>
    <t>(ACC) data</t>
  </si>
  <si>
    <t>track</t>
  </si>
  <si>
    <t>Forecasts from IRD</t>
  </si>
  <si>
    <t>Forecasts based on actuarial valuations</t>
  </si>
  <si>
    <t>Main benefit age &amp;</t>
  </si>
  <si>
    <t>gender distribution</t>
  </si>
  <si>
    <t>Aggregate labour force participation rate %</t>
  </si>
  <si>
    <r>
      <t xml:space="preserve">Age in years </t>
    </r>
    <r>
      <rPr>
        <b/>
        <sz val="10"/>
        <color indexed="8"/>
        <rFont val="Calibri"/>
        <family val="2"/>
      </rPr>
      <t>↓</t>
    </r>
  </si>
  <si>
    <r>
      <t xml:space="preserve">less </t>
    </r>
    <r>
      <rPr>
        <sz val="10"/>
        <color indexed="8"/>
        <rFont val="Arial"/>
        <family val="2"/>
      </rPr>
      <t>Tax on earnings</t>
    </r>
  </si>
  <si>
    <r>
      <t xml:space="preserve">less </t>
    </r>
    <r>
      <rPr>
        <sz val="10"/>
        <color indexed="8"/>
        <rFont val="Arial"/>
        <family val="2"/>
      </rPr>
      <t>Initial write-down to fair value</t>
    </r>
  </si>
  <si>
    <r>
      <t xml:space="preserve">less </t>
    </r>
    <r>
      <rPr>
        <sz val="10"/>
        <color indexed="8"/>
        <rFont val="Arial"/>
        <family val="2"/>
      </rPr>
      <t>Repayments made during the year</t>
    </r>
  </si>
  <si>
    <t>This worksheet. It provides some</t>
  </si>
  <si>
    <t>Taxable income over $0 and up to $22,000 per year</t>
  </si>
  <si>
    <t>Taxable income over $22,000 and up to $52,000 per year</t>
  </si>
  <si>
    <t>Taxable income over $52,000 and up to $70,000 per year</t>
  </si>
  <si>
    <t>much input data, this worksheet uses</t>
  </si>
  <si>
    <t>calculated over forecast years and the number of forecast years is chosen here. The averaging period moves backward from the</t>
  </si>
  <si>
    <r>
      <rPr>
        <sz val="10"/>
        <color indexed="8"/>
        <rFont val="Arial"/>
        <family val="2"/>
      </rPr>
      <t xml:space="preserve">written into </t>
    </r>
    <r>
      <rPr>
        <i/>
        <sz val="10"/>
        <color indexed="8"/>
        <rFont val="Arial"/>
        <family val="2"/>
      </rPr>
      <t xml:space="preserve">Fiscal Forecast Adjuster </t>
    </r>
    <r>
      <rPr>
        <sz val="10"/>
        <color indexed="8"/>
        <rFont val="Arial"/>
        <family val="2"/>
      </rPr>
      <t>to</t>
    </r>
  </si>
  <si>
    <t>Core Crown expenses (includes Forecast new operating spend &amp; Top-down adjustment)</t>
  </si>
  <si>
    <t>Cash disbursed to ops (includes Forecast new operating spend &amp; Top-down adjustment)</t>
  </si>
  <si>
    <t>Total Crown expenses (includes Forecast new operating spend &amp; Top-down adjustment)</t>
  </si>
  <si>
    <t>Total other non-cash items (includes Depreciation &amp; amortisation)</t>
  </si>
  <si>
    <t>CHECK: Net Debt excluding NZSF &amp; advances =GSID -CCFA +advs +NZSF FA</t>
  </si>
  <si>
    <t>CHECK: CC exps =SA&amp;ODA +Persnl +Other op +Int +Insur +Fcst new op spend &amp;T-d adj</t>
  </si>
  <si>
    <t>CHECK: CC assets =Cash+Rec+MSD+SI+Adv+PPE+EAI+IG+IO+Fcst new cap sp &amp;T-d adj</t>
  </si>
  <si>
    <t>CE other non-finance expenses (excluding welfare, health, education &amp; transport)</t>
  </si>
  <si>
    <t>SOE other non-finance expenses (excluding welfare, health, education &amp; transport)</t>
  </si>
  <si>
    <t>CHECK: Oper bal (excl Min ints) in Statement of Financial Performance=Sum of segments</t>
  </si>
  <si>
    <r>
      <t xml:space="preserve">CHECK: Net core Crown debt (ex NZS Fund &amp;advs) in </t>
    </r>
    <r>
      <rPr>
        <b/>
        <i/>
        <sz val="11"/>
        <rFont val="Arial"/>
        <family val="2"/>
      </rPr>
      <t>Fiscal Forecasts</t>
    </r>
    <r>
      <rPr>
        <b/>
        <sz val="11"/>
        <rFont val="Arial"/>
        <family val="2"/>
      </rPr>
      <t xml:space="preserve"> = Calc value</t>
    </r>
  </si>
  <si>
    <t>Crown entities (projected as ratio of all category exps except Econ &amp; ind services)</t>
  </si>
  <si>
    <t>Less Core Crown non-debt liabilities</t>
  </si>
  <si>
    <t>Less Dividends paid to/(received from) minority interests</t>
  </si>
  <si>
    <t>NZS Fund non-tax expenses</t>
  </si>
  <si>
    <t>Fiscal drag modelling can be applied to source deductions tax revenue. If this selected, then source deductions will not stabilise at the</t>
  </si>
  <si>
    <t>stable percentage of GDP shown below. If fiscal drag is chosen, this is applied in modelling indexation of NZS payments too.</t>
  </si>
  <si>
    <t>Parameters to align operational and functional expense classes</t>
  </si>
  <si>
    <t>Core Crown expenses that derive growth from a share of the Operating allowances</t>
  </si>
  <si>
    <t>Core Crown insurance expenses</t>
  </si>
  <si>
    <t>NZS Fund gains/(losses)</t>
  </si>
  <si>
    <t>Other core Crown gains/(losses)</t>
  </si>
  <si>
    <t>Core Crown gains and losses</t>
  </si>
  <si>
    <t>Less Core Crown depreciation</t>
  </si>
  <si>
    <t>Operating Balance</t>
  </si>
  <si>
    <t>or stable % of a related asset or liability for growing some non-cash assets &amp; liabilities</t>
  </si>
  <si>
    <t xml:space="preserve">Enter Yes to select fiscal drag modelling for source deductions revenue </t>
  </si>
  <si>
    <t>Emission Trading Scheme (ETS) revenue</t>
  </si>
  <si>
    <t>Interest revenue</t>
  </si>
  <si>
    <t>Depreciation</t>
  </si>
  <si>
    <t>Interest receipts</t>
  </si>
  <si>
    <t>Amortisation</t>
  </si>
  <si>
    <t>CHECK: Interest revenue in Statement of Financial Performance =Sum of segments</t>
  </si>
  <si>
    <t>Dividend revenue (Total Crown)</t>
  </si>
  <si>
    <t>CHECK: Total Crown Dividend revenue from Note =Sum of segments</t>
  </si>
  <si>
    <t>SOE insurance expenses (includes any inter-segment eliminations)</t>
  </si>
  <si>
    <t>CHECK: Depreciation in Statement of Financial Performance =Sum of segments</t>
  </si>
  <si>
    <t>Other Operating expenses (excludes Depreciation)</t>
  </si>
  <si>
    <t>ETS expenses</t>
  </si>
  <si>
    <t>Less Finance costs</t>
  </si>
  <si>
    <t>Other core Crown other sovereign revenue</t>
  </si>
  <si>
    <t>Emission Trading Scheme (ETS) expenses</t>
  </si>
  <si>
    <t>Other core Crown environmental protection expenses</t>
  </si>
  <si>
    <t>Less Amortisation</t>
  </si>
  <si>
    <t>Percentage of core Crown cash and advances that generate interest (rest generates dividends)</t>
  </si>
  <si>
    <t>Dividend revenue</t>
  </si>
  <si>
    <t>New Zealand Superannuation (NZS) Fund interest revenue</t>
  </si>
  <si>
    <t>Other core Crown interest revenue</t>
  </si>
  <si>
    <t>Core Crown interest revenue</t>
  </si>
  <si>
    <t>Total interest revenue</t>
  </si>
  <si>
    <t>New Zealand Superannuation (NZS) Fund dividend revenue</t>
  </si>
  <si>
    <t>Other core Crown dividend revenue</t>
  </si>
  <si>
    <t>Core Crown dividend revenue</t>
  </si>
  <si>
    <t>Inter-segment elimination (includes any historical or forecast SOE dividends)</t>
  </si>
  <si>
    <t>Total dividend revenue</t>
  </si>
  <si>
    <t>New Zealand Superannuation (NZS) Fund non-interest, non-dividend revenue</t>
  </si>
  <si>
    <t>Other core Crown non-interest, non-dividend revenue</t>
  </si>
  <si>
    <t>Total depreciation expenses</t>
  </si>
  <si>
    <t>Amortisation &amp; impairment of intangible assets (incl. in Other Operating expenses)</t>
  </si>
  <si>
    <t xml:space="preserve">Total Crown amortisation &amp; impairment of intangible assets expenses </t>
  </si>
  <si>
    <t>Less Depreciation</t>
  </si>
  <si>
    <t>Less Cost of concessionary lending</t>
  </si>
  <si>
    <t>Less Impairment on financial assets (excluding receivables)</t>
  </si>
  <si>
    <t>State-owned enterprises (SOE's) (includes any historical or forecast inter-segment elims)</t>
  </si>
  <si>
    <t>The first projected year value and the ensuing annual growth rate for the annual increments to both operating and capital allowances are set here.</t>
  </si>
  <si>
    <t>Operating allowances control most non-welfare, non-interest core Crown expenses' growth. Capital allowances control core Crown PP&amp;E asset growth.</t>
  </si>
  <si>
    <t>Average weekly hours worked (hours per week per year)</t>
  </si>
  <si>
    <t>Average weekly hours worked (hours per week)</t>
  </si>
  <si>
    <t>CHECK: Amortisation in Statement of Cash Flows =Sum of segments</t>
  </si>
  <si>
    <t>Core Crown amortisation &amp; impairment of intangible assets expenses</t>
  </si>
  <si>
    <t>Less net movement in cash</t>
  </si>
  <si>
    <t>Transport and communication expenses</t>
  </si>
  <si>
    <t>Total investing cash flows (incl issues of circltng currency from Statement of Cash Flows)</t>
  </si>
  <si>
    <t>Functional core Crown expenses allocated to Other operating expenses</t>
  </si>
  <si>
    <t>Explanation of the worksheets in the Fiscal Strategy Model (FSM) and how they link to one another</t>
  </si>
  <si>
    <t>Based on those of Statistics NZ</t>
  </si>
  <si>
    <t>RESIDENT POPULATION OF NEW ZEALAND AND PROJECTED LABOUR FORCE, BY SINGLE YEAR OF AGE AND GENDER, AS AT 30 JUNE</t>
  </si>
  <si>
    <t>Historical population data</t>
  </si>
  <si>
    <t>Infoshare: Estimated Resident Population by age and sex as at 30 June</t>
  </si>
  <si>
    <t>NZ.Stat: 2017 (base) 50th percentile projection of National labour force by age and sex</t>
  </si>
  <si>
    <t>Male</t>
  </si>
  <si>
    <t>Female</t>
  </si>
  <si>
    <t>ALL DATA AND PROJECTIONS PRODUCED BY STATISTICS NEW ZEALAND</t>
  </si>
  <si>
    <t>Working-age popn (15+, millions)</t>
  </si>
  <si>
    <t>Total LF participation rate (%)</t>
  </si>
  <si>
    <t>FEMALE POPULATION</t>
  </si>
  <si>
    <t>MALE POPULATION</t>
  </si>
  <si>
    <t>FEMALE LABOUR FORCE</t>
  </si>
  <si>
    <t>80 &amp; over</t>
  </si>
  <si>
    <t>MALE LABOUR FORCE</t>
  </si>
  <si>
    <t>RESIDENT POPULATION OF NEW ZEALAND, BY SINGLE YEAR OF AGE AND GENDER, AS AT 30 JUNE, THAT MATCHES HOUSEHOLD LABOUR FORCE SURVEY (HLFS) HISTORY AND TREASURY"S HLFS-BASED FORECASTS</t>
  </si>
  <si>
    <t>Labour Force (LF, millions)</t>
  </si>
  <si>
    <t>Minors' popn (0-14, millions)</t>
  </si>
  <si>
    <t>Net Migration (thousands) - Treasury</t>
  </si>
  <si>
    <t>Net Migration by age and gender group (percentages are based on June-end years between 1991/92 and 2017/18, where net migration was at least 10,000)</t>
  </si>
  <si>
    <t>Age Group (years)</t>
  </si>
  <si>
    <t>0 to 4</t>
  </si>
  <si>
    <t>5 to 9</t>
  </si>
  <si>
    <t>10 to 14</t>
  </si>
  <si>
    <t>15 to 19</t>
  </si>
  <si>
    <t>20 to 24</t>
  </si>
  <si>
    <t>25 to 29</t>
  </si>
  <si>
    <t>30 to 34</t>
  </si>
  <si>
    <t>35 to 39</t>
  </si>
  <si>
    <t>40 to 44</t>
  </si>
  <si>
    <t>45 to 49</t>
  </si>
  <si>
    <t>50 to 54</t>
  </si>
  <si>
    <t>55 to 59</t>
  </si>
  <si>
    <t>60 to 64</t>
  </si>
  <si>
    <t>65 to 69</t>
  </si>
  <si>
    <t>70 to 74</t>
  </si>
  <si>
    <t>75 &amp; over</t>
  </si>
  <si>
    <t>TOTAL</t>
  </si>
  <si>
    <t>Net Migration (thousands) - Statistics NZ</t>
  </si>
  <si>
    <t>Working-age popn (WAP, 15+, millions)</t>
  </si>
  <si>
    <t>LABOUR FORCE OF NEW ZEALAND, BY SINGLE YEAR OF AGE AND GENDER, AS AT 30 JUNE, THAT MATCHES HOUSEHOLD LABOUR FORCE SURVEY (HLFS) HISTORY AND TREASURY"S HLFS-BASED FORECASTS</t>
  </si>
  <si>
    <t>Labour Force (LF) (millions)</t>
  </si>
  <si>
    <t>MALE PARTICIPATION RATES</t>
  </si>
  <si>
    <t>FEMALE PARTICIPATION RATES</t>
  </si>
  <si>
    <t>Uncalibrated Labour Force (millions)</t>
  </si>
  <si>
    <t>Net migration (thousands)</t>
  </si>
  <si>
    <t>Gains/(losses) and (Impairment)/reversal of impairment</t>
  </si>
  <si>
    <t>Gains/(losses) and reversal of impairment/(impairment)</t>
  </si>
  <si>
    <t>Forecast new spending for future Budgets</t>
  </si>
  <si>
    <t>Forecast new annual capital spending</t>
  </si>
  <si>
    <t>Population Treasury</t>
  </si>
  <si>
    <t>Labour Force Treasury</t>
  </si>
  <si>
    <t>(NZ) resident population projections and</t>
  </si>
  <si>
    <t>Labour Force projections, by gender and</t>
  </si>
  <si>
    <t>single year of age. They are produced by</t>
  </si>
  <si>
    <t>Statistics New Zealand and are updated</t>
  </si>
  <si>
    <t>when a new version becomes available.</t>
  </si>
  <si>
    <t>Used extensively throughout the</t>
  </si>
  <si>
    <r>
      <rPr>
        <i/>
        <sz val="10"/>
        <color theme="1"/>
        <rFont val="Arial"/>
        <family val="2"/>
      </rPr>
      <t xml:space="preserve">Population Treasury </t>
    </r>
    <r>
      <rPr>
        <sz val="10"/>
        <color theme="1"/>
        <rFont val="Arial"/>
        <family val="2"/>
      </rPr>
      <t xml:space="preserve">and </t>
    </r>
    <r>
      <rPr>
        <i/>
        <sz val="10"/>
        <color theme="1"/>
        <rFont val="Arial"/>
        <family val="2"/>
      </rPr>
      <t>Labour Force</t>
    </r>
  </si>
  <si>
    <t>produce the Population and Labour Force</t>
  </si>
  <si>
    <r>
      <rPr>
        <i/>
        <sz val="10"/>
        <color theme="1"/>
        <rFont val="Arial"/>
        <family val="2"/>
      </rPr>
      <t>Treasury</t>
    </r>
    <r>
      <rPr>
        <sz val="10"/>
        <color theme="1"/>
        <rFont val="Arial"/>
        <family val="2"/>
      </rPr>
      <t xml:space="preserve"> worksheets in calculations to</t>
    </r>
  </si>
  <si>
    <t>age and gender distributions that match</t>
  </si>
  <si>
    <t>the aggregate values in forecast years.</t>
  </si>
  <si>
    <t>These are age and gender distributions</t>
  </si>
  <si>
    <t>of the NZ population that match the</t>
  </si>
  <si>
    <t>aggregate forecasts in forecast years and</t>
  </si>
  <si>
    <t>are projected out into post-forecast years.</t>
  </si>
  <si>
    <t>They also adjust population projections</t>
  </si>
  <si>
    <t>for alternative net migration totals to the</t>
  </si>
  <si>
    <t>values used in Statistics NZ projections.</t>
  </si>
  <si>
    <t>of the NZ labour force that match the</t>
  </si>
  <si>
    <t>As well as population and labour force</t>
  </si>
  <si>
    <t>This worksheet uses labour force</t>
  </si>
  <si>
    <t>participation rates, by single year of age</t>
  </si>
  <si>
    <t>and gender, multiplied by the equivalent</t>
  </si>
  <si>
    <r>
      <t xml:space="preserve">population group in </t>
    </r>
    <r>
      <rPr>
        <i/>
        <sz val="10"/>
        <color theme="1"/>
        <rFont val="Arial"/>
        <family val="2"/>
      </rPr>
      <t>Population Treasury</t>
    </r>
    <r>
      <rPr>
        <sz val="10"/>
        <color theme="1"/>
        <rFont val="Arial"/>
        <family val="2"/>
      </rPr>
      <t>,</t>
    </r>
  </si>
  <si>
    <t>to produce labour force numbers by</t>
  </si>
  <si>
    <t>single year of age and gender.</t>
  </si>
  <si>
    <t>Remaining unallocated capital contingencies from forecast Budgets</t>
  </si>
  <si>
    <t>Effective interest rate to align with government 10-year bond rate (percentage points per year)</t>
  </si>
  <si>
    <t>Statistics NZ</t>
  </si>
  <si>
    <t>welfare expenses. Used in projecting age</t>
  </si>
  <si>
    <t>and gender group Labour Force numbers</t>
  </si>
  <si>
    <r>
      <t xml:space="preserve">in the </t>
    </r>
    <r>
      <rPr>
        <i/>
        <sz val="10"/>
        <color theme="1"/>
        <rFont val="Arial"/>
        <family val="2"/>
      </rPr>
      <t xml:space="preserve">Labour Force Treasury </t>
    </r>
    <r>
      <rPr>
        <sz val="10"/>
        <color theme="1"/>
        <rFont val="Arial"/>
        <family val="2"/>
      </rPr>
      <t>worksheet.</t>
    </r>
  </si>
  <si>
    <t>Investments in controlled enterprises</t>
  </si>
  <si>
    <r>
      <rPr>
        <i/>
        <sz val="10"/>
        <color indexed="8"/>
        <rFont val="Arial"/>
        <family val="2"/>
      </rPr>
      <t>Scenario</t>
    </r>
    <r>
      <rPr>
        <sz val="10"/>
        <color indexed="8"/>
        <rFont val="Arial"/>
        <family val="2"/>
      </rPr>
      <t xml:space="preserve"> worksheet</t>
    </r>
  </si>
  <si>
    <t>Scenario</t>
  </si>
  <si>
    <t>Transition rate from end-of-forecast to stable percentage for tax types (pctge pts per yr)</t>
  </si>
  <si>
    <t>Working for Families tax credits, supplementary benefits and student allowances are normally projected using working-age population growth and</t>
  </si>
  <si>
    <t>inflation indexation of payments. This growth logic can be replaced by having these benefits move to and then stabilise at a chosen % of GDP.</t>
  </si>
  <si>
    <t>Stable percentage of nominal GDP for Working for Families(WFF) tax credits</t>
  </si>
  <si>
    <t>Stable percentage of nominal GDP for supplementary benefits (SB)</t>
  </si>
  <si>
    <t>Stable percentage of nominal GDP for Student Allowances (SA)</t>
  </si>
  <si>
    <t>Enter Yes to use stable % of nominal GDP for WFF, supplementaries &amp; student allowances</t>
  </si>
  <si>
    <t>Transition rate from end-of-forecast to stable percntge for WFF, SB, SA &amp; ODA (pctge pts per yr)</t>
  </si>
  <si>
    <t>Percentage of property, plant &amp; equipment assets, incl. capital allowances, that are depreciated</t>
  </si>
  <si>
    <t>Net additions less reductions to core Crown property, plant &amp; equipment excl. depreciation</t>
  </si>
  <si>
    <t>Net additions less reductions to CE &amp; SOE property, plant &amp; equipment excl. depreciation</t>
  </si>
  <si>
    <t>Hypothecated transport taxes capital funding share</t>
  </si>
  <si>
    <t>Less Crown entities &amp; State-owned enterprises depreciation</t>
  </si>
  <si>
    <t xml:space="preserve">Labour Force (LF) (millions) (aggregate) </t>
  </si>
  <si>
    <t>Working-Age Population (WAP) (millions) (aged 15 years &amp; over)</t>
  </si>
  <si>
    <t>Superannuation Fund (NZSF).</t>
  </si>
  <si>
    <t>NZSF model</t>
  </si>
  <si>
    <t>NZSF track can then be pasted</t>
  </si>
  <si>
    <t>NZSF Adjuster</t>
  </si>
  <si>
    <t>inputs or parameter choices in the</t>
  </si>
  <si>
    <t>These can be produced by altering</t>
  </si>
  <si>
    <t>is a label Adjust NZSF track. If the</t>
  </si>
  <si>
    <t>worksheet to replace the NZSF track</t>
  </si>
  <si>
    <t>any variables in the forecast base that</t>
  </si>
  <si>
    <t>would be affected by changes to the</t>
  </si>
  <si>
    <t>NZSF track in forecast years.</t>
  </si>
  <si>
    <t>not match one of the alternative NZSF</t>
  </si>
  <si>
    <t>tracks in the worksheet, the selection</t>
  </si>
  <si>
    <t>defaults to the parameters of the NZSF</t>
  </si>
  <si>
    <t>Note that, if the selected track number</t>
  </si>
  <si>
    <t>NZSF Adjuster (potentially)</t>
  </si>
  <si>
    <r>
      <t xml:space="preserve">chosen in </t>
    </r>
    <r>
      <rPr>
        <i/>
        <sz val="10"/>
        <color theme="1"/>
        <rFont val="Arial"/>
        <family val="2"/>
      </rPr>
      <t>NZSF Adjuster</t>
    </r>
    <r>
      <rPr>
        <sz val="10"/>
        <color theme="1"/>
        <rFont val="Arial"/>
        <family val="2"/>
      </rPr>
      <t>. It also adjusts</t>
    </r>
  </si>
  <si>
    <r>
      <t xml:space="preserve">in the </t>
    </r>
    <r>
      <rPr>
        <i/>
        <sz val="10"/>
        <color theme="1"/>
        <rFont val="Arial"/>
        <family val="2"/>
      </rPr>
      <t>NZSF Adjuster</t>
    </r>
    <r>
      <rPr>
        <sz val="10"/>
        <color theme="1"/>
        <rFont val="Arial"/>
        <family val="2"/>
      </rPr>
      <t xml:space="preserve"> worksheet does</t>
    </r>
  </si>
  <si>
    <r>
      <t xml:space="preserve">track in </t>
    </r>
    <r>
      <rPr>
        <i/>
        <sz val="10"/>
        <color theme="1"/>
        <rFont val="Arial"/>
        <family val="2"/>
      </rPr>
      <t>Exogenous</t>
    </r>
    <r>
      <rPr>
        <sz val="10"/>
        <color theme="1"/>
        <rFont val="Arial"/>
        <family val="2"/>
      </rPr>
      <t>.</t>
    </r>
  </si>
  <si>
    <t>Fund (NZSF)</t>
  </si>
  <si>
    <t>Forecasts from the NZSF</t>
  </si>
  <si>
    <t>Forecasts from IRD and the</t>
  </si>
  <si>
    <t>Ministry of Education (Min. Ed.)</t>
  </si>
  <si>
    <t>Prjection produced by the Treasury</t>
  </si>
  <si>
    <t>based on 2019 HYEFU Min. Ed. Track</t>
  </si>
  <si>
    <t>Based on administrative data from MSD</t>
  </si>
  <si>
    <r>
      <t xml:space="preserve">Adjust NZSF track </t>
    </r>
    <r>
      <rPr>
        <sz val="11"/>
        <color indexed="8"/>
        <rFont val="Calibri"/>
        <family val="2"/>
      </rPr>
      <t>→</t>
    </r>
  </si>
  <si>
    <t>Forecast new operating spending for Covid-19 Response &amp; Recovery Fund (CRRF)</t>
  </si>
  <si>
    <t>Emission Trading Scheme (ETS)</t>
  </si>
  <si>
    <t>ETS provision</t>
  </si>
  <si>
    <t>ETS revenue to reduce provision</t>
  </si>
  <si>
    <t>ALTERNATE NEW ZEALAND SUPERANNUATION FUND (NZSF) TRACKS PRODUCED BY TREASURY MODEL</t>
  </si>
  <si>
    <t xml:space="preserve">The NZSF projected tracks in this worksheet are produced by the Treasury NZSF model. </t>
  </si>
  <si>
    <t>Closing NZSF balance</t>
  </si>
  <si>
    <t>If working-age benefits are higher than normal at the end of the forecast, these parameters return them to normal levels over the projected years</t>
  </si>
  <si>
    <t>GDP limit on non-core Crown property, plant &amp; equipment (PP&amp;E) asset</t>
  </si>
  <si>
    <t>New Zealand Superannuation Fund (NZSF) parameters to model interaction of</t>
  </si>
  <si>
    <t>The following percentages are related to the New Zealand Superannuation Fund (NZSF). They are based on historical data and</t>
  </si>
  <si>
    <t>NZSF assets &amp; liabilities with those of the rest of the core Crown</t>
  </si>
  <si>
    <t>are used mainly to divide up the forecast and projected closing balance of the NZSF among various asset and liability classes</t>
  </si>
  <si>
    <t>Transition rate from end-of-forecast to stable percntge for NZSF variables (pctge pts per yr)</t>
  </si>
  <si>
    <t>Percentage of NZSF closing balance held as financial assets</t>
  </si>
  <si>
    <t>Percentage of NZSF financial assets held as cash or cash equivalents</t>
  </si>
  <si>
    <t>Percentage of NZSF financial assets held as marketable securities and derivatives</t>
  </si>
  <si>
    <t>Percentage of NZSF financial assets held as investment in controlled enterprises</t>
  </si>
  <si>
    <t>Percentage of NZSF financial assets held as advances</t>
  </si>
  <si>
    <t>Percentage of NZSF financial liabilities held as payables</t>
  </si>
  <si>
    <t>Percentage of NZSF revenue received as interest</t>
  </si>
  <si>
    <t>Percentage of NZSF revenue received as dividends (non-interest/dividend received as other)</t>
  </si>
  <si>
    <t>New Zealand Superannuation Fund (NZSF)</t>
  </si>
  <si>
    <t>Core Crown (excluding NZSF) residual cash</t>
  </si>
  <si>
    <t>Net CC capital cash flows (incl NZSF contrb, ann. Fcast new cap spend &amp; T-d adjust)</t>
  </si>
  <si>
    <t>Emission Trading Scheme provision</t>
  </si>
  <si>
    <t>Other core Crown provisions</t>
  </si>
  <si>
    <t>Projection to 2033/34 from IRD</t>
  </si>
  <si>
    <t>Net gains/(losses) on large scale asset purchases</t>
  </si>
  <si>
    <r>
      <t xml:space="preserve">CHECK: RC = Negative of annual </t>
    </r>
    <r>
      <rPr>
        <b/>
        <sz val="11"/>
        <color theme="1"/>
        <rFont val="Calibri"/>
        <family val="2"/>
      </rPr>
      <t xml:space="preserve">Δ </t>
    </r>
    <r>
      <rPr>
        <b/>
        <sz val="11"/>
        <color theme="1"/>
        <rFont val="Arial"/>
        <family val="2"/>
      </rPr>
      <t>core Crown net debt &amp; currency issued</t>
    </r>
  </si>
  <si>
    <t>New CRRF spending annual increment in first projected year ($ billion)</t>
  </si>
  <si>
    <t>Annual growth rate of annual increment to CRRF spending in later projected years</t>
  </si>
  <si>
    <t>Annual increment to Covid Response &amp; Recovery Fund (depicted whether allocated or not)</t>
  </si>
  <si>
    <t>Main working-age benefit population comparators</t>
  </si>
  <si>
    <t>Aged 18 to 64 years (thousands)</t>
  </si>
  <si>
    <t>Females aged 20 to 59 years (thousands)</t>
  </si>
  <si>
    <t>Welfare recipient numbers (thousands)</t>
  </si>
  <si>
    <t>Accommodation Assistance</t>
  </si>
  <si>
    <t>Transition rate to stable percentage of population groups for main working-age benefit recipients</t>
  </si>
  <si>
    <t>Stable percentage of 18-64 population group for Jobseeker support &amp; Emergency benefit recipients</t>
  </si>
  <si>
    <t>Stable percentage of 18-64 population group for Supported livirg payment benefit recipients</t>
  </si>
  <si>
    <t>Stable percentage of female 20-59 population group for Sole parert support benefit recipients</t>
  </si>
  <si>
    <t>Transition rate to stable percentage of working-age population for Accommodation assistance recipients</t>
  </si>
  <si>
    <t>Stable percentage of working-age population for Accommodation assistance recipients</t>
  </si>
  <si>
    <t>New Zealand Superannuation &amp; Main working-age benefit projection parameters</t>
  </si>
  <si>
    <t>New Zealand Superannuation recipients (thousands)</t>
  </si>
  <si>
    <t>Jobseeker support and Emergency benefit recipients (thousands)</t>
  </si>
  <si>
    <t>Supported living payment recipients (thousands)</t>
  </si>
  <si>
    <t>Sole parent support recipients (thousands)</t>
  </si>
  <si>
    <t>Accommodation Assistance recipients (thousands)</t>
  </si>
  <si>
    <t>numbers in demographic group).</t>
  </si>
  <si>
    <r>
      <t xml:space="preserve">The </t>
    </r>
    <r>
      <rPr>
        <i/>
        <sz val="10"/>
        <color theme="1"/>
        <rFont val="Arial"/>
        <family val="2"/>
      </rPr>
      <t>Scenario</t>
    </r>
    <r>
      <rPr>
        <sz val="10"/>
        <color theme="1"/>
        <rFont val="Arial"/>
        <family val="2"/>
      </rPr>
      <t xml:space="preserve"> worksheet. In cell B3 there</t>
    </r>
  </si>
  <si>
    <r>
      <t>The</t>
    </r>
    <r>
      <rPr>
        <i/>
        <sz val="10"/>
        <color theme="1"/>
        <rFont val="Arial"/>
        <family val="2"/>
      </rPr>
      <t xml:space="preserve"> Scenario</t>
    </r>
    <r>
      <rPr>
        <sz val="10"/>
        <color theme="1"/>
        <rFont val="Arial"/>
        <family val="2"/>
      </rPr>
      <t xml:space="preserve"> worksheet. In cell B2 there</t>
    </r>
  </si>
  <si>
    <t>worksheet. It also contains parameters,</t>
  </si>
  <si>
    <t>derived from the economic forecasts by</t>
  </si>
  <si>
    <t>another Treasury model, that are used to</t>
  </si>
  <si>
    <t>project New Zealand Superannuation</t>
  </si>
  <si>
    <t>(NZS) expenses. Historical outturns and</t>
  </si>
  <si>
    <t>forecasts of recipient numbers for NZS</t>
  </si>
  <si>
    <t>and the main working-age benefits are</t>
  </si>
  <si>
    <t>also provided in this worksheet.</t>
  </si>
  <si>
    <t>into the projection of NZS and other</t>
  </si>
  <si>
    <t>categories of welfare expenditure in the</t>
  </si>
  <si>
    <t>main modelling worksheets.</t>
  </si>
  <si>
    <r>
      <t xml:space="preserve">name) and </t>
    </r>
    <r>
      <rPr>
        <i/>
        <sz val="10"/>
        <color theme="1"/>
        <rFont val="Arial"/>
        <family val="2"/>
      </rPr>
      <t>Scenario</t>
    </r>
    <r>
      <rPr>
        <sz val="10"/>
        <color theme="1"/>
        <rFont val="Arial"/>
        <family val="2"/>
      </rPr>
      <t xml:space="preserve"> worksheets,</t>
    </r>
  </si>
  <si>
    <t>although others can be copied from these</t>
  </si>
  <si>
    <r>
      <t xml:space="preserve">from the </t>
    </r>
    <r>
      <rPr>
        <i/>
        <sz val="10"/>
        <color indexed="8"/>
        <rFont val="Arial"/>
        <family val="2"/>
      </rPr>
      <t xml:space="preserve">Assumptions </t>
    </r>
    <r>
      <rPr>
        <sz val="10"/>
        <color indexed="8"/>
        <rFont val="Arial"/>
        <family val="2"/>
      </rPr>
      <t>worksheet.</t>
    </r>
  </si>
  <si>
    <t>and run off a different set of parameters</t>
  </si>
  <si>
    <t>Covers core Crown and total Crown</t>
  </si>
  <si>
    <t>variables, and in some cases extends to</t>
  </si>
  <si>
    <t>(SOE) variables.</t>
  </si>
  <si>
    <t>Crown entity and State-owned enterprise</t>
  </si>
  <si>
    <t>The easiest way to produce a whole new</t>
  </si>
  <si>
    <t>modelled scenario is to copy one of the</t>
  </si>
  <si>
    <t>main modelling worksheets by right</t>
  </si>
  <si>
    <r>
      <t xml:space="preserve">tick the </t>
    </r>
    <r>
      <rPr>
        <i/>
        <sz val="10"/>
        <color indexed="8"/>
        <rFont val="Arial"/>
        <family val="2"/>
      </rPr>
      <t xml:space="preserve">Create a Copy </t>
    </r>
    <r>
      <rPr>
        <sz val="10"/>
        <color indexed="8"/>
        <rFont val="Arial"/>
        <family val="2"/>
      </rPr>
      <t>box (otherwise</t>
    </r>
  </si>
  <si>
    <t>the worksheet just gets moved). Change</t>
  </si>
  <si>
    <t>assumptions and parameters will be</t>
  </si>
  <si>
    <t>used to produce the new scenario.</t>
  </si>
  <si>
    <t>2072/73</t>
  </si>
  <si>
    <t>2071/72</t>
  </si>
  <si>
    <t>2070/71</t>
  </si>
  <si>
    <t>2069/70</t>
  </si>
  <si>
    <t>2068/69</t>
  </si>
  <si>
    <t>National population projections: 2020 (base) - 2073 50th percentile projection</t>
  </si>
  <si>
    <t>Labour Force projections use</t>
  </si>
  <si>
    <t>Less Minority share of operating balance</t>
  </si>
  <si>
    <t>Operating balance (includes minority interests)</t>
  </si>
  <si>
    <t>Minority interest share of net gains/(losses)</t>
  </si>
  <si>
    <t>CHECK: Oper Bal (ex MI) = Rev - Exps + Gains (ex MI) + Net surplus - MI share</t>
  </si>
  <si>
    <t>CHECK: OBEGAL (ex MI) = Op Bal (ex MI) - Tot gain/(loss) - Net surp + MI share gn/(ls)</t>
  </si>
  <si>
    <t>Net cash flows from operations plus Total gains/(losses) and Other interests</t>
  </si>
  <si>
    <t>NZSF financial assets (excluding receivables)</t>
  </si>
  <si>
    <t>Funding for Lending Programme (FLP) advances</t>
  </si>
  <si>
    <t>Other core Crown advances (excl. NZSF advances)</t>
  </si>
  <si>
    <t>Non-liquid core Crown financial assets = NZSF finanial assets &amp; advances</t>
  </si>
  <si>
    <t>Total gains/(losses) and other items</t>
  </si>
  <si>
    <t>Less Repayments made during the year</t>
  </si>
  <si>
    <t>ETS auction units</t>
  </si>
  <si>
    <t>Less Minority interest (MI) share of operating balance</t>
  </si>
  <si>
    <r>
      <t xml:space="preserve">CHECK: Total Crown OBEGAL in </t>
    </r>
    <r>
      <rPr>
        <b/>
        <i/>
        <sz val="11"/>
        <rFont val="Arial"/>
        <family val="2"/>
      </rPr>
      <t>Fiscal Forecasts</t>
    </r>
    <r>
      <rPr>
        <b/>
        <sz val="11"/>
        <rFont val="Arial"/>
        <family val="2"/>
      </rPr>
      <t xml:space="preserve"> worksheet = Calculated value</t>
    </r>
  </si>
  <si>
    <r>
      <t xml:space="preserve">CHECK: Core Crown op balance in </t>
    </r>
    <r>
      <rPr>
        <b/>
        <i/>
        <sz val="11"/>
        <rFont val="Arial"/>
        <family val="2"/>
      </rPr>
      <t>Fiscal Forecasts</t>
    </r>
    <r>
      <rPr>
        <b/>
        <sz val="11"/>
        <rFont val="Arial"/>
        <family val="2"/>
      </rPr>
      <t xml:space="preserve"> worksheet = Calculated value</t>
    </r>
  </si>
  <si>
    <t>NZSF holdings of core Crown financial assets (excluding receivables)</t>
  </si>
  <si>
    <t>Core Crown advances (excluding FLP and advances held by NZSF)</t>
  </si>
  <si>
    <t>Total gains/(losses) &amp; Net surplus/(deficit) from assoc less MI share of op balance</t>
  </si>
  <si>
    <t>CHECK: Op Bal (ex MI) = Net cash op+Gains&amp;NS-MI share +Non-cash+Mvmt WC</t>
  </si>
  <si>
    <t>Emission Trading Scheme (ETS) cash receipts from auctioning units</t>
  </si>
  <si>
    <t>Census 2018 basis, produced in 2020</t>
  </si>
  <si>
    <t>Census 2013 basis, produced in 2017, adapted to match 2020 population projection</t>
  </si>
  <si>
    <t>From Economic Forecasts</t>
  </si>
  <si>
    <t>From Fiscal Forecasts</t>
  </si>
  <si>
    <t>ACTUAL FISCAL OUTTURNS FROM 2006/07 UNTIL 2019/20</t>
  </si>
  <si>
    <t>FISCAL STRATEGY MODEL (FSM) - 2021 BUDGET ECONOMIC &amp; FISCAL UPDATE (BEFU) VERSION</t>
  </si>
  <si>
    <t>2021 Budget Economic and Fiscal Update (BEFU) data and forecasts</t>
  </si>
  <si>
    <t>2021 BEFU version</t>
  </si>
  <si>
    <t>Asset/liability track, 2021 update</t>
  </si>
  <si>
    <t>2021 Budget Economic &amp; Fiscal Update (BEFU) forecast from 2020/21 onwards</t>
  </si>
  <si>
    <t>2021 BEFU forecast from 2020/21 onwards</t>
  </si>
  <si>
    <t>2021 BEFU projection from 2025/26 onwards</t>
  </si>
  <si>
    <t xml:space="preserve">Labour Force (millions) (aggregate, as at 30 June) </t>
  </si>
  <si>
    <t>Working-Age Population (millions) (aged 15 years &amp; over, as at 30 June)</t>
  </si>
  <si>
    <t>Total Population (millions, as at 30 june)</t>
  </si>
  <si>
    <t>BEFU21</t>
  </si>
  <si>
    <t>Main working-age benefit annual growth</t>
  </si>
  <si>
    <t>Jobseeker Support aged 16 to 19 years</t>
  </si>
  <si>
    <t>Jobseeker Support aged 20 to 24 years</t>
  </si>
  <si>
    <t>Jobseeker Support aged 25 to 29 years</t>
  </si>
  <si>
    <t>Jobseeker Support aged 30 to 34 years</t>
  </si>
  <si>
    <t>Jobseeker Support aged 35 to 39 years</t>
  </si>
  <si>
    <t>Jobseeker Support aged 40 to 44 years</t>
  </si>
  <si>
    <t>Jobseeker Support aged 45 to 49 years</t>
  </si>
  <si>
    <t>Jobseeker Support aged 50 to 54 years</t>
  </si>
  <si>
    <t>Jobseeker Support aged 55 to 59 years</t>
  </si>
  <si>
    <t>Jobseeker Support aged 60 to 64 years</t>
  </si>
  <si>
    <t>Supported Living Payment aged 16 to 19 years</t>
  </si>
  <si>
    <t>Supported Living Payment aged 20 to 24 years</t>
  </si>
  <si>
    <t>Supported Living Payment aged 25 to 29 years</t>
  </si>
  <si>
    <t>Supported Living Payment aged 30 to 34 years</t>
  </si>
  <si>
    <t>Supported Living Payment aged 35 to 39 years</t>
  </si>
  <si>
    <t>Supported Living Payment aged 40 to 44 years</t>
  </si>
  <si>
    <t>Supported Living Payment aged 45 to 49 years</t>
  </si>
  <si>
    <t>Supported Living Payment aged 50 to 54 years</t>
  </si>
  <si>
    <t>Supported Living Payment aged 55 to 59 years</t>
  </si>
  <si>
    <t>Sole Parent Support aged 16 to 19 years</t>
  </si>
  <si>
    <t>Sole Parent Support aged 20 to 24 years</t>
  </si>
  <si>
    <t>Sole Parent Support aged 25 to 29 years</t>
  </si>
  <si>
    <t>Sole Parent Support aged 30 to 34 years</t>
  </si>
  <si>
    <t>Sole Parent Support aged 35 to 39 years</t>
  </si>
  <si>
    <t>Sole Parent Support aged 40 to 44 years</t>
  </si>
  <si>
    <t>Sole Parent Support aged 45 to 49 years</t>
  </si>
  <si>
    <t>Sole Parent Support aged 50 to 54 years</t>
  </si>
  <si>
    <t>Sole Parent Support aged 55 to 59 years</t>
  </si>
  <si>
    <t>Sole Parent Support aged 60 to 64 years</t>
  </si>
  <si>
    <t>Jobseeker Support aged 65 years &amp; above</t>
  </si>
  <si>
    <t>Supported Living Payment aged 65 years &amp; above</t>
  </si>
  <si>
    <t>Sole Parent Support aged 65 years &amp; above</t>
  </si>
  <si>
    <t>Female aged 16 to 19 years</t>
  </si>
  <si>
    <t>Female aged 20 to 24 years</t>
  </si>
  <si>
    <t>Female aged 25 to 29 years</t>
  </si>
  <si>
    <t>Female aged 30 to 34 years</t>
  </si>
  <si>
    <t>Female aged 35 to 39 years</t>
  </si>
  <si>
    <t>Female aged 40 to 44 years</t>
  </si>
  <si>
    <t>Female aged 45 to 49 years</t>
  </si>
  <si>
    <t>Female aged 50 to 54 years</t>
  </si>
  <si>
    <t>Female aged 55 to 59 years</t>
  </si>
  <si>
    <t>Female aged 60 to 64 years</t>
  </si>
  <si>
    <t>Female aged 65 years &amp; above</t>
  </si>
  <si>
    <t>Male aged 16 to 19 years</t>
  </si>
  <si>
    <t>Male aged 20 to 24 years</t>
  </si>
  <si>
    <t>Male aged 25 to 29 years</t>
  </si>
  <si>
    <t>Male aged 30 to 34 years</t>
  </si>
  <si>
    <t>Male aged 35 to 39 years</t>
  </si>
  <si>
    <t>Male aged 40 to 44 years</t>
  </si>
  <si>
    <t>Male aged 45 to 49 years</t>
  </si>
  <si>
    <t>Male aged 50 to 54 years</t>
  </si>
  <si>
    <t>Male aged 55 to 59 years</t>
  </si>
  <si>
    <t>Male aged 60 to 64 years</t>
  </si>
  <si>
    <t>Male aged 65 years &amp; above</t>
  </si>
  <si>
    <t xml:space="preserve">Aged 65 years and over (NZS recipients) annual growth </t>
  </si>
  <si>
    <t>Taxable income over $180,000 per year</t>
  </si>
  <si>
    <t>Taxable income over $70,000 and up to $180,000 per year</t>
  </si>
  <si>
    <t>Effective interest rate on government debt to recocile with government 10-year bond rate</t>
  </si>
  <si>
    <t>Emission Trading Scheme (ETS) revenue to reduce ETS provision</t>
  </si>
  <si>
    <t>Net new lending (including fees) in current year</t>
  </si>
  <si>
    <t>Unwind of administration costs</t>
  </si>
  <si>
    <t>CHECK: CC financial assets from Statement of Borrowings =Cash +MSDs +Shares +Advs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</si>
</sst>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164" formatCode="_(* #,##0.00_);_(* \(#,##0.00\);_(* &quot;-&quot;??_);_(@_)"/>
    <numFmt numFmtId="165" formatCode="_(&quot;$&quot;* #,##0.00_);_(&quot;$&quot;* \(#,##0.00\);_(&quot;$&quot;* &quot;-&quot;??_);_(@_)"/>
    <numFmt numFmtId="166" formatCode="0.000"/>
    <numFmt numFmtId="167" formatCode="0.0"/>
    <numFmt numFmtId="168" formatCode="0.0%"/>
    <numFmt numFmtId="169" formatCode="&quot;$&quot;#,##0.00"/>
    <numFmt numFmtId="170" formatCode="#,##0.00000"/>
    <numFmt numFmtId="171" formatCode="&quot;$&quot;#,##0"/>
    <numFmt numFmtId="172" formatCode="#,##0.000"/>
    <numFmt numFmtId="173" formatCode="0.0000"/>
    <numFmt numFmtId="174" formatCode="#,##0_);\(#,##0\);\-_)"/>
    <numFmt numFmtId="175" formatCode="#,##0.00_);\(#,##0.00\);\-_)"/>
    <numFmt numFmtId="176" formatCode="&quot;$&quot;#,##0_);\(&quot;$&quot;#,##0\);\-_)"/>
    <numFmt numFmtId="177" formatCode="&quot;$&quot;#,##0.00_);\(&quot;$&quot;#,##0.00\);\-_)"/>
    <numFmt numFmtId="178" formatCode="&quot;$&quot;#,##0.000,,&quot;m&quot;_);\(&quot;$&quot;#,##0.000,,&quot;m&quot;\);\-_)"/>
    <numFmt numFmtId="179" formatCode="[=0]&quot;-&quot;_);dd\-mmm\-yy"/>
    <numFmt numFmtId="180" formatCode="&quot;$&quot;#_);\(&quot;$&quot;#\);\-_)"/>
    <numFmt numFmtId="181" formatCode="&quot;$&quot;#,##0.00_);\(&quot;$&quot;#,##0.00_);\-_)"/>
    <numFmt numFmtId="182" formatCode="0.00000"/>
    <numFmt numFmtId="183" formatCode="0.000000"/>
  </numFmts>
  <fonts count="124">
    <font>
      <sz val="11"/>
      <color theme="1"/>
      <name val="Calibri"/>
      <family val="2"/>
      <scheme val="minor"/>
    </font>
    <font>
      <sz val="11"/>
      <color indexed="8"/>
      <name val="Arial"/>
      <family val="2"/>
    </font>
    <font>
      <b/>
      <sz val="11"/>
      <color indexed="8"/>
      <name val="Arial"/>
      <family val="2"/>
    </font>
    <font>
      <i/>
      <sz val="11"/>
      <color indexed="8"/>
      <name val="Arial"/>
      <family val="2"/>
    </font>
    <font>
      <b/>
      <sz val="11"/>
      <color indexed="8"/>
      <name val="Calibri"/>
      <family val="2"/>
    </font>
    <font>
      <sz val="9"/>
      <color indexed="81"/>
      <name val="Tahoma"/>
      <family val="2"/>
    </font>
    <font>
      <b/>
      <i/>
      <sz val="11"/>
      <color indexed="8"/>
      <name val="Arial"/>
      <family val="2"/>
    </font>
    <font>
      <i/>
      <sz val="11"/>
      <color indexed="8"/>
      <name val="Calibri"/>
      <family val="2"/>
    </font>
    <font>
      <b/>
      <sz val="11"/>
      <name val="Arial"/>
      <family val="2"/>
    </font>
    <font>
      <sz val="10"/>
      <color indexed="8"/>
      <name val="Arial"/>
      <family val="2"/>
    </font>
    <font>
      <b/>
      <i/>
      <sz val="11"/>
      <name val="Arial"/>
      <family val="2"/>
    </font>
    <font>
      <b/>
      <sz val="12"/>
      <color indexed="8"/>
      <name val="Calibri"/>
      <family val="2"/>
    </font>
    <font>
      <b/>
      <sz val="11"/>
      <color indexed="12"/>
      <name val="Calibri"/>
      <family val="2"/>
    </font>
    <font>
      <sz val="11"/>
      <color indexed="8"/>
      <name val="Calibri"/>
      <family val="2"/>
    </font>
    <font>
      <i/>
      <sz val="10"/>
      <color indexed="8"/>
      <name val="Arial"/>
      <family val="2"/>
    </font>
    <font>
      <i/>
      <sz val="10"/>
      <color indexed="8"/>
      <name val="Arial"/>
      <family val="2"/>
    </font>
    <font>
      <sz val="10"/>
      <color indexed="8"/>
      <name val="Arial"/>
      <family val="2"/>
    </font>
    <font>
      <b/>
      <sz val="10"/>
      <color indexed="8"/>
      <name val="Calibri"/>
      <family val="2"/>
    </font>
    <font>
      <sz val="11"/>
      <color theme="1"/>
      <name val="Calibri"/>
      <family val="2"/>
      <scheme val="minor"/>
    </font>
    <font>
      <u/>
      <sz val="11"/>
      <color theme="10"/>
      <name val="Calibri"/>
      <family val="2"/>
      <scheme val="minor"/>
    </font>
    <font>
      <u/>
      <sz val="11"/>
      <color theme="10"/>
      <name val="Calibri"/>
      <family val="2"/>
    </font>
    <font>
      <sz val="10"/>
      <color theme="1"/>
      <name val="Verdana"/>
      <family val="2"/>
    </font>
    <font>
      <sz val="11"/>
      <color theme="1"/>
      <name val="Arial"/>
      <family val="2"/>
    </font>
    <font>
      <b/>
      <sz val="11"/>
      <color theme="1"/>
      <name val="Arial"/>
      <family val="2"/>
    </font>
    <font>
      <i/>
      <sz val="11"/>
      <color theme="1"/>
      <name val="Arial"/>
      <family val="2"/>
    </font>
    <font>
      <sz val="11"/>
      <color rgb="FF0000FF"/>
      <name val="Arial"/>
      <family val="2"/>
    </font>
    <font>
      <sz val="11"/>
      <color rgb="FFFF0000"/>
      <name val="Arial"/>
      <family val="2"/>
    </font>
    <font>
      <b/>
      <i/>
      <sz val="11"/>
      <color theme="1"/>
      <name val="Arial"/>
      <family val="2"/>
    </font>
    <font>
      <sz val="10"/>
      <color theme="1"/>
      <name val="Arial"/>
      <family val="2"/>
    </font>
    <font>
      <b/>
      <sz val="11"/>
      <color rgb="FF0000FF"/>
      <name val="Arial"/>
      <family val="2"/>
    </font>
    <font>
      <b/>
      <sz val="11"/>
      <color rgb="FFFF0000"/>
      <name val="Arial"/>
      <family val="2"/>
    </font>
    <font>
      <b/>
      <sz val="13"/>
      <color theme="1"/>
      <name val="Arial"/>
      <family val="2"/>
    </font>
    <font>
      <b/>
      <i/>
      <sz val="12"/>
      <color theme="1"/>
      <name val="Arial"/>
      <family val="2"/>
    </font>
    <font>
      <b/>
      <sz val="12"/>
      <color theme="1"/>
      <name val="Arial"/>
      <family val="2"/>
    </font>
    <font>
      <i/>
      <sz val="10"/>
      <color theme="1"/>
      <name val="Arial"/>
      <family val="2"/>
    </font>
    <font>
      <b/>
      <i/>
      <sz val="10"/>
      <color theme="1"/>
      <name val="Arial"/>
      <family val="2"/>
    </font>
    <font>
      <b/>
      <sz val="10"/>
      <color theme="1"/>
      <name val="Arial"/>
      <family val="2"/>
    </font>
    <font>
      <sz val="10"/>
      <color rgb="FF0000FF"/>
      <name val="Arial"/>
      <family val="2"/>
    </font>
    <font>
      <sz val="10"/>
      <color rgb="FFFF0000"/>
      <name val="Arial"/>
      <family val="2"/>
    </font>
    <font>
      <sz val="10"/>
      <name val="Arial"/>
      <family val="2"/>
    </font>
    <font>
      <sz val="10"/>
      <name val="Arial"/>
      <family val="2"/>
    </font>
    <font>
      <u/>
      <sz val="10"/>
      <color indexed="12"/>
      <name val="Arial"/>
      <family val="2"/>
    </font>
    <font>
      <u/>
      <sz val="10"/>
      <color indexed="12"/>
      <name val="Arial"/>
      <family val="2"/>
    </font>
    <font>
      <b/>
      <sz val="10"/>
      <color rgb="FF0000FF"/>
      <name val="Arial"/>
      <family val="2"/>
    </font>
    <font>
      <b/>
      <sz val="10"/>
      <color rgb="FFFF0000"/>
      <name val="Arial"/>
      <family val="2"/>
    </font>
    <font>
      <sz val="10"/>
      <name val="MS Sans Serif"/>
      <family val="2"/>
    </font>
    <font>
      <sz val="8"/>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name val="Arial"/>
      <family val="2"/>
    </font>
    <font>
      <sz val="11"/>
      <color indexed="9"/>
      <name val="Calibri"/>
      <family val="2"/>
    </font>
    <font>
      <sz val="11"/>
      <color indexed="20"/>
      <name val="Verdana"/>
      <family val="2"/>
    </font>
    <font>
      <sz val="10"/>
      <name val="Calibri"/>
      <family val="2"/>
    </font>
    <font>
      <b/>
      <sz val="11"/>
      <color indexed="52"/>
      <name val="Calibri"/>
      <family val="2"/>
    </font>
    <font>
      <b/>
      <sz val="11"/>
      <color indexed="9"/>
      <name val="Calibri"/>
      <family val="2"/>
    </font>
    <font>
      <sz val="10"/>
      <color indexed="10"/>
      <name val="Calibri"/>
      <family val="2"/>
    </font>
    <font>
      <i/>
      <sz val="9"/>
      <color rgb="FF7F7F7F"/>
      <name val="Calibri"/>
      <family val="2"/>
    </font>
    <font>
      <sz val="10"/>
      <color indexed="12"/>
      <name val="Calibri"/>
      <family val="2"/>
    </font>
    <font>
      <sz val="11"/>
      <color indexed="17"/>
      <name val="Verdana"/>
      <family val="2"/>
    </font>
    <font>
      <b/>
      <sz val="10"/>
      <color rgb="FF121F6B"/>
      <name val="Verdana"/>
      <family val="2"/>
    </font>
    <font>
      <b/>
      <sz val="11"/>
      <color rgb="FFFFFFFF"/>
      <name val="Calibri"/>
      <family val="2"/>
    </font>
    <font>
      <b/>
      <sz val="10"/>
      <color rgb="FF121F6B"/>
      <name val="Calibri"/>
      <family val="2"/>
    </font>
    <font>
      <b/>
      <sz val="15"/>
      <color indexed="56"/>
      <name val="Calibri"/>
      <family val="2"/>
    </font>
    <font>
      <b/>
      <sz val="13"/>
      <color indexed="56"/>
      <name val="Calibri"/>
      <family val="2"/>
    </font>
    <font>
      <b/>
      <sz val="11"/>
      <color rgb="FF003366"/>
      <name val="Calibri"/>
      <family val="2"/>
    </font>
    <font>
      <u/>
      <sz val="10"/>
      <color theme="10"/>
      <name val="Calibri"/>
      <family val="2"/>
    </font>
    <font>
      <sz val="11"/>
      <color indexed="62"/>
      <name val="Calibri"/>
      <family val="2"/>
    </font>
    <font>
      <sz val="11"/>
      <color indexed="52"/>
      <name val="Calibri"/>
      <family val="2"/>
    </font>
    <font>
      <sz val="8"/>
      <color indexed="12"/>
      <name val="Calibri"/>
      <family val="2"/>
    </font>
    <font>
      <sz val="11"/>
      <color indexed="60"/>
      <name val="Verdana"/>
      <family val="2"/>
    </font>
    <font>
      <sz val="10"/>
      <name val="Times New Roman"/>
      <family val="1"/>
    </font>
    <font>
      <b/>
      <sz val="11"/>
      <color indexed="63"/>
      <name val="Calibri"/>
      <family val="2"/>
    </font>
    <font>
      <b/>
      <sz val="10"/>
      <name val="Calibri"/>
      <family val="2"/>
    </font>
    <font>
      <i/>
      <sz val="8"/>
      <color rgb="FF7F7F7F"/>
      <name val="Calibri"/>
      <family val="2"/>
    </font>
    <font>
      <b/>
      <sz val="18"/>
      <color rgb="FF003366"/>
      <name val="Verdana"/>
      <family val="2"/>
    </font>
    <font>
      <b/>
      <sz val="18"/>
      <color theme="0"/>
      <name val="Verdana"/>
      <family val="2"/>
    </font>
    <font>
      <i/>
      <sz val="10"/>
      <name val="Calibri"/>
      <family val="2"/>
    </font>
    <font>
      <sz val="11"/>
      <color indexed="10"/>
      <name val="Calibri"/>
      <family val="2"/>
    </font>
    <font>
      <sz val="10"/>
      <color theme="1"/>
      <name val="Arial Mäori"/>
      <family val="2"/>
    </font>
    <font>
      <sz val="8"/>
      <name val="Helvetica"/>
    </font>
    <font>
      <sz val="8"/>
      <name val="Helvetica"/>
      <family val="2"/>
    </font>
    <font>
      <u/>
      <sz val="8"/>
      <color indexed="12"/>
      <name val="Helvetica"/>
      <family val="2"/>
    </font>
    <font>
      <b/>
      <sz val="11"/>
      <color theme="1"/>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u/>
      <sz val="10"/>
      <color theme="10"/>
      <name val="Arial Mäori"/>
      <family val="2"/>
    </font>
    <font>
      <u/>
      <sz val="10"/>
      <color theme="10"/>
      <name val="Arial"/>
      <family val="2"/>
    </font>
    <font>
      <sz val="8"/>
      <name val="Helv"/>
    </font>
    <font>
      <sz val="10"/>
      <color indexed="12"/>
      <name val="Arial"/>
      <family val="2"/>
    </font>
    <font>
      <sz val="10"/>
      <name val="MS Sans Serif"/>
    </font>
    <font>
      <sz val="8"/>
      <name val="Calibri"/>
      <family val="2"/>
      <scheme val="minor"/>
    </font>
    <font>
      <sz val="10"/>
      <name val="Arial"/>
      <family val="2"/>
    </font>
    <font>
      <u/>
      <sz val="10"/>
      <color indexed="12"/>
      <name val="Arial"/>
      <family val="2"/>
    </font>
    <font>
      <sz val="8"/>
      <name val="Arial"/>
      <family val="2"/>
    </font>
    <font>
      <sz val="12"/>
      <name val="Arial"/>
      <family val="2"/>
    </font>
    <font>
      <sz val="11"/>
      <color theme="3"/>
      <name val="Arial"/>
      <family val="2"/>
    </font>
    <font>
      <sz val="10"/>
      <name val="Times New Roman"/>
      <family val="1"/>
    </font>
    <font>
      <u/>
      <sz val="7"/>
      <color indexed="12"/>
      <name val="Times New Roman"/>
      <family val="1"/>
    </font>
    <font>
      <b/>
      <sz val="10"/>
      <color rgb="FF121F6B"/>
      <name val="Georgia"/>
      <family val="1"/>
    </font>
    <font>
      <b/>
      <sz val="11"/>
      <color rgb="FFFFFFFF"/>
      <name val="Georgia"/>
      <family val="1"/>
    </font>
    <font>
      <sz val="22"/>
      <color theme="0" tint="-0.499984740745262"/>
      <name val="Georgia"/>
      <family val="1"/>
    </font>
    <font>
      <b/>
      <sz val="11"/>
      <color rgb="FF003366"/>
      <name val="Calibri"/>
      <family val="2"/>
      <scheme val="minor"/>
    </font>
    <font>
      <sz val="11"/>
      <color theme="1"/>
      <name val="Arial Mäori"/>
      <family val="2"/>
    </font>
    <font>
      <sz val="10"/>
      <color theme="0" tint="-0.499984740745262"/>
      <name val="Calibri"/>
      <family val="2"/>
    </font>
    <font>
      <b/>
      <sz val="18"/>
      <color rgb="FF003366"/>
      <name val="Georgia"/>
      <family val="1"/>
    </font>
    <font>
      <sz val="18"/>
      <color theme="0"/>
      <name val="Georgia"/>
      <family val="1"/>
    </font>
    <font>
      <sz val="9"/>
      <name val="Arial"/>
      <family val="2"/>
    </font>
  </fonts>
  <fills count="66">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4"/>
        <bgColor indexed="64"/>
      </patternFill>
    </fill>
    <fill>
      <patternFill patternType="solid">
        <fgColor indexed="51"/>
        <bgColor indexed="64"/>
      </patternFill>
    </fill>
    <fill>
      <patternFill patternType="solid">
        <fgColor rgb="FF121F6B"/>
        <bgColor indexed="64"/>
      </patternFill>
    </fill>
    <fill>
      <patternFill patternType="solid">
        <fgColor indexed="43"/>
        <bgColor indexed="64"/>
      </patternFill>
    </fill>
    <fill>
      <patternFill patternType="solid">
        <fgColor indexed="43"/>
      </patternFill>
    </fill>
    <fill>
      <patternFill patternType="solid">
        <fgColor indexed="26"/>
      </patternFill>
    </fill>
    <fill>
      <patternFill patternType="darkGrid">
        <fgColor indexed="9"/>
        <bgColor indexed="43"/>
      </patternFill>
    </fill>
    <fill>
      <patternFill patternType="solid">
        <fgColor indexed="26"/>
        <bgColor indexed="64"/>
      </patternFill>
    </fill>
    <fill>
      <patternFill patternType="solid">
        <fgColor rgb="FFFFFFCC"/>
        <bgColor indexed="9"/>
      </patternFill>
    </fill>
    <fill>
      <patternFill patternType="solid">
        <fgColor indexed="5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26">
    <border>
      <left/>
      <right/>
      <top/>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style="thin">
        <color rgb="FFB2B2B2"/>
      </left>
      <right style="thin">
        <color rgb="FFB2B2B2"/>
      </right>
      <top style="thin">
        <color rgb="FFB2B2B2"/>
      </top>
      <bottom style="thin">
        <color rgb="FFB2B2B2"/>
      </bottom>
      <diagonal/>
    </border>
    <border>
      <left style="hair">
        <color indexed="55"/>
      </left>
      <right style="hair">
        <color indexed="55"/>
      </right>
      <top style="hair">
        <color indexed="55"/>
      </top>
      <bottom style="hair">
        <color indexed="55"/>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medium">
        <color theme="3" tint="-0.24994659260841701"/>
      </bottom>
      <diagonal/>
    </border>
    <border>
      <left/>
      <right/>
      <top/>
      <bottom style="thick">
        <color rgb="FF121F6B"/>
      </bottom>
      <diagonal/>
    </border>
    <border>
      <left/>
      <right/>
      <top/>
      <bottom style="medium">
        <color rgb="FF121F6B"/>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tted">
        <color indexed="8"/>
      </left>
      <right style="dotted">
        <color indexed="8"/>
      </right>
      <top style="dotted">
        <color indexed="8"/>
      </top>
      <bottom style="dotted">
        <color indexed="8"/>
      </bottom>
      <diagonal/>
    </border>
    <border>
      <left/>
      <right/>
      <top/>
      <bottom style="double">
        <color rgb="FF00336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n">
        <color theme="0" tint="-0.14996795556505021"/>
      </bottom>
      <diagonal/>
    </border>
  </borders>
  <cellStyleXfs count="565">
    <xf numFmtId="0" fontId="0" fillId="0" borderId="0"/>
    <xf numFmtId="0" fontId="19" fillId="0" borderId="0" applyNumberFormat="0" applyFill="0" applyBorder="0" applyAlignment="0" applyProtection="0"/>
    <xf numFmtId="0" fontId="20" fillId="0" borderId="0" applyNumberFormat="0" applyFill="0" applyBorder="0" applyAlignment="0" applyProtection="0">
      <alignment vertical="top"/>
      <protection locked="0"/>
    </xf>
    <xf numFmtId="0" fontId="18" fillId="0" borderId="0"/>
    <xf numFmtId="0" fontId="21" fillId="0" borderId="0"/>
    <xf numFmtId="9" fontId="18" fillId="0" borderId="0" applyFont="0" applyFill="0" applyBorder="0" applyAlignment="0" applyProtection="0"/>
    <xf numFmtId="9" fontId="21" fillId="0" borderId="0" applyFont="0" applyFill="0" applyBorder="0" applyAlignment="0" applyProtection="0"/>
    <xf numFmtId="0" fontId="40" fillId="0" borderId="0"/>
    <xf numFmtId="0" fontId="42"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9" fillId="0" borderId="0"/>
    <xf numFmtId="0" fontId="40" fillId="0" borderId="0"/>
    <xf numFmtId="40" fontId="47" fillId="3" borderId="0">
      <alignment horizontal="right"/>
    </xf>
    <xf numFmtId="0" fontId="48" fillId="3" borderId="0">
      <alignment horizontal="right"/>
    </xf>
    <xf numFmtId="0" fontId="49" fillId="3" borderId="3"/>
    <xf numFmtId="0" fontId="49" fillId="0" borderId="0" applyBorder="0">
      <alignment horizontal="centerContinuous"/>
    </xf>
    <xf numFmtId="0" fontId="50" fillId="0" borderId="0" applyBorder="0">
      <alignment horizontal="centerContinuous"/>
    </xf>
    <xf numFmtId="0" fontId="46" fillId="0" borderId="0"/>
    <xf numFmtId="164" fontId="45" fillId="0" borderId="0" applyFont="0" applyFill="0" applyBorder="0" applyAlignment="0" applyProtection="0"/>
    <xf numFmtId="0" fontId="46" fillId="0" borderId="0"/>
    <xf numFmtId="9" fontId="45" fillId="0" borderId="0" applyFont="0" applyFill="0" applyBorder="0" applyAlignment="0" applyProtection="0"/>
    <xf numFmtId="0" fontId="46" fillId="0" borderId="0"/>
    <xf numFmtId="0" fontId="18" fillId="0" borderId="0"/>
    <xf numFmtId="0" fontId="51" fillId="0" borderId="0"/>
    <xf numFmtId="9" fontId="46" fillId="0" borderId="0" applyFont="0" applyFill="0" applyBorder="0" applyAlignment="0" applyProtection="0"/>
    <xf numFmtId="0" fontId="46" fillId="0" borderId="0"/>
    <xf numFmtId="0" fontId="51" fillId="0" borderId="0"/>
    <xf numFmtId="0" fontId="51" fillId="0" borderId="0"/>
    <xf numFmtId="0" fontId="51"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52" fillId="15"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22" borderId="0" applyNumberFormat="0" applyBorder="0" applyAlignment="0" applyProtection="0"/>
    <xf numFmtId="0" fontId="53" fillId="6" borderId="0" applyNumberFormat="0" applyBorder="0" applyAlignment="0" applyProtection="0"/>
    <xf numFmtId="174" fontId="54" fillId="0" borderId="5">
      <alignment horizontal="right" vertical="top"/>
    </xf>
    <xf numFmtId="175" fontId="54" fillId="0" borderId="5">
      <alignment horizontal="right" vertical="top"/>
    </xf>
    <xf numFmtId="176" fontId="54" fillId="0" borderId="5">
      <alignment horizontal="right" vertical="top"/>
    </xf>
    <xf numFmtId="177" fontId="54" fillId="0" borderId="5">
      <alignment horizontal="right" vertical="top"/>
    </xf>
    <xf numFmtId="178" fontId="54" fillId="0" borderId="5">
      <alignment horizontal="right" vertical="top"/>
    </xf>
    <xf numFmtId="10" fontId="54" fillId="0" borderId="5">
      <alignment horizontal="right" vertical="top"/>
    </xf>
    <xf numFmtId="179" fontId="54" fillId="0" borderId="5">
      <alignment horizontal="right" vertical="top"/>
    </xf>
    <xf numFmtId="0" fontId="54" fillId="0" borderId="5">
      <alignment horizontal="left" vertical="top"/>
    </xf>
    <xf numFmtId="0" fontId="55" fillId="23" borderId="6" applyNumberFormat="0" applyAlignment="0" applyProtection="0"/>
    <xf numFmtId="0" fontId="56" fillId="24" borderId="7" applyNumberFormat="0" applyAlignment="0" applyProtection="0"/>
    <xf numFmtId="164" fontId="39"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0" fontId="54" fillId="25" borderId="0" applyNumberFormat="0" applyBorder="0" applyAlignment="0" applyProtection="0"/>
    <xf numFmtId="1" fontId="57" fillId="0" borderId="0" applyFill="0" applyBorder="0">
      <alignment horizontal="center" vertical="center"/>
    </xf>
    <xf numFmtId="0" fontId="58" fillId="0" borderId="0" applyNumberFormat="0" applyFill="0" applyBorder="0" applyAlignment="0" applyProtection="0"/>
    <xf numFmtId="174" fontId="59" fillId="0" borderId="5">
      <alignment horizontal="right" vertical="top"/>
    </xf>
    <xf numFmtId="175" fontId="59" fillId="0" borderId="5">
      <alignment vertical="center"/>
    </xf>
    <xf numFmtId="176" fontId="59" fillId="0" borderId="5">
      <alignment horizontal="right" vertical="top"/>
    </xf>
    <xf numFmtId="177" fontId="59" fillId="0" borderId="5">
      <alignment horizontal="right" vertical="top"/>
    </xf>
    <xf numFmtId="178" fontId="59" fillId="0" borderId="5">
      <alignment horizontal="right" vertical="top"/>
    </xf>
    <xf numFmtId="10" fontId="59" fillId="0" borderId="5">
      <alignment horizontal="right" vertical="top"/>
    </xf>
    <xf numFmtId="179" fontId="59" fillId="0" borderId="5">
      <alignment horizontal="right" vertical="top"/>
    </xf>
    <xf numFmtId="0" fontId="59" fillId="0" borderId="5">
      <alignment horizontal="left" vertical="top"/>
    </xf>
    <xf numFmtId="0" fontId="60" fillId="7" borderId="0" applyNumberFormat="0" applyBorder="0" applyAlignment="0" applyProtection="0"/>
    <xf numFmtId="0" fontId="61" fillId="26" borderId="8" applyFill="0">
      <alignment horizontal="center" vertical="center" wrapText="1"/>
    </xf>
    <xf numFmtId="0" fontId="62" fillId="27" borderId="0" applyAlignment="0" applyProtection="0">
      <alignment horizontal="right" vertical="center"/>
      <protection locked="0"/>
    </xf>
    <xf numFmtId="0" fontId="63" fillId="0" borderId="9" applyAlignment="0" applyProtection="0">
      <alignment horizontal="right" vertical="center"/>
      <protection locked="0"/>
    </xf>
    <xf numFmtId="0" fontId="64" fillId="0" borderId="10" applyNumberFormat="0" applyFill="0" applyAlignment="0" applyProtection="0"/>
    <xf numFmtId="0" fontId="65" fillId="0" borderId="10" applyNumberFormat="0" applyFill="0" applyAlignment="0" applyProtection="0"/>
    <xf numFmtId="0" fontId="66" fillId="0" borderId="11" applyNumberFormat="0" applyFill="0" applyAlignment="0" applyProtection="0"/>
    <xf numFmtId="0" fontId="66" fillId="0" borderId="0" applyNumberFormat="0" applyFill="0" applyBorder="0" applyAlignment="0" applyProtection="0"/>
    <xf numFmtId="0" fontId="67" fillId="0" borderId="0" applyNumberFormat="0" applyFill="0" applyBorder="0" applyAlignment="0" applyProtection="0">
      <protection locked="0"/>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8" fillId="10" borderId="6" applyNumberFormat="0" applyAlignment="0" applyProtection="0"/>
    <xf numFmtId="174" fontId="54" fillId="28" borderId="5">
      <alignment horizontal="right" vertical="top"/>
      <protection locked="0"/>
    </xf>
    <xf numFmtId="175" fontId="54" fillId="28" borderId="5">
      <alignment horizontal="right" vertical="top"/>
      <protection locked="0"/>
    </xf>
    <xf numFmtId="176" fontId="54" fillId="28" borderId="5">
      <alignment horizontal="right" vertical="top"/>
      <protection locked="0"/>
    </xf>
    <xf numFmtId="177" fontId="54" fillId="28" borderId="5">
      <alignment horizontal="right" vertical="top"/>
      <protection locked="0"/>
    </xf>
    <xf numFmtId="178" fontId="54" fillId="28" borderId="5">
      <alignment horizontal="right" vertical="top"/>
      <protection locked="0"/>
    </xf>
    <xf numFmtId="10" fontId="54" fillId="28" borderId="5">
      <alignment horizontal="right" vertical="top"/>
      <protection locked="0"/>
    </xf>
    <xf numFmtId="179" fontId="54" fillId="28" borderId="5">
      <alignment horizontal="right" vertical="top"/>
      <protection locked="0"/>
    </xf>
    <xf numFmtId="49" fontId="54" fillId="28" borderId="5">
      <alignment horizontal="left" vertical="top"/>
      <protection locked="0"/>
    </xf>
    <xf numFmtId="0" fontId="69" fillId="0" borderId="12" applyNumberFormat="0" applyFill="0" applyAlignment="0" applyProtection="0"/>
    <xf numFmtId="0" fontId="70" fillId="0" borderId="0" applyAlignment="0"/>
    <xf numFmtId="0" fontId="71" fillId="29"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8" fillId="0" borderId="0"/>
    <xf numFmtId="0" fontId="39" fillId="0" borderId="0"/>
    <xf numFmtId="0" fontId="18" fillId="0" borderId="0"/>
    <xf numFmtId="0" fontId="18" fillId="0" borderId="0"/>
    <xf numFmtId="0" fontId="18" fillId="0" borderId="0"/>
    <xf numFmtId="0" fontId="46" fillId="0" borderId="0"/>
    <xf numFmtId="0" fontId="46" fillId="0" borderId="0"/>
    <xf numFmtId="0" fontId="18" fillId="0" borderId="0"/>
    <xf numFmtId="0" fontId="21" fillId="0" borderId="0"/>
    <xf numFmtId="0" fontId="39" fillId="0" borderId="0"/>
    <xf numFmtId="0" fontId="39" fillId="0" borderId="0"/>
    <xf numFmtId="0" fontId="39" fillId="0" borderId="0"/>
    <xf numFmtId="0" fontId="39" fillId="0" borderId="0"/>
    <xf numFmtId="0" fontId="39" fillId="0" borderId="0"/>
    <xf numFmtId="0" fontId="18" fillId="0" borderId="0"/>
    <xf numFmtId="0" fontId="21" fillId="0" borderId="0"/>
    <xf numFmtId="0" fontId="46" fillId="0" borderId="0"/>
    <xf numFmtId="0" fontId="54" fillId="0" borderId="0">
      <protection locked="0"/>
    </xf>
    <xf numFmtId="0" fontId="39" fillId="0" borderId="0"/>
    <xf numFmtId="0" fontId="39" fillId="0" borderId="0"/>
    <xf numFmtId="0" fontId="72" fillId="0" borderId="0"/>
    <xf numFmtId="0" fontId="54" fillId="30" borderId="13" applyNumberFormat="0" applyAlignment="0" applyProtection="0"/>
    <xf numFmtId="0" fontId="18" fillId="4" borderId="4" applyNumberFormat="0" applyFont="0" applyAlignment="0" applyProtection="0"/>
    <xf numFmtId="0" fontId="73" fillId="23" borderId="14" applyNumberFormat="0" applyAlignment="0" applyProtection="0"/>
    <xf numFmtId="174" fontId="54" fillId="31" borderId="5">
      <alignment horizontal="right" vertical="top"/>
    </xf>
    <xf numFmtId="180" fontId="54" fillId="31" borderId="5">
      <alignment horizontal="right" vertical="top"/>
    </xf>
    <xf numFmtId="181" fontId="54" fillId="31" borderId="5">
      <alignment horizontal="right" vertical="top"/>
    </xf>
    <xf numFmtId="178" fontId="54" fillId="32" borderId="5">
      <alignment horizontal="right" vertical="top"/>
    </xf>
    <xf numFmtId="10" fontId="54" fillId="31" borderId="5">
      <alignment horizontal="right" vertical="top"/>
    </xf>
    <xf numFmtId="179" fontId="54" fillId="33" borderId="5">
      <alignment horizontal="right" vertical="top"/>
    </xf>
    <xf numFmtId="49" fontId="54" fillId="33" borderId="5">
      <alignment horizontal="left" vertical="top"/>
    </xf>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5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 fontId="54" fillId="0" borderId="15"/>
    <xf numFmtId="2" fontId="74" fillId="0" borderId="0"/>
    <xf numFmtId="0" fontId="75" fillId="0" borderId="0" applyFill="0" applyBorder="0" applyAlignment="0" applyProtection="0"/>
    <xf numFmtId="0" fontId="76" fillId="0" borderId="0" applyNumberFormat="0" applyFill="0" applyBorder="0" applyAlignment="0" applyProtection="0"/>
    <xf numFmtId="0" fontId="77" fillId="27" borderId="0" applyAlignment="0" applyProtection="0">
      <alignment horizontal="right" vertical="center"/>
      <protection locked="0"/>
    </xf>
    <xf numFmtId="0" fontId="4" fillId="0" borderId="16" applyNumberFormat="0" applyFill="0" applyAlignment="0" applyProtection="0"/>
    <xf numFmtId="0" fontId="78" fillId="0" borderId="0">
      <alignment horizontal="center" vertical="center"/>
    </xf>
    <xf numFmtId="0" fontId="79" fillId="0" borderId="0" applyNumberFormat="0" applyFill="0" applyBorder="0" applyAlignment="0" applyProtection="0"/>
    <xf numFmtId="0" fontId="54" fillId="34" borderId="0" applyNumberFormat="0" applyBorder="0" applyAlignment="0" applyProtection="0"/>
    <xf numFmtId="0" fontId="80" fillId="0" borderId="0"/>
    <xf numFmtId="0" fontId="18" fillId="0" borderId="0"/>
    <xf numFmtId="0" fontId="80" fillId="0" borderId="0"/>
    <xf numFmtId="0" fontId="21" fillId="0" borderId="0"/>
    <xf numFmtId="0" fontId="81" fillId="0" borderId="0"/>
    <xf numFmtId="164" fontId="18" fillId="0" borderId="0" applyFont="0" applyFill="0" applyBorder="0" applyAlignment="0" applyProtection="0"/>
    <xf numFmtId="164" fontId="39" fillId="0" borderId="0" applyFont="0" applyFill="0" applyBorder="0" applyAlignment="0" applyProtection="0"/>
    <xf numFmtId="0" fontId="83"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9" fillId="0" borderId="0"/>
    <xf numFmtId="0" fontId="46" fillId="0" borderId="0"/>
    <xf numFmtId="0" fontId="72" fillId="0" borderId="0"/>
    <xf numFmtId="0" fontId="39" fillId="0" borderId="0"/>
    <xf numFmtId="0" fontId="39" fillId="0" borderId="0"/>
    <xf numFmtId="0" fontId="72" fillId="0" borderId="0"/>
    <xf numFmtId="0" fontId="72" fillId="0" borderId="0"/>
    <xf numFmtId="0" fontId="72" fillId="0" borderId="0"/>
    <xf numFmtId="0" fontId="72" fillId="0" borderId="0"/>
    <xf numFmtId="0" fontId="18" fillId="0" borderId="0"/>
    <xf numFmtId="9" fontId="82" fillId="0" borderId="0" applyFont="0" applyFill="0" applyBorder="0" applyAlignment="0" applyProtection="0"/>
    <xf numFmtId="9" fontId="46"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165" fontId="54" fillId="0" borderId="0" applyFont="0" applyFill="0" applyBorder="0" applyAlignment="0" applyProtection="0"/>
    <xf numFmtId="0" fontId="83" fillId="0" borderId="0" applyNumberFormat="0" applyFill="0" applyBorder="0" applyAlignment="0" applyProtection="0">
      <alignment vertical="top"/>
      <protection locked="0"/>
    </xf>
    <xf numFmtId="0" fontId="81" fillId="0" borderId="0"/>
    <xf numFmtId="165" fontId="54" fillId="0" borderId="0" applyFont="0" applyFill="0" applyBorder="0" applyAlignment="0" applyProtection="0"/>
    <xf numFmtId="0" fontId="83" fillId="0" borderId="0" applyNumberFormat="0" applyFill="0" applyBorder="0" applyAlignment="0" applyProtection="0">
      <alignment vertical="top"/>
      <protection locked="0"/>
    </xf>
    <xf numFmtId="0" fontId="81" fillId="0" borderId="0"/>
    <xf numFmtId="0" fontId="85" fillId="0" borderId="0" applyNumberFormat="0" applyFill="0" applyBorder="0" applyAlignment="0" applyProtection="0"/>
    <xf numFmtId="0" fontId="86" fillId="0" borderId="17" applyNumberFormat="0" applyFill="0" applyAlignment="0" applyProtection="0"/>
    <xf numFmtId="0" fontId="87" fillId="0" borderId="18" applyNumberFormat="0" applyFill="0" applyAlignment="0" applyProtection="0"/>
    <xf numFmtId="0" fontId="88" fillId="0" borderId="19" applyNumberFormat="0" applyFill="0" applyAlignment="0" applyProtection="0"/>
    <xf numFmtId="0" fontId="88" fillId="0" borderId="0" applyNumberFormat="0" applyFill="0" applyBorder="0" applyAlignment="0" applyProtection="0"/>
    <xf numFmtId="0" fontId="89" fillId="35" borderId="0" applyNumberFormat="0" applyBorder="0" applyAlignment="0" applyProtection="0"/>
    <xf numFmtId="0" fontId="90" fillId="36" borderId="0" applyNumberFormat="0" applyBorder="0" applyAlignment="0" applyProtection="0"/>
    <xf numFmtId="0" fontId="91" fillId="37" borderId="0" applyNumberFormat="0" applyBorder="0" applyAlignment="0" applyProtection="0"/>
    <xf numFmtId="0" fontId="92" fillId="38" borderId="20" applyNumberFormat="0" applyAlignment="0" applyProtection="0"/>
    <xf numFmtId="0" fontId="93" fillId="39" borderId="21" applyNumberFormat="0" applyAlignment="0" applyProtection="0"/>
    <xf numFmtId="0" fontId="94" fillId="39" borderId="20" applyNumberFormat="0" applyAlignment="0" applyProtection="0"/>
    <xf numFmtId="0" fontId="95" fillId="0" borderId="22" applyNumberFormat="0" applyFill="0" applyAlignment="0" applyProtection="0"/>
    <xf numFmtId="0" fontId="96" fillId="40" borderId="23" applyNumberFormat="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9" fillId="0" borderId="24" applyNumberFormat="0" applyFill="0" applyAlignment="0" applyProtection="0"/>
    <xf numFmtId="0" fontId="100" fillId="41"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00" fillId="44" borderId="0" applyNumberFormat="0" applyBorder="0" applyAlignment="0" applyProtection="0"/>
    <xf numFmtId="0" fontId="100" fillId="45" borderId="0" applyNumberFormat="0" applyBorder="0" applyAlignment="0" applyProtection="0"/>
    <xf numFmtId="0" fontId="18" fillId="46" borderId="0" applyNumberFormat="0" applyBorder="0" applyAlignment="0" applyProtection="0"/>
    <xf numFmtId="0" fontId="18" fillId="47" borderId="0" applyNumberFormat="0" applyBorder="0" applyAlignment="0" applyProtection="0"/>
    <xf numFmtId="0" fontId="100" fillId="48" borderId="0" applyNumberFormat="0" applyBorder="0" applyAlignment="0" applyProtection="0"/>
    <xf numFmtId="0" fontId="100" fillId="49" borderId="0" applyNumberFormat="0" applyBorder="0" applyAlignment="0" applyProtection="0"/>
    <xf numFmtId="0" fontId="18" fillId="50" borderId="0" applyNumberFormat="0" applyBorder="0" applyAlignment="0" applyProtection="0"/>
    <xf numFmtId="0" fontId="18" fillId="51" borderId="0" applyNumberFormat="0" applyBorder="0" applyAlignment="0" applyProtection="0"/>
    <xf numFmtId="0" fontId="100" fillId="52" borderId="0" applyNumberFormat="0" applyBorder="0" applyAlignment="0" applyProtection="0"/>
    <xf numFmtId="0" fontId="100" fillId="53" borderId="0" applyNumberFormat="0" applyBorder="0" applyAlignment="0" applyProtection="0"/>
    <xf numFmtId="0" fontId="18" fillId="54" borderId="0" applyNumberFormat="0" applyBorder="0" applyAlignment="0" applyProtection="0"/>
    <xf numFmtId="0" fontId="18" fillId="55" borderId="0" applyNumberFormat="0" applyBorder="0" applyAlignment="0" applyProtection="0"/>
    <xf numFmtId="0" fontId="100" fillId="56" borderId="0" applyNumberFormat="0" applyBorder="0" applyAlignment="0" applyProtection="0"/>
    <xf numFmtId="0" fontId="100" fillId="57" borderId="0" applyNumberFormat="0" applyBorder="0" applyAlignment="0" applyProtection="0"/>
    <xf numFmtId="0" fontId="18" fillId="58" borderId="0" applyNumberFormat="0" applyBorder="0" applyAlignment="0" applyProtection="0"/>
    <xf numFmtId="0" fontId="18" fillId="59" borderId="0" applyNumberFormat="0" applyBorder="0" applyAlignment="0" applyProtection="0"/>
    <xf numFmtId="0" fontId="100" fillId="60" borderId="0" applyNumberFormat="0" applyBorder="0" applyAlignment="0" applyProtection="0"/>
    <xf numFmtId="0" fontId="100" fillId="61" borderId="0" applyNumberFormat="0" applyBorder="0" applyAlignment="0" applyProtection="0"/>
    <xf numFmtId="0" fontId="18" fillId="62" borderId="0" applyNumberFormat="0" applyBorder="0" applyAlignment="0" applyProtection="0"/>
    <xf numFmtId="0" fontId="18" fillId="63" borderId="0" applyNumberFormat="0" applyBorder="0" applyAlignment="0" applyProtection="0"/>
    <xf numFmtId="0" fontId="100" fillId="64" borderId="0" applyNumberFormat="0" applyBorder="0" applyAlignment="0" applyProtection="0"/>
    <xf numFmtId="0" fontId="101" fillId="0" borderId="0"/>
    <xf numFmtId="0" fontId="46" fillId="0" borderId="0"/>
    <xf numFmtId="0" fontId="18" fillId="4" borderId="4" applyNumberFormat="0" applyFont="0" applyAlignment="0" applyProtection="0"/>
    <xf numFmtId="0" fontId="80" fillId="0" borderId="0"/>
    <xf numFmtId="0" fontId="18" fillId="0" borderId="0"/>
    <xf numFmtId="0" fontId="18" fillId="4" borderId="4" applyNumberFormat="0" applyFont="0" applyAlignment="0" applyProtection="0"/>
    <xf numFmtId="0" fontId="19" fillId="0" borderId="0" applyNumberFormat="0" applyFill="0" applyBorder="0" applyAlignment="0" applyProtection="0"/>
    <xf numFmtId="0" fontId="80" fillId="0" borderId="0"/>
    <xf numFmtId="164" fontId="80" fillId="0" borderId="0" applyFont="0" applyFill="0" applyBorder="0" applyAlignment="0" applyProtection="0"/>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8" fillId="0" borderId="0"/>
    <xf numFmtId="0" fontId="18" fillId="42" borderId="0" applyNumberFormat="0" applyBorder="0" applyAlignment="0" applyProtection="0"/>
    <xf numFmtId="0" fontId="18" fillId="43" borderId="0" applyNumberFormat="0" applyBorder="0" applyAlignment="0" applyProtection="0"/>
    <xf numFmtId="0" fontId="18" fillId="46" borderId="0" applyNumberFormat="0" applyBorder="0" applyAlignment="0" applyProtection="0"/>
    <xf numFmtId="0" fontId="18" fillId="47" borderId="0" applyNumberFormat="0" applyBorder="0" applyAlignment="0" applyProtection="0"/>
    <xf numFmtId="0" fontId="18" fillId="50" borderId="0" applyNumberFormat="0" applyBorder="0" applyAlignment="0" applyProtection="0"/>
    <xf numFmtId="0" fontId="18" fillId="51" borderId="0" applyNumberFormat="0" applyBorder="0" applyAlignment="0" applyProtection="0"/>
    <xf numFmtId="0" fontId="18" fillId="54" borderId="0" applyNumberFormat="0" applyBorder="0" applyAlignment="0" applyProtection="0"/>
    <xf numFmtId="0" fontId="18" fillId="55" borderId="0" applyNumberFormat="0" applyBorder="0" applyAlignment="0" applyProtection="0"/>
    <xf numFmtId="0" fontId="18" fillId="58" borderId="0" applyNumberFormat="0" applyBorder="0" applyAlignment="0" applyProtection="0"/>
    <xf numFmtId="0" fontId="18" fillId="59" borderId="0" applyNumberFormat="0" applyBorder="0" applyAlignment="0" applyProtection="0"/>
    <xf numFmtId="0" fontId="18" fillId="62" borderId="0" applyNumberFormat="0" applyBorder="0" applyAlignment="0" applyProtection="0"/>
    <xf numFmtId="0" fontId="18" fillId="63" borderId="0" applyNumberFormat="0" applyBorder="0" applyAlignment="0" applyProtection="0"/>
    <xf numFmtId="0" fontId="46" fillId="0" borderId="0"/>
    <xf numFmtId="177" fontId="39" fillId="0" borderId="5">
      <alignment horizontal="right" vertical="top"/>
    </xf>
    <xf numFmtId="38" fontId="104" fillId="0" borderId="0"/>
    <xf numFmtId="177" fontId="105" fillId="0" borderId="5">
      <alignment horizontal="right" vertical="top"/>
    </xf>
    <xf numFmtId="0" fontId="54" fillId="0" borderId="0">
      <protection locked="0"/>
    </xf>
    <xf numFmtId="0" fontId="18" fillId="0" borderId="0"/>
    <xf numFmtId="177" fontId="39" fillId="28" borderId="5">
      <alignment horizontal="right" vertical="top"/>
      <protection locked="0"/>
    </xf>
    <xf numFmtId="0" fontId="72" fillId="0" borderId="0"/>
    <xf numFmtId="0" fontId="54" fillId="0" borderId="0">
      <protection locked="0"/>
    </xf>
    <xf numFmtId="0" fontId="18" fillId="62" borderId="0" applyNumberFormat="0" applyBorder="0" applyAlignment="0" applyProtection="0"/>
    <xf numFmtId="0" fontId="18" fillId="50" borderId="0" applyNumberFormat="0" applyBorder="0" applyAlignment="0" applyProtection="0"/>
    <xf numFmtId="0" fontId="39" fillId="0" borderId="0"/>
    <xf numFmtId="0" fontId="18" fillId="51" borderId="0" applyNumberFormat="0" applyBorder="0" applyAlignment="0" applyProtection="0"/>
    <xf numFmtId="0" fontId="18" fillId="0" borderId="0"/>
    <xf numFmtId="0" fontId="106" fillId="0" borderId="0"/>
    <xf numFmtId="164" fontId="45" fillId="0" borderId="0" applyFont="0" applyFill="0" applyBorder="0" applyAlignment="0" applyProtection="0"/>
    <xf numFmtId="0" fontId="54" fillId="0" borderId="0">
      <protection locked="0"/>
    </xf>
    <xf numFmtId="0" fontId="67" fillId="0" borderId="0" applyNumberFormat="0" applyFill="0" applyBorder="0" applyAlignment="0" applyProtection="0">
      <protection locked="0"/>
    </xf>
    <xf numFmtId="0" fontId="54" fillId="30" borderId="13" applyNumberFormat="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06" fillId="0" borderId="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06" fillId="0" borderId="0"/>
    <xf numFmtId="164" fontId="45" fillId="0" borderId="0" applyFont="0" applyFill="0" applyBorder="0" applyAlignment="0" applyProtection="0"/>
    <xf numFmtId="164" fontId="45" fillId="0" borderId="0" applyFont="0" applyFill="0" applyBorder="0" applyAlignment="0" applyProtection="0"/>
    <xf numFmtId="0" fontId="106" fillId="0" borderId="0"/>
    <xf numFmtId="0" fontId="67" fillId="0" borderId="0" applyNumberFormat="0" applyFill="0" applyBorder="0" applyAlignment="0" applyProtection="0">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9" fillId="0" borderId="0" applyNumberFormat="0" applyFill="0" applyBorder="0" applyAlignment="0" applyProtection="0"/>
    <xf numFmtId="0" fontId="18" fillId="63" borderId="0" applyNumberFormat="0" applyBorder="0" applyAlignment="0" applyProtection="0"/>
    <xf numFmtId="0" fontId="18" fillId="59" borderId="0" applyNumberFormat="0" applyBorder="0" applyAlignment="0" applyProtection="0"/>
    <xf numFmtId="0" fontId="18" fillId="55"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58" borderId="0" applyNumberFormat="0" applyBorder="0" applyAlignment="0" applyProtection="0"/>
    <xf numFmtId="0" fontId="18" fillId="54" borderId="0" applyNumberFormat="0" applyBorder="0" applyAlignment="0" applyProtection="0"/>
    <xf numFmtId="0" fontId="18" fillId="46" borderId="0" applyNumberFormat="0" applyBorder="0" applyAlignment="0" applyProtection="0"/>
    <xf numFmtId="0" fontId="18" fillId="42" borderId="0" applyNumberFormat="0" applyBorder="0" applyAlignment="0" applyProtection="0"/>
    <xf numFmtId="0" fontId="106" fillId="0" borderId="0"/>
    <xf numFmtId="0" fontId="106" fillId="0" borderId="0"/>
    <xf numFmtId="0" fontId="21" fillId="0" borderId="0"/>
    <xf numFmtId="0" fontId="46" fillId="0" borderId="0"/>
    <xf numFmtId="0" fontId="46" fillId="0" borderId="0"/>
    <xf numFmtId="0" fontId="21" fillId="0" borderId="0"/>
    <xf numFmtId="0" fontId="108" fillId="0" borderId="0"/>
    <xf numFmtId="0" fontId="10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5" fillId="0" borderId="0"/>
    <xf numFmtId="0" fontId="45" fillId="0" borderId="0"/>
    <xf numFmtId="9" fontId="18" fillId="0" borderId="0" applyFont="0" applyFill="0" applyBorder="0" applyAlignment="0" applyProtection="0"/>
    <xf numFmtId="0" fontId="18" fillId="0" borderId="0"/>
    <xf numFmtId="0" fontId="19" fillId="0" borderId="0" applyNumberFormat="0" applyFill="0" applyBorder="0" applyAlignment="0" applyProtection="0"/>
    <xf numFmtId="0" fontId="41" fillId="0" borderId="0" applyNumberFormat="0" applyFill="0" applyBorder="0" applyAlignment="0" applyProtection="0">
      <alignment vertical="top"/>
      <protection locked="0"/>
    </xf>
    <xf numFmtId="0" fontId="45" fillId="0" borderId="0"/>
    <xf numFmtId="0" fontId="41" fillId="0" borderId="0" applyNumberFormat="0" applyFill="0" applyBorder="0" applyAlignment="0" applyProtection="0">
      <alignment vertical="top"/>
      <protection locked="0"/>
    </xf>
    <xf numFmtId="0" fontId="45" fillId="0" borderId="0"/>
    <xf numFmtId="0" fontId="41" fillId="0" borderId="0" applyNumberFormat="0" applyFill="0" applyBorder="0" applyAlignment="0" applyProtection="0">
      <alignment vertical="top"/>
      <protection locked="0"/>
    </xf>
    <xf numFmtId="0" fontId="45" fillId="0" borderId="0"/>
    <xf numFmtId="0" fontId="41" fillId="0" borderId="0" applyNumberFormat="0" applyFill="0" applyBorder="0" applyAlignment="0" applyProtection="0">
      <alignment vertical="top"/>
      <protection locked="0"/>
    </xf>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41" fillId="0" borderId="0" applyNumberFormat="0" applyFill="0" applyBorder="0" applyAlignment="0" applyProtection="0">
      <alignment vertical="top"/>
      <protection locked="0"/>
    </xf>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45" fillId="0" borderId="0" applyFont="0" applyFill="0" applyBorder="0" applyAlignment="0" applyProtection="0"/>
    <xf numFmtId="0" fontId="18" fillId="0" borderId="0"/>
    <xf numFmtId="0" fontId="18" fillId="0" borderId="0"/>
    <xf numFmtId="0" fontId="18" fillId="0" borderId="0"/>
    <xf numFmtId="0" fontId="18" fillId="0" borderId="0"/>
    <xf numFmtId="0" fontId="46" fillId="0" borderId="0"/>
    <xf numFmtId="0" fontId="18" fillId="0" borderId="0"/>
    <xf numFmtId="0" fontId="18" fillId="0" borderId="0"/>
    <xf numFmtId="0" fontId="46" fillId="0" borderId="0"/>
    <xf numFmtId="0" fontId="46" fillId="0" borderId="0"/>
    <xf numFmtId="0" fontId="46"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4" fontId="39"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41" fillId="0" borderId="0" applyNumberFormat="0" applyFill="0" applyBorder="0" applyAlignment="0" applyProtection="0">
      <alignment vertical="top"/>
      <protection locked="0"/>
    </xf>
    <xf numFmtId="0" fontId="41" fillId="0" borderId="0" applyNumberFormat="0" applyFill="0" applyBorder="0" applyAlignment="0" applyProtection="0"/>
    <xf numFmtId="164" fontId="3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164" fontId="18" fillId="0" borderId="0" applyFont="0" applyFill="0" applyBorder="0" applyAlignment="0" applyProtection="0"/>
    <xf numFmtId="164" fontId="3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12" fillId="0" borderId="0" applyNumberFormat="0" applyFill="0" applyBorder="0" applyAlignment="0" applyProtection="0">
      <alignment vertical="top"/>
      <protection locked="0"/>
    </xf>
    <xf numFmtId="0" fontId="18" fillId="0" borderId="0"/>
    <xf numFmtId="165" fontId="54" fillId="0" borderId="0" applyFont="0" applyFill="0" applyBorder="0" applyAlignment="0" applyProtection="0"/>
    <xf numFmtId="9" fontId="18" fillId="0" borderId="0" applyFont="0" applyFill="0" applyBorder="0" applyAlignment="0" applyProtection="0"/>
    <xf numFmtId="0" fontId="18" fillId="0" borderId="0"/>
    <xf numFmtId="165" fontId="54" fillId="0" borderId="0" applyFont="0" applyFill="0" applyBorder="0" applyAlignment="0" applyProtection="0"/>
    <xf numFmtId="9" fontId="18" fillId="0" borderId="0" applyFont="0" applyFill="0" applyBorder="0" applyAlignment="0" applyProtection="0"/>
    <xf numFmtId="0" fontId="18" fillId="0" borderId="0"/>
    <xf numFmtId="164" fontId="3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22" fillId="0" borderId="0"/>
    <xf numFmtId="9" fontId="18" fillId="0" borderId="0" applyFont="0" applyFill="0" applyBorder="0" applyAlignment="0" applyProtection="0"/>
    <xf numFmtId="9" fontId="18" fillId="0" borderId="0" applyFont="0" applyFill="0" applyBorder="0" applyAlignment="0" applyProtection="0"/>
    <xf numFmtId="0" fontId="46" fillId="0" borderId="0"/>
    <xf numFmtId="0" fontId="18" fillId="0" borderId="0"/>
    <xf numFmtId="0" fontId="18" fillId="0" borderId="0"/>
    <xf numFmtId="9" fontId="18" fillId="0" borderId="0" applyFont="0" applyFill="0" applyBorder="0" applyAlignment="0" applyProtection="0"/>
    <xf numFmtId="0" fontId="18" fillId="0" borderId="0"/>
    <xf numFmtId="164" fontId="8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11"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164" fontId="45" fillId="0" borderId="0" applyFont="0" applyFill="0" applyBorder="0" applyAlignment="0" applyProtection="0"/>
    <xf numFmtId="0" fontId="18" fillId="0" borderId="0"/>
    <xf numFmtId="0" fontId="18" fillId="0" borderId="0"/>
    <xf numFmtId="0" fontId="18" fillId="0" borderId="0"/>
    <xf numFmtId="0" fontId="39" fillId="0" borderId="0"/>
    <xf numFmtId="164" fontId="45" fillId="0" borderId="0" applyFont="0" applyFill="0" applyBorder="0" applyAlignment="0" applyProtection="0"/>
    <xf numFmtId="164" fontId="45"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39" fillId="0" borderId="0"/>
    <xf numFmtId="0" fontId="18" fillId="0" borderId="0"/>
    <xf numFmtId="0" fontId="18" fillId="0" borderId="0"/>
    <xf numFmtId="0" fontId="18" fillId="0" borderId="0"/>
    <xf numFmtId="0" fontId="18" fillId="0" borderId="0"/>
    <xf numFmtId="0" fontId="18" fillId="0" borderId="0"/>
    <xf numFmtId="38" fontId="113" fillId="0" borderId="0"/>
    <xf numFmtId="164" fontId="18" fillId="0" borderId="0" applyFont="0" applyFill="0" applyBorder="0" applyAlignment="0" applyProtection="0"/>
    <xf numFmtId="164" fontId="45" fillId="0" borderId="0" applyFont="0" applyFill="0" applyBorder="0" applyAlignment="0" applyProtection="0"/>
    <xf numFmtId="164" fontId="18" fillId="0" borderId="0" applyFont="0" applyFill="0" applyBorder="0" applyAlignment="0" applyProtection="0"/>
    <xf numFmtId="0" fontId="110" fillId="0" borderId="0"/>
    <xf numFmtId="0" fontId="110" fillId="0" borderId="0"/>
    <xf numFmtId="0" fontId="110" fillId="0" borderId="0"/>
    <xf numFmtId="177" fontId="54" fillId="0" borderId="5">
      <alignment horizontal="right" vertical="top"/>
    </xf>
    <xf numFmtId="164" fontId="39" fillId="0" borderId="0" applyFont="0" applyFill="0" applyBorder="0" applyAlignment="0" applyProtection="0"/>
    <xf numFmtId="164" fontId="39" fillId="0" borderId="0" applyFont="0" applyFill="0" applyBorder="0" applyAlignment="0" applyProtection="0"/>
    <xf numFmtId="164" fontId="45" fillId="0" borderId="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15" fillId="26" borderId="8" applyFill="0">
      <alignment horizontal="center" vertical="center" wrapText="1"/>
    </xf>
    <xf numFmtId="0" fontId="61" fillId="26" borderId="8" applyFill="0">
      <alignment horizontal="center" vertical="center" wrapText="1"/>
    </xf>
    <xf numFmtId="0" fontId="116" fillId="27" borderId="0" applyAlignment="0" applyProtection="0">
      <alignment horizontal="right" vertical="center"/>
      <protection locked="0"/>
    </xf>
    <xf numFmtId="0" fontId="62" fillId="27" borderId="0" applyAlignment="0" applyProtection="0">
      <alignment horizontal="right" vertical="center"/>
      <protection locked="0"/>
    </xf>
    <xf numFmtId="0" fontId="62" fillId="27" borderId="0" applyAlignment="0" applyProtection="0">
      <alignment horizontal="right" vertical="center"/>
      <protection locked="0"/>
    </xf>
    <xf numFmtId="0" fontId="117" fillId="0" borderId="0">
      <alignment horizontal="left"/>
      <protection locked="0"/>
    </xf>
    <xf numFmtId="0" fontId="118"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18" fillId="0" borderId="0" applyNumberFormat="0" applyFill="0" applyBorder="0" applyAlignment="0" applyProtection="0"/>
    <xf numFmtId="0" fontId="114" fillId="0" borderId="0" applyNumberFormat="0" applyFill="0" applyBorder="0" applyAlignment="0" applyProtection="0">
      <alignment vertical="top"/>
      <protection locked="0"/>
    </xf>
    <xf numFmtId="0" fontId="67" fillId="0" borderId="0" applyNumberFormat="0" applyFill="0" applyBorder="0" applyAlignment="0" applyProtection="0">
      <protection locked="0"/>
    </xf>
    <xf numFmtId="38" fontId="72" fillId="0" borderId="0"/>
    <xf numFmtId="0" fontId="119" fillId="0" borderId="0"/>
    <xf numFmtId="0" fontId="18" fillId="0" borderId="0"/>
    <xf numFmtId="0" fontId="45" fillId="0" borderId="0"/>
    <xf numFmtId="0" fontId="54" fillId="0" borderId="0">
      <protection locked="0"/>
    </xf>
    <xf numFmtId="0" fontId="106" fillId="0" borderId="0"/>
    <xf numFmtId="0" fontId="54" fillId="30" borderId="13" applyNumberFormat="0" applyAlignment="0" applyProtection="0"/>
    <xf numFmtId="176" fontId="39" fillId="31" borderId="5">
      <alignment horizontal="right" vertical="top"/>
    </xf>
    <xf numFmtId="9" fontId="45" fillId="0" borderId="0" applyFont="0" applyFill="0" applyBorder="0" applyAlignment="0" applyProtection="0"/>
    <xf numFmtId="9" fontId="45" fillId="0" borderId="0" applyFont="0" applyFill="0" applyBorder="0" applyAlignment="0" applyProtection="0"/>
    <xf numFmtId="0" fontId="21" fillId="0" borderId="0"/>
    <xf numFmtId="0" fontId="54" fillId="0" borderId="25" applyNumberFormat="0" applyFont="0" applyAlignment="0">
      <protection locked="0"/>
    </xf>
    <xf numFmtId="0" fontId="120" fillId="0" borderId="0">
      <protection locked="0"/>
    </xf>
    <xf numFmtId="0" fontId="121" fillId="0" borderId="0" applyNumberFormat="0" applyFill="0" applyBorder="0" applyAlignment="0" applyProtection="0"/>
    <xf numFmtId="0" fontId="122" fillId="27" borderId="0" applyAlignment="0" applyProtection="0">
      <alignment horizontal="right" vertical="center"/>
      <protection locked="0"/>
    </xf>
    <xf numFmtId="0" fontId="122" fillId="27" borderId="0" applyAlignment="0" applyProtection="0">
      <alignment horizontal="right" vertical="center"/>
      <protection locked="0"/>
    </xf>
    <xf numFmtId="0" fontId="77" fillId="27" borderId="0" applyAlignment="0" applyProtection="0">
      <alignment horizontal="right" vertical="center"/>
      <protection locked="0"/>
    </xf>
    <xf numFmtId="0" fontId="4" fillId="0" borderId="16" applyNumberFormat="0" applyFill="0" applyAlignment="0" applyProtection="0"/>
    <xf numFmtId="0" fontId="123" fillId="0" borderId="0"/>
  </cellStyleXfs>
  <cellXfs count="213">
    <xf numFmtId="0" fontId="0" fillId="0" borderId="0" xfId="0"/>
    <xf numFmtId="0" fontId="22" fillId="0" borderId="0" xfId="0" applyFont="1"/>
    <xf numFmtId="0" fontId="23" fillId="0" borderId="0" xfId="0" applyFont="1"/>
    <xf numFmtId="3" fontId="22" fillId="0" borderId="0" xfId="0" applyNumberFormat="1" applyFont="1"/>
    <xf numFmtId="0" fontId="24" fillId="0" borderId="0" xfId="0" applyFont="1"/>
    <xf numFmtId="0" fontId="23" fillId="0" borderId="0" xfId="0" applyFont="1" applyAlignment="1">
      <alignment horizontal="center"/>
    </xf>
    <xf numFmtId="166" fontId="22" fillId="0" borderId="0" xfId="0" applyNumberFormat="1" applyFont="1"/>
    <xf numFmtId="166" fontId="23" fillId="0" borderId="0" xfId="0" applyNumberFormat="1" applyFont="1"/>
    <xf numFmtId="10" fontId="22" fillId="0" borderId="0" xfId="5" applyNumberFormat="1" applyFont="1"/>
    <xf numFmtId="2" fontId="22" fillId="0" borderId="0" xfId="0" applyNumberFormat="1" applyFont="1"/>
    <xf numFmtId="10" fontId="22" fillId="0" borderId="0" xfId="0" applyNumberFormat="1" applyFont="1"/>
    <xf numFmtId="1" fontId="22" fillId="0" borderId="0" xfId="0" applyNumberFormat="1" applyFont="1"/>
    <xf numFmtId="0" fontId="24" fillId="0" borderId="0" xfId="0" applyFont="1" applyAlignment="1">
      <alignment horizontal="left"/>
    </xf>
    <xf numFmtId="0" fontId="23" fillId="0" borderId="0" xfId="0" applyFont="1" applyAlignment="1">
      <alignment horizontal="right"/>
    </xf>
    <xf numFmtId="166" fontId="25" fillId="0" borderId="0" xfId="0" applyNumberFormat="1" applyFont="1"/>
    <xf numFmtId="166" fontId="26" fillId="0" borderId="0" xfId="0" applyNumberFormat="1" applyFont="1"/>
    <xf numFmtId="10" fontId="26" fillId="0" borderId="0" xfId="0" applyNumberFormat="1" applyFont="1"/>
    <xf numFmtId="10" fontId="25" fillId="0" borderId="0" xfId="0" applyNumberFormat="1" applyFont="1"/>
    <xf numFmtId="0" fontId="27" fillId="0" borderId="0" xfId="0" applyFont="1"/>
    <xf numFmtId="168" fontId="22" fillId="0" borderId="0" xfId="0" applyNumberFormat="1" applyFont="1"/>
    <xf numFmtId="2" fontId="25" fillId="0" borderId="0" xfId="0" applyNumberFormat="1" applyFont="1"/>
    <xf numFmtId="2" fontId="26" fillId="0" borderId="0" xfId="0" applyNumberFormat="1" applyFont="1"/>
    <xf numFmtId="3" fontId="25" fillId="0" borderId="0" xfId="0" applyNumberFormat="1" applyFont="1"/>
    <xf numFmtId="3" fontId="26" fillId="0" borderId="0" xfId="0" applyNumberFormat="1" applyFont="1"/>
    <xf numFmtId="0" fontId="25" fillId="0" borderId="0" xfId="0" applyFont="1"/>
    <xf numFmtId="0" fontId="26" fillId="0" borderId="0" xfId="0" applyFont="1"/>
    <xf numFmtId="0" fontId="8" fillId="0" borderId="0" xfId="0" applyFont="1"/>
    <xf numFmtId="166" fontId="23" fillId="0" borderId="1" xfId="0" applyNumberFormat="1" applyFont="1" applyBorder="1"/>
    <xf numFmtId="0" fontId="28" fillId="0" borderId="0" xfId="0" applyFont="1"/>
    <xf numFmtId="0" fontId="29" fillId="0" borderId="0" xfId="0" applyFont="1" applyAlignment="1">
      <alignment horizontal="center"/>
    </xf>
    <xf numFmtId="0" fontId="29" fillId="0" borderId="0" xfId="0" applyFont="1"/>
    <xf numFmtId="0" fontId="30" fillId="0" borderId="0" xfId="0" applyFont="1" applyAlignment="1">
      <alignment horizontal="center"/>
    </xf>
    <xf numFmtId="0" fontId="30" fillId="0" borderId="0" xfId="0" applyFont="1"/>
    <xf numFmtId="166" fontId="30" fillId="0" borderId="2" xfId="0" applyNumberFormat="1" applyFont="1" applyBorder="1"/>
    <xf numFmtId="166" fontId="29" fillId="0" borderId="2" xfId="0" applyNumberFormat="1" applyFont="1" applyBorder="1"/>
    <xf numFmtId="166" fontId="29" fillId="0" borderId="1" xfId="0" applyNumberFormat="1" applyFont="1" applyBorder="1"/>
    <xf numFmtId="166" fontId="30" fillId="0" borderId="1" xfId="0" applyNumberFormat="1" applyFont="1" applyBorder="1"/>
    <xf numFmtId="166" fontId="23" fillId="0" borderId="2" xfId="0" applyNumberFormat="1" applyFont="1" applyBorder="1"/>
    <xf numFmtId="166" fontId="30" fillId="0" borderId="0" xfId="0" applyNumberFormat="1" applyFont="1"/>
    <xf numFmtId="166" fontId="29" fillId="0" borderId="0" xfId="0" applyNumberFormat="1" applyFont="1"/>
    <xf numFmtId="9" fontId="22" fillId="0" borderId="0" xfId="0" applyNumberFormat="1" applyFont="1"/>
    <xf numFmtId="169" fontId="22" fillId="0" borderId="0" xfId="0" applyNumberFormat="1" applyFont="1"/>
    <xf numFmtId="169" fontId="26" fillId="0" borderId="0" xfId="0" applyNumberFormat="1" applyFont="1"/>
    <xf numFmtId="166" fontId="26" fillId="0" borderId="0" xfId="0" applyNumberFormat="1" applyFont="1" applyBorder="1"/>
    <xf numFmtId="166" fontId="22" fillId="0" borderId="0" xfId="0" applyNumberFormat="1" applyFont="1" applyBorder="1"/>
    <xf numFmtId="170" fontId="22" fillId="0" borderId="0" xfId="0" applyNumberFormat="1" applyFont="1"/>
    <xf numFmtId="166" fontId="29" fillId="0" borderId="0" xfId="0" applyNumberFormat="1" applyFont="1" applyBorder="1"/>
    <xf numFmtId="166" fontId="30" fillId="0" borderId="0" xfId="0" applyNumberFormat="1" applyFont="1" applyBorder="1"/>
    <xf numFmtId="166" fontId="23" fillId="0" borderId="0" xfId="0" applyNumberFormat="1" applyFont="1" applyBorder="1"/>
    <xf numFmtId="166" fontId="25" fillId="0" borderId="0" xfId="0" applyNumberFormat="1" applyFont="1" applyFill="1"/>
    <xf numFmtId="10" fontId="25" fillId="0" borderId="0" xfId="5" applyNumberFormat="1" applyFont="1"/>
    <xf numFmtId="10" fontId="26" fillId="0" borderId="0" xfId="5" applyNumberFormat="1" applyFont="1"/>
    <xf numFmtId="166" fontId="23" fillId="0" borderId="0" xfId="0" applyNumberFormat="1" applyFont="1" applyAlignment="1">
      <alignment horizontal="center"/>
    </xf>
    <xf numFmtId="166" fontId="25" fillId="0" borderId="0" xfId="0" applyNumberFormat="1" applyFont="1" applyBorder="1"/>
    <xf numFmtId="0" fontId="31" fillId="0" borderId="0" xfId="0" applyFont="1"/>
    <xf numFmtId="168" fontId="29" fillId="0" borderId="0" xfId="5" applyNumberFormat="1" applyFont="1"/>
    <xf numFmtId="168" fontId="23" fillId="0" borderId="0" xfId="5" applyNumberFormat="1" applyFont="1"/>
    <xf numFmtId="168" fontId="30" fillId="0" borderId="0" xfId="5" applyNumberFormat="1" applyFont="1"/>
    <xf numFmtId="0" fontId="32" fillId="0" borderId="0" xfId="0" applyFont="1"/>
    <xf numFmtId="0" fontId="33" fillId="0" borderId="0" xfId="0" applyFont="1"/>
    <xf numFmtId="166" fontId="23" fillId="2" borderId="0" xfId="0" applyNumberFormat="1" applyFont="1" applyFill="1"/>
    <xf numFmtId="0" fontId="22" fillId="0" borderId="0" xfId="0" applyNumberFormat="1" applyFont="1" applyAlignment="1">
      <alignment horizontal="center"/>
    </xf>
    <xf numFmtId="168" fontId="22" fillId="0" borderId="0" xfId="5" applyNumberFormat="1" applyFont="1"/>
    <xf numFmtId="0" fontId="25" fillId="0" borderId="0" xfId="0" applyFont="1" applyAlignment="1">
      <alignment horizontal="center"/>
    </xf>
    <xf numFmtId="1" fontId="23" fillId="2" borderId="0" xfId="0" applyNumberFormat="1" applyFont="1" applyFill="1" applyAlignment="1">
      <alignment horizontal="center"/>
    </xf>
    <xf numFmtId="10" fontId="23" fillId="0" borderId="0" xfId="5" applyNumberFormat="1" applyFont="1"/>
    <xf numFmtId="1" fontId="23" fillId="0" borderId="0" xfId="0" applyNumberFormat="1" applyFont="1"/>
    <xf numFmtId="0" fontId="34" fillId="0" borderId="0" xfId="0" applyFont="1"/>
    <xf numFmtId="0" fontId="35" fillId="0" borderId="0" xfId="0" applyFont="1"/>
    <xf numFmtId="0" fontId="16" fillId="0" borderId="0" xfId="0" applyFont="1"/>
    <xf numFmtId="0" fontId="20" fillId="0" borderId="0" xfId="2" applyAlignment="1" applyProtection="1"/>
    <xf numFmtId="0" fontId="36" fillId="0" borderId="0" xfId="0" applyFont="1"/>
    <xf numFmtId="0" fontId="15" fillId="0" borderId="0" xfId="0" applyFont="1"/>
    <xf numFmtId="0" fontId="36" fillId="0" borderId="0" xfId="0" applyFont="1" applyAlignment="1">
      <alignment horizontal="center"/>
    </xf>
    <xf numFmtId="10" fontId="28" fillId="0" borderId="0" xfId="5" applyNumberFormat="1" applyFont="1"/>
    <xf numFmtId="3" fontId="28" fillId="0" borderId="0" xfId="0" applyNumberFormat="1" applyFont="1"/>
    <xf numFmtId="166" fontId="28" fillId="0" borderId="0" xfId="0" applyNumberFormat="1" applyFont="1"/>
    <xf numFmtId="166" fontId="36" fillId="0" borderId="0" xfId="0" applyNumberFormat="1" applyFont="1"/>
    <xf numFmtId="168" fontId="28" fillId="0" borderId="0" xfId="0" applyNumberFormat="1" applyFont="1"/>
    <xf numFmtId="171" fontId="28" fillId="0" borderId="0" xfId="0" applyNumberFormat="1" applyFont="1"/>
    <xf numFmtId="10" fontId="28" fillId="0" borderId="0" xfId="0" applyNumberFormat="1" applyFont="1"/>
    <xf numFmtId="166" fontId="26" fillId="0" borderId="0" xfId="0" applyNumberFormat="1" applyFont="1" applyFill="1"/>
    <xf numFmtId="0" fontId="23" fillId="0" borderId="0" xfId="0" applyFont="1" applyFill="1"/>
    <xf numFmtId="0" fontId="30" fillId="0" borderId="0" xfId="0" applyFont="1" applyFill="1"/>
    <xf numFmtId="0" fontId="22" fillId="0" borderId="0" xfId="0" applyFont="1" applyFill="1"/>
    <xf numFmtId="166" fontId="22" fillId="0" borderId="0" xfId="0" applyNumberFormat="1" applyFont="1" applyFill="1"/>
    <xf numFmtId="166" fontId="23" fillId="0" borderId="0" xfId="0" applyNumberFormat="1" applyFont="1" applyFill="1"/>
    <xf numFmtId="166" fontId="30" fillId="0" borderId="0" xfId="0" applyNumberFormat="1" applyFont="1" applyFill="1"/>
    <xf numFmtId="166" fontId="23" fillId="0" borderId="1" xfId="0" applyNumberFormat="1" applyFont="1" applyFill="1" applyBorder="1" applyAlignment="1">
      <alignment horizontal="center"/>
    </xf>
    <xf numFmtId="166" fontId="30" fillId="0" borderId="1" xfId="0" applyNumberFormat="1" applyFont="1" applyFill="1" applyBorder="1" applyAlignment="1">
      <alignment horizontal="center"/>
    </xf>
    <xf numFmtId="1" fontId="22" fillId="0" borderId="0" xfId="0" applyNumberFormat="1" applyFont="1" applyFill="1"/>
    <xf numFmtId="166" fontId="23" fillId="0" borderId="0" xfId="0" applyNumberFormat="1" applyFont="1" applyFill="1" applyBorder="1" applyAlignment="1">
      <alignment horizontal="center"/>
    </xf>
    <xf numFmtId="166" fontId="30" fillId="0" borderId="0" xfId="0" applyNumberFormat="1" applyFont="1" applyFill="1" applyBorder="1" applyAlignment="1">
      <alignment horizontal="center"/>
    </xf>
    <xf numFmtId="0" fontId="36" fillId="0" borderId="0" xfId="0" applyFont="1" applyFill="1"/>
    <xf numFmtId="0" fontId="28" fillId="0" borderId="0" xfId="0" applyFont="1" applyFill="1"/>
    <xf numFmtId="0" fontId="26" fillId="0" borderId="0" xfId="0" applyFont="1" applyFill="1" applyAlignment="1">
      <alignment horizontal="center"/>
    </xf>
    <xf numFmtId="0" fontId="22" fillId="0" borderId="0" xfId="0" applyFont="1" applyFill="1" applyAlignment="1">
      <alignment horizontal="center"/>
    </xf>
    <xf numFmtId="0" fontId="14" fillId="0" borderId="0" xfId="0" applyFont="1"/>
    <xf numFmtId="0" fontId="0" fillId="0" borderId="0" xfId="0"/>
    <xf numFmtId="0" fontId="28" fillId="0" borderId="0" xfId="0" applyFont="1"/>
    <xf numFmtId="0" fontId="19" fillId="0" borderId="0" xfId="1"/>
    <xf numFmtId="0" fontId="0" fillId="0" borderId="0" xfId="0"/>
    <xf numFmtId="0" fontId="19" fillId="0" borderId="0" xfId="1"/>
    <xf numFmtId="0" fontId="0" fillId="0" borderId="0" xfId="0"/>
    <xf numFmtId="166" fontId="22" fillId="0" borderId="0" xfId="0" applyNumberFormat="1" applyFont="1"/>
    <xf numFmtId="0" fontId="28" fillId="0" borderId="0" xfId="0" applyFont="1"/>
    <xf numFmtId="0" fontId="34" fillId="0" borderId="0" xfId="0" applyFont="1"/>
    <xf numFmtId="0" fontId="20" fillId="0" borderId="0" xfId="2" applyAlignment="1" applyProtection="1"/>
    <xf numFmtId="0" fontId="36" fillId="0" borderId="0" xfId="0" applyFont="1"/>
    <xf numFmtId="0" fontId="36" fillId="0" borderId="0" xfId="0" applyFont="1" applyAlignment="1">
      <alignment horizontal="center"/>
    </xf>
    <xf numFmtId="10" fontId="28" fillId="0" borderId="0" xfId="5" applyNumberFormat="1" applyFont="1"/>
    <xf numFmtId="3" fontId="28" fillId="0" borderId="0" xfId="0" applyNumberFormat="1" applyFont="1"/>
    <xf numFmtId="166" fontId="36" fillId="0" borderId="0" xfId="0" applyNumberFormat="1" applyFont="1"/>
    <xf numFmtId="0" fontId="19" fillId="0" borderId="0" xfId="1" applyAlignment="1" applyProtection="1"/>
    <xf numFmtId="3" fontId="36" fillId="0" borderId="0" xfId="0" applyNumberFormat="1" applyFont="1"/>
    <xf numFmtId="10" fontId="36" fillId="0" borderId="0" xfId="5" applyNumberFormat="1" applyFont="1"/>
    <xf numFmtId="167" fontId="36" fillId="0" borderId="0" xfId="0" applyNumberFormat="1" applyFont="1"/>
    <xf numFmtId="49" fontId="36" fillId="0" borderId="0" xfId="5" applyNumberFormat="1" applyFont="1" applyAlignment="1">
      <alignment horizontal="center"/>
    </xf>
    <xf numFmtId="3" fontId="37" fillId="0" borderId="0" xfId="0" applyNumberFormat="1" applyFont="1"/>
    <xf numFmtId="3" fontId="43" fillId="0" borderId="0" xfId="0" applyNumberFormat="1" applyFont="1"/>
    <xf numFmtId="0" fontId="37" fillId="0" borderId="0" xfId="0" applyFont="1"/>
    <xf numFmtId="3" fontId="38" fillId="0" borderId="0" xfId="0" applyNumberFormat="1" applyFont="1"/>
    <xf numFmtId="3" fontId="44" fillId="0" borderId="0" xfId="0" applyNumberFormat="1" applyFont="1"/>
    <xf numFmtId="0" fontId="38" fillId="0" borderId="0" xfId="0" applyFont="1"/>
    <xf numFmtId="0" fontId="28" fillId="0" borderId="0" xfId="0" applyFont="1"/>
    <xf numFmtId="10" fontId="28" fillId="0" borderId="0" xfId="5" applyNumberFormat="1" applyFont="1"/>
    <xf numFmtId="166" fontId="26" fillId="0" borderId="0" xfId="0" applyNumberFormat="1" applyFont="1" applyFill="1" applyAlignment="1">
      <alignment horizontal="center"/>
    </xf>
    <xf numFmtId="173" fontId="22" fillId="0" borderId="0" xfId="0" applyNumberFormat="1" applyFont="1"/>
    <xf numFmtId="167" fontId="38" fillId="0" borderId="0" xfId="0" applyNumberFormat="1" applyFont="1"/>
    <xf numFmtId="173" fontId="28" fillId="0" borderId="0" xfId="0" applyNumberFormat="1" applyFont="1"/>
    <xf numFmtId="166" fontId="23" fillId="2" borderId="1" xfId="0" applyNumberFormat="1" applyFont="1" applyFill="1" applyBorder="1" applyAlignment="1">
      <alignment horizontal="center"/>
    </xf>
    <xf numFmtId="166" fontId="22" fillId="0" borderId="0" xfId="0" applyNumberFormat="1" applyFont="1"/>
    <xf numFmtId="0" fontId="9" fillId="0" borderId="0" xfId="0" applyFont="1"/>
    <xf numFmtId="0" fontId="28" fillId="0" borderId="0" xfId="0" quotePrefix="1" applyFont="1"/>
    <xf numFmtId="166" fontId="23" fillId="0" borderId="0" xfId="0" applyNumberFormat="1" applyFont="1"/>
    <xf numFmtId="10" fontId="22" fillId="0" borderId="0" xfId="5" applyNumberFormat="1" applyFont="1"/>
    <xf numFmtId="166" fontId="23" fillId="0" borderId="1" xfId="0" applyNumberFormat="1" applyFont="1" applyBorder="1"/>
    <xf numFmtId="166" fontId="30" fillId="0" borderId="2" xfId="0" applyNumberFormat="1" applyFont="1" applyBorder="1"/>
    <xf numFmtId="166" fontId="29" fillId="0" borderId="2" xfId="0" applyNumberFormat="1" applyFont="1" applyBorder="1"/>
    <xf numFmtId="166" fontId="30" fillId="0" borderId="1" xfId="0" applyNumberFormat="1" applyFont="1" applyBorder="1"/>
    <xf numFmtId="166" fontId="23" fillId="0" borderId="2" xfId="0" applyNumberFormat="1" applyFont="1" applyBorder="1"/>
    <xf numFmtId="166" fontId="30" fillId="0" borderId="0" xfId="0" applyNumberFormat="1" applyFont="1"/>
    <xf numFmtId="166" fontId="29" fillId="0" borderId="0" xfId="0" applyNumberFormat="1" applyFont="1"/>
    <xf numFmtId="166" fontId="26" fillId="0" borderId="0" xfId="0" applyNumberFormat="1" applyFont="1" applyBorder="1"/>
    <xf numFmtId="166" fontId="22" fillId="0" borderId="0" xfId="0" applyNumberFormat="1" applyFont="1" applyBorder="1"/>
    <xf numFmtId="166" fontId="30" fillId="0" borderId="0" xfId="0" applyNumberFormat="1" applyFont="1" applyBorder="1"/>
    <xf numFmtId="166" fontId="23" fillId="0" borderId="0" xfId="0" applyNumberFormat="1" applyFont="1" applyBorder="1"/>
    <xf numFmtId="10" fontId="26" fillId="0" borderId="0" xfId="5" applyNumberFormat="1" applyFont="1"/>
    <xf numFmtId="166" fontId="23" fillId="0" borderId="0" xfId="0" applyNumberFormat="1" applyFont="1" applyAlignment="1">
      <alignment horizontal="center"/>
    </xf>
    <xf numFmtId="168" fontId="29" fillId="0" borderId="0" xfId="5" applyNumberFormat="1" applyFont="1"/>
    <xf numFmtId="168" fontId="23" fillId="0" borderId="0" xfId="5" applyNumberFormat="1" applyFont="1"/>
    <xf numFmtId="168" fontId="30" fillId="0" borderId="0" xfId="5" applyNumberFormat="1" applyFont="1"/>
    <xf numFmtId="168" fontId="22" fillId="0" borderId="0" xfId="5" applyNumberFormat="1" applyFont="1"/>
    <xf numFmtId="3" fontId="36" fillId="0" borderId="0" xfId="0" applyNumberFormat="1" applyFont="1"/>
    <xf numFmtId="167" fontId="36" fillId="0" borderId="0" xfId="0" applyNumberFormat="1" applyFont="1"/>
    <xf numFmtId="49" fontId="36" fillId="0" borderId="0" xfId="5" applyNumberFormat="1" applyFont="1" applyAlignment="1">
      <alignment horizontal="center"/>
    </xf>
    <xf numFmtId="3" fontId="43" fillId="0" borderId="0" xfId="0" applyNumberFormat="1" applyFont="1"/>
    <xf numFmtId="3" fontId="44" fillId="0" borderId="0" xfId="0" applyNumberFormat="1" applyFont="1"/>
    <xf numFmtId="172" fontId="28" fillId="0" borderId="0" xfId="0" applyNumberFormat="1" applyFont="1"/>
    <xf numFmtId="172" fontId="36" fillId="0" borderId="0" xfId="0" applyNumberFormat="1" applyFont="1"/>
    <xf numFmtId="167" fontId="26" fillId="0" borderId="0" xfId="0" applyNumberFormat="1" applyFont="1"/>
    <xf numFmtId="173" fontId="22" fillId="0" borderId="0" xfId="0" applyNumberFormat="1" applyFont="1"/>
    <xf numFmtId="167" fontId="38" fillId="0" borderId="0" xfId="0" applyNumberFormat="1" applyFont="1"/>
    <xf numFmtId="1" fontId="26" fillId="0" borderId="0" xfId="0" applyNumberFormat="1" applyFont="1"/>
    <xf numFmtId="0" fontId="23" fillId="2" borderId="0" xfId="0" applyFont="1" applyFill="1" applyAlignment="1">
      <alignment horizontal="center"/>
    </xf>
    <xf numFmtId="182" fontId="28" fillId="0" borderId="0" xfId="0" applyNumberFormat="1" applyFont="1"/>
    <xf numFmtId="0" fontId="28" fillId="0" borderId="0" xfId="0" applyFont="1"/>
    <xf numFmtId="0" fontId="22" fillId="0" borderId="0" xfId="0" applyFont="1"/>
    <xf numFmtId="0" fontId="23" fillId="0" borderId="0" xfId="0" applyFont="1"/>
    <xf numFmtId="3" fontId="22" fillId="0" borderId="0" xfId="0" applyNumberFormat="1" applyFont="1"/>
    <xf numFmtId="0" fontId="23" fillId="0" borderId="0" xfId="0" applyFont="1" applyAlignment="1">
      <alignment horizontal="center"/>
    </xf>
    <xf numFmtId="166" fontId="22" fillId="0" borderId="0" xfId="0" applyNumberFormat="1" applyFont="1"/>
    <xf numFmtId="2" fontId="22" fillId="0" borderId="0" xfId="0" applyNumberFormat="1" applyFont="1"/>
    <xf numFmtId="10" fontId="22" fillId="0" borderId="0" xfId="0" applyNumberFormat="1" applyFont="1"/>
    <xf numFmtId="1" fontId="22" fillId="0" borderId="0" xfId="0" applyNumberFormat="1" applyFont="1"/>
    <xf numFmtId="166" fontId="25" fillId="0" borderId="0" xfId="0" applyNumberFormat="1" applyFont="1"/>
    <xf numFmtId="166" fontId="26" fillId="0" borderId="0" xfId="0" applyNumberFormat="1" applyFont="1"/>
    <xf numFmtId="10" fontId="26" fillId="0" borderId="0" xfId="0" applyNumberFormat="1" applyFont="1"/>
    <xf numFmtId="10" fontId="25" fillId="0" borderId="0" xfId="0" applyNumberFormat="1" applyFont="1"/>
    <xf numFmtId="2" fontId="25" fillId="0" borderId="0" xfId="0" applyNumberFormat="1" applyFont="1"/>
    <xf numFmtId="2" fontId="26" fillId="0" borderId="0" xfId="0" applyNumberFormat="1" applyFont="1"/>
    <xf numFmtId="3" fontId="25" fillId="0" borderId="0" xfId="0" applyNumberFormat="1" applyFont="1"/>
    <xf numFmtId="3" fontId="26" fillId="0" borderId="0" xfId="0" applyNumberFormat="1" applyFont="1"/>
    <xf numFmtId="0" fontId="26" fillId="0" borderId="0" xfId="0" applyFont="1"/>
    <xf numFmtId="0" fontId="28" fillId="0" borderId="0" xfId="0" applyFont="1"/>
    <xf numFmtId="0" fontId="29" fillId="0" borderId="0" xfId="0" applyFont="1" applyAlignment="1">
      <alignment horizontal="center"/>
    </xf>
    <xf numFmtId="0" fontId="29" fillId="0" borderId="0" xfId="0" applyFont="1"/>
    <xf numFmtId="0" fontId="30" fillId="0" borderId="0" xfId="0" applyFont="1" applyAlignment="1">
      <alignment horizontal="center"/>
    </xf>
    <xf numFmtId="0" fontId="30" fillId="0" borderId="0" xfId="0" applyFont="1"/>
    <xf numFmtId="169" fontId="22" fillId="0" borderId="0" xfId="0" applyNumberFormat="1" applyFont="1"/>
    <xf numFmtId="169" fontId="26" fillId="0" borderId="0" xfId="0" applyNumberFormat="1" applyFont="1"/>
    <xf numFmtId="0" fontId="36" fillId="0" borderId="0" xfId="0" applyFont="1"/>
    <xf numFmtId="0" fontId="36" fillId="0" borderId="0" xfId="0" applyFont="1" applyAlignment="1">
      <alignment horizontal="center"/>
    </xf>
    <xf numFmtId="10" fontId="28" fillId="0" borderId="0" xfId="5" applyNumberFormat="1" applyFont="1"/>
    <xf numFmtId="173" fontId="28" fillId="0" borderId="0" xfId="0" applyNumberFormat="1" applyFont="1"/>
    <xf numFmtId="3" fontId="28" fillId="0" borderId="0" xfId="0" applyNumberFormat="1" applyFont="1"/>
    <xf numFmtId="166" fontId="28" fillId="0" borderId="0" xfId="0" applyNumberFormat="1" applyFont="1"/>
    <xf numFmtId="166" fontId="36" fillId="0" borderId="0" xfId="0" applyNumberFormat="1" applyFont="1"/>
    <xf numFmtId="168" fontId="28" fillId="0" borderId="0" xfId="5" applyNumberFormat="1" applyFont="1"/>
    <xf numFmtId="168" fontId="36" fillId="0" borderId="0" xfId="5" applyNumberFormat="1" applyFont="1"/>
    <xf numFmtId="3" fontId="36" fillId="0" borderId="0" xfId="0" applyNumberFormat="1" applyFont="1"/>
    <xf numFmtId="10" fontId="36" fillId="0" borderId="0" xfId="5" applyNumberFormat="1" applyFont="1"/>
    <xf numFmtId="167" fontId="22" fillId="0" borderId="0" xfId="0" applyNumberFormat="1" applyFont="1"/>
    <xf numFmtId="3" fontId="37" fillId="0" borderId="0" xfId="0" applyNumberFormat="1" applyFont="1"/>
    <xf numFmtId="0" fontId="37" fillId="0" borderId="0" xfId="0" applyFont="1"/>
    <xf numFmtId="3" fontId="38" fillId="0" borderId="0" xfId="0" applyNumberFormat="1" applyFont="1"/>
    <xf numFmtId="0" fontId="38" fillId="0" borderId="0" xfId="0" applyFont="1"/>
    <xf numFmtId="166" fontId="23" fillId="0" borderId="0" xfId="0" applyNumberFormat="1" applyFont="1" applyFill="1" applyBorder="1"/>
    <xf numFmtId="166" fontId="30" fillId="0" borderId="0" xfId="0" applyNumberFormat="1" applyFont="1" applyFill="1" applyBorder="1"/>
    <xf numFmtId="0" fontId="22" fillId="65" borderId="0" xfId="0" applyFont="1" applyFill="1"/>
    <xf numFmtId="166" fontId="29" fillId="0" borderId="1" xfId="0" applyNumberFormat="1" applyFont="1" applyFill="1" applyBorder="1"/>
    <xf numFmtId="168" fontId="36" fillId="0" borderId="0" xfId="0" applyNumberFormat="1" applyFont="1"/>
    <xf numFmtId="183" fontId="22" fillId="0" borderId="0" xfId="0" applyNumberFormat="1" applyFont="1"/>
  </cellXfs>
  <cellStyles count="565">
    <cellStyle name="20% - Accent1" xfId="210" builtinId="30" customBuiltin="1"/>
    <cellStyle name="20% - Accent1 2" xfId="29" xr:uid="{00000000-0005-0000-0000-000001000000}"/>
    <cellStyle name="20% - Accent1 2 2" xfId="276" xr:uid="{00000000-0005-0000-0000-000002000000}"/>
    <cellStyle name="20% - Accent1 2 3" xfId="245" xr:uid="{00000000-0005-0000-0000-000003000000}"/>
    <cellStyle name="20% - Accent1 2_Economic Forecasts" xfId="305" xr:uid="{00000000-0005-0000-0000-000004000000}"/>
    <cellStyle name="20% - Accent2" xfId="214" builtinId="34" customBuiltin="1"/>
    <cellStyle name="20% - Accent2 2" xfId="30" xr:uid="{00000000-0005-0000-0000-000006000000}"/>
    <cellStyle name="20% - Accent2 2 2" xfId="278" xr:uid="{00000000-0005-0000-0000-000007000000}"/>
    <cellStyle name="20% - Accent2 2 3" xfId="247" xr:uid="{00000000-0005-0000-0000-000008000000}"/>
    <cellStyle name="20% - Accent2 2_Economic Forecasts" xfId="304" xr:uid="{00000000-0005-0000-0000-000009000000}"/>
    <cellStyle name="20% - Accent3" xfId="218" builtinId="38" customBuiltin="1"/>
    <cellStyle name="20% - Accent3 2" xfId="31" xr:uid="{00000000-0005-0000-0000-00000B000000}"/>
    <cellStyle name="20% - Accent3 2 2" xfId="280" xr:uid="{00000000-0005-0000-0000-00000C000000}"/>
    <cellStyle name="20% - Accent3 2 3" xfId="249" xr:uid="{00000000-0005-0000-0000-00000D000000}"/>
    <cellStyle name="20% - Accent3 2_Economic Forecasts" xfId="267" xr:uid="{00000000-0005-0000-0000-00000E000000}"/>
    <cellStyle name="20% - Accent4" xfId="222" builtinId="42" customBuiltin="1"/>
    <cellStyle name="20% - Accent4 2" xfId="32" xr:uid="{00000000-0005-0000-0000-000010000000}"/>
    <cellStyle name="20% - Accent4 2 2" xfId="283" xr:uid="{00000000-0005-0000-0000-000011000000}"/>
    <cellStyle name="20% - Accent4 2 3" xfId="251" xr:uid="{00000000-0005-0000-0000-000012000000}"/>
    <cellStyle name="20% - Accent4 2_Economic Forecasts" xfId="303" xr:uid="{00000000-0005-0000-0000-000013000000}"/>
    <cellStyle name="20% - Accent5" xfId="226" builtinId="46" customBuiltin="1"/>
    <cellStyle name="20% - Accent5 2" xfId="33" xr:uid="{00000000-0005-0000-0000-000015000000}"/>
    <cellStyle name="20% - Accent5 2 2" xfId="285" xr:uid="{00000000-0005-0000-0000-000016000000}"/>
    <cellStyle name="20% - Accent5 2 3" xfId="253" xr:uid="{00000000-0005-0000-0000-000017000000}"/>
    <cellStyle name="20% - Accent5 2_Economic Forecasts" xfId="302" xr:uid="{00000000-0005-0000-0000-000018000000}"/>
    <cellStyle name="20% - Accent6" xfId="230" builtinId="50" customBuiltin="1"/>
    <cellStyle name="20% - Accent6 2" xfId="34" xr:uid="{00000000-0005-0000-0000-00001A000000}"/>
    <cellStyle name="20% - Accent6 2 2" xfId="287" xr:uid="{00000000-0005-0000-0000-00001B000000}"/>
    <cellStyle name="20% - Accent6 2 3" xfId="255" xr:uid="{00000000-0005-0000-0000-00001C000000}"/>
    <cellStyle name="20% - Accent6 2_Economic Forecasts" xfId="266" xr:uid="{00000000-0005-0000-0000-00001D000000}"/>
    <cellStyle name="40% - Accent1" xfId="211" builtinId="31" customBuiltin="1"/>
    <cellStyle name="40% - Accent1 2" xfId="35" xr:uid="{00000000-0005-0000-0000-00001F000000}"/>
    <cellStyle name="40% - Accent1 2 2" xfId="277" xr:uid="{00000000-0005-0000-0000-000020000000}"/>
    <cellStyle name="40% - Accent1 2 3" xfId="246" xr:uid="{00000000-0005-0000-0000-000021000000}"/>
    <cellStyle name="40% - Accent1 2_Economic Forecasts" xfId="301" xr:uid="{00000000-0005-0000-0000-000022000000}"/>
    <cellStyle name="40% - Accent2" xfId="215" builtinId="35" customBuiltin="1"/>
    <cellStyle name="40% - Accent2 2" xfId="36" xr:uid="{00000000-0005-0000-0000-000024000000}"/>
    <cellStyle name="40% - Accent2 2 2" xfId="279" xr:uid="{00000000-0005-0000-0000-000025000000}"/>
    <cellStyle name="40% - Accent2 2 3" xfId="248" xr:uid="{00000000-0005-0000-0000-000026000000}"/>
    <cellStyle name="40% - Accent2 2_Economic Forecasts" xfId="300" xr:uid="{00000000-0005-0000-0000-000027000000}"/>
    <cellStyle name="40% - Accent3" xfId="219" builtinId="39" customBuiltin="1"/>
    <cellStyle name="40% - Accent3 2" xfId="37" xr:uid="{00000000-0005-0000-0000-000029000000}"/>
    <cellStyle name="40% - Accent3 2 2" xfId="281" xr:uid="{00000000-0005-0000-0000-00002A000000}"/>
    <cellStyle name="40% - Accent3 2 3" xfId="250" xr:uid="{00000000-0005-0000-0000-00002B000000}"/>
    <cellStyle name="40% - Accent3 2_Economic Forecasts" xfId="269" xr:uid="{00000000-0005-0000-0000-00002C000000}"/>
    <cellStyle name="40% - Accent4" xfId="223" builtinId="43" customBuiltin="1"/>
    <cellStyle name="40% - Accent4 2" xfId="38" xr:uid="{00000000-0005-0000-0000-00002E000000}"/>
    <cellStyle name="40% - Accent4 2 2" xfId="284" xr:uid="{00000000-0005-0000-0000-00002F000000}"/>
    <cellStyle name="40% - Accent4 2 3" xfId="252" xr:uid="{00000000-0005-0000-0000-000030000000}"/>
    <cellStyle name="40% - Accent4 2_Economic Forecasts" xfId="299" xr:uid="{00000000-0005-0000-0000-000031000000}"/>
    <cellStyle name="40% - Accent5" xfId="227" builtinId="47" customBuiltin="1"/>
    <cellStyle name="40% - Accent5 2" xfId="39" xr:uid="{00000000-0005-0000-0000-000033000000}"/>
    <cellStyle name="40% - Accent5 2 2" xfId="286" xr:uid="{00000000-0005-0000-0000-000034000000}"/>
    <cellStyle name="40% - Accent5 2 3" xfId="254" xr:uid="{00000000-0005-0000-0000-000035000000}"/>
    <cellStyle name="40% - Accent5 2_Economic Forecasts" xfId="298" xr:uid="{00000000-0005-0000-0000-000036000000}"/>
    <cellStyle name="40% - Accent6" xfId="231" builtinId="51" customBuiltin="1"/>
    <cellStyle name="40% - Accent6 2" xfId="40" xr:uid="{00000000-0005-0000-0000-000038000000}"/>
    <cellStyle name="40% - Accent6 2 2" xfId="288" xr:uid="{00000000-0005-0000-0000-000039000000}"/>
    <cellStyle name="40% - Accent6 2 3" xfId="256" xr:uid="{00000000-0005-0000-0000-00003A000000}"/>
    <cellStyle name="40% - Accent6 2_Economic Forecasts" xfId="297" xr:uid="{00000000-0005-0000-0000-00003B000000}"/>
    <cellStyle name="5" xfId="257" xr:uid="{00000000-0005-0000-0000-00003C000000}"/>
    <cellStyle name="60% - Accent1" xfId="212" builtinId="32" customBuiltin="1"/>
    <cellStyle name="60% - Accent1 2" xfId="41" xr:uid="{00000000-0005-0000-0000-00003E000000}"/>
    <cellStyle name="60% - Accent2" xfId="216" builtinId="36" customBuiltin="1"/>
    <cellStyle name="60% - Accent2 2" xfId="42" xr:uid="{00000000-0005-0000-0000-000040000000}"/>
    <cellStyle name="60% - Accent3" xfId="220" builtinId="40" customBuiltin="1"/>
    <cellStyle name="60% - Accent3 2" xfId="43" xr:uid="{00000000-0005-0000-0000-000042000000}"/>
    <cellStyle name="60% - Accent4" xfId="224" builtinId="44" customBuiltin="1"/>
    <cellStyle name="60% - Accent4 2" xfId="44" xr:uid="{00000000-0005-0000-0000-000044000000}"/>
    <cellStyle name="60% - Accent5" xfId="228" builtinId="48" customBuiltin="1"/>
    <cellStyle name="60% - Accent5 2" xfId="45" xr:uid="{00000000-0005-0000-0000-000046000000}"/>
    <cellStyle name="60% - Accent6" xfId="232" builtinId="52" customBuiltin="1"/>
    <cellStyle name="60% - Accent6 2" xfId="46" xr:uid="{00000000-0005-0000-0000-000048000000}"/>
    <cellStyle name="Accent1" xfId="209" builtinId="29" customBuiltin="1"/>
    <cellStyle name="Accent1 2" xfId="47" xr:uid="{00000000-0005-0000-0000-00004A000000}"/>
    <cellStyle name="Accent2" xfId="213" builtinId="33" customBuiltin="1"/>
    <cellStyle name="Accent2 2" xfId="48" xr:uid="{00000000-0005-0000-0000-00004C000000}"/>
    <cellStyle name="Accent3" xfId="217" builtinId="37" customBuiltin="1"/>
    <cellStyle name="Accent3 2" xfId="49" xr:uid="{00000000-0005-0000-0000-00004E000000}"/>
    <cellStyle name="Accent4" xfId="221" builtinId="41" customBuiltin="1"/>
    <cellStyle name="Accent4 2" xfId="50" xr:uid="{00000000-0005-0000-0000-000050000000}"/>
    <cellStyle name="Accent5" xfId="225" builtinId="45" customBuiltin="1"/>
    <cellStyle name="Accent5 2" xfId="51" xr:uid="{00000000-0005-0000-0000-000052000000}"/>
    <cellStyle name="Accent6" xfId="229" builtinId="49" customBuiltin="1"/>
    <cellStyle name="Accent6 2" xfId="52" xr:uid="{00000000-0005-0000-0000-000054000000}"/>
    <cellStyle name="Bad" xfId="199" builtinId="27" customBuiltin="1"/>
    <cellStyle name="Bad 2" xfId="53" xr:uid="{00000000-0005-0000-0000-000056000000}"/>
    <cellStyle name="Calc#" xfId="54" xr:uid="{00000000-0005-0000-0000-000057000000}"/>
    <cellStyle name="Calc#.##" xfId="55" xr:uid="{00000000-0005-0000-0000-000058000000}"/>
    <cellStyle name="Calc$" xfId="258" xr:uid="{00000000-0005-0000-0000-000059000000}"/>
    <cellStyle name="Calc$ 2" xfId="528" xr:uid="{629628B6-FC36-49EE-AA3C-C0FC4C475A55}"/>
    <cellStyle name="Calc$#" xfId="56" xr:uid="{00000000-0005-0000-0000-00005A000000}"/>
    <cellStyle name="Calc$#.##" xfId="57" xr:uid="{00000000-0005-0000-0000-00005B000000}"/>
    <cellStyle name="Calc$m" xfId="58" xr:uid="{00000000-0005-0000-0000-00005C000000}"/>
    <cellStyle name="Calc%" xfId="59" xr:uid="{00000000-0005-0000-0000-00005D000000}"/>
    <cellStyle name="CalcDate" xfId="60" xr:uid="{00000000-0005-0000-0000-00005E000000}"/>
    <cellStyle name="CalcText" xfId="61" xr:uid="{00000000-0005-0000-0000-00005F000000}"/>
    <cellStyle name="Calculation" xfId="203" builtinId="22" customBuiltin="1"/>
    <cellStyle name="Calculation 2" xfId="62" xr:uid="{00000000-0005-0000-0000-000061000000}"/>
    <cellStyle name="Check Cell" xfId="205" builtinId="23" customBuiltin="1"/>
    <cellStyle name="Check Cell 2" xfId="63" xr:uid="{00000000-0005-0000-0000-000063000000}"/>
    <cellStyle name="Comma 2" xfId="18" xr:uid="{00000000-0005-0000-0000-000064000000}"/>
    <cellStyle name="Comma 2 2" xfId="167" xr:uid="{00000000-0005-0000-0000-000065000000}"/>
    <cellStyle name="Comma 2 2 2" xfId="448" xr:uid="{924DA034-2F19-4645-8D89-21E847A249F1}"/>
    <cellStyle name="Comma 2 2 3" xfId="472" xr:uid="{50AEFA6E-8D0B-4C06-B0C3-71815EF5CFDE}"/>
    <cellStyle name="Comma 2 2 4" xfId="523" xr:uid="{383EFF80-C334-4093-AEB9-5DC42B483CE2}"/>
    <cellStyle name="Comma 2 2 5" xfId="530" xr:uid="{D5D4BEA0-41BE-4DE1-8F19-00C777283D90}"/>
    <cellStyle name="Comma 2 3" xfId="241" xr:uid="{00000000-0005-0000-0000-000066000000}"/>
    <cellStyle name="Comma 2 3 2" xfId="489" xr:uid="{19682DD0-1722-432C-B048-B63922FBE1B1}"/>
    <cellStyle name="Comma 2 4" xfId="344" xr:uid="{AE5FE305-6A61-4D3C-AE2B-44506A09AD4B}"/>
    <cellStyle name="Comma 2 5" xfId="442" xr:uid="{0B7505EC-D9B5-49F5-B140-8EE7A0B98778}"/>
    <cellStyle name="Comma 2 6" xfId="529" xr:uid="{DEDE1E2B-FF04-4B88-BC1F-64D15E8FFB8B}"/>
    <cellStyle name="Comma 3" xfId="64" xr:uid="{00000000-0005-0000-0000-000067000000}"/>
    <cellStyle name="Comma 3 2" xfId="168" xr:uid="{00000000-0005-0000-0000-000068000000}"/>
    <cellStyle name="Comma 3 2 2" xfId="449" xr:uid="{5E6D1D79-DCB4-4C41-AEE3-8EAAE363F4B8}"/>
    <cellStyle name="Comma 3 2 3" xfId="531" xr:uid="{FE700F81-3129-45A5-B460-73D56E559E72}"/>
    <cellStyle name="Comma 3 3" xfId="272" xr:uid="{00000000-0005-0000-0000-000069000000}"/>
    <cellStyle name="Comma 3 3 2" xfId="503" xr:uid="{F58D3FA8-F737-4959-AC11-58091AB78460}"/>
    <cellStyle name="Comma 3 4" xfId="359" xr:uid="{A637FE4E-6592-4A2D-A5AF-9EACCEABC451}"/>
    <cellStyle name="Comma 3 5" xfId="524" xr:uid="{53DD3541-5984-4415-BA71-F1D493EFF802}"/>
    <cellStyle name="Comma 4" xfId="290" xr:uid="{00000000-0005-0000-0000-00006A000000}"/>
    <cellStyle name="Comma 4 2" xfId="508" xr:uid="{67A6DC0D-E718-4665-B39C-6CEC7BF990CD}"/>
    <cellStyle name="Comma 4 3" xfId="522" xr:uid="{8B30AAE9-D309-4BE2-AF2F-542DAD1E65E2}"/>
    <cellStyle name="Comma 5" xfId="291" xr:uid="{00000000-0005-0000-0000-00006B000000}"/>
    <cellStyle name="Comma 5 2" xfId="509" xr:uid="{86EA1985-E06A-4857-8BE5-2C243F22C104}"/>
    <cellStyle name="Currency 2" xfId="65" xr:uid="{00000000-0005-0000-0000-00006C000000}"/>
    <cellStyle name="Currency 2 2" xfId="66" xr:uid="{00000000-0005-0000-0000-00006D000000}"/>
    <cellStyle name="Currency 2 2 2" xfId="190" xr:uid="{00000000-0005-0000-0000-00006E000000}"/>
    <cellStyle name="Currency 2 2 2 2" xfId="469" xr:uid="{AB9D5C00-976C-45D5-9CF7-D783EDDF50BA}"/>
    <cellStyle name="Currency 2 2 3" xfId="361" xr:uid="{2F74F57B-584A-4F79-AA48-DD75EEBACE31}"/>
    <cellStyle name="Currency 2 3" xfId="187" xr:uid="{00000000-0005-0000-0000-00006F000000}"/>
    <cellStyle name="Currency 2 3 2" xfId="466" xr:uid="{729CE280-EBDD-41A4-A055-3F027B95B1CD}"/>
    <cellStyle name="Currency 2 4" xfId="360" xr:uid="{9E6EDD8D-0B3B-453E-A51D-CC27D5537CEA}"/>
    <cellStyle name="Date" xfId="259" xr:uid="{00000000-0005-0000-0000-000070000000}"/>
    <cellStyle name="Deviant" xfId="67" xr:uid="{00000000-0005-0000-0000-000071000000}"/>
    <cellStyle name="ErrorCheck" xfId="68" xr:uid="{00000000-0005-0000-0000-000072000000}"/>
    <cellStyle name="Explanatory Text" xfId="207" builtinId="53" customBuiltin="1"/>
    <cellStyle name="Explanatory Text 2" xfId="69" xr:uid="{00000000-0005-0000-0000-000074000000}"/>
    <cellStyle name="Explanatory Text 3" xfId="532" xr:uid="{81222B81-5496-4C32-BC42-D03B769D5F78}"/>
    <cellStyle name="Explanatory Text 4" xfId="533" xr:uid="{AEB0FFC9-0BDD-4438-BCB9-B4A1F0517023}"/>
    <cellStyle name="From#" xfId="70" xr:uid="{00000000-0005-0000-0000-000075000000}"/>
    <cellStyle name="From#.##" xfId="71" xr:uid="{00000000-0005-0000-0000-000076000000}"/>
    <cellStyle name="From$" xfId="260" xr:uid="{00000000-0005-0000-0000-000077000000}"/>
    <cellStyle name="From$#" xfId="72" xr:uid="{00000000-0005-0000-0000-000078000000}"/>
    <cellStyle name="From$#.##" xfId="73" xr:uid="{00000000-0005-0000-0000-000079000000}"/>
    <cellStyle name="From$m" xfId="74" xr:uid="{00000000-0005-0000-0000-00007A000000}"/>
    <cellStyle name="From%" xfId="75" xr:uid="{00000000-0005-0000-0000-00007B000000}"/>
    <cellStyle name="FromDate" xfId="76" xr:uid="{00000000-0005-0000-0000-00007C000000}"/>
    <cellStyle name="FromText" xfId="77" xr:uid="{00000000-0005-0000-0000-00007D000000}"/>
    <cellStyle name="Good" xfId="198" builtinId="26" customBuiltin="1"/>
    <cellStyle name="Good 2" xfId="78" xr:uid="{00000000-0005-0000-0000-00007F000000}"/>
    <cellStyle name="Header" xfId="79" xr:uid="{00000000-0005-0000-0000-000080000000}"/>
    <cellStyle name="Header 2" xfId="535" xr:uid="{FFDBD2F6-2CC2-46EA-8631-BC7117857A2C}"/>
    <cellStyle name="Header 3" xfId="534" xr:uid="{6245AAC0-36F0-4580-9358-D4E197A98430}"/>
    <cellStyle name="Header2" xfId="80" xr:uid="{00000000-0005-0000-0000-000081000000}"/>
    <cellStyle name="Header2 2" xfId="537" xr:uid="{272872DC-A9CC-4772-953A-60EA54A4A318}"/>
    <cellStyle name="Header2 3" xfId="538" xr:uid="{D6C34A26-2A72-4EE6-A63B-C55F594D93D2}"/>
    <cellStyle name="Header2 4" xfId="536" xr:uid="{CC641F39-B935-4DB7-BD62-C3E10D2D5897}"/>
    <cellStyle name="Header3" xfId="81" xr:uid="{00000000-0005-0000-0000-000082000000}"/>
    <cellStyle name="Header-Grey Style" xfId="539" xr:uid="{F4012003-98F5-4FE2-A522-56884452B783}"/>
    <cellStyle name="Heading 1" xfId="194" builtinId="16" customBuiltin="1"/>
    <cellStyle name="Heading 1 2" xfId="82" xr:uid="{00000000-0005-0000-0000-000084000000}"/>
    <cellStyle name="Heading 2" xfId="195" builtinId="17" customBuiltin="1"/>
    <cellStyle name="Heading 2 2" xfId="83" xr:uid="{00000000-0005-0000-0000-000086000000}"/>
    <cellStyle name="Heading 3" xfId="196" builtinId="18" customBuiltin="1"/>
    <cellStyle name="Heading 3 2" xfId="84" xr:uid="{00000000-0005-0000-0000-000088000000}"/>
    <cellStyle name="Heading 4" xfId="197" builtinId="19" customBuiltin="1"/>
    <cellStyle name="Heading 4 2" xfId="85" xr:uid="{00000000-0005-0000-0000-00008A000000}"/>
    <cellStyle name="Heading 4 2 2" xfId="541" xr:uid="{000A73BB-0F45-48E4-BE20-9445CDDADE42}"/>
    <cellStyle name="Heading 4 2 3" xfId="540" xr:uid="{23E10C5B-B34F-4BFB-8493-54D84B56D4B7}"/>
    <cellStyle name="Heading 4 3" xfId="542" xr:uid="{9E952AF9-5ABA-4570-B030-395393512908}"/>
    <cellStyle name="Heading 4 4" xfId="543" xr:uid="{35FFF4CC-428E-45B5-9261-6785E88B3ECF}"/>
    <cellStyle name="Hyperlink" xfId="1" builtinId="8"/>
    <cellStyle name="Hyperlink 10" xfId="191" xr:uid="{00000000-0005-0000-0000-00008C000000}"/>
    <cellStyle name="Hyperlink 11" xfId="313" xr:uid="{34E6CCE2-884C-457E-B698-B655116BEBAD}"/>
    <cellStyle name="Hyperlink 12" xfId="544" xr:uid="{86207E7F-49EC-4678-9EBA-931AA6FB1C19}"/>
    <cellStyle name="Hyperlink 2" xfId="2" xr:uid="{00000000-0005-0000-0000-00008D000000}"/>
    <cellStyle name="Hyperlink 2 10" xfId="327" xr:uid="{944EC7A5-61B9-4B14-9FF8-5AAB1B5B0C64}"/>
    <cellStyle name="Hyperlink 2 11" xfId="545" xr:uid="{022D8378-4CCD-447B-A1AA-CA9767E89C74}"/>
    <cellStyle name="Hyperlink 2 2" xfId="8" xr:uid="{00000000-0005-0000-0000-00008E000000}"/>
    <cellStyle name="Hyperlink 2 2 2" xfId="171" xr:uid="{00000000-0005-0000-0000-00008F000000}"/>
    <cellStyle name="Hyperlink 2 2 3" xfId="243" xr:uid="{00000000-0005-0000-0000-000090000000}"/>
    <cellStyle name="Hyperlink 2 2 4" xfId="335" xr:uid="{BE3282C4-A2DE-4A68-B40D-4503748A771C}"/>
    <cellStyle name="Hyperlink 2 2_Economic Forecasts" xfId="295" xr:uid="{00000000-0005-0000-0000-000091000000}"/>
    <cellStyle name="Hyperlink 2 3" xfId="170" xr:uid="{00000000-0005-0000-0000-000092000000}"/>
    <cellStyle name="Hyperlink 2 4" xfId="239" xr:uid="{00000000-0005-0000-0000-000093000000}"/>
    <cellStyle name="Hyperlink 2 5" xfId="314" xr:uid="{87F5CA19-96E8-4C0B-BEC7-B2BE3A47B81C}"/>
    <cellStyle name="Hyperlink 2 6" xfId="315" xr:uid="{5D3D7CA5-F36C-4D12-8E45-2583FCC5190C}"/>
    <cellStyle name="Hyperlink 2 7" xfId="321" xr:uid="{FFEC170E-392F-40F1-93F8-F8A31481E1F5}"/>
    <cellStyle name="Hyperlink 2 8" xfId="323" xr:uid="{07457CCD-5E1D-4709-9BC9-1376F6D88D0D}"/>
    <cellStyle name="Hyperlink 2 9" xfId="325" xr:uid="{47DE5E9C-042E-4690-BB10-0162C9CEC267}"/>
    <cellStyle name="Hyperlink 2_Economic Forecasts" xfId="296" xr:uid="{00000000-0005-0000-0000-000094000000}"/>
    <cellStyle name="Hyperlink 3" xfId="9" xr:uid="{00000000-0005-0000-0000-000095000000}"/>
    <cellStyle name="Hyperlink 3 2" xfId="86" xr:uid="{00000000-0005-0000-0000-000096000000}"/>
    <cellStyle name="Hyperlink 3 3" xfId="172" xr:uid="{00000000-0005-0000-0000-000097000000}"/>
    <cellStyle name="Hyperlink 3 4" xfId="242" xr:uid="{00000000-0005-0000-0000-000098000000}"/>
    <cellStyle name="Hyperlink 3 5" xfId="320" xr:uid="{C69C0520-DD62-4134-91AC-1E000B88FD2D}"/>
    <cellStyle name="Hyperlink 3 6" xfId="441" xr:uid="{8458EA04-2FD5-4B5E-A4DD-A14195DF1D7B}"/>
    <cellStyle name="Hyperlink 3_Economic Forecasts" xfId="294" xr:uid="{00000000-0005-0000-0000-000099000000}"/>
    <cellStyle name="Hyperlink 4" xfId="87" xr:uid="{00000000-0005-0000-0000-00009A000000}"/>
    <cellStyle name="Hyperlink 4 2" xfId="274" xr:uid="{00000000-0005-0000-0000-00009B000000}"/>
    <cellStyle name="Hyperlink 4 3" xfId="440" xr:uid="{89B11346-6BBD-44DA-A58D-E18741FA60DB}"/>
    <cellStyle name="Hyperlink 4_Economic Forecasts" xfId="293" xr:uid="{00000000-0005-0000-0000-00009C000000}"/>
    <cellStyle name="Hyperlink 5" xfId="88" xr:uid="{00000000-0005-0000-0000-00009D000000}"/>
    <cellStyle name="Hyperlink 6" xfId="89" xr:uid="{00000000-0005-0000-0000-00009E000000}"/>
    <cellStyle name="Hyperlink 6 2" xfId="464" xr:uid="{5D07C400-B9B1-4285-A405-E866EDCDA3CA}"/>
    <cellStyle name="Hyperlink 7" xfId="90" xr:uid="{00000000-0005-0000-0000-00009F000000}"/>
    <cellStyle name="Hyperlink 8" xfId="169" xr:uid="{00000000-0005-0000-0000-0000A0000000}"/>
    <cellStyle name="Hyperlink 9" xfId="188" xr:uid="{00000000-0005-0000-0000-0000A1000000}"/>
    <cellStyle name="Input" xfId="201" builtinId="20" customBuiltin="1"/>
    <cellStyle name="Input 2" xfId="91" xr:uid="{00000000-0005-0000-0000-0000A3000000}"/>
    <cellStyle name="Input#" xfId="92" xr:uid="{00000000-0005-0000-0000-0000A4000000}"/>
    <cellStyle name="Input#.##" xfId="93" xr:uid="{00000000-0005-0000-0000-0000A5000000}"/>
    <cellStyle name="Input$" xfId="263" xr:uid="{00000000-0005-0000-0000-0000A6000000}"/>
    <cellStyle name="Input$#" xfId="94" xr:uid="{00000000-0005-0000-0000-0000A7000000}"/>
    <cellStyle name="Input$#.##" xfId="95" xr:uid="{00000000-0005-0000-0000-0000A8000000}"/>
    <cellStyle name="Input$m" xfId="96" xr:uid="{00000000-0005-0000-0000-0000A9000000}"/>
    <cellStyle name="Input%" xfId="97" xr:uid="{00000000-0005-0000-0000-0000AA000000}"/>
    <cellStyle name="InputDate" xfId="98" xr:uid="{00000000-0005-0000-0000-0000AB000000}"/>
    <cellStyle name="InputText" xfId="99" xr:uid="{00000000-0005-0000-0000-0000AC000000}"/>
    <cellStyle name="Linked Cell" xfId="204" builtinId="24" customBuiltin="1"/>
    <cellStyle name="Linked Cell 2" xfId="100" xr:uid="{00000000-0005-0000-0000-0000AE000000}"/>
    <cellStyle name="NamedRange" xfId="101" xr:uid="{00000000-0005-0000-0000-0000AF000000}"/>
    <cellStyle name="Neutral" xfId="200" builtinId="28" customBuiltin="1"/>
    <cellStyle name="Neutral 2" xfId="102" xr:uid="{00000000-0005-0000-0000-0000B1000000}"/>
    <cellStyle name="Normal" xfId="0" builtinId="0"/>
    <cellStyle name="Normal 10" xfId="28" xr:uid="{00000000-0005-0000-0000-0000B3000000}"/>
    <cellStyle name="Normal 10 2" xfId="103" xr:uid="{00000000-0005-0000-0000-0000B4000000}"/>
    <cellStyle name="Normal 10 3" xfId="104" xr:uid="{00000000-0005-0000-0000-0000B5000000}"/>
    <cellStyle name="Normal 10 4" xfId="105" xr:uid="{00000000-0005-0000-0000-0000B6000000}"/>
    <cellStyle name="Normal 10 5" xfId="106" xr:uid="{00000000-0005-0000-0000-0000B7000000}"/>
    <cellStyle name="Normal 10 6" xfId="107" xr:uid="{00000000-0005-0000-0000-0000B8000000}"/>
    <cellStyle name="Normal 10 7" xfId="282" xr:uid="{00000000-0005-0000-0000-0000B9000000}"/>
    <cellStyle name="Normal 10 8" xfId="354" xr:uid="{FF39828E-5CFA-49BA-BEC1-B4156CC3A4F2}"/>
    <cellStyle name="Normal 10 9" xfId="439" xr:uid="{B6E7018C-3237-4AAC-9839-D767D6440B10}"/>
    <cellStyle name="Normal 10_Economic Forecasts" xfId="292" xr:uid="{00000000-0005-0000-0000-0000BA000000}"/>
    <cellStyle name="Normal 11" xfId="108" xr:uid="{00000000-0005-0000-0000-0000BB000000}"/>
    <cellStyle name="Normal 11 2" xfId="3" xr:uid="{00000000-0005-0000-0000-0000BC000000}"/>
    <cellStyle name="Normal 11 2 2" xfId="22" xr:uid="{00000000-0005-0000-0000-0000BD000000}"/>
    <cellStyle name="Normal 11 2 3" xfId="173" xr:uid="{00000000-0005-0000-0000-0000BE000000}"/>
    <cellStyle name="Normal 11 2_Exogenous" xfId="109" xr:uid="{00000000-0005-0000-0000-0000BF000000}"/>
    <cellStyle name="Normal 12" xfId="110" xr:uid="{00000000-0005-0000-0000-0000C0000000}"/>
    <cellStyle name="Normal 12 2" xfId="438" xr:uid="{934EA99C-8691-4751-AEBB-B4A19E2F83DC}"/>
    <cellStyle name="Normal 13" xfId="111" xr:uid="{00000000-0005-0000-0000-0000C1000000}"/>
    <cellStyle name="Normal 14" xfId="112" xr:uid="{00000000-0005-0000-0000-0000C2000000}"/>
    <cellStyle name="Normal 15" xfId="113" xr:uid="{00000000-0005-0000-0000-0000C3000000}"/>
    <cellStyle name="Normal 16" xfId="114" xr:uid="{00000000-0005-0000-0000-0000C4000000}"/>
    <cellStyle name="Normal 17" xfId="115" xr:uid="{00000000-0005-0000-0000-0000C5000000}"/>
    <cellStyle name="Normal 18" xfId="116" xr:uid="{00000000-0005-0000-0000-0000C6000000}"/>
    <cellStyle name="Normal 19" xfId="117" xr:uid="{00000000-0005-0000-0000-0000C7000000}"/>
    <cellStyle name="Normal 2" xfId="4" xr:uid="{00000000-0005-0000-0000-0000C8000000}"/>
    <cellStyle name="Normal 2 10" xfId="118" xr:uid="{00000000-0005-0000-0000-0000C9000000}"/>
    <cellStyle name="Normal 2 10 2" xfId="350" xr:uid="{D318D4A2-CFC4-46A3-892B-24FA6C9F0670}"/>
    <cellStyle name="Normal 2 11" xfId="163" xr:uid="{00000000-0005-0000-0000-0000CA000000}"/>
    <cellStyle name="Normal 2 12" xfId="174" xr:uid="{00000000-0005-0000-0000-0000CB000000}"/>
    <cellStyle name="Normal 2 13" xfId="546" xr:uid="{7EC546E5-9EB4-4ABD-A34E-22299F832F95}"/>
    <cellStyle name="Normal 2 2" xfId="7" xr:uid="{00000000-0005-0000-0000-0000CC000000}"/>
    <cellStyle name="Normal 2 2 2" xfId="119" xr:uid="{00000000-0005-0000-0000-0000CD000000}"/>
    <cellStyle name="Normal 2 2 2 2" xfId="346" xr:uid="{1E29D365-4263-49B5-A648-447A14623473}"/>
    <cellStyle name="Normal 2 2 2 3" xfId="465" xr:uid="{FB49A270-995D-42D1-9F5F-0B5441D63EEE}"/>
    <cellStyle name="Normal 2 2 2 4" xfId="437" xr:uid="{1FA0DABF-CA61-468F-829F-B3D22B39C66A}"/>
    <cellStyle name="Normal 2 2 3" xfId="175" xr:uid="{00000000-0005-0000-0000-0000CE000000}"/>
    <cellStyle name="Normal 2 2 3 2" xfId="435" xr:uid="{12D17632-DAEF-4F58-96FE-6488F899C4B3}"/>
    <cellStyle name="Normal 2 2 3 3" xfId="436" xr:uid="{85AF7F7D-A386-45E1-B69F-377727638EDE}"/>
    <cellStyle name="Normal 2 2 4" xfId="434" xr:uid="{28DF54A6-46DD-4370-8130-D78DE9083FA9}"/>
    <cellStyle name="Normal 2 2 4 2" xfId="433" xr:uid="{39CEBC24-1F36-448F-BEF3-3D10C51928A0}"/>
    <cellStyle name="Normal 2 2 5" xfId="432" xr:uid="{AD3FDEF1-C8D6-4A4E-9B24-207CD4EAE662}"/>
    <cellStyle name="Normal 2 2 5 2" xfId="431" xr:uid="{35C35E1F-0090-4890-A0B6-C2F891F4DD6F}"/>
    <cellStyle name="Normal 2 2 6" xfId="430" xr:uid="{3DA6CDA2-7665-4305-903F-40E4FFA80095}"/>
    <cellStyle name="Normal 2 2 7" xfId="333" xr:uid="{0139CC2E-57C5-40ED-A8D8-BFA1D061ED85}"/>
    <cellStyle name="Normal 2 2 8" xfId="332" xr:uid="{07DBDA8E-B921-4A49-97E5-3E66A626F15A}"/>
    <cellStyle name="Normal 2 2_Economic Forecasts" xfId="268" xr:uid="{00000000-0005-0000-0000-0000CF000000}"/>
    <cellStyle name="Normal 2 3" xfId="11" xr:uid="{00000000-0005-0000-0000-0000D0000000}"/>
    <cellStyle name="Normal 2 3 2" xfId="176" xr:uid="{00000000-0005-0000-0000-0000D1000000}"/>
    <cellStyle name="Normal 2 3 2 2" xfId="429" xr:uid="{8AE7904D-9F95-4BE6-9088-C7AB9F5D4753}"/>
    <cellStyle name="Normal 2 3 2 3" xfId="428" xr:uid="{43391918-CA51-4BDD-B49D-A10A949E49E8}"/>
    <cellStyle name="Normal 2 3 3" xfId="273" xr:uid="{00000000-0005-0000-0000-0000D2000000}"/>
    <cellStyle name="Normal 2 3 3 2" xfId="427" xr:uid="{C983B587-54D6-456D-8594-683471883A4E}"/>
    <cellStyle name="Normal 2 3 4" xfId="426" xr:uid="{778B3DB8-3AA3-4E33-98EE-A8F501C3E776}"/>
    <cellStyle name="Normal 2 3 5" xfId="425" xr:uid="{39FC2550-A181-4502-948E-725680787005}"/>
    <cellStyle name="Normal 2 3_Economic Forecasts" xfId="261" xr:uid="{00000000-0005-0000-0000-0000D3000000}"/>
    <cellStyle name="Normal 2 4" xfId="120" xr:uid="{00000000-0005-0000-0000-0000D4000000}"/>
    <cellStyle name="Normal 2 4 2" xfId="342" xr:uid="{5DE1CE37-87F0-43BD-B086-323877968915}"/>
    <cellStyle name="Normal 2 5" xfId="121" xr:uid="{00000000-0005-0000-0000-0000D5000000}"/>
    <cellStyle name="Normal 2 5 2" xfId="340" xr:uid="{E00305FC-8F6C-47E1-BBD4-BB8BF3E17341}"/>
    <cellStyle name="Normal 2 5 3" xfId="341" xr:uid="{E4D400BE-A38F-42F6-BE41-E4387C8DBE42}"/>
    <cellStyle name="Normal 2 6" xfId="122" xr:uid="{00000000-0005-0000-0000-0000D6000000}"/>
    <cellStyle name="Normal 2 6 2" xfId="424" xr:uid="{B0C7BE0C-EFE5-458D-BE6D-4F5F6EECAB5E}"/>
    <cellStyle name="Normal 2 6 3" xfId="339" xr:uid="{40F0BF0E-2AF4-45B8-A8ED-CB8F0E2E2E26}"/>
    <cellStyle name="Normal 2 7" xfId="123" xr:uid="{00000000-0005-0000-0000-0000D7000000}"/>
    <cellStyle name="Normal 2 7 2" xfId="423" xr:uid="{D1CD90A7-B713-4C7B-8F72-F14F6B22170F}"/>
    <cellStyle name="Normal 2 7 3" xfId="479" xr:uid="{469C56DF-B69F-4846-ADA6-E6567A2AE6E0}"/>
    <cellStyle name="Normal 2 8" xfId="124" xr:uid="{00000000-0005-0000-0000-0000D8000000}"/>
    <cellStyle name="Normal 2 8 2" xfId="486" xr:uid="{7D4E9B3F-F384-4900-90B3-29D50146870D}"/>
    <cellStyle name="Normal 2 9" xfId="125" xr:uid="{00000000-0005-0000-0000-0000D9000000}"/>
    <cellStyle name="Normal 2 9 2" xfId="505" xr:uid="{DF407656-0F35-4BE0-9102-6591EB8F6FC5}"/>
    <cellStyle name="Normal 2_Defaults" xfId="126" xr:uid="{00000000-0005-0000-0000-0000DA000000}"/>
    <cellStyle name="Normal 20" xfId="165" xr:uid="{00000000-0005-0000-0000-0000DB000000}"/>
    <cellStyle name="Normal 21" xfId="166" xr:uid="{00000000-0005-0000-0000-0000DC000000}"/>
    <cellStyle name="Normal 22" xfId="189" xr:uid="{00000000-0005-0000-0000-0000DD000000}"/>
    <cellStyle name="Normal 23" xfId="192" xr:uid="{00000000-0005-0000-0000-0000DE000000}"/>
    <cellStyle name="Normal 24" xfId="233" xr:uid="{00000000-0005-0000-0000-0000DF000000}"/>
    <cellStyle name="Normal 24 2" xfId="484" xr:uid="{C6D99C87-C0E7-46F4-BC50-3F2D2B4DFEA6}"/>
    <cellStyle name="Normal 25" xfId="308" xr:uid="{00000000-0005-0000-0000-0000E0000000}"/>
    <cellStyle name="Normal 26" xfId="264" xr:uid="{00000000-0005-0000-0000-0000E1000000}"/>
    <cellStyle name="Normal 27" xfId="309" xr:uid="{00000000-0005-0000-0000-0000E2000000}"/>
    <cellStyle name="Normal 28" xfId="310" xr:uid="{00000000-0005-0000-0000-0000E3000000}"/>
    <cellStyle name="Normal 29" xfId="311" xr:uid="{00000000-0005-0000-0000-0000E4000000}"/>
    <cellStyle name="Normal 3" xfId="10" xr:uid="{00000000-0005-0000-0000-0000E5000000}"/>
    <cellStyle name="Normal 3 2" xfId="25" xr:uid="{00000000-0005-0000-0000-0000E6000000}"/>
    <cellStyle name="Normal 3 2 2" xfId="177" xr:uid="{00000000-0005-0000-0000-0000E7000000}"/>
    <cellStyle name="Normal 3 2 2 2" xfId="422" xr:uid="{28569E65-4061-43F4-96F1-CA724126C9CD}"/>
    <cellStyle name="Normal 3 2 2 3" xfId="463" xr:uid="{F46FEF82-CE23-4656-9561-F51BAFFB4342}"/>
    <cellStyle name="Normal 3 2 3" xfId="515" xr:uid="{6DEFD562-3881-4901-81CE-DE34308A7DD7}"/>
    <cellStyle name="Normal 3 2 4" xfId="507" xr:uid="{E850E4DA-2374-4008-9514-6DDF5CAFD7C2}"/>
    <cellStyle name="Normal 3 2 5" xfId="462" xr:uid="{880D57FA-7E1D-4B63-83BF-715426819FA1}"/>
    <cellStyle name="Normal 3 2 6" xfId="496" xr:uid="{91EFF849-7885-40B3-B344-D8010309ECAB}"/>
    <cellStyle name="Normal 3 2 7" xfId="547" xr:uid="{D281EC75-6880-42F8-AD10-96ADF0D08052}"/>
    <cellStyle name="Normal 3 3" xfId="127" xr:uid="{00000000-0005-0000-0000-0000E8000000}"/>
    <cellStyle name="Normal 3 3 2" xfId="502" xr:uid="{4AB44B0E-7E24-4BA7-A0D4-2E50902713DA}"/>
    <cellStyle name="Normal 3 3 3" xfId="461" xr:uid="{A6A400EB-3D43-461F-8289-968637EC767A}"/>
    <cellStyle name="Normal 3 3 4" xfId="516" xr:uid="{B68F2825-23F9-4DC7-AA92-568593BF4D15}"/>
    <cellStyle name="Normal 3 4" xfId="162" xr:uid="{00000000-0005-0000-0000-0000E9000000}"/>
    <cellStyle name="Normal 3 4 2" xfId="492" xr:uid="{346EB6B2-BCE3-4860-BCB9-B8E289A6D0FD}"/>
    <cellStyle name="Normal 3 4 3" xfId="501" xr:uid="{7A338531-E12F-4F90-9DED-4BBCAB4F6C66}"/>
    <cellStyle name="Normal 3 5" xfId="164" xr:uid="{00000000-0005-0000-0000-0000EA000000}"/>
    <cellStyle name="Normal 3 5 2" xfId="347" xr:uid="{134F674B-DDBC-4A67-8A14-FB54D1E5ADE2}"/>
    <cellStyle name="Normal 3 5 3" xfId="460" xr:uid="{62C39D13-35EB-4192-94C8-243CCC92A521}"/>
    <cellStyle name="Normal 3 6" xfId="319" xr:uid="{51D53480-B791-43AA-A648-C4B0BD493EF0}"/>
    <cellStyle name="Normal 3 6 2" xfId="488" xr:uid="{AC4876DB-3002-4F55-8B51-C129F2A11E80}"/>
    <cellStyle name="Normal 3 7" xfId="459" xr:uid="{33587166-D6C4-47DF-B2BD-78564D5C6532}"/>
    <cellStyle name="Normal 3 8" xfId="345" xr:uid="{EF739DDE-9025-43A8-923E-28D62D4DB928}"/>
    <cellStyle name="Normal 3 9" xfId="421" xr:uid="{A3309704-2864-4FB4-B496-96DD6823DB00}"/>
    <cellStyle name="Normal 3_Economic Forecasts" xfId="234" xr:uid="{00000000-0005-0000-0000-0000EB000000}"/>
    <cellStyle name="Normal 30" xfId="312" xr:uid="{B63882F5-CFC7-417A-B89B-524613E7D36E}"/>
    <cellStyle name="Normal 31" xfId="317" xr:uid="{E7AE639E-A415-45B9-83A9-A1A4F1679034}"/>
    <cellStyle name="Normal 32" xfId="316" xr:uid="{38482B63-E120-4E89-A5F3-C2740D2FC41B}"/>
    <cellStyle name="Normal 32 2" xfId="520" xr:uid="{8D9DCFD8-FD66-42AD-B024-C4741BEE43C5}"/>
    <cellStyle name="Normal 32 2 3" xfId="548" xr:uid="{FF46ECDC-8493-4303-A629-8D38999FCC63}"/>
    <cellStyle name="Normal 33" xfId="322" xr:uid="{CDAFE959-C248-4AAB-B979-FF3E5A3D3AFD}"/>
    <cellStyle name="Normal 34" xfId="324" xr:uid="{52C8871A-8535-4CAB-A8C7-002776E8A557}"/>
    <cellStyle name="Normal 35" xfId="265" xr:uid="{00000000-0005-0000-0000-0000EC000000}"/>
    <cellStyle name="Normal 36" xfId="326" xr:uid="{2B1E4586-6DA4-4758-A4E3-6F10327E0192}"/>
    <cellStyle name="Normal 37" xfId="527" xr:uid="{E0546F5D-FCF3-4382-863E-B1DA7016727D}"/>
    <cellStyle name="Normal 38" xfId="525" xr:uid="{0277D90F-95C6-49E3-8339-9B95D77587C4}"/>
    <cellStyle name="Normal 39" xfId="526" xr:uid="{5BAB407C-00CB-4845-BFC5-3D36884865BD}"/>
    <cellStyle name="Normal 4" xfId="17" xr:uid="{00000000-0005-0000-0000-0000ED000000}"/>
    <cellStyle name="Normal 4 10" xfId="420" xr:uid="{397D269A-11FF-4D59-9BA7-D01F1C7E55FB}"/>
    <cellStyle name="Normal 4 10 2" xfId="343" xr:uid="{1DF77E0E-28B7-4D47-9EFD-F89D01140B93}"/>
    <cellStyle name="Normal 4 11" xfId="499" xr:uid="{0084B102-17F3-466F-9426-CBAF05C15B25}"/>
    <cellStyle name="Normal 4 12" xfId="549" xr:uid="{0BF0E004-C657-4F46-9845-D7451E5F74FD}"/>
    <cellStyle name="Normal 4 13" xfId="564" xr:uid="{46AD79F9-0AD7-44DA-BC6A-D8358A013C34}"/>
    <cellStyle name="Normal 4 2" xfId="128" xr:uid="{00000000-0005-0000-0000-0000EE000000}"/>
    <cellStyle name="Normal 4 2 2" xfId="445" xr:uid="{9062CEA7-9750-44E7-AC5A-BE88AA2A6B11}"/>
    <cellStyle name="Normal 4 2 2 2" xfId="443" xr:uid="{90E75DE2-46D0-493C-BDE3-61E60822AF91}"/>
    <cellStyle name="Normal 4 2 3" xfId="419" xr:uid="{CDE47135-DA6F-406F-B984-0246EA130767}"/>
    <cellStyle name="Normal 4 2 4" xfId="458" xr:uid="{C46FE297-FC54-47E0-8700-0A18B958CF74}"/>
    <cellStyle name="Normal 4 2 5" xfId="351" xr:uid="{05D488C2-C1CB-49D5-8A4B-47F7D9F13472}"/>
    <cellStyle name="Normal 4 2 6" xfId="337" xr:uid="{DB5231D6-7734-4A20-9D8F-01E1BB72FAD7}"/>
    <cellStyle name="Normal 4 2 7" xfId="485" xr:uid="{A038A429-6911-4D03-BDDD-D648CC90D97C}"/>
    <cellStyle name="Normal 4 3" xfId="237" xr:uid="{00000000-0005-0000-0000-0000EF000000}"/>
    <cellStyle name="Normal 4 3 2" xfId="519" xr:uid="{CC6BDD8A-FDE7-4588-AF78-6B068DB62A2A}"/>
    <cellStyle name="Normal 4 3 3" xfId="518" xr:uid="{CE8BFB24-AC38-4176-A119-2458F70A0ED5}"/>
    <cellStyle name="Normal 4 3 4" xfId="498" xr:uid="{EF312F05-2F61-45BE-A09A-86FA8CC283B8}"/>
    <cellStyle name="Normal 4 4" xfId="517" xr:uid="{DCB9B90C-A00B-4F0D-A6D5-836F9999A944}"/>
    <cellStyle name="Normal 4 4 2" xfId="471" xr:uid="{219BA742-C3AF-4134-8156-6DF80D49E870}"/>
    <cellStyle name="Normal 4 5" xfId="468" xr:uid="{195EFF61-6E4A-480E-84A9-D7FE7E7E6D74}"/>
    <cellStyle name="Normal 4 5 2" xfId="447" xr:uid="{E934AABD-48DB-4697-ADDE-5622695F50DF}"/>
    <cellStyle name="Normal 4 6" xfId="446" xr:uid="{9229FDBC-BAB1-43C9-8E00-63282A8A8D68}"/>
    <cellStyle name="Normal 4 6 2" xfId="418" xr:uid="{7C37E46B-FF19-44BA-83AB-5610A095CA9E}"/>
    <cellStyle name="Normal 4 7" xfId="417" xr:uid="{408442B7-44C0-4476-87F6-CD76D8F6D903}"/>
    <cellStyle name="Normal 4 8" xfId="416" xr:uid="{6C2E7757-53AF-4FDC-8726-2327E2B34E50}"/>
    <cellStyle name="Normal 4 9" xfId="415" xr:uid="{6CE0C64A-0448-43CC-BDA0-0540C67917D1}"/>
    <cellStyle name="Normal 4_Defaults" xfId="129" xr:uid="{00000000-0005-0000-0000-0000F0000000}"/>
    <cellStyle name="Normal 40" xfId="521" xr:uid="{E6FC7F8A-031E-4595-85D9-559C51877E98}"/>
    <cellStyle name="Normal 41" xfId="556" xr:uid="{4B310C73-3F38-4463-97C3-B9B5343281B3}"/>
    <cellStyle name="Normal 5" xfId="19" xr:uid="{00000000-0005-0000-0000-0000F1000000}"/>
    <cellStyle name="Normal 5 10" xfId="414" xr:uid="{97D2E9B1-5021-4C8A-83CA-2D451C944559}"/>
    <cellStyle name="Normal 5 11" xfId="550" xr:uid="{0F088C52-B7A7-4B94-B83E-B392410D835F}"/>
    <cellStyle name="Normal 5 2" xfId="178" xr:uid="{00000000-0005-0000-0000-0000F2000000}"/>
    <cellStyle name="Normal 5 2 2" xfId="412" xr:uid="{DBA8AE03-DD1B-4562-93E3-B219E6AC2EE0}"/>
    <cellStyle name="Normal 5 2 2 2" xfId="495" xr:uid="{45C021AF-2D58-4FDD-A0F2-43FC745FC39A}"/>
    <cellStyle name="Normal 5 2 3" xfId="504" xr:uid="{6C13B164-AD01-43C6-B922-EB1F4E2EF000}"/>
    <cellStyle name="Normal 5 2 4" xfId="457" xr:uid="{DAF399C1-C94F-4FC1-9F57-C5AF0B480F9B}"/>
    <cellStyle name="Normal 5 2 5" xfId="413" xr:uid="{86BB3F8F-113F-41DE-839A-F2568A49AB93}"/>
    <cellStyle name="Normal 5 3" xfId="240" xr:uid="{00000000-0005-0000-0000-0000F3000000}"/>
    <cellStyle name="Normal 5 3 2" xfId="500" xr:uid="{7606E650-E017-4BF7-A072-92A069BCC0EB}"/>
    <cellStyle name="Normal 5 3 3" xfId="456" xr:uid="{327FFF3D-57AC-49A9-B561-BFC4B85CB2C8}"/>
    <cellStyle name="Normal 5 3 4" xfId="338" xr:uid="{2FBFAF7A-81CB-4B55-BFCE-74833538B0BC}"/>
    <cellStyle name="Normal 5 4" xfId="411" xr:uid="{454C45F9-FD3F-49BE-B40B-58A302600EB1}"/>
    <cellStyle name="Normal 5 4 2" xfId="334" xr:uid="{84C6E91D-792B-45DD-9B83-8A95828A9451}"/>
    <cellStyle name="Normal 5 5" xfId="455" xr:uid="{DFB0F79E-0A8B-4713-84CE-FE21AE43AF5F}"/>
    <cellStyle name="Normal 5 5 2" xfId="444" xr:uid="{94E333A1-B0F6-4B33-A8E4-BF96DCC7E59C}"/>
    <cellStyle name="Normal 5 6" xfId="410" xr:uid="{89E38876-90AD-42E6-8AC5-F4C978A9BE3A}"/>
    <cellStyle name="Normal 5 6 2" xfId="331" xr:uid="{E5679269-DAC5-4F01-A400-5EF55172964E}"/>
    <cellStyle name="Normal 5 7" xfId="409" xr:uid="{722419D3-B4E5-497A-BCAA-5CF6FC986760}"/>
    <cellStyle name="Normal 5 8" xfId="408" xr:uid="{181494DD-24C5-4A70-BAFC-C4AAAE5F6B2B}"/>
    <cellStyle name="Normal 5 9" xfId="407" xr:uid="{BA6F3A36-AA38-41CF-8882-03F151869398}"/>
    <cellStyle name="Normal 5_Economic Forecasts" xfId="236" xr:uid="{00000000-0005-0000-0000-0000F4000000}"/>
    <cellStyle name="Normal 6" xfId="21" xr:uid="{00000000-0005-0000-0000-0000F5000000}"/>
    <cellStyle name="Normal 6 2" xfId="179" xr:uid="{00000000-0005-0000-0000-0000F6000000}"/>
    <cellStyle name="Normal 6 3" xfId="244" xr:uid="{00000000-0005-0000-0000-0000F7000000}"/>
    <cellStyle name="Normal 6 4" xfId="406" xr:uid="{DCE93B38-CAED-4D9A-8141-C9BE0E233F95}"/>
    <cellStyle name="Normal 6 5" xfId="551" xr:uid="{1CCA4194-D7E2-4818-9DA3-7D4F76131098}"/>
    <cellStyle name="Normal 6_Economic Forecasts" xfId="270" xr:uid="{00000000-0005-0000-0000-0000F8000000}"/>
    <cellStyle name="Normal 7" xfId="23" xr:uid="{00000000-0005-0000-0000-0000F9000000}"/>
    <cellStyle name="Normal 7 2" xfId="180" xr:uid="{00000000-0005-0000-0000-0000FA000000}"/>
    <cellStyle name="Normal 7 2 2" xfId="403" xr:uid="{836D7A75-27D2-4679-BEF8-DC592AD2FE0E}"/>
    <cellStyle name="Normal 7 2 3" xfId="402" xr:uid="{B9445279-FA61-4841-A2D0-4CEDF6E1109E}"/>
    <cellStyle name="Normal 7 2 4" xfId="404" xr:uid="{09B40633-898A-4D5C-BAF3-7DF3ECEF28F5}"/>
    <cellStyle name="Normal 7 3" xfId="271" xr:uid="{00000000-0005-0000-0000-0000FB000000}"/>
    <cellStyle name="Normal 7 3 2" xfId="454" xr:uid="{8288469D-4F5B-4D5E-A5BC-DB22527D3948}"/>
    <cellStyle name="Normal 7 3 3" xfId="401" xr:uid="{AB8A0212-6D92-48AE-88DF-E45989CCC4D3}"/>
    <cellStyle name="Normal 7 4" xfId="349" xr:uid="{D9C00262-B065-4742-B31A-94A083C73E4C}"/>
    <cellStyle name="Normal 7 4 2" xfId="330" xr:uid="{B88B648F-5EB2-43D0-8A48-903EB14A9C73}"/>
    <cellStyle name="Normal 7 4 3" xfId="348" xr:uid="{7864B3F6-4BA7-4EFF-B910-7C6171A4F529}"/>
    <cellStyle name="Normal 7 5" xfId="400" xr:uid="{C8CFBCCC-285B-4214-8889-BBF41CD5B728}"/>
    <cellStyle name="Normal 7 5 2" xfId="510" xr:uid="{A84D5239-56BD-494B-8ABF-0B2703B10DFF}"/>
    <cellStyle name="Normal 7 6" xfId="506" xr:uid="{CC5F0D07-3EF4-47D3-B448-7A580FA3AA3B}"/>
    <cellStyle name="Normal 7 7" xfId="399" xr:uid="{0A28DE16-F4E5-407D-95FE-527E37220E32}"/>
    <cellStyle name="Normal 7 8" xfId="398" xr:uid="{2B2E91CF-D82A-423B-9408-B472FFC2DA5E}"/>
    <cellStyle name="Normal 7 9" xfId="405" xr:uid="{9BCFEBC6-D6DB-4874-9C55-E5072842F37C}"/>
    <cellStyle name="Normal 7_Economic Forecasts" xfId="307" xr:uid="{00000000-0005-0000-0000-0000FC000000}"/>
    <cellStyle name="Normal 8" xfId="26" xr:uid="{00000000-0005-0000-0000-0000FD000000}"/>
    <cellStyle name="Normal 8 2" xfId="181" xr:uid="{00000000-0005-0000-0000-0000FE000000}"/>
    <cellStyle name="Normal 8 2 2" xfId="395" xr:uid="{2766E1A3-6437-4D3C-B773-A9DCD496FE16}"/>
    <cellStyle name="Normal 8 2 3" xfId="396" xr:uid="{7C72A3BB-F627-4118-8ABC-3C6E6E5B6B86}"/>
    <cellStyle name="Normal 8 3" xfId="289" xr:uid="{00000000-0005-0000-0000-0000FF000000}"/>
    <cellStyle name="Normal 8 3 2" xfId="394" xr:uid="{D5F1DCF7-FFEC-457C-A460-F5B81CB11D92}"/>
    <cellStyle name="Normal 8 3 3" xfId="328" xr:uid="{9991881B-43D4-4142-B3E7-116A46417EA2}"/>
    <cellStyle name="Normal 8 4" xfId="352" xr:uid="{86F337B5-BD91-4732-AD15-86DFF78DD31C}"/>
    <cellStyle name="Normal 8 4 2" xfId="393" xr:uid="{90F73767-88F9-4961-A4A4-1184B8566DB7}"/>
    <cellStyle name="Normal 8 4 3" xfId="477" xr:uid="{295CEEE1-8E2A-48C3-9AAF-0C7F52B02598}"/>
    <cellStyle name="Normal 8 5" xfId="392" xr:uid="{B0BE64F3-F062-413B-A870-35D779CD1F01}"/>
    <cellStyle name="Normal 8 6" xfId="397" xr:uid="{B8F4C42F-8AFB-4288-B7B3-A30EA757A79B}"/>
    <cellStyle name="Normal 8_Economic Forecasts" xfId="306" xr:uid="{00000000-0005-0000-0000-000000010000}"/>
    <cellStyle name="Normal 9" xfId="27" xr:uid="{00000000-0005-0000-0000-000001010000}"/>
    <cellStyle name="Normal 9 2" xfId="130" xr:uid="{00000000-0005-0000-0000-000002010000}"/>
    <cellStyle name="Normal 9 3" xfId="182" xr:uid="{00000000-0005-0000-0000-000003010000}"/>
    <cellStyle name="Normal 9 4" xfId="353" xr:uid="{C4EEB0AA-E726-4566-A76F-DBC1B4B2B512}"/>
    <cellStyle name="Normal 9 5" xfId="481" xr:uid="{DE38E6B1-8AB5-4BC3-AD92-65BB813226A9}"/>
    <cellStyle name="Normal 9_Economic Forecasts" xfId="262" xr:uid="{00000000-0005-0000-0000-000004010000}"/>
    <cellStyle name="Note 2" xfId="131" xr:uid="{00000000-0005-0000-0000-000005010000}"/>
    <cellStyle name="Note 2 2" xfId="275" xr:uid="{00000000-0005-0000-0000-000006010000}"/>
    <cellStyle name="Note 2 3" xfId="238" xr:uid="{00000000-0005-0000-0000-000007010000}"/>
    <cellStyle name="Note 2_Economic Forecasts" xfId="235" xr:uid="{00000000-0005-0000-0000-000008010000}"/>
    <cellStyle name="Note 3" xfId="132" xr:uid="{00000000-0005-0000-0000-000009010000}"/>
    <cellStyle name="Note 3 2" xfId="552" xr:uid="{250B39F9-E045-4D04-A065-EB6BFE0BB588}"/>
    <cellStyle name="Output" xfId="202" builtinId="21" customBuiltin="1"/>
    <cellStyle name="Output 2" xfId="133" xr:uid="{00000000-0005-0000-0000-00000B010000}"/>
    <cellStyle name="Output Amounts" xfId="12" xr:uid="{00000000-0005-0000-0000-00000C010000}"/>
    <cellStyle name="Output Column Headings" xfId="13" xr:uid="{00000000-0005-0000-0000-00000D010000}"/>
    <cellStyle name="Output Line Items" xfId="14" xr:uid="{00000000-0005-0000-0000-00000E010000}"/>
    <cellStyle name="Output Report Heading" xfId="15" xr:uid="{00000000-0005-0000-0000-00000F010000}"/>
    <cellStyle name="Output Report Title" xfId="16" xr:uid="{00000000-0005-0000-0000-000010010000}"/>
    <cellStyle name="Parameter" xfId="553" xr:uid="{2316DF6F-7049-43E7-96FC-A035EC61B235}"/>
    <cellStyle name="Parameter#" xfId="134" xr:uid="{00000000-0005-0000-0000-000011010000}"/>
    <cellStyle name="Parameter$#" xfId="135" xr:uid="{00000000-0005-0000-0000-000012010000}"/>
    <cellStyle name="Parameter$#.##" xfId="136" xr:uid="{00000000-0005-0000-0000-000013010000}"/>
    <cellStyle name="Parameter$m" xfId="137" xr:uid="{00000000-0005-0000-0000-000014010000}"/>
    <cellStyle name="Parameter%" xfId="138" xr:uid="{00000000-0005-0000-0000-000015010000}"/>
    <cellStyle name="ParameterDate" xfId="139" xr:uid="{00000000-0005-0000-0000-000016010000}"/>
    <cellStyle name="ParameterText" xfId="140" xr:uid="{00000000-0005-0000-0000-000017010000}"/>
    <cellStyle name="Percent" xfId="5" builtinId="5"/>
    <cellStyle name="Percent 2" xfId="6" xr:uid="{00000000-0005-0000-0000-000019010000}"/>
    <cellStyle name="Percent 2 10" xfId="554" xr:uid="{B3ED3FA9-174F-46D7-8E86-CEAF468357C4}"/>
    <cellStyle name="Percent 2 2" xfId="141" xr:uid="{00000000-0005-0000-0000-00001A010000}"/>
    <cellStyle name="Percent 2 2 2" xfId="390" xr:uid="{72EBAE91-4832-49E1-8A09-6C0B1F0F1172}"/>
    <cellStyle name="Percent 2 2 2 2" xfId="389" xr:uid="{5F6FFDC6-9A12-47C6-A762-6B7C4448BAD0}"/>
    <cellStyle name="Percent 2 2 3" xfId="388" xr:uid="{81F17B0B-AD4A-42CC-8E9A-8BB4D2B98949}"/>
    <cellStyle name="Percent 2 2 4" xfId="387" xr:uid="{0EEE912E-EF0D-468D-86DB-D58C4BCEDBE3}"/>
    <cellStyle name="Percent 2 2 5" xfId="391" xr:uid="{C9335480-CA03-4D8F-88E6-A47B14122195}"/>
    <cellStyle name="Percent 2 2 6" xfId="555" xr:uid="{BDF4DF8C-0D85-4F9A-8A5D-475FC7EA6D6D}"/>
    <cellStyle name="Percent 2 3" xfId="142" xr:uid="{00000000-0005-0000-0000-00001B010000}"/>
    <cellStyle name="Percent 2 3 2" xfId="497" xr:uid="{518DC805-0689-4CF3-BDAC-8155CD19500E}"/>
    <cellStyle name="Percent 2 3 3" xfId="385" xr:uid="{AF7AF66B-F818-4FAF-9321-FCBE551728B6}"/>
    <cellStyle name="Percent 2 3 4" xfId="386" xr:uid="{4643AE01-6525-46BA-9D83-209A302B4E2B}"/>
    <cellStyle name="Percent 2 4" xfId="143" xr:uid="{00000000-0005-0000-0000-00001C010000}"/>
    <cellStyle name="Percent 2 4 2" xfId="383" xr:uid="{F545C9BE-A0A3-4FC5-A13A-B6EE54265719}"/>
    <cellStyle name="Percent 2 4 3" xfId="384" xr:uid="{2B298A8C-441C-403D-9F6A-F5685ABE751B}"/>
    <cellStyle name="Percent 2 5" xfId="144" xr:uid="{00000000-0005-0000-0000-00001D010000}"/>
    <cellStyle name="Percent 2 5 2" xfId="467" xr:uid="{A7FD0788-69B5-478A-9E02-6CC83D01DDC5}"/>
    <cellStyle name="Percent 2 5 3" xfId="478" xr:uid="{CA1D55BA-CD31-47B8-B3CD-730F10206DD9}"/>
    <cellStyle name="Percent 2 6" xfId="145" xr:uid="{00000000-0005-0000-0000-00001E010000}"/>
    <cellStyle name="Percent 2 6 2" xfId="382" xr:uid="{865CB039-6CAA-4E79-83BD-B18C9D96BB85}"/>
    <cellStyle name="Percent 2 6 3" xfId="450" xr:uid="{B7082DBD-33A2-433A-869E-C1D9F7E2DADB}"/>
    <cellStyle name="Percent 2 7" xfId="146" xr:uid="{00000000-0005-0000-0000-00001F010000}"/>
    <cellStyle name="Percent 2 7 2" xfId="381" xr:uid="{000B0AB2-46BF-4946-9110-9163704E325B}"/>
    <cellStyle name="Percent 2 8" xfId="147" xr:uid="{00000000-0005-0000-0000-000020010000}"/>
    <cellStyle name="Percent 2 8 2" xfId="380" xr:uid="{B0C63CE1-F064-4E71-8F70-11844A367782}"/>
    <cellStyle name="Percent 2 9" xfId="184" xr:uid="{00000000-0005-0000-0000-000021010000}"/>
    <cellStyle name="Percent 2 9 2" xfId="511" xr:uid="{71AECC1A-B91F-4E29-8B65-33D8A27B852E}"/>
    <cellStyle name="Percent 3" xfId="20" xr:uid="{00000000-0005-0000-0000-000022010000}"/>
    <cellStyle name="Percent 3 2" xfId="148" xr:uid="{00000000-0005-0000-0000-000023010000}"/>
    <cellStyle name="Percent 3 2 2" xfId="512" xr:uid="{91A6FAA7-94F1-4040-8FA6-E5797D0D6BC6}"/>
    <cellStyle name="Percent 3 2 2 2" xfId="490" xr:uid="{4EC0CD28-F733-4E81-A18D-95245B33ABC9}"/>
    <cellStyle name="Percent 3 2 3" xfId="453" xr:uid="{E3E9B80A-213B-40EC-B005-678E71045342}"/>
    <cellStyle name="Percent 3 2 4" xfId="379" xr:uid="{1C4D7BDD-AF0D-4A90-BABD-F82623CB0F58}"/>
    <cellStyle name="Percent 3 3" xfId="149" xr:uid="{00000000-0005-0000-0000-000024010000}"/>
    <cellStyle name="Percent 3 3 2" xfId="514" xr:uid="{75460BD6-B0F5-44BC-B418-896355C28E93}"/>
    <cellStyle name="Percent 3 3 3" xfId="487" xr:uid="{EA0D8CCF-0263-41C6-8674-05C67B879DEE}"/>
    <cellStyle name="Percent 3 3 4" xfId="336" xr:uid="{1D25D2D3-DB3E-4571-BAD0-84A02F6184ED}"/>
    <cellStyle name="Percent 3 4" xfId="185" xr:uid="{00000000-0005-0000-0000-000025010000}"/>
    <cellStyle name="Percent 3 4 2" xfId="513" xr:uid="{C75BF19E-62C7-4A9A-B78F-933B3888E10C}"/>
    <cellStyle name="Percent 3 4 3" xfId="451" xr:uid="{EA8DEB05-DF80-4D95-A2D8-35FD0B17DCF7}"/>
    <cellStyle name="Percent 3 5" xfId="491" xr:uid="{EC0EADB4-4905-42FC-876F-EE008B624871}"/>
    <cellStyle name="Percent 3 5 2" xfId="452" xr:uid="{306AA62C-171E-4404-9978-ABE2BCFEF559}"/>
    <cellStyle name="Percent 3 6" xfId="329" xr:uid="{0EC876C5-39E7-497A-9BAD-4504D42CEDD8}"/>
    <cellStyle name="Percent 3 6 2" xfId="470" xr:uid="{585C1E9C-5104-4FD9-AB9D-EF90209414E0}"/>
    <cellStyle name="Percent 3 7" xfId="318" xr:uid="{80CE11D2-A5FE-4785-BF36-0AC383D73938}"/>
    <cellStyle name="Percent 3 8" xfId="378" xr:uid="{2EA2A757-7D14-4BCE-B7F5-169DAE8A1550}"/>
    <cellStyle name="Percent 3 9" xfId="475" xr:uid="{1EA7FEAB-10CA-4795-A715-E0C58846628D}"/>
    <cellStyle name="Percent 4" xfId="24" xr:uid="{00000000-0005-0000-0000-000026010000}"/>
    <cellStyle name="Percent 4 2" xfId="186" xr:uid="{00000000-0005-0000-0000-000027010000}"/>
    <cellStyle name="Percent 4 2 2" xfId="377" xr:uid="{88BBBFB6-897D-4274-8523-D055CA81F26F}"/>
    <cellStyle name="Percent 4 2 2 2" xfId="474" xr:uid="{8840EBBA-3930-4ABD-8697-AE5A8B695C9B}"/>
    <cellStyle name="Percent 4 2 3" xfId="376" xr:uid="{FF8DA4C5-5E22-4678-827E-F96C962B2E56}"/>
    <cellStyle name="Percent 4 2 4" xfId="473" xr:uid="{366FBBBF-1A53-4996-A39B-8A600E3E9E9C}"/>
    <cellStyle name="Percent 4 3" xfId="375" xr:uid="{D5015C1D-3F1F-4EC7-945E-94FC50197EA1}"/>
    <cellStyle name="Percent 4 3 2" xfId="374" xr:uid="{021E1154-CDEE-4650-B293-2237E50BE0CC}"/>
    <cellStyle name="Percent 4 3 3" xfId="373" xr:uid="{77B66088-E9C5-454E-B53A-885C5631E35E}"/>
    <cellStyle name="Percent 4 4" xfId="372" xr:uid="{7FEFA1FE-EF46-4D81-B057-C5C7772C1E03}"/>
    <cellStyle name="Percent 4 4 2" xfId="476" xr:uid="{20FC4FB4-25BA-40C5-AC41-75CF4710005F}"/>
    <cellStyle name="Percent 4 5" xfId="371" xr:uid="{223F40C6-6AC3-4D64-B4DF-0A2C1B0BE6DC}"/>
    <cellStyle name="Percent 4 5 2" xfId="370" xr:uid="{65BD8B47-51F2-4723-A6B6-F929F8EF701C}"/>
    <cellStyle name="Percent 4 6" xfId="369" xr:uid="{5A55EA53-1AA5-4280-A9FA-FFD2689DF6A3}"/>
    <cellStyle name="Percent 4 6 2" xfId="368" xr:uid="{54F5ACF1-5CC8-44B2-9F23-ED1DCAFB0CA9}"/>
    <cellStyle name="Percent 4 7" xfId="367" xr:uid="{EBBA7D96-34A9-4437-A685-26CC407C4652}"/>
    <cellStyle name="Percent 4 8" xfId="366" xr:uid="{3F3507F1-898F-44F0-AA05-206D51673948}"/>
    <cellStyle name="Percent 4 9" xfId="494" xr:uid="{03D3EBED-1BE2-4885-A9B7-6BA6D0B174DC}"/>
    <cellStyle name="Percent 5" xfId="150" xr:uid="{00000000-0005-0000-0000-000028010000}"/>
    <cellStyle name="Percent 5 2" xfId="365" xr:uid="{85907110-59D5-4505-9CCF-FF5CD038FCD9}"/>
    <cellStyle name="Percent 5 2 2" xfId="364" xr:uid="{CD37D52E-59DF-4F77-B6DE-7EF740B53D06}"/>
    <cellStyle name="Percent 5 2 3" xfId="483" xr:uid="{622233CE-144C-4DE3-9CDC-087A6F64D4E8}"/>
    <cellStyle name="Percent 5 3" xfId="363" xr:uid="{E67BACF1-C31C-483F-B7A4-0ACCF6560C9B}"/>
    <cellStyle name="Percent 5 3 2" xfId="362" xr:uid="{A923FC99-0269-4C05-8FD9-99C1F697E4B4}"/>
    <cellStyle name="Percent 5 4" xfId="493" xr:uid="{527219ED-4916-44F9-B51D-DD6CC4CE62FB}"/>
    <cellStyle name="Percent 5 4 2" xfId="358" xr:uid="{F227CE5B-8B13-4D00-A8B4-2C89A93E07FE}"/>
    <cellStyle name="Percent 5 5" xfId="482" xr:uid="{BE6EDC0D-EBAC-4617-B50E-91DE00CF0C99}"/>
    <cellStyle name="Percent 5 5 2" xfId="357" xr:uid="{F5B67DF5-D6B0-4AAE-A38B-703E48E38964}"/>
    <cellStyle name="Percent 5 6" xfId="480" xr:uid="{9F2007B2-5441-40C9-928A-D128E53A2679}"/>
    <cellStyle name="Percent 5 7" xfId="356" xr:uid="{74A98B25-B804-456B-A91C-206B16600CAC}"/>
    <cellStyle name="Percent 5 8" xfId="355" xr:uid="{E7B1C810-6928-417E-A39C-24F2866A01B1}"/>
    <cellStyle name="Percent 6" xfId="151" xr:uid="{00000000-0005-0000-0000-000029010000}"/>
    <cellStyle name="Percent 7" xfId="152" xr:uid="{00000000-0005-0000-0000-00002A010000}"/>
    <cellStyle name="Percent 8" xfId="183" xr:uid="{00000000-0005-0000-0000-00002B010000}"/>
    <cellStyle name="Ref#" xfId="153" xr:uid="{00000000-0005-0000-0000-00002C010000}"/>
    <cellStyle name="SectionNumber" xfId="154" xr:uid="{00000000-0005-0000-0000-00002D010000}"/>
    <cellStyle name="SeparatorLine" xfId="557" xr:uid="{D662EFB8-5F85-4476-9E55-482FABE7053B}"/>
    <cellStyle name="Team Footer" xfId="155" xr:uid="{00000000-0005-0000-0000-00002E010000}"/>
    <cellStyle name="TeamFooter (no itallics)" xfId="558" xr:uid="{A9019436-DFF2-4FAB-8653-2A90FB01452D}"/>
    <cellStyle name="Title" xfId="193" builtinId="15" customBuiltin="1"/>
    <cellStyle name="Title 2" xfId="156" xr:uid="{00000000-0005-0000-0000-000030010000}"/>
    <cellStyle name="Title 3" xfId="559" xr:uid="{449BAAB0-FE41-4563-80D9-CCAEB107A633}"/>
    <cellStyle name="Title Main Header" xfId="157" xr:uid="{00000000-0005-0000-0000-000031010000}"/>
    <cellStyle name="Title Main Header 2" xfId="561" xr:uid="{8661FC34-D5AB-46DF-856D-3A9BBADB003A}"/>
    <cellStyle name="Title Main Header 3" xfId="562" xr:uid="{0CF819F2-DC9B-4AFF-82AC-2A9F6E6130E3}"/>
    <cellStyle name="Title Main Header 4" xfId="560" xr:uid="{FF38F5D6-1911-4876-9721-B2A311F020F7}"/>
    <cellStyle name="Total" xfId="208" builtinId="25" customBuiltin="1"/>
    <cellStyle name="Total 2" xfId="158" xr:uid="{00000000-0005-0000-0000-000033010000}"/>
    <cellStyle name="Total 3" xfId="563" xr:uid="{51406139-536F-45CB-8A0C-75FC58A24E63}"/>
    <cellStyle name="Type" xfId="159" xr:uid="{00000000-0005-0000-0000-000034010000}"/>
    <cellStyle name="Warning Text" xfId="206" builtinId="11" customBuiltin="1"/>
    <cellStyle name="Warning Text 2" xfId="160" xr:uid="{00000000-0005-0000-0000-000036010000}"/>
    <cellStyle name="WorkInProgress" xfId="161" xr:uid="{00000000-0005-0000-0000-000037010000}"/>
  </cellStyles>
  <dxfs count="36">
    <dxf>
      <font>
        <color theme="0"/>
      </font>
      <fill>
        <patternFill patternType="solid">
          <fgColor theme="3"/>
          <bgColor theme="3"/>
        </patternFill>
      </fill>
    </dxf>
    <dxf>
      <font>
        <color theme="0"/>
      </font>
      <fill>
        <patternFill patternType="solid">
          <fgColor theme="3"/>
          <bgColor theme="3"/>
        </patternFill>
      </fill>
    </dxf>
    <dxf>
      <font>
        <b/>
        <color theme="1"/>
      </font>
    </dxf>
    <dxf>
      <font>
        <b/>
        <color theme="1"/>
      </font>
      <fill>
        <patternFill patternType="solid">
          <fgColor theme="5" tint="0.79998168889431442"/>
          <bgColor theme="5" tint="0.79998168889431442"/>
        </patternFill>
      </fill>
    </dxf>
    <dxf>
      <font>
        <b/>
        <color theme="1"/>
      </font>
    </dxf>
    <dxf>
      <font>
        <b/>
        <color theme="1"/>
      </font>
      <fill>
        <patternFill patternType="solid">
          <fgColor theme="5" tint="0.59999389629810485"/>
          <bgColor theme="5" tint="0.59999389629810485"/>
        </patternFill>
      </fill>
    </dxf>
    <dxf>
      <font>
        <b/>
        <color theme="1"/>
      </font>
      <border>
        <left style="medium">
          <color theme="5" tint="0.59999389629810485"/>
        </left>
        <right style="medium">
          <color theme="5" tint="0.59999389629810485"/>
        </right>
        <top style="medium">
          <color theme="5" tint="0.59999389629810485"/>
        </top>
        <bottom style="medium">
          <color theme="5" tint="0.59999389629810485"/>
        </bottom>
      </border>
    </dxf>
    <dxf>
      <border>
        <left style="thin">
          <color theme="5" tint="0.39997558519241921"/>
        </left>
        <right style="thin">
          <color theme="5" tint="0.39997558519241921"/>
        </right>
      </border>
    </dxf>
    <dxf>
      <border>
        <top style="thin">
          <color theme="5" tint="0.39997558519241921"/>
        </top>
        <bottom style="thin">
          <color theme="5" tint="0.39997558519241921"/>
        </bottom>
        <horizontal style="thin">
          <color theme="5" tint="0.39997558519241921"/>
        </horizontal>
      </border>
    </dxf>
    <dxf>
      <font>
        <b/>
        <color theme="1"/>
      </font>
      <border>
        <top style="thin">
          <color theme="5" tint="-0.249977111117893"/>
        </top>
        <bottom style="medium">
          <color theme="5" tint="-0.249977111117893"/>
        </bottom>
      </border>
    </dxf>
    <dxf>
      <font>
        <b/>
        <color theme="0"/>
      </font>
      <fill>
        <patternFill patternType="solid">
          <fgColor theme="5"/>
          <bgColor theme="3"/>
        </patternFill>
      </fill>
      <border>
        <top style="medium">
          <color theme="5" tint="-0.249977111117893"/>
        </top>
      </border>
    </dxf>
    <dxf>
      <font>
        <color theme="1"/>
      </font>
    </dxf>
    <dxf>
      <font>
        <b/>
        <i val="0"/>
        <color auto="1"/>
      </font>
      <fill>
        <patternFill patternType="none">
          <bgColor auto="1"/>
        </patternFill>
      </fill>
      <border diagonalUp="0" diagonalDown="0">
        <left/>
        <right/>
        <top/>
        <bottom/>
        <vertical/>
        <horizontal/>
      </border>
    </dxf>
    <dxf>
      <font>
        <color theme="1"/>
      </font>
      <border diagonalUp="0" diagonalDown="0">
        <left/>
        <right/>
        <top/>
        <bottom/>
        <vertical/>
        <horizontal/>
      </border>
    </dxf>
    <dxf>
      <fill>
        <patternFill patternType="solid">
          <fgColor theme="5" tint="0.79998168889431442"/>
          <bgColor theme="5" tint="0.79998168889431442"/>
        </patternFill>
      </fill>
    </dxf>
    <dxf>
      <fill>
        <patternFill patternType="solid">
          <fgColor theme="5" tint="0.79998168889431442"/>
          <bgColor theme="5" tint="0.79998168889431442"/>
        </patternFill>
      </fill>
    </dxf>
    <dxf>
      <font>
        <b/>
        <color theme="1"/>
      </font>
    </dxf>
    <dxf>
      <font>
        <b/>
        <color theme="1"/>
      </font>
    </dxf>
    <dxf>
      <font>
        <b/>
        <color theme="1"/>
      </font>
      <border>
        <top style="double">
          <color theme="5"/>
        </top>
      </border>
    </dxf>
    <dxf>
      <font>
        <color theme="0"/>
      </font>
      <fill>
        <patternFill patternType="solid">
          <fgColor theme="3"/>
          <bgColor theme="3"/>
        </patternFill>
      </fill>
    </dxf>
    <dxf>
      <font>
        <color theme="1"/>
      </font>
      <border>
        <left style="thin">
          <color theme="5" tint="0.39997558519241921"/>
        </left>
        <right style="thin">
          <color theme="5" tint="0.39997558519241921"/>
        </right>
        <top style="thin">
          <color theme="5" tint="0.39997558519241921"/>
        </top>
        <bottom style="thin">
          <color theme="5" tint="0.39997558519241921"/>
        </bottom>
        <horizontal style="thin">
          <color theme="5" tint="0.39997558519241921"/>
        </horizontal>
      </border>
    </dxf>
    <dxf>
      <font>
        <b/>
        <color theme="1"/>
      </font>
      <border>
        <bottom style="thin">
          <color theme="5"/>
        </bottom>
        <vertical/>
        <horizontal/>
      </border>
    </dxf>
    <dxf>
      <font>
        <color theme="1"/>
      </font>
      <border>
        <left style="thin">
          <color theme="5"/>
        </left>
        <right style="thin">
          <color theme="5"/>
        </right>
        <top style="thin">
          <color theme="5"/>
        </top>
        <bottom style="thin">
          <color theme="5"/>
        </bottom>
        <vertical/>
        <horizontal/>
      </border>
    </dxf>
    <dxf>
      <border>
        <top style="thin">
          <color theme="5" tint="0.79998168889431442"/>
        </top>
        <bottom style="thin">
          <color theme="5" tint="0.79998168889431442"/>
        </bottom>
      </border>
    </dxf>
    <dxf>
      <border>
        <top style="thin">
          <color theme="5" tint="0.79998168889431442"/>
        </top>
        <bottom style="thin">
          <color theme="5" tint="0.79998168889431442"/>
        </bottom>
      </border>
    </dxf>
    <dxf>
      <fill>
        <patternFill patternType="solid">
          <fgColor theme="5" tint="0.79998168889431442"/>
          <bgColor theme="5" tint="0.79998168889431442"/>
        </patternFill>
      </fill>
      <border>
        <bottom style="thin">
          <color theme="5"/>
        </bottom>
      </border>
    </dxf>
    <dxf>
      <font>
        <color theme="0"/>
      </font>
      <fill>
        <patternFill patternType="solid">
          <fgColor theme="5" tint="0.39997558519241921"/>
          <bgColor theme="5" tint="0.39997558519241921"/>
        </patternFill>
      </fill>
      <border>
        <bottom style="thin">
          <color theme="5" tint="0.79998168889431442"/>
        </bottom>
        <horizontal style="thin">
          <color theme="5" tint="0.39997558519241921"/>
        </horizontal>
      </border>
    </dxf>
    <dxf>
      <border>
        <bottom style="thin">
          <color theme="5" tint="0.59999389629810485"/>
        </bottom>
      </border>
    </dxf>
    <dxf>
      <font>
        <b/>
        <color theme="1"/>
      </font>
      <fill>
        <patternFill patternType="solid">
          <fgColor theme="0" tint="-0.14999847407452621"/>
          <bgColor theme="0" tint="-0.14999847407452621"/>
        </patternFill>
      </fill>
    </dxf>
    <dxf>
      <font>
        <b/>
        <color theme="0"/>
      </font>
      <fill>
        <patternFill patternType="solid">
          <fgColor theme="5" tint="0.39997558519241921"/>
          <bgColor theme="5" tint="0.39997558519241921"/>
        </patternFill>
      </fill>
    </dxf>
    <dxf>
      <font>
        <b/>
        <color theme="0"/>
      </font>
    </dxf>
    <dxf>
      <border>
        <left style="thin">
          <color theme="5" tint="-0.249977111117893"/>
        </left>
        <right style="thin">
          <color theme="5" tint="-0.249977111117893"/>
        </right>
      </border>
    </dxf>
    <dxf>
      <border>
        <top style="thin">
          <color theme="5" tint="-0.249977111117893"/>
        </top>
        <bottom style="thin">
          <color theme="5" tint="-0.249977111117893"/>
        </bottom>
        <horizontal style="thin">
          <color theme="5" tint="-0.249977111117893"/>
        </horizontal>
      </border>
    </dxf>
    <dxf>
      <font>
        <b/>
        <color theme="1"/>
      </font>
      <border>
        <top style="double">
          <color theme="5" tint="-0.249977111117893"/>
        </top>
      </border>
    </dxf>
    <dxf>
      <font>
        <color theme="0"/>
      </font>
      <fill>
        <patternFill patternType="solid">
          <fgColor theme="5" tint="-0.249977111117893"/>
          <bgColor theme="5" tint="-0.249977111117893"/>
        </patternFill>
      </fill>
      <border>
        <horizontal style="thin">
          <color theme="5" tint="-0.249977111117893"/>
        </horizontal>
      </border>
    </dxf>
    <dxf>
      <font>
        <color theme="1"/>
      </font>
      <border>
        <horizontal style="thin">
          <color theme="5" tint="0.79998168889431442"/>
        </horizontal>
      </border>
    </dxf>
  </dxfs>
  <tableStyles count="5" defaultTableStyle="TableStyleMedium2" defaultPivotStyle="PivotStyleLight16">
    <tableStyle name="imsd_piv_style" table="0" count="13" xr9:uid="{00000000-0011-0000-FFFF-FFFF00000000}">
      <tableStyleElement type="wholeTable" dxfId="35"/>
      <tableStyleElement type="headerRow" dxfId="34"/>
      <tableStyleElement type="totalRow" dxfId="33"/>
      <tableStyleElement type="firstRowStripe" dxfId="32"/>
      <tableStyleElement type="firstColumnStripe" dxfId="31"/>
      <tableStyleElement type="firstHeaderCell" dxfId="30"/>
      <tableStyleElement type="firstSubtotalRow" dxfId="29"/>
      <tableStyleElement type="secondSubtotalRow" dxfId="28"/>
      <tableStyleElement type="firstColumnSubheading" dxfId="27"/>
      <tableStyleElement type="firstRowSubheading" dxfId="26"/>
      <tableStyleElement type="secondRowSubheading" dxfId="25"/>
      <tableStyleElement type="pageFieldLabels" dxfId="24"/>
      <tableStyleElement type="pageFieldValues" dxfId="23"/>
    </tableStyle>
    <tableStyle name="iMSDSlicer" pivot="0" table="0" count="2" xr9:uid="{00000000-0011-0000-FFFF-FFFF01000000}">
      <tableStyleElement type="wholeTable" dxfId="22"/>
      <tableStyleElement type="headerRow" dxfId="21"/>
    </tableStyle>
    <tableStyle name="iMSDTableStyle" pivot="0" count="7" xr9:uid="{00000000-0011-0000-FFFF-FFFF02000000}">
      <tableStyleElement type="wholeTable" dxfId="20"/>
      <tableStyleElement type="headerRow" dxfId="19"/>
      <tableStyleElement type="totalRow" dxfId="18"/>
      <tableStyleElement type="firstColumn" dxfId="17"/>
      <tableStyleElement type="lastColumn" dxfId="16"/>
      <tableStyleElement type="firstRowStripe" dxfId="15"/>
      <tableStyleElement type="firstColumnStripe" dxfId="14"/>
    </tableStyle>
    <tableStyle name="CustomSlicer" pivot="0" table="0" count="2" xr9:uid="{00000000-0011-0000-FFFF-FFFF03000000}">
      <tableStyleElement type="wholeTable" dxfId="13"/>
      <tableStyleElement type="headerRow" dxfId="12"/>
    </tableStyle>
    <tableStyle name="iMSDStyle" table="0" count="12" xr9:uid="{00000000-0011-0000-FFFF-FFFF04000000}">
      <tableStyleElement type="wholeTable" dxfId="11"/>
      <tableStyleElement type="headerRow" dxfId="10"/>
      <tableStyleElement type="totalRow" dxfId="9"/>
      <tableStyleElement type="firstRowStripe" dxfId="8"/>
      <tableStyleElement type="firstColumnStripe" dxfId="7"/>
      <tableStyleElement type="firstSubtotalColumn"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Drop" dropLines="17" dropStyle="combo" dx="22" fmlaLink="Display!$B$1" fmlaRange="Display!$A$2:$A$18" noThreeD="1" sel="2" val="0"/>
</file>

<file path=xl/ctrlProps/ctrlProp2.xml><?xml version="1.0" encoding="utf-8"?>
<formControlPr xmlns="http://schemas.microsoft.com/office/spreadsheetml/2009/9/main" objectType="Drop" dropLines="17" dropStyle="combo" dx="22" fmlaLink="Display!$B$1" fmlaRange="Display!$A$2:$A$18" noThreeD="1" sel="2"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6</xdr:row>
          <xdr:rowOff>0</xdr:rowOff>
        </xdr:from>
        <xdr:to>
          <xdr:col>0</xdr:col>
          <xdr:colOff>5629275</xdr:colOff>
          <xdr:row>7</xdr:row>
          <xdr:rowOff>9525</xdr:rowOff>
        </xdr:to>
        <xdr:sp macro="" textlink="">
          <xdr:nvSpPr>
            <xdr:cNvPr id="189441" name="Drop Down 1" hidden="1">
              <a:extLst>
                <a:ext uri="{63B3BB69-23CF-44E3-9099-C40C66FF867C}">
                  <a14:compatExt spid="_x0000_s189441"/>
                </a:ext>
                <a:ext uri="{FF2B5EF4-FFF2-40B4-BE49-F238E27FC236}">
                  <a16:creationId xmlns:a16="http://schemas.microsoft.com/office/drawing/2014/main" id="{00000000-0008-0000-0D00-000001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6</xdr:row>
          <xdr:rowOff>0</xdr:rowOff>
        </xdr:from>
        <xdr:to>
          <xdr:col>0</xdr:col>
          <xdr:colOff>5629275</xdr:colOff>
          <xdr:row>7</xdr:row>
          <xdr:rowOff>9525</xdr:rowOff>
        </xdr:to>
        <xdr:sp macro="" textlink="">
          <xdr:nvSpPr>
            <xdr:cNvPr id="214017" name="Drop Down 1" hidden="1">
              <a:extLst>
                <a:ext uri="{63B3BB69-23CF-44E3-9099-C40C66FF867C}">
                  <a14:compatExt spid="_x0000_s214017"/>
                </a:ext>
                <a:ext uri="{FF2B5EF4-FFF2-40B4-BE49-F238E27FC236}">
                  <a16:creationId xmlns:a16="http://schemas.microsoft.com/office/drawing/2014/main" id="{00000000-0008-0000-0E00-0000014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4.bin"/><Relationship Id="rId5" Type="http://schemas.openxmlformats.org/officeDocument/2006/relationships/comments" Target="../comments4.xml"/><Relationship Id="rId4" Type="http://schemas.openxmlformats.org/officeDocument/2006/relationships/ctrlProp" Target="../ctrlProps/ctrlProp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5.bin"/><Relationship Id="rId5" Type="http://schemas.openxmlformats.org/officeDocument/2006/relationships/comments" Target="../comments5.xml"/><Relationship Id="rId4" Type="http://schemas.openxmlformats.org/officeDocument/2006/relationships/ctrlProp" Target="../ctrlProps/ctrlProp2.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reasury.govt.nz/publications/information-release/archive-new-zealand-superannuation-nzs-fund-contribution-rate-models"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treasury.govt.nz/publications/information-release/archive-new-zealand-superannuation-fund-nzsf-contribution-rate-models" TargetMode="External"/><Relationship Id="rId1" Type="http://schemas.openxmlformats.org/officeDocument/2006/relationships/hyperlink" Target="http://www.stats.govt.nz/"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nzdotstat.stats.govt.nz/wbos/Index.aspx" TargetMode="External"/><Relationship Id="rId2" Type="http://schemas.openxmlformats.org/officeDocument/2006/relationships/hyperlink" Target="https://www.stats.govt.nz/information-releases/national-population-projections-2020base2073" TargetMode="External"/><Relationship Id="rId1" Type="http://schemas.openxmlformats.org/officeDocument/2006/relationships/hyperlink" Target="http://www.stats.govt.nz/infoshare/"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treasury.govt.nz/publications/information-release/archive-new-zealand-superannuation-nzs-fund-contribution-rate-model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8"/>
  <sheetViews>
    <sheetView workbookViewId="0">
      <selection activeCell="B18" sqref="B18"/>
    </sheetView>
  </sheetViews>
  <sheetFormatPr defaultRowHeight="15"/>
  <cols>
    <col min="1" max="1" width="80.7109375" customWidth="1"/>
  </cols>
  <sheetData>
    <row r="1" spans="1:3" ht="15.75">
      <c r="A1" s="58" t="s">
        <v>623</v>
      </c>
      <c r="B1">
        <v>2</v>
      </c>
      <c r="C1">
        <f ca="1">OFFSET($A$1,$B$1,1)</f>
        <v>78</v>
      </c>
    </row>
    <row r="2" spans="1:3" ht="15.75">
      <c r="A2" s="59" t="s">
        <v>613</v>
      </c>
      <c r="B2" s="3">
        <v>42</v>
      </c>
    </row>
    <row r="3" spans="1:3" ht="15.75">
      <c r="A3" s="59" t="s">
        <v>615</v>
      </c>
      <c r="B3" s="3">
        <v>78</v>
      </c>
    </row>
    <row r="4" spans="1:3" ht="15.75">
      <c r="A4" s="59" t="s">
        <v>567</v>
      </c>
      <c r="B4" s="3">
        <v>49</v>
      </c>
    </row>
    <row r="5" spans="1:3" ht="15.75">
      <c r="A5" s="59" t="s">
        <v>614</v>
      </c>
      <c r="B5" s="3">
        <v>72</v>
      </c>
    </row>
    <row r="6" spans="1:3" ht="15.75">
      <c r="A6" s="59" t="s">
        <v>229</v>
      </c>
      <c r="B6" s="169">
        <v>45</v>
      </c>
    </row>
    <row r="7" spans="1:3" ht="15.75">
      <c r="A7" s="59" t="s">
        <v>231</v>
      </c>
      <c r="B7" s="169">
        <v>46</v>
      </c>
    </row>
    <row r="8" spans="1:3" ht="15.75">
      <c r="A8" s="59" t="s">
        <v>246</v>
      </c>
      <c r="B8" s="169">
        <v>47</v>
      </c>
    </row>
    <row r="9" spans="1:3" ht="15.75">
      <c r="A9" s="59" t="s">
        <v>566</v>
      </c>
      <c r="B9" s="3">
        <v>48</v>
      </c>
    </row>
    <row r="10" spans="1:3" ht="15.75">
      <c r="A10" s="59" t="s">
        <v>616</v>
      </c>
      <c r="B10" s="3">
        <v>35</v>
      </c>
    </row>
    <row r="11" spans="1:3" ht="15.75">
      <c r="A11" s="59" t="s">
        <v>617</v>
      </c>
      <c r="B11" s="3">
        <v>36</v>
      </c>
    </row>
    <row r="12" spans="1:3" ht="15.75">
      <c r="A12" s="59" t="s">
        <v>564</v>
      </c>
      <c r="B12" s="3">
        <v>40</v>
      </c>
    </row>
    <row r="13" spans="1:3" ht="15.75">
      <c r="A13" s="59" t="s">
        <v>621</v>
      </c>
      <c r="B13" s="3">
        <v>135</v>
      </c>
    </row>
    <row r="14" spans="1:3" ht="15.75">
      <c r="A14" s="59" t="s">
        <v>620</v>
      </c>
      <c r="B14" s="3">
        <v>133</v>
      </c>
    </row>
    <row r="15" spans="1:3" ht="15.75">
      <c r="A15" s="59" t="s">
        <v>574</v>
      </c>
      <c r="B15" s="3">
        <v>56</v>
      </c>
    </row>
    <row r="16" spans="1:3" ht="15.75">
      <c r="A16" s="59" t="s">
        <v>618</v>
      </c>
      <c r="B16" s="3">
        <v>58</v>
      </c>
    </row>
    <row r="17" spans="1:2" ht="15.75">
      <c r="A17" s="59" t="s">
        <v>252</v>
      </c>
      <c r="B17" s="3">
        <v>64</v>
      </c>
    </row>
    <row r="18" spans="1:2" ht="15.75">
      <c r="A18" s="59" t="s">
        <v>619</v>
      </c>
      <c r="B18" s="3">
        <v>69</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63"/>
  <sheetViews>
    <sheetView zoomScaleNormal="100" workbookViewId="0">
      <selection activeCell="H2" sqref="H2"/>
    </sheetView>
  </sheetViews>
  <sheetFormatPr defaultRowHeight="14.25"/>
  <cols>
    <col min="1" max="1" width="85.7109375" style="1" customWidth="1"/>
    <col min="2" max="5" width="10.7109375" style="1" customWidth="1"/>
    <col min="6" max="6" width="10.7109375" style="167" customWidth="1"/>
    <col min="7" max="14" width="10.7109375" style="1" customWidth="1"/>
    <col min="15" max="16384" width="9.140625" style="1"/>
  </cols>
  <sheetData>
    <row r="1" spans="1:15" ht="15">
      <c r="A1" s="2" t="s">
        <v>1244</v>
      </c>
      <c r="B1" s="4"/>
    </row>
    <row r="2" spans="1:15">
      <c r="A2" s="4" t="s">
        <v>626</v>
      </c>
    </row>
    <row r="3" spans="1:15">
      <c r="A3" s="4" t="s">
        <v>627</v>
      </c>
    </row>
    <row r="4" spans="1:15">
      <c r="A4" s="4" t="s">
        <v>628</v>
      </c>
    </row>
    <row r="5" spans="1:15">
      <c r="A5" s="4" t="s">
        <v>637</v>
      </c>
    </row>
    <row r="6" spans="1:15">
      <c r="A6" s="4" t="s">
        <v>106</v>
      </c>
      <c r="F6" s="24"/>
      <c r="G6" s="24"/>
    </row>
    <row r="7" spans="1:15" ht="15">
      <c r="A7" s="13" t="s">
        <v>107</v>
      </c>
      <c r="B7" s="5" t="s">
        <v>6</v>
      </c>
      <c r="C7" s="5" t="s">
        <v>7</v>
      </c>
      <c r="D7" s="5" t="s">
        <v>8</v>
      </c>
      <c r="E7" s="5" t="s">
        <v>10</v>
      </c>
      <c r="F7" s="170" t="s">
        <v>9</v>
      </c>
      <c r="G7" s="5" t="s">
        <v>11</v>
      </c>
      <c r="H7" s="5" t="s">
        <v>12</v>
      </c>
      <c r="I7" s="5" t="s">
        <v>13</v>
      </c>
      <c r="J7" s="5" t="s">
        <v>14</v>
      </c>
      <c r="K7" s="5" t="s">
        <v>15</v>
      </c>
      <c r="L7" s="5" t="s">
        <v>16</v>
      </c>
      <c r="M7" s="5" t="s">
        <v>17</v>
      </c>
      <c r="N7" s="5" t="s">
        <v>18</v>
      </c>
      <c r="O7" s="170" t="s">
        <v>19</v>
      </c>
    </row>
    <row r="8" spans="1:15" ht="15">
      <c r="A8" s="13"/>
      <c r="B8" s="2">
        <v>2007</v>
      </c>
      <c r="C8" s="2">
        <v>2008</v>
      </c>
      <c r="D8" s="2">
        <v>2009</v>
      </c>
      <c r="E8" s="2">
        <v>2010</v>
      </c>
      <c r="F8" s="168">
        <v>2011</v>
      </c>
      <c r="G8" s="2">
        <v>2012</v>
      </c>
      <c r="H8" s="2">
        <v>2013</v>
      </c>
      <c r="I8" s="2">
        <v>2014</v>
      </c>
      <c r="J8" s="2">
        <v>2015</v>
      </c>
      <c r="K8" s="2">
        <v>2016</v>
      </c>
      <c r="L8" s="2">
        <v>2017</v>
      </c>
      <c r="M8" s="2">
        <v>2018</v>
      </c>
      <c r="N8" s="2">
        <v>2019</v>
      </c>
      <c r="O8" s="168">
        <v>2020</v>
      </c>
    </row>
    <row r="9" spans="1:15" ht="15">
      <c r="A9" s="2" t="s">
        <v>638</v>
      </c>
      <c r="B9" s="7">
        <f>'Economic Forecasts'!E$7</f>
        <v>175.36099999999999</v>
      </c>
      <c r="C9" s="7">
        <f>'Economic Forecasts'!F$7</f>
        <v>188.809</v>
      </c>
      <c r="D9" s="7">
        <f>'Economic Forecasts'!G$7</f>
        <v>189.38300000000001</v>
      </c>
      <c r="E9" s="7">
        <f>'Economic Forecasts'!H$7</f>
        <v>196.79900000000001</v>
      </c>
      <c r="F9" s="134">
        <f>'Economic Forecasts'!I$7</f>
        <v>205.65</v>
      </c>
      <c r="G9" s="7">
        <f>'Economic Forecasts'!J$7</f>
        <v>214.97800000000001</v>
      </c>
      <c r="H9" s="7">
        <f>'Economic Forecasts'!K$7</f>
        <v>218.81399999999999</v>
      </c>
      <c r="I9" s="7">
        <f>'Economic Forecasts'!L$7</f>
        <v>236.87299999999999</v>
      </c>
      <c r="J9" s="7">
        <f>'Economic Forecasts'!M$7</f>
        <v>245.57599999999999</v>
      </c>
      <c r="K9" s="7">
        <f>'Economic Forecasts'!N$7</f>
        <v>258.71600000000001</v>
      </c>
      <c r="L9" s="7">
        <f>'Economic Forecasts'!O$7</f>
        <v>275.73700000000002</v>
      </c>
      <c r="M9" s="7">
        <f>'Economic Forecasts'!P$7</f>
        <v>296.05599999999998</v>
      </c>
      <c r="N9" s="7">
        <f>'Economic Forecasts'!Q$7</f>
        <v>310.26100000000002</v>
      </c>
      <c r="O9" s="134">
        <f>'Economic Forecasts'!R$7</f>
        <v>316.55200000000002</v>
      </c>
    </row>
    <row r="10" spans="1:15">
      <c r="A10" s="4" t="s">
        <v>109</v>
      </c>
      <c r="B10" s="10"/>
      <c r="C10" s="10">
        <f>C$9/B$9-1</f>
        <v>7.6687518889605011E-2</v>
      </c>
      <c r="D10" s="10">
        <f t="shared" ref="D10:O10" si="0">D$9/C$9-1</f>
        <v>3.0401093168228588E-3</v>
      </c>
      <c r="E10" s="10">
        <f t="shared" si="0"/>
        <v>3.9158741808926756E-2</v>
      </c>
      <c r="F10" s="173">
        <f t="shared" si="0"/>
        <v>4.4974822026534689E-2</v>
      </c>
      <c r="G10" s="10">
        <f t="shared" si="0"/>
        <v>4.535861901288607E-2</v>
      </c>
      <c r="H10" s="10">
        <f t="shared" si="0"/>
        <v>1.7843686330694331E-2</v>
      </c>
      <c r="I10" s="10">
        <f t="shared" si="0"/>
        <v>8.2531282276271156E-2</v>
      </c>
      <c r="J10" s="10">
        <f t="shared" si="0"/>
        <v>3.6741207313623736E-2</v>
      </c>
      <c r="K10" s="10">
        <f t="shared" si="0"/>
        <v>5.3506857347623615E-2</v>
      </c>
      <c r="L10" s="10">
        <f t="shared" si="0"/>
        <v>6.5790287419409843E-2</v>
      </c>
      <c r="M10" s="10">
        <f t="shared" si="0"/>
        <v>7.3689784105868794E-2</v>
      </c>
      <c r="N10" s="10">
        <f t="shared" si="0"/>
        <v>4.7980787418596682E-2</v>
      </c>
      <c r="O10" s="173">
        <f t="shared" si="0"/>
        <v>2.027647690170542E-2</v>
      </c>
    </row>
    <row r="11" spans="1:15" ht="15">
      <c r="A11" s="2"/>
      <c r="B11" s="17"/>
      <c r="C11" s="17"/>
      <c r="D11" s="17"/>
      <c r="E11" s="17"/>
      <c r="F11" s="178"/>
      <c r="G11" s="17"/>
      <c r="H11" s="17"/>
      <c r="I11" s="17"/>
      <c r="J11" s="17"/>
      <c r="K11" s="17"/>
      <c r="L11" s="17"/>
      <c r="M11" s="17"/>
      <c r="N11" s="17"/>
    </row>
    <row r="12" spans="1:15" ht="16.5">
      <c r="A12" s="54" t="s">
        <v>776</v>
      </c>
    </row>
    <row r="13" spans="1:15" ht="15">
      <c r="A13" s="2" t="s">
        <v>613</v>
      </c>
      <c r="B13" s="7">
        <v>5.8599999999999994</v>
      </c>
      <c r="C13" s="7">
        <v>5.6370000000000005</v>
      </c>
      <c r="D13" s="7">
        <v>-3.8930000000000007</v>
      </c>
      <c r="E13" s="7">
        <v>-6.3149999999999977</v>
      </c>
      <c r="F13" s="134">
        <v>-18.396000000000001</v>
      </c>
      <c r="G13" s="7">
        <v>-9.24</v>
      </c>
      <c r="H13" s="7">
        <v>-4.4139999999999997</v>
      </c>
      <c r="I13" s="7">
        <v>-2.8020000000000005</v>
      </c>
      <c r="J13" s="7">
        <v>0.41399999999999998</v>
      </c>
      <c r="K13" s="7">
        <v>1.831</v>
      </c>
      <c r="L13" s="7">
        <v>4.069</v>
      </c>
      <c r="M13" s="7">
        <v>5.5339999999999998</v>
      </c>
      <c r="N13" s="7">
        <v>7.4290000000000003</v>
      </c>
      <c r="O13" s="134">
        <v>-23.056999999999999</v>
      </c>
    </row>
    <row r="14" spans="1:15">
      <c r="A14" s="4" t="s">
        <v>629</v>
      </c>
      <c r="B14" s="19">
        <f t="shared" ref="B14:O14" si="1">B$13/B$9</f>
        <v>3.3416780241900992E-2</v>
      </c>
      <c r="C14" s="19">
        <f t="shared" si="1"/>
        <v>2.9855568325662444E-2</v>
      </c>
      <c r="D14" s="19">
        <f t="shared" si="1"/>
        <v>-2.0556227327690451E-2</v>
      </c>
      <c r="E14" s="19">
        <f t="shared" si="1"/>
        <v>-3.2088577685862214E-2</v>
      </c>
      <c r="F14" s="19">
        <f t="shared" si="1"/>
        <v>-8.9452954048140049E-2</v>
      </c>
      <c r="G14" s="19">
        <f t="shared" si="1"/>
        <v>-4.2981142256416936E-2</v>
      </c>
      <c r="H14" s="19">
        <f t="shared" si="1"/>
        <v>-2.0172383851124697E-2</v>
      </c>
      <c r="I14" s="19">
        <f t="shared" si="1"/>
        <v>-1.1829123623207375E-2</v>
      </c>
      <c r="J14" s="19">
        <f t="shared" si="1"/>
        <v>1.6858324917744404E-3</v>
      </c>
      <c r="K14" s="19">
        <f t="shared" si="1"/>
        <v>7.0772584610151665E-3</v>
      </c>
      <c r="L14" s="19">
        <f t="shared" si="1"/>
        <v>1.4756815371168902E-2</v>
      </c>
      <c r="M14" s="19">
        <f t="shared" si="1"/>
        <v>1.8692409544140299E-2</v>
      </c>
      <c r="N14" s="19">
        <f t="shared" si="1"/>
        <v>2.3944356525634869E-2</v>
      </c>
      <c r="O14" s="19">
        <f t="shared" si="1"/>
        <v>-7.2837953953852758E-2</v>
      </c>
    </row>
    <row r="15" spans="1:15" ht="15">
      <c r="A15" s="2" t="s">
        <v>615</v>
      </c>
      <c r="B15" s="7">
        <v>13.38</v>
      </c>
      <c r="C15" s="7">
        <v>10.257999999999996</v>
      </c>
      <c r="D15" s="7">
        <v>17.119</v>
      </c>
      <c r="E15" s="7">
        <v>26.737999999999996</v>
      </c>
      <c r="F15" s="134">
        <v>40.128</v>
      </c>
      <c r="G15" s="7">
        <v>50.671000000000006</v>
      </c>
      <c r="H15" s="7">
        <v>55.834999999999994</v>
      </c>
      <c r="I15" s="7">
        <v>59.931000000000012</v>
      </c>
      <c r="J15" s="7">
        <v>60.631000000000007</v>
      </c>
      <c r="K15" s="7">
        <v>61.88</v>
      </c>
      <c r="L15" s="7">
        <v>59.48</v>
      </c>
      <c r="M15" s="7">
        <v>57.494999999999997</v>
      </c>
      <c r="N15" s="7">
        <v>57.735999999999997</v>
      </c>
      <c r="O15" s="134">
        <v>83.375</v>
      </c>
    </row>
    <row r="16" spans="1:15">
      <c r="A16" s="4" t="str">
        <f>$A$14</f>
        <v>As percentage of nominal GDP</v>
      </c>
      <c r="B16" s="19">
        <f t="shared" ref="B16:O16" si="2">B$15/B$9</f>
        <v>7.629974737826542E-2</v>
      </c>
      <c r="C16" s="19">
        <f t="shared" si="2"/>
        <v>5.4330037233394572E-2</v>
      </c>
      <c r="D16" s="19">
        <f t="shared" si="2"/>
        <v>9.0393541130935715E-2</v>
      </c>
      <c r="E16" s="19">
        <f t="shared" si="2"/>
        <v>0.13586451150666415</v>
      </c>
      <c r="F16" s="19">
        <f t="shared" si="2"/>
        <v>0.19512764405543398</v>
      </c>
      <c r="G16" s="19">
        <f t="shared" si="2"/>
        <v>0.23570318823321459</v>
      </c>
      <c r="H16" s="19">
        <f t="shared" si="2"/>
        <v>0.25517105852459165</v>
      </c>
      <c r="I16" s="19">
        <f t="shared" si="2"/>
        <v>0.25300899638202756</v>
      </c>
      <c r="J16" s="19">
        <f t="shared" si="2"/>
        <v>0.24689301886177806</v>
      </c>
      <c r="K16" s="19">
        <f t="shared" si="2"/>
        <v>0.23918118709318326</v>
      </c>
      <c r="L16" s="19">
        <f t="shared" si="2"/>
        <v>0.21571279879015146</v>
      </c>
      <c r="M16" s="19">
        <f t="shared" si="2"/>
        <v>0.19420312373334775</v>
      </c>
      <c r="N16" s="19">
        <f t="shared" si="2"/>
        <v>0.18608848679015408</v>
      </c>
      <c r="O16" s="19">
        <f t="shared" si="2"/>
        <v>0.26338484672344509</v>
      </c>
    </row>
    <row r="17" spans="1:15" ht="15">
      <c r="A17" s="2" t="s">
        <v>567</v>
      </c>
      <c r="B17" s="7">
        <v>2.7930000000000001</v>
      </c>
      <c r="C17" s="7">
        <v>2.0569999999999999</v>
      </c>
      <c r="D17" s="7">
        <v>-8.6389999999999993</v>
      </c>
      <c r="E17" s="7">
        <v>-9</v>
      </c>
      <c r="F17" s="134">
        <v>-13.343</v>
      </c>
      <c r="G17" s="7">
        <v>-10.644</v>
      </c>
      <c r="H17" s="7">
        <v>-5.742</v>
      </c>
      <c r="I17" s="7">
        <v>-4.109</v>
      </c>
      <c r="J17" s="7">
        <v>-1.827</v>
      </c>
      <c r="K17" s="7">
        <v>-1.3220000000000001</v>
      </c>
      <c r="L17" s="7">
        <v>2.5739999999999998</v>
      </c>
      <c r="M17" s="7">
        <v>1.3460000000000001</v>
      </c>
      <c r="N17" s="7">
        <v>-0.71</v>
      </c>
      <c r="O17" s="134">
        <v>-23.692</v>
      </c>
    </row>
    <row r="18" spans="1:15">
      <c r="A18" s="4" t="str">
        <f>$A$14</f>
        <v>As percentage of nominal GDP</v>
      </c>
      <c r="B18" s="19">
        <f t="shared" ref="B18:O18" si="3">B$17/B$9</f>
        <v>1.5927144576045986E-2</v>
      </c>
      <c r="C18" s="19">
        <f t="shared" si="3"/>
        <v>1.0894607778230911E-2</v>
      </c>
      <c r="D18" s="19">
        <f t="shared" si="3"/>
        <v>-4.5616554812205945E-2</v>
      </c>
      <c r="E18" s="19">
        <f t="shared" si="3"/>
        <v>-4.5731939694815524E-2</v>
      </c>
      <c r="F18" s="19">
        <f t="shared" si="3"/>
        <v>-6.4882081205932404E-2</v>
      </c>
      <c r="G18" s="19">
        <f t="shared" si="3"/>
        <v>-4.9512043092781587E-2</v>
      </c>
      <c r="H18" s="19">
        <f t="shared" si="3"/>
        <v>-2.6241465354136389E-2</v>
      </c>
      <c r="I18" s="19">
        <f t="shared" si="3"/>
        <v>-1.7346848311120305E-2</v>
      </c>
      <c r="J18" s="19">
        <f t="shared" si="3"/>
        <v>-7.4396520832654654E-3</v>
      </c>
      <c r="K18" s="19">
        <f t="shared" si="3"/>
        <v>-5.1098501832124799E-3</v>
      </c>
      <c r="L18" s="19">
        <f t="shared" si="3"/>
        <v>9.3349822475764944E-3</v>
      </c>
      <c r="M18" s="19">
        <f t="shared" si="3"/>
        <v>4.5464371605371959E-3</v>
      </c>
      <c r="N18" s="19">
        <f t="shared" si="3"/>
        <v>-2.2883958989367015E-3</v>
      </c>
      <c r="O18" s="19">
        <f t="shared" si="3"/>
        <v>-7.4843943491116782E-2</v>
      </c>
    </row>
    <row r="19" spans="1:15" ht="15">
      <c r="A19" s="2" t="s">
        <v>614</v>
      </c>
      <c r="B19" s="7">
        <v>36.805</v>
      </c>
      <c r="C19" s="7">
        <v>37.744999999999997</v>
      </c>
      <c r="D19" s="7">
        <v>50.972999999999999</v>
      </c>
      <c r="E19" s="7">
        <v>58.890999999999998</v>
      </c>
      <c r="F19" s="134">
        <v>77.290000000000006</v>
      </c>
      <c r="G19" s="7">
        <v>84.168000000000006</v>
      </c>
      <c r="H19" s="7">
        <v>84.286000000000001</v>
      </c>
      <c r="I19" s="7">
        <v>88.468000000000004</v>
      </c>
      <c r="J19" s="7">
        <v>93.156000000000006</v>
      </c>
      <c r="K19" s="7">
        <v>93.283000000000001</v>
      </c>
      <c r="L19" s="7">
        <v>92.62</v>
      </c>
      <c r="M19" s="7">
        <v>95.436999999999998</v>
      </c>
      <c r="N19" s="7">
        <v>90.93</v>
      </c>
      <c r="O19" s="134">
        <v>124.145</v>
      </c>
    </row>
    <row r="20" spans="1:15">
      <c r="A20" s="4" t="str">
        <f>$A$14</f>
        <v>As percentage of nominal GDP</v>
      </c>
      <c r="B20" s="19">
        <f t="shared" ref="B20:O20" si="4">B$19/B$9</f>
        <v>0.20988133051248567</v>
      </c>
      <c r="C20" s="19">
        <f t="shared" si="4"/>
        <v>0.19991102119072712</v>
      </c>
      <c r="D20" s="19">
        <f t="shared" si="4"/>
        <v>0.26915298627648732</v>
      </c>
      <c r="E20" s="19">
        <f t="shared" si="4"/>
        <v>0.29924440672970898</v>
      </c>
      <c r="F20" s="19">
        <f t="shared" si="4"/>
        <v>0.37583272550449798</v>
      </c>
      <c r="G20" s="19">
        <f t="shared" si="4"/>
        <v>0.39151913219027062</v>
      </c>
      <c r="H20" s="19">
        <f t="shared" si="4"/>
        <v>0.38519473159852663</v>
      </c>
      <c r="I20" s="19">
        <f t="shared" si="4"/>
        <v>0.37348283679440042</v>
      </c>
      <c r="J20" s="19">
        <f t="shared" si="4"/>
        <v>0.37933674300420239</v>
      </c>
      <c r="K20" s="19">
        <f t="shared" si="4"/>
        <v>0.36056138777655805</v>
      </c>
      <c r="L20" s="19">
        <f t="shared" si="4"/>
        <v>0.33589978856664138</v>
      </c>
      <c r="M20" s="19">
        <f t="shared" si="4"/>
        <v>0.32236131002242818</v>
      </c>
      <c r="N20" s="19">
        <f t="shared" si="4"/>
        <v>0.293075829704668</v>
      </c>
      <c r="O20" s="19">
        <f t="shared" si="4"/>
        <v>0.39217885213171921</v>
      </c>
    </row>
    <row r="21" spans="1:15" ht="15">
      <c r="A21" s="2" t="s">
        <v>229</v>
      </c>
      <c r="B21" s="7">
        <v>57.970999999999997</v>
      </c>
      <c r="C21" s="7">
        <v>61.575000000000003</v>
      </c>
      <c r="D21" s="7">
        <v>59.191000000000003</v>
      </c>
      <c r="E21" s="7">
        <v>55.756999999999998</v>
      </c>
      <c r="F21" s="134">
        <v>57.198999999999998</v>
      </c>
      <c r="G21" s="7">
        <v>60.427999999999997</v>
      </c>
      <c r="H21" s="7">
        <v>63.805</v>
      </c>
      <c r="I21" s="7">
        <v>67.093000000000004</v>
      </c>
      <c r="J21" s="7">
        <v>72.212999999999994</v>
      </c>
      <c r="K21" s="7">
        <v>76.120999999999995</v>
      </c>
      <c r="L21" s="7">
        <v>81.781999999999996</v>
      </c>
      <c r="M21" s="7">
        <v>86.778000000000006</v>
      </c>
      <c r="N21" s="7">
        <v>93.474000000000004</v>
      </c>
      <c r="O21" s="134">
        <v>91.923000000000002</v>
      </c>
    </row>
    <row r="22" spans="1:15">
      <c r="A22" s="4" t="str">
        <f>$A$14</f>
        <v>As percentage of nominal GDP</v>
      </c>
      <c r="B22" s="19">
        <f t="shared" ref="B22:O22" si="5">B$21/B$9</f>
        <v>0.33058091593911987</v>
      </c>
      <c r="C22" s="19">
        <f t="shared" si="5"/>
        <v>0.32612322505812752</v>
      </c>
      <c r="D22" s="19">
        <f t="shared" si="5"/>
        <v>0.31254653268772803</v>
      </c>
      <c r="E22" s="19">
        <f t="shared" si="5"/>
        <v>0.28331952906264768</v>
      </c>
      <c r="F22" s="19">
        <f t="shared" si="5"/>
        <v>0.27813761244833451</v>
      </c>
      <c r="G22" s="19">
        <f t="shared" si="5"/>
        <v>0.281089227734931</v>
      </c>
      <c r="H22" s="19">
        <f t="shared" si="5"/>
        <v>0.29159468772564828</v>
      </c>
      <c r="I22" s="19">
        <f t="shared" si="5"/>
        <v>0.28324460787004008</v>
      </c>
      <c r="J22" s="19">
        <f t="shared" si="5"/>
        <v>0.29405560803987357</v>
      </c>
      <c r="K22" s="19">
        <f t="shared" si="5"/>
        <v>0.29422610120750164</v>
      </c>
      <c r="L22" s="19">
        <f t="shared" si="5"/>
        <v>0.29659421840376876</v>
      </c>
      <c r="M22" s="19">
        <f t="shared" si="5"/>
        <v>0.29311346502013136</v>
      </c>
      <c r="N22" s="19">
        <f t="shared" si="5"/>
        <v>0.30127537782705527</v>
      </c>
      <c r="O22" s="19">
        <f t="shared" si="5"/>
        <v>0.29038830902979607</v>
      </c>
    </row>
    <row r="23" spans="1:15" ht="15">
      <c r="A23" s="2" t="s">
        <v>231</v>
      </c>
      <c r="B23" s="7">
        <v>53.76400000000001</v>
      </c>
      <c r="C23" s="7">
        <v>56.752999999999993</v>
      </c>
      <c r="D23" s="7">
        <v>63.710999999999991</v>
      </c>
      <c r="E23" s="7">
        <v>63.553999999999995</v>
      </c>
      <c r="F23" s="134">
        <v>70.099000000000004</v>
      </c>
      <c r="G23" s="7">
        <v>68.938999999999993</v>
      </c>
      <c r="H23" s="7">
        <v>69.962000000000003</v>
      </c>
      <c r="I23" s="7">
        <v>71.173999999999992</v>
      </c>
      <c r="J23" s="7">
        <v>72.362999999999985</v>
      </c>
      <c r="K23" s="7">
        <v>73.929000000000002</v>
      </c>
      <c r="L23" s="7">
        <v>76.338999999999999</v>
      </c>
      <c r="M23" s="7">
        <v>80.575999999999993</v>
      </c>
      <c r="N23" s="7">
        <v>86.959000000000003</v>
      </c>
      <c r="O23" s="134">
        <v>108.83199999999999</v>
      </c>
    </row>
    <row r="24" spans="1:15">
      <c r="A24" s="4" t="str">
        <f>$A$14</f>
        <v>As percentage of nominal GDP</v>
      </c>
      <c r="B24" s="19">
        <f t="shared" ref="B24:O24" si="6">B$23/B$9</f>
        <v>0.30659040493610329</v>
      </c>
      <c r="C24" s="19">
        <f t="shared" si="6"/>
        <v>0.30058418825373789</v>
      </c>
      <c r="D24" s="19">
        <f t="shared" si="6"/>
        <v>0.33641351124440944</v>
      </c>
      <c r="E24" s="19">
        <f t="shared" si="6"/>
        <v>0.32293863281825613</v>
      </c>
      <c r="F24" s="19">
        <f t="shared" si="6"/>
        <v>0.34086554826160953</v>
      </c>
      <c r="G24" s="19">
        <f t="shared" si="6"/>
        <v>0.32067932532631244</v>
      </c>
      <c r="H24" s="19">
        <f t="shared" si="6"/>
        <v>0.31973274104947585</v>
      </c>
      <c r="I24" s="19">
        <f t="shared" si="6"/>
        <v>0.30047324937835884</v>
      </c>
      <c r="J24" s="19">
        <f t="shared" si="6"/>
        <v>0.29466641691370488</v>
      </c>
      <c r="K24" s="19">
        <f t="shared" si="6"/>
        <v>0.28575349031370306</v>
      </c>
      <c r="L24" s="19">
        <f t="shared" si="6"/>
        <v>0.27685439386081662</v>
      </c>
      <c r="M24" s="19">
        <f t="shared" si="6"/>
        <v>0.27216472559245547</v>
      </c>
      <c r="N24" s="19">
        <f t="shared" si="6"/>
        <v>0.28027692813469951</v>
      </c>
      <c r="O24" s="19">
        <f t="shared" si="6"/>
        <v>0.34380449341656344</v>
      </c>
    </row>
    <row r="25" spans="1:15" ht="15">
      <c r="A25" s="2" t="s">
        <v>246</v>
      </c>
      <c r="B25" s="7">
        <v>6.51</v>
      </c>
      <c r="C25" s="7">
        <v>3.891</v>
      </c>
      <c r="D25" s="7">
        <v>-5.8620000000000001</v>
      </c>
      <c r="E25" s="7">
        <v>-7</v>
      </c>
      <c r="F25" s="134">
        <v>-9.2669999999999995</v>
      </c>
      <c r="G25" s="7">
        <v>-11.670999999999999</v>
      </c>
      <c r="H25" s="7">
        <v>0.371</v>
      </c>
      <c r="I25" s="7">
        <v>0.29199999999999998</v>
      </c>
      <c r="J25" s="7">
        <v>3.879</v>
      </c>
      <c r="K25" s="7">
        <v>-0.91200000000000003</v>
      </c>
      <c r="L25" s="7">
        <v>12.064</v>
      </c>
      <c r="M25" s="7">
        <v>9.4429999999999996</v>
      </c>
      <c r="N25" s="7">
        <v>9.7070000000000007</v>
      </c>
      <c r="O25" s="134">
        <v>-20.882999999999999</v>
      </c>
    </row>
    <row r="26" spans="1:15">
      <c r="A26" s="4" t="str">
        <f>$A$14</f>
        <v>As percentage of nominal GDP</v>
      </c>
      <c r="B26" s="19">
        <f t="shared" ref="B26:O26" si="7">B$25/B$9</f>
        <v>3.7123419688528239E-2</v>
      </c>
      <c r="C26" s="19">
        <f t="shared" si="7"/>
        <v>2.060812779051846E-2</v>
      </c>
      <c r="D26" s="19">
        <f t="shared" si="7"/>
        <v>-3.0953147853820036E-2</v>
      </c>
      <c r="E26" s="19">
        <f t="shared" si="7"/>
        <v>-3.5569286429300961E-2</v>
      </c>
      <c r="F26" s="19">
        <f t="shared" si="7"/>
        <v>-4.506199854121079E-2</v>
      </c>
      <c r="G26" s="19">
        <f t="shared" si="7"/>
        <v>-5.4289276111974247E-2</v>
      </c>
      <c r="H26" s="19">
        <f t="shared" si="7"/>
        <v>1.6955039439889587E-3</v>
      </c>
      <c r="I26" s="19">
        <f t="shared" si="7"/>
        <v>1.2327280863585128E-3</v>
      </c>
      <c r="J26" s="19">
        <f t="shared" si="7"/>
        <v>1.579551747727791E-2</v>
      </c>
      <c r="K26" s="19">
        <f t="shared" si="7"/>
        <v>-3.5251008828213175E-3</v>
      </c>
      <c r="L26" s="19">
        <f t="shared" si="7"/>
        <v>4.3751835988641345E-2</v>
      </c>
      <c r="M26" s="19">
        <f t="shared" si="7"/>
        <v>3.189599265003918E-2</v>
      </c>
      <c r="N26" s="19">
        <f t="shared" si="7"/>
        <v>3.1286561959124735E-2</v>
      </c>
      <c r="O26" s="19">
        <f t="shared" si="7"/>
        <v>-6.5970203947534681E-2</v>
      </c>
    </row>
    <row r="27" spans="1:15" ht="15">
      <c r="A27" s="2" t="s">
        <v>616</v>
      </c>
      <c r="B27" s="7">
        <v>73.915000000000006</v>
      </c>
      <c r="C27" s="7">
        <v>80.733000000000004</v>
      </c>
      <c r="D27" s="7">
        <v>78.698999999999998</v>
      </c>
      <c r="E27" s="7">
        <v>73.733000000000004</v>
      </c>
      <c r="F27" s="134">
        <v>80.647000000000006</v>
      </c>
      <c r="G27" s="7">
        <v>82.748999999999995</v>
      </c>
      <c r="H27" s="7">
        <v>85.677999999999997</v>
      </c>
      <c r="I27" s="7">
        <v>88.536000000000001</v>
      </c>
      <c r="J27" s="7">
        <v>93.805000000000007</v>
      </c>
      <c r="K27" s="7">
        <v>97.415999999999997</v>
      </c>
      <c r="L27" s="7">
        <v>103.422</v>
      </c>
      <c r="M27" s="7">
        <v>109.973</v>
      </c>
      <c r="N27" s="7">
        <v>119.142</v>
      </c>
      <c r="O27" s="134">
        <v>116.003</v>
      </c>
    </row>
    <row r="28" spans="1:15">
      <c r="A28" s="4" t="str">
        <f>$A$14</f>
        <v>As percentage of nominal GDP</v>
      </c>
      <c r="B28" s="19">
        <f t="shared" ref="B28:O28" si="8">B$27/B$9</f>
        <v>0.42150193030377342</v>
      </c>
      <c r="C28" s="19">
        <f t="shared" si="8"/>
        <v>0.42759084577536033</v>
      </c>
      <c r="D28" s="19">
        <f t="shared" si="8"/>
        <v>0.41555472244076813</v>
      </c>
      <c r="E28" s="19">
        <f t="shared" si="8"/>
        <v>0.37466145661309258</v>
      </c>
      <c r="F28" s="19">
        <f t="shared" si="8"/>
        <v>0.39215657670799903</v>
      </c>
      <c r="G28" s="19">
        <f t="shared" si="8"/>
        <v>0.38491845677232084</v>
      </c>
      <c r="H28" s="19">
        <f t="shared" si="8"/>
        <v>0.39155629895710514</v>
      </c>
      <c r="I28" s="19">
        <f t="shared" si="8"/>
        <v>0.3737699104583469</v>
      </c>
      <c r="J28" s="19">
        <f t="shared" si="8"/>
        <v>0.3819795093983126</v>
      </c>
      <c r="K28" s="19">
        <f t="shared" si="8"/>
        <v>0.37653643377294022</v>
      </c>
      <c r="L28" s="19">
        <f t="shared" si="8"/>
        <v>0.37507479953724016</v>
      </c>
      <c r="M28" s="19">
        <f t="shared" si="8"/>
        <v>0.37146012916475263</v>
      </c>
      <c r="N28" s="19">
        <f t="shared" si="8"/>
        <v>0.38400572421284013</v>
      </c>
      <c r="O28" s="19">
        <f t="shared" si="8"/>
        <v>0.36645795951376076</v>
      </c>
    </row>
    <row r="29" spans="1:15" ht="15">
      <c r="A29" s="2" t="s">
        <v>617</v>
      </c>
      <c r="B29" s="7">
        <v>68.055000000000007</v>
      </c>
      <c r="C29" s="7">
        <v>75.096000000000004</v>
      </c>
      <c r="D29" s="7">
        <v>82.591999999999999</v>
      </c>
      <c r="E29" s="7">
        <v>80.048000000000002</v>
      </c>
      <c r="F29" s="134">
        <v>99.043000000000006</v>
      </c>
      <c r="G29" s="7">
        <v>91.989000000000004</v>
      </c>
      <c r="H29" s="7">
        <v>90.03</v>
      </c>
      <c r="I29" s="7">
        <v>91.179000000000002</v>
      </c>
      <c r="J29" s="7">
        <v>93.063999999999993</v>
      </c>
      <c r="K29" s="7">
        <v>95.137</v>
      </c>
      <c r="L29" s="7">
        <v>99.007000000000005</v>
      </c>
      <c r="M29" s="7">
        <v>104.014</v>
      </c>
      <c r="N29" s="7">
        <v>111.376</v>
      </c>
      <c r="O29" s="134">
        <v>138.916</v>
      </c>
    </row>
    <row r="30" spans="1:15">
      <c r="A30" s="4" t="str">
        <f>$A$14</f>
        <v>As percentage of nominal GDP</v>
      </c>
      <c r="B30" s="19">
        <f t="shared" ref="B30:O30" si="9">B$29/B$9</f>
        <v>0.38808515006187244</v>
      </c>
      <c r="C30" s="19">
        <f t="shared" si="9"/>
        <v>0.39773527744969789</v>
      </c>
      <c r="D30" s="19">
        <f t="shared" si="9"/>
        <v>0.4361109497684586</v>
      </c>
      <c r="E30" s="19">
        <f t="shared" si="9"/>
        <v>0.40675003429895479</v>
      </c>
      <c r="F30" s="19">
        <f t="shared" si="9"/>
        <v>0.4816095307561391</v>
      </c>
      <c r="G30" s="19">
        <f t="shared" si="9"/>
        <v>0.42789959902873781</v>
      </c>
      <c r="H30" s="19">
        <f t="shared" si="9"/>
        <v>0.41144533713564946</v>
      </c>
      <c r="I30" s="19">
        <f t="shared" si="9"/>
        <v>0.38492778830850288</v>
      </c>
      <c r="J30" s="19">
        <f t="shared" si="9"/>
        <v>0.37896211356158582</v>
      </c>
      <c r="K30" s="19">
        <f t="shared" si="9"/>
        <v>0.36772754680808301</v>
      </c>
      <c r="L30" s="19">
        <f t="shared" si="9"/>
        <v>0.35906316526255089</v>
      </c>
      <c r="M30" s="19">
        <f t="shared" si="9"/>
        <v>0.35133218039830305</v>
      </c>
      <c r="N30" s="19">
        <f t="shared" si="9"/>
        <v>0.35897518540841422</v>
      </c>
      <c r="O30" s="19">
        <f t="shared" si="9"/>
        <v>0.43884101190325758</v>
      </c>
    </row>
    <row r="31" spans="1:15" ht="15">
      <c r="A31" s="2" t="s">
        <v>564</v>
      </c>
      <c r="B31" s="7">
        <v>8.0220000000000002</v>
      </c>
      <c r="C31" s="7">
        <v>2.3839999999999999</v>
      </c>
      <c r="D31" s="7">
        <v>-10.505000000000001</v>
      </c>
      <c r="E31" s="7">
        <v>-4.5090000000000003</v>
      </c>
      <c r="F31" s="134">
        <v>-13.36</v>
      </c>
      <c r="G31" s="7">
        <v>-14.897</v>
      </c>
      <c r="H31" s="7">
        <v>6.9249999999999998</v>
      </c>
      <c r="I31" s="7">
        <v>2.9390000000000001</v>
      </c>
      <c r="J31" s="7">
        <v>5.7709999999999999</v>
      </c>
      <c r="K31" s="7">
        <v>-5.3689999999999998</v>
      </c>
      <c r="L31" s="7">
        <v>12.317</v>
      </c>
      <c r="M31" s="7">
        <v>8.3960000000000008</v>
      </c>
      <c r="N31" s="7">
        <v>0.32900000000000001</v>
      </c>
      <c r="O31" s="134">
        <v>-30.04</v>
      </c>
    </row>
    <row r="32" spans="1:15">
      <c r="A32" s="4" t="str">
        <f>$A$14</f>
        <v>As percentage of nominal GDP</v>
      </c>
      <c r="B32" s="19">
        <f t="shared" ref="B32:O32" si="10">B$31/B$9</f>
        <v>4.5745633293605766E-2</v>
      </c>
      <c r="C32" s="19">
        <f t="shared" si="10"/>
        <v>1.2626516744434851E-2</v>
      </c>
      <c r="D32" s="19">
        <f t="shared" si="10"/>
        <v>-5.5469603924322673E-2</v>
      </c>
      <c r="E32" s="19">
        <f t="shared" si="10"/>
        <v>-2.2911701787102577E-2</v>
      </c>
      <c r="F32" s="19">
        <f t="shared" si="10"/>
        <v>-6.4964745927546794E-2</v>
      </c>
      <c r="G32" s="19">
        <f t="shared" si="10"/>
        <v>-6.9295462791541459E-2</v>
      </c>
      <c r="H32" s="19">
        <f t="shared" si="10"/>
        <v>3.1647883590629484E-2</v>
      </c>
      <c r="I32" s="19">
        <f t="shared" si="10"/>
        <v>1.2407492622629005E-2</v>
      </c>
      <c r="J32" s="19">
        <f t="shared" si="10"/>
        <v>2.3499853405870279E-2</v>
      </c>
      <c r="K32" s="19">
        <f t="shared" si="10"/>
        <v>-2.0752485350732076E-2</v>
      </c>
      <c r="L32" s="19">
        <f t="shared" si="10"/>
        <v>4.4669376978787756E-2</v>
      </c>
      <c r="M32" s="19">
        <f t="shared" si="10"/>
        <v>2.8359499554138412E-2</v>
      </c>
      <c r="N32" s="19">
        <f t="shared" si="10"/>
        <v>1.0603975362678518E-3</v>
      </c>
      <c r="O32" s="19">
        <f t="shared" si="10"/>
        <v>-9.4897520786474246E-2</v>
      </c>
    </row>
    <row r="33" spans="1:15" ht="15">
      <c r="A33" s="2" t="s">
        <v>621</v>
      </c>
      <c r="B33" s="7">
        <v>53.476999999999997</v>
      </c>
      <c r="C33" s="7">
        <v>56.747</v>
      </c>
      <c r="D33" s="7">
        <v>54.680999999999997</v>
      </c>
      <c r="E33" s="7">
        <v>50.744</v>
      </c>
      <c r="F33" s="134">
        <v>51.557000000000002</v>
      </c>
      <c r="G33" s="7">
        <v>55.081000000000003</v>
      </c>
      <c r="H33" s="7">
        <v>58.651000000000003</v>
      </c>
      <c r="I33" s="7">
        <v>61.563000000000002</v>
      </c>
      <c r="J33" s="7">
        <v>66.635999999999996</v>
      </c>
      <c r="K33" s="7">
        <v>70.444999999999993</v>
      </c>
      <c r="L33" s="7">
        <v>75.644000000000005</v>
      </c>
      <c r="M33" s="7">
        <v>80.224000000000004</v>
      </c>
      <c r="N33" s="7">
        <v>86.468000000000004</v>
      </c>
      <c r="O33" s="134">
        <v>85.102000000000004</v>
      </c>
    </row>
    <row r="34" spans="1:15">
      <c r="A34" s="4" t="str">
        <f>$A$14</f>
        <v>As percentage of nominal GDP</v>
      </c>
      <c r="B34" s="19">
        <f t="shared" ref="B34:O34" si="11">B$33/B$9</f>
        <v>0.30495378105736165</v>
      </c>
      <c r="C34" s="19">
        <f t="shared" si="11"/>
        <v>0.300552410107569</v>
      </c>
      <c r="D34" s="19">
        <f t="shared" si="11"/>
        <v>0.28873235718095075</v>
      </c>
      <c r="E34" s="19">
        <f t="shared" si="11"/>
        <v>0.25784683865263541</v>
      </c>
      <c r="F34" s="19">
        <f t="shared" si="11"/>
        <v>0.25070265013372234</v>
      </c>
      <c r="G34" s="19">
        <f t="shared" si="11"/>
        <v>0.25621691521923173</v>
      </c>
      <c r="H34" s="19">
        <f t="shared" si="11"/>
        <v>0.26804043616953216</v>
      </c>
      <c r="I34" s="19">
        <f t="shared" si="11"/>
        <v>0.25989876431674358</v>
      </c>
      <c r="J34" s="19">
        <f t="shared" si="11"/>
        <v>0.27134573411082513</v>
      </c>
      <c r="K34" s="19">
        <f t="shared" si="11"/>
        <v>0.27228698650257421</v>
      </c>
      <c r="L34" s="19">
        <f t="shared" si="11"/>
        <v>0.2743338761210864</v>
      </c>
      <c r="M34" s="19">
        <f t="shared" si="11"/>
        <v>0.27097576134244877</v>
      </c>
      <c r="N34" s="19">
        <f t="shared" si="11"/>
        <v>0.27869438956233622</v>
      </c>
      <c r="O34" s="19">
        <f t="shared" si="11"/>
        <v>0.26884050645707497</v>
      </c>
    </row>
    <row r="35" spans="1:15" ht="15">
      <c r="A35" s="2" t="s">
        <v>620</v>
      </c>
      <c r="B35" s="7">
        <v>53.064</v>
      </c>
      <c r="C35" s="7">
        <v>56.372</v>
      </c>
      <c r="D35" s="7">
        <v>54.145000000000003</v>
      </c>
      <c r="E35" s="7">
        <v>50.347000000000001</v>
      </c>
      <c r="F35" s="134">
        <v>51.128</v>
      </c>
      <c r="G35" s="7">
        <v>54.664999999999999</v>
      </c>
      <c r="H35" s="7">
        <v>58.134</v>
      </c>
      <c r="I35" s="7">
        <v>60.968000000000004</v>
      </c>
      <c r="J35" s="7">
        <v>66.055000000000007</v>
      </c>
      <c r="K35" s="7">
        <v>69.668000000000006</v>
      </c>
      <c r="L35" s="7">
        <v>74.972999999999999</v>
      </c>
      <c r="M35" s="7">
        <v>79.596000000000004</v>
      </c>
      <c r="N35" s="7">
        <v>85.722999999999999</v>
      </c>
      <c r="O35" s="134">
        <v>84.521000000000001</v>
      </c>
    </row>
    <row r="36" spans="1:15">
      <c r="A36" s="4" t="str">
        <f>$A$14</f>
        <v>As percentage of nominal GDP</v>
      </c>
      <c r="B36" s="19">
        <f t="shared" ref="B36:O36" si="12">B$35/B$9</f>
        <v>0.30259863937819698</v>
      </c>
      <c r="C36" s="19">
        <f t="shared" si="12"/>
        <v>0.29856627597201407</v>
      </c>
      <c r="D36" s="19">
        <f t="shared" si="12"/>
        <v>0.28590211370608765</v>
      </c>
      <c r="E36" s="19">
        <f t="shared" si="12"/>
        <v>0.2558295519794308</v>
      </c>
      <c r="F36" s="19">
        <f t="shared" si="12"/>
        <v>0.24861658157062971</v>
      </c>
      <c r="G36" s="19">
        <f t="shared" si="12"/>
        <v>0.25428183348993849</v>
      </c>
      <c r="H36" s="19">
        <f t="shared" si="12"/>
        <v>0.26567769886753134</v>
      </c>
      <c r="I36" s="19">
        <f t="shared" si="12"/>
        <v>0.2573868697572117</v>
      </c>
      <c r="J36" s="19">
        <f t="shared" si="12"/>
        <v>0.26897986773951854</v>
      </c>
      <c r="K36" s="19">
        <f t="shared" si="12"/>
        <v>0.2692836933162232</v>
      </c>
      <c r="L36" s="19">
        <f t="shared" si="12"/>
        <v>0.27190039784287201</v>
      </c>
      <c r="M36" s="19">
        <f t="shared" si="12"/>
        <v>0.26885454103277762</v>
      </c>
      <c r="N36" s="19">
        <f t="shared" si="12"/>
        <v>0.27629318541486036</v>
      </c>
      <c r="O36" s="19">
        <f t="shared" si="12"/>
        <v>0.26700510500644442</v>
      </c>
    </row>
    <row r="37" spans="1:15" ht="15">
      <c r="A37" s="2" t="s">
        <v>574</v>
      </c>
      <c r="B37" s="7">
        <v>96.826999999999998</v>
      </c>
      <c r="C37" s="7">
        <v>105.514</v>
      </c>
      <c r="D37" s="7">
        <v>99.515000000000001</v>
      </c>
      <c r="E37" s="7">
        <v>94.988</v>
      </c>
      <c r="F37" s="134">
        <v>80.887</v>
      </c>
      <c r="G37" s="7">
        <v>59.78</v>
      </c>
      <c r="H37" s="7">
        <v>70.010999999999996</v>
      </c>
      <c r="I37" s="7">
        <v>80.697000000000003</v>
      </c>
      <c r="J37" s="7">
        <v>92.236000000000004</v>
      </c>
      <c r="K37" s="7">
        <v>95.521000000000001</v>
      </c>
      <c r="L37" s="7">
        <v>116.47199999999999</v>
      </c>
      <c r="M37" s="7">
        <v>135.637</v>
      </c>
      <c r="N37" s="7">
        <v>143.339</v>
      </c>
      <c r="O37" s="134">
        <v>115.943</v>
      </c>
    </row>
    <row r="38" spans="1:15">
      <c r="A38" s="4" t="str">
        <f>$A$14</f>
        <v>As percentage of nominal GDP</v>
      </c>
      <c r="B38" s="19">
        <f t="shared" ref="B38:O38" si="13">B$37/B$9</f>
        <v>0.55215811953627092</v>
      </c>
      <c r="C38" s="19">
        <f t="shared" si="13"/>
        <v>0.55883988581052813</v>
      </c>
      <c r="D38" s="19">
        <f t="shared" si="13"/>
        <v>0.52546955112127269</v>
      </c>
      <c r="E38" s="19">
        <f t="shared" si="13"/>
        <v>0.48266505419234851</v>
      </c>
      <c r="F38" s="19">
        <f t="shared" si="13"/>
        <v>0.39332360807196692</v>
      </c>
      <c r="G38" s="19">
        <f t="shared" si="13"/>
        <v>0.27807496581045504</v>
      </c>
      <c r="H38" s="19">
        <f t="shared" si="13"/>
        <v>0.31995667553264417</v>
      </c>
      <c r="I38" s="19">
        <f t="shared" si="13"/>
        <v>0.34067622734545516</v>
      </c>
      <c r="J38" s="19">
        <f t="shared" si="13"/>
        <v>0.37559044857803697</v>
      </c>
      <c r="K38" s="19">
        <f t="shared" si="13"/>
        <v>0.3692117998113762</v>
      </c>
      <c r="L38" s="19">
        <f t="shared" si="13"/>
        <v>0.4224025067364916</v>
      </c>
      <c r="M38" s="19">
        <f t="shared" si="13"/>
        <v>0.45814643175615427</v>
      </c>
      <c r="N38" s="19">
        <f t="shared" si="13"/>
        <v>0.46199490106716601</v>
      </c>
      <c r="O38" s="19">
        <f t="shared" si="13"/>
        <v>0.36626841719527908</v>
      </c>
    </row>
    <row r="39" spans="1:15" ht="15">
      <c r="A39" s="2" t="s">
        <v>618</v>
      </c>
      <c r="B39" s="7">
        <v>96.457999999999998</v>
      </c>
      <c r="C39" s="7">
        <v>105.13199999999999</v>
      </c>
      <c r="D39" s="7">
        <v>99.067999999999998</v>
      </c>
      <c r="E39" s="7">
        <v>94.585999999999999</v>
      </c>
      <c r="F39" s="134">
        <v>80.578999999999994</v>
      </c>
      <c r="G39" s="7">
        <v>59.347999999999999</v>
      </c>
      <c r="H39" s="7">
        <v>68.070999999999998</v>
      </c>
      <c r="I39" s="7">
        <v>75.486000000000004</v>
      </c>
      <c r="J39" s="7">
        <v>86.454000000000008</v>
      </c>
      <c r="K39" s="7">
        <v>89.366</v>
      </c>
      <c r="L39" s="7">
        <v>110.532</v>
      </c>
      <c r="M39" s="7">
        <v>129.64400000000001</v>
      </c>
      <c r="N39" s="7">
        <v>136.94900000000001</v>
      </c>
      <c r="O39" s="134">
        <v>110.32</v>
      </c>
    </row>
    <row r="40" spans="1:15">
      <c r="A40" s="4" t="str">
        <f>$A$14</f>
        <v>As percentage of nominal GDP</v>
      </c>
      <c r="B40" s="19">
        <f t="shared" ref="B40:O40" si="14">B$39/B$9</f>
        <v>0.55005388883503181</v>
      </c>
      <c r="C40" s="19">
        <f t="shared" si="14"/>
        <v>0.55681667717110939</v>
      </c>
      <c r="D40" s="19">
        <f t="shared" si="14"/>
        <v>0.5231092547905567</v>
      </c>
      <c r="E40" s="19">
        <f t="shared" si="14"/>
        <v>0.48062236088598009</v>
      </c>
      <c r="F40" s="19">
        <f t="shared" si="14"/>
        <v>0.39182591782154141</v>
      </c>
      <c r="G40" s="19">
        <f t="shared" si="14"/>
        <v>0.27606545786080433</v>
      </c>
      <c r="H40" s="19">
        <f t="shared" si="14"/>
        <v>0.31109069803577466</v>
      </c>
      <c r="I40" s="19">
        <f t="shared" si="14"/>
        <v>0.31867709700979008</v>
      </c>
      <c r="J40" s="19">
        <f t="shared" si="14"/>
        <v>0.35204580252141909</v>
      </c>
      <c r="K40" s="19">
        <f t="shared" si="14"/>
        <v>0.34542123409452835</v>
      </c>
      <c r="L40" s="19">
        <f t="shared" si="14"/>
        <v>0.40086024001131509</v>
      </c>
      <c r="M40" s="19">
        <f t="shared" si="14"/>
        <v>0.43790363985191993</v>
      </c>
      <c r="N40" s="19">
        <f t="shared" si="14"/>
        <v>0.4413993379767357</v>
      </c>
      <c r="O40" s="19">
        <f t="shared" si="14"/>
        <v>0.34850514291490808</v>
      </c>
    </row>
    <row r="41" spans="1:15" ht="15">
      <c r="A41" s="2" t="s">
        <v>252</v>
      </c>
      <c r="B41" s="7">
        <v>50.792999999999999</v>
      </c>
      <c r="C41" s="7">
        <v>56.982999999999997</v>
      </c>
      <c r="D41" s="7">
        <v>53.07</v>
      </c>
      <c r="E41" s="7">
        <v>44.668999999999997</v>
      </c>
      <c r="F41" s="134">
        <v>34.930999999999997</v>
      </c>
      <c r="G41" s="7">
        <v>23.370999999999999</v>
      </c>
      <c r="H41" s="7">
        <v>25.613</v>
      </c>
      <c r="I41" s="7">
        <v>28.675999999999998</v>
      </c>
      <c r="J41" s="7">
        <v>33.402000000000001</v>
      </c>
      <c r="K41" s="7">
        <v>36.619</v>
      </c>
      <c r="L41" s="7">
        <v>51.747999999999998</v>
      </c>
      <c r="M41" s="7">
        <v>62.521000000000001</v>
      </c>
      <c r="N41" s="7">
        <v>68.543999999999997</v>
      </c>
      <c r="O41" s="134">
        <v>47.116</v>
      </c>
    </row>
    <row r="42" spans="1:15">
      <c r="A42" s="4" t="str">
        <f>$A$14</f>
        <v>As percentage of nominal GDP</v>
      </c>
      <c r="B42" s="19">
        <f t="shared" ref="B42:O42" si="15">B$41/B$9</f>
        <v>0.28964821140390395</v>
      </c>
      <c r="C42" s="19">
        <f t="shared" si="15"/>
        <v>0.30180235052354493</v>
      </c>
      <c r="D42" s="19">
        <f t="shared" si="15"/>
        <v>0.28022578584139018</v>
      </c>
      <c r="E42" s="19">
        <f t="shared" si="15"/>
        <v>0.22697777935863492</v>
      </c>
      <c r="F42" s="19">
        <f t="shared" si="15"/>
        <v>0.16985655239484559</v>
      </c>
      <c r="G42" s="19">
        <f t="shared" si="15"/>
        <v>0.10871344974834633</v>
      </c>
      <c r="H42" s="19">
        <f t="shared" si="15"/>
        <v>0.11705375341614339</v>
      </c>
      <c r="I42" s="19">
        <f t="shared" si="15"/>
        <v>0.12106065275485176</v>
      </c>
      <c r="J42" s="19">
        <f t="shared" si="15"/>
        <v>0.13601492002475812</v>
      </c>
      <c r="K42" s="19">
        <f t="shared" si="15"/>
        <v>0.14154130397810727</v>
      </c>
      <c r="L42" s="19">
        <f t="shared" si="15"/>
        <v>0.1876715856051237</v>
      </c>
      <c r="M42" s="19">
        <f t="shared" si="15"/>
        <v>0.21117964168941011</v>
      </c>
      <c r="N42" s="19">
        <f t="shared" si="15"/>
        <v>0.22092367393903839</v>
      </c>
      <c r="O42" s="19">
        <f t="shared" si="15"/>
        <v>0.14884126462634889</v>
      </c>
    </row>
    <row r="43" spans="1:15" ht="15">
      <c r="A43" s="2" t="s">
        <v>619</v>
      </c>
      <c r="B43" s="7">
        <v>41.898000000000003</v>
      </c>
      <c r="C43" s="7">
        <v>46.11</v>
      </c>
      <c r="D43" s="7">
        <v>61.953000000000003</v>
      </c>
      <c r="E43" s="7">
        <v>69.733000000000004</v>
      </c>
      <c r="F43" s="134">
        <v>90.245000000000005</v>
      </c>
      <c r="G43" s="7">
        <v>100.53400000000001</v>
      </c>
      <c r="H43" s="7">
        <v>100.087</v>
      </c>
      <c r="I43" s="7">
        <v>103.419</v>
      </c>
      <c r="J43" s="7">
        <v>112.58</v>
      </c>
      <c r="K43" s="7">
        <v>113.956</v>
      </c>
      <c r="L43" s="7">
        <v>111.806</v>
      </c>
      <c r="M43" s="7">
        <v>115.652</v>
      </c>
      <c r="N43" s="7">
        <v>110.248</v>
      </c>
      <c r="O43" s="134">
        <v>152.71700000000001</v>
      </c>
    </row>
    <row r="44" spans="1:15">
      <c r="A44" s="4" t="str">
        <f>$A$14</f>
        <v>As percentage of nominal GDP</v>
      </c>
      <c r="B44" s="19">
        <f t="shared" ref="B44:O44" si="16">B$43/B$9</f>
        <v>0.23892427620736656</v>
      </c>
      <c r="C44" s="19">
        <f t="shared" si="16"/>
        <v>0.24421505330784019</v>
      </c>
      <c r="D44" s="19">
        <f t="shared" si="16"/>
        <v>0.32713073507125773</v>
      </c>
      <c r="E44" s="19">
        <f t="shared" si="16"/>
        <v>0.35433615008206343</v>
      </c>
      <c r="F44" s="19">
        <f t="shared" si="16"/>
        <v>0.43882810600534888</v>
      </c>
      <c r="G44" s="19">
        <f t="shared" si="16"/>
        <v>0.4676478523383788</v>
      </c>
      <c r="H44" s="19">
        <f t="shared" si="16"/>
        <v>0.45740674728308062</v>
      </c>
      <c r="I44" s="19">
        <f t="shared" si="16"/>
        <v>0.43660104781887343</v>
      </c>
      <c r="J44" s="19">
        <f t="shared" si="16"/>
        <v>0.45843242010619933</v>
      </c>
      <c r="K44" s="19">
        <f t="shared" si="16"/>
        <v>0.44046753969603736</v>
      </c>
      <c r="L44" s="19">
        <f t="shared" si="16"/>
        <v>0.40548058476011556</v>
      </c>
      <c r="M44" s="19">
        <f t="shared" si="16"/>
        <v>0.39064231091415141</v>
      </c>
      <c r="N44" s="19">
        <f t="shared" si="16"/>
        <v>0.35533953671263868</v>
      </c>
      <c r="O44" s="19">
        <f t="shared" si="16"/>
        <v>0.4824389041926761</v>
      </c>
    </row>
    <row r="46" spans="1:15" ht="16.5">
      <c r="A46" s="54" t="s">
        <v>777</v>
      </c>
    </row>
    <row r="47" spans="1:15">
      <c r="A47" s="1" t="s">
        <v>145</v>
      </c>
      <c r="B47" s="6">
        <v>16.620999999999999</v>
      </c>
      <c r="C47" s="6">
        <v>17.73</v>
      </c>
      <c r="D47" s="6">
        <v>19.189</v>
      </c>
      <c r="E47" s="6">
        <v>20.814</v>
      </c>
      <c r="F47" s="171">
        <v>21.724</v>
      </c>
      <c r="G47" s="6">
        <v>21.956</v>
      </c>
      <c r="H47" s="6">
        <v>22.459</v>
      </c>
      <c r="I47" s="6">
        <v>23.026</v>
      </c>
      <c r="J47" s="6">
        <v>23.523</v>
      </c>
      <c r="K47" s="6">
        <v>24.081</v>
      </c>
      <c r="L47" s="6">
        <v>25.294</v>
      </c>
      <c r="M47" s="104">
        <v>25.998999999999999</v>
      </c>
      <c r="N47" s="131">
        <v>28.74</v>
      </c>
      <c r="O47" s="171">
        <v>44.027999999999999</v>
      </c>
    </row>
    <row r="48" spans="1:15">
      <c r="A48" s="1" t="s">
        <v>146</v>
      </c>
      <c r="B48" s="6">
        <v>0.64500000000000002</v>
      </c>
      <c r="C48" s="6">
        <v>0.69</v>
      </c>
      <c r="D48" s="6">
        <v>0.65500000000000003</v>
      </c>
      <c r="E48" s="6">
        <v>0.32800000000000001</v>
      </c>
      <c r="F48" s="171">
        <v>0.30499999999999999</v>
      </c>
      <c r="G48" s="6">
        <v>0.192</v>
      </c>
      <c r="H48" s="6">
        <v>0.27800000000000002</v>
      </c>
      <c r="I48" s="6">
        <v>0.28199999999999997</v>
      </c>
      <c r="J48" s="6">
        <v>0.35799999999999998</v>
      </c>
      <c r="K48" s="6">
        <v>0.27100000000000002</v>
      </c>
      <c r="L48" s="6">
        <v>0.217</v>
      </c>
      <c r="M48" s="104">
        <v>0.15</v>
      </c>
      <c r="N48" s="131">
        <v>6.6000000000000003E-2</v>
      </c>
      <c r="O48" s="171">
        <v>7.2999999999999995E-2</v>
      </c>
    </row>
    <row r="49" spans="1:15">
      <c r="A49" s="1" t="s">
        <v>147</v>
      </c>
      <c r="B49" s="6">
        <v>10.355</v>
      </c>
      <c r="C49" s="6">
        <v>11.297000000000001</v>
      </c>
      <c r="D49" s="6">
        <v>12.368</v>
      </c>
      <c r="E49" s="6">
        <v>13.128</v>
      </c>
      <c r="F49" s="171">
        <v>13.753</v>
      </c>
      <c r="G49" s="6">
        <v>14.16</v>
      </c>
      <c r="H49" s="6">
        <v>14.497999999999999</v>
      </c>
      <c r="I49" s="6">
        <v>14.898</v>
      </c>
      <c r="J49" s="6">
        <v>15.058</v>
      </c>
      <c r="K49" s="6">
        <v>15.625999999999999</v>
      </c>
      <c r="L49" s="6">
        <v>16.222999999999999</v>
      </c>
      <c r="M49" s="104">
        <v>17.158999999999999</v>
      </c>
      <c r="N49" s="131">
        <v>18.268000000000001</v>
      </c>
      <c r="O49" s="171">
        <v>19.890999999999998</v>
      </c>
    </row>
    <row r="50" spans="1:15">
      <c r="A50" s="1" t="s">
        <v>148</v>
      </c>
      <c r="B50" s="6">
        <v>9.2690000000000001</v>
      </c>
      <c r="C50" s="6">
        <v>9.5510000000000002</v>
      </c>
      <c r="D50" s="6">
        <v>11.455</v>
      </c>
      <c r="E50" s="6">
        <v>11.724</v>
      </c>
      <c r="F50" s="171">
        <v>11.65</v>
      </c>
      <c r="G50" s="6">
        <v>11.654</v>
      </c>
      <c r="H50" s="6">
        <v>12.504</v>
      </c>
      <c r="I50" s="6">
        <v>12.3</v>
      </c>
      <c r="J50" s="6">
        <v>12.879</v>
      </c>
      <c r="K50" s="6">
        <v>13.157999999999999</v>
      </c>
      <c r="L50" s="6">
        <v>13.281000000000001</v>
      </c>
      <c r="M50" s="104">
        <v>13.629</v>
      </c>
      <c r="N50" s="131">
        <v>14.292999999999999</v>
      </c>
      <c r="O50" s="171">
        <v>16.321999999999999</v>
      </c>
    </row>
    <row r="51" spans="1:15">
      <c r="A51" s="1" t="s">
        <v>149</v>
      </c>
      <c r="B51" s="6">
        <v>4.8170000000000002</v>
      </c>
      <c r="C51" s="6">
        <v>3.371</v>
      </c>
      <c r="D51" s="6">
        <v>5.2930000000000001</v>
      </c>
      <c r="E51" s="6">
        <v>2.9740000000000002</v>
      </c>
      <c r="F51" s="171">
        <v>5.5629999999999997</v>
      </c>
      <c r="G51" s="6">
        <v>5.4279999999999999</v>
      </c>
      <c r="H51" s="6">
        <v>4.2939999999999996</v>
      </c>
      <c r="I51" s="6">
        <v>4.5019999999999998</v>
      </c>
      <c r="J51" s="6">
        <v>4.1340000000000003</v>
      </c>
      <c r="K51" s="6">
        <v>4.1020000000000003</v>
      </c>
      <c r="L51" s="6">
        <v>3.9569999999999999</v>
      </c>
      <c r="M51" s="104">
        <v>4.67</v>
      </c>
      <c r="N51" s="131">
        <v>5.1660000000000004</v>
      </c>
      <c r="O51" s="171">
        <v>6.0830000000000002</v>
      </c>
    </row>
    <row r="52" spans="1:15">
      <c r="A52" s="1" t="s">
        <v>150</v>
      </c>
      <c r="B52" s="6">
        <v>2.6059999999999999</v>
      </c>
      <c r="C52" s="6">
        <v>2.7970000000000002</v>
      </c>
      <c r="D52" s="6">
        <v>2.992</v>
      </c>
      <c r="E52" s="6">
        <v>3.1030000000000002</v>
      </c>
      <c r="F52" s="171">
        <v>3.3119999999999998</v>
      </c>
      <c r="G52" s="6">
        <v>3.3380000000000001</v>
      </c>
      <c r="H52" s="6">
        <v>3.3940000000000001</v>
      </c>
      <c r="I52" s="6">
        <v>3.4630000000000001</v>
      </c>
      <c r="J52" s="6">
        <v>3.5150000000000001</v>
      </c>
      <c r="K52" s="6">
        <v>3.6480000000000001</v>
      </c>
      <c r="L52" s="6">
        <v>3.8820000000000001</v>
      </c>
      <c r="M52" s="104">
        <v>4.1840000000000002</v>
      </c>
      <c r="N52" s="131">
        <v>4.625</v>
      </c>
      <c r="O52" s="171">
        <v>4.9109999999999996</v>
      </c>
    </row>
    <row r="53" spans="1:15">
      <c r="A53" s="1" t="s">
        <v>151</v>
      </c>
      <c r="B53" s="6">
        <v>1.5169999999999999</v>
      </c>
      <c r="C53" s="6">
        <v>1.5620000000000001</v>
      </c>
      <c r="D53" s="6">
        <v>1.7569999999999999</v>
      </c>
      <c r="E53" s="6">
        <v>1.8140000000000001</v>
      </c>
      <c r="F53" s="171">
        <v>1.8089999999999999</v>
      </c>
      <c r="G53" s="6">
        <v>1.736</v>
      </c>
      <c r="H53" s="6">
        <v>1.804</v>
      </c>
      <c r="I53" s="6">
        <v>1.8109999999999999</v>
      </c>
      <c r="J53" s="6">
        <v>1.9610000000000001</v>
      </c>
      <c r="K53" s="6">
        <v>2.0259999999999998</v>
      </c>
      <c r="L53" s="6">
        <v>2.1459999999999999</v>
      </c>
      <c r="M53" s="104">
        <v>2.2509999999999999</v>
      </c>
      <c r="N53" s="131">
        <v>2.395</v>
      </c>
      <c r="O53" s="171">
        <v>2.4990000000000001</v>
      </c>
    </row>
    <row r="54" spans="1:15">
      <c r="A54" s="1" t="s">
        <v>152</v>
      </c>
      <c r="B54" s="6">
        <v>2.4049999999999998</v>
      </c>
      <c r="C54" s="6">
        <v>2.2440000000000002</v>
      </c>
      <c r="D54" s="6">
        <v>2.6629999999999998</v>
      </c>
      <c r="E54" s="6">
        <v>2.3450000000000002</v>
      </c>
      <c r="F54" s="171">
        <v>2.2810000000000001</v>
      </c>
      <c r="G54" s="6">
        <v>2.2320000000000002</v>
      </c>
      <c r="H54" s="6">
        <v>2.2549999999999999</v>
      </c>
      <c r="I54" s="6">
        <v>2.2370000000000001</v>
      </c>
      <c r="J54" s="6">
        <v>2.2909999999999999</v>
      </c>
      <c r="K54" s="6">
        <v>2.1779999999999999</v>
      </c>
      <c r="L54" s="6">
        <v>2.1760000000000002</v>
      </c>
      <c r="M54" s="104">
        <v>2.5590000000000002</v>
      </c>
      <c r="N54" s="131">
        <v>2.8889999999999998</v>
      </c>
      <c r="O54" s="171">
        <v>3.1789999999999998</v>
      </c>
    </row>
    <row r="55" spans="1:15">
      <c r="A55" s="1" t="s">
        <v>153</v>
      </c>
      <c r="B55" s="6">
        <v>1.595</v>
      </c>
      <c r="C55" s="6">
        <v>2.8889999999999998</v>
      </c>
      <c r="D55" s="6">
        <v>2.96</v>
      </c>
      <c r="E55" s="6">
        <v>2.806</v>
      </c>
      <c r="F55" s="171">
        <v>2.5419999999999998</v>
      </c>
      <c r="G55" s="6">
        <v>2.073</v>
      </c>
      <c r="H55" s="6">
        <v>1.978</v>
      </c>
      <c r="I55" s="6">
        <v>2.0579999999999998</v>
      </c>
      <c r="J55" s="6">
        <v>2.2280000000000002</v>
      </c>
      <c r="K55" s="6">
        <v>2.1070000000000002</v>
      </c>
      <c r="L55" s="6">
        <v>2.544</v>
      </c>
      <c r="M55" s="104">
        <v>2.7320000000000002</v>
      </c>
      <c r="N55" s="131">
        <v>3.0059999999999998</v>
      </c>
      <c r="O55" s="171">
        <v>3.988</v>
      </c>
    </row>
    <row r="56" spans="1:15">
      <c r="A56" s="1" t="s">
        <v>155</v>
      </c>
      <c r="B56" s="6">
        <v>0.52300000000000002</v>
      </c>
      <c r="C56" s="6">
        <v>0.56100000000000005</v>
      </c>
      <c r="D56" s="6">
        <v>0.58599999999999997</v>
      </c>
      <c r="E56" s="6">
        <v>0.63</v>
      </c>
      <c r="F56" s="171">
        <v>0.74099999999999999</v>
      </c>
      <c r="G56" s="6">
        <v>0.86299999999999999</v>
      </c>
      <c r="H56" s="6">
        <v>0.80400000000000005</v>
      </c>
      <c r="I56" s="6">
        <v>0.84199999999999997</v>
      </c>
      <c r="J56" s="6">
        <v>0.77800000000000002</v>
      </c>
      <c r="K56" s="6">
        <v>0.78700000000000003</v>
      </c>
      <c r="L56" s="6">
        <v>0.85</v>
      </c>
      <c r="M56" s="104">
        <v>0.85</v>
      </c>
      <c r="N56" s="131">
        <v>0.91800000000000004</v>
      </c>
      <c r="O56" s="171">
        <v>1.1060000000000001</v>
      </c>
    </row>
    <row r="57" spans="1:15">
      <c r="A57" s="1" t="s">
        <v>154</v>
      </c>
      <c r="B57" s="6">
        <v>0.438</v>
      </c>
      <c r="C57" s="6">
        <v>0.54100000000000004</v>
      </c>
      <c r="D57" s="6">
        <v>0.53400000000000003</v>
      </c>
      <c r="E57" s="6">
        <v>0.50700000000000001</v>
      </c>
      <c r="F57" s="171">
        <v>0.70599999999999996</v>
      </c>
      <c r="G57" s="6">
        <v>0.64800000000000002</v>
      </c>
      <c r="H57" s="6">
        <v>0.65900000000000003</v>
      </c>
      <c r="I57" s="6">
        <v>0.67600000000000005</v>
      </c>
      <c r="J57" s="6">
        <v>0.66700000000000004</v>
      </c>
      <c r="K57" s="6">
        <v>0.749</v>
      </c>
      <c r="L57" s="6">
        <v>0.64400000000000002</v>
      </c>
      <c r="M57" s="104">
        <v>0.80700000000000005</v>
      </c>
      <c r="N57" s="131">
        <v>0.96</v>
      </c>
      <c r="O57" s="171">
        <v>0.96099999999999997</v>
      </c>
    </row>
    <row r="58" spans="1:15">
      <c r="A58" s="1" t="s">
        <v>156</v>
      </c>
      <c r="B58" s="6">
        <v>0.255</v>
      </c>
      <c r="C58" s="6">
        <v>0.26</v>
      </c>
      <c r="D58" s="6">
        <v>0.29699999999999999</v>
      </c>
      <c r="E58" s="6">
        <v>0.33900000000000002</v>
      </c>
      <c r="F58" s="171">
        <v>0.94299999999999995</v>
      </c>
      <c r="G58" s="6">
        <v>-4.5999999999999999E-2</v>
      </c>
      <c r="H58" s="6">
        <v>0.28299999999999997</v>
      </c>
      <c r="I58" s="6">
        <v>0.34699999999999998</v>
      </c>
      <c r="J58" s="6">
        <v>0.32</v>
      </c>
      <c r="K58" s="6">
        <v>0.55800000000000005</v>
      </c>
      <c r="L58" s="6">
        <v>0.53900000000000003</v>
      </c>
      <c r="M58" s="104">
        <v>0.55200000000000005</v>
      </c>
      <c r="N58" s="131">
        <v>0.72699999999999998</v>
      </c>
      <c r="O58" s="171">
        <v>1.0149999999999999</v>
      </c>
    </row>
    <row r="59" spans="1:15">
      <c r="A59" s="1" t="s">
        <v>157</v>
      </c>
      <c r="B59" s="6">
        <v>0.32100000000000001</v>
      </c>
      <c r="C59" s="6">
        <v>0.54600000000000004</v>
      </c>
      <c r="D59" s="6">
        <v>0.41599999999999998</v>
      </c>
      <c r="E59" s="6">
        <v>0.65100000000000002</v>
      </c>
      <c r="F59" s="171">
        <v>1.2250000000000001</v>
      </c>
      <c r="G59" s="6">
        <v>0.76900000000000002</v>
      </c>
      <c r="H59" s="6">
        <v>0.53</v>
      </c>
      <c r="I59" s="6">
        <v>0.53300000000000003</v>
      </c>
      <c r="J59" s="6">
        <v>0.72299999999999998</v>
      </c>
      <c r="K59" s="6">
        <v>0.58699999999999997</v>
      </c>
      <c r="L59" s="6">
        <v>0.871</v>
      </c>
      <c r="M59" s="104">
        <v>1.238</v>
      </c>
      <c r="N59" s="131">
        <v>1.119</v>
      </c>
      <c r="O59" s="171">
        <v>1.4850000000000001</v>
      </c>
    </row>
    <row r="60" spans="1:15">
      <c r="A60" s="1" t="s">
        <v>158</v>
      </c>
      <c r="B60" s="6">
        <v>6.8000000000000005E-2</v>
      </c>
      <c r="C60" s="6">
        <v>0.254</v>
      </c>
      <c r="D60" s="6">
        <v>0.11700000000000001</v>
      </c>
      <c r="E60" s="6">
        <v>0.08</v>
      </c>
      <c r="F60" s="171">
        <v>0.47899999999999998</v>
      </c>
      <c r="G60" s="6">
        <v>0.42499999999999999</v>
      </c>
      <c r="H60" s="6">
        <v>0.60299999999999998</v>
      </c>
      <c r="I60" s="6">
        <v>0.57899999999999996</v>
      </c>
      <c r="J60" s="6">
        <v>0.14499999999999999</v>
      </c>
      <c r="K60" s="6">
        <v>0.46100000000000002</v>
      </c>
      <c r="L60" s="6">
        <v>0.18099999999999999</v>
      </c>
      <c r="M60" s="104">
        <v>0.29899999999999999</v>
      </c>
      <c r="N60" s="131">
        <v>9.6000000000000002E-2</v>
      </c>
      <c r="O60" s="171">
        <v>6.3E-2</v>
      </c>
    </row>
    <row r="61" spans="1:15">
      <c r="A61" s="1" t="s">
        <v>159</v>
      </c>
      <c r="B61" s="6">
        <v>2.3290000000000002</v>
      </c>
      <c r="C61" s="6">
        <v>2.46</v>
      </c>
      <c r="D61" s="6">
        <v>2.4289999999999998</v>
      </c>
      <c r="E61" s="6">
        <v>2.3109999999999999</v>
      </c>
      <c r="F61" s="171">
        <v>3.0659999999999998</v>
      </c>
      <c r="G61" s="6">
        <v>3.5110000000000001</v>
      </c>
      <c r="H61" s="6">
        <v>3.6190000000000002</v>
      </c>
      <c r="I61" s="6">
        <v>3.62</v>
      </c>
      <c r="J61" s="6">
        <v>3.7829999999999999</v>
      </c>
      <c r="K61" s="6">
        <v>3.59</v>
      </c>
      <c r="L61" s="6">
        <v>3.5339999999999998</v>
      </c>
      <c r="M61" s="104">
        <v>3.4969999999999999</v>
      </c>
      <c r="N61" s="131">
        <v>3.6909999999999998</v>
      </c>
      <c r="O61" s="171">
        <v>3.2280000000000002</v>
      </c>
    </row>
    <row r="62" spans="1:15" ht="15">
      <c r="A62" s="2" t="s">
        <v>630</v>
      </c>
      <c r="B62" s="27">
        <f t="shared" ref="B62:O62" si="17">SUM(B$47:B$61)</f>
        <v>53.76400000000001</v>
      </c>
      <c r="C62" s="27">
        <f t="shared" si="17"/>
        <v>56.752999999999993</v>
      </c>
      <c r="D62" s="27">
        <f t="shared" si="17"/>
        <v>63.710999999999984</v>
      </c>
      <c r="E62" s="27">
        <f t="shared" si="17"/>
        <v>63.554000000000002</v>
      </c>
      <c r="F62" s="136">
        <f t="shared" si="17"/>
        <v>70.09899999999999</v>
      </c>
      <c r="G62" s="27">
        <f t="shared" si="17"/>
        <v>68.938999999999993</v>
      </c>
      <c r="H62" s="27">
        <f t="shared" si="17"/>
        <v>69.962000000000003</v>
      </c>
      <c r="I62" s="27">
        <f t="shared" si="17"/>
        <v>71.173999999999992</v>
      </c>
      <c r="J62" s="27">
        <f t="shared" si="17"/>
        <v>72.362999999999985</v>
      </c>
      <c r="K62" s="27">
        <f t="shared" si="17"/>
        <v>73.929000000000016</v>
      </c>
      <c r="L62" s="27">
        <f t="shared" si="17"/>
        <v>76.338999999999984</v>
      </c>
      <c r="M62" s="27">
        <f t="shared" si="17"/>
        <v>80.576000000000008</v>
      </c>
      <c r="N62" s="27">
        <f t="shared" si="17"/>
        <v>86.959000000000003</v>
      </c>
      <c r="O62" s="136">
        <f t="shared" si="17"/>
        <v>108.83199999999998</v>
      </c>
    </row>
    <row r="63" spans="1:15">
      <c r="A63" s="4" t="str">
        <f>$A$14</f>
        <v>As percentage of nominal GDP</v>
      </c>
      <c r="B63" s="19">
        <f t="shared" ref="B63:O63" si="18">B$62/B$9</f>
        <v>0.30659040493610329</v>
      </c>
      <c r="C63" s="19">
        <f t="shared" si="18"/>
        <v>0.30058418825373789</v>
      </c>
      <c r="D63" s="19">
        <f t="shared" si="18"/>
        <v>0.33641351124440938</v>
      </c>
      <c r="E63" s="19">
        <f t="shared" si="18"/>
        <v>0.32293863281825619</v>
      </c>
      <c r="F63" s="19">
        <f t="shared" si="18"/>
        <v>0.34086554826160947</v>
      </c>
      <c r="G63" s="19">
        <f t="shared" si="18"/>
        <v>0.32067932532631244</v>
      </c>
      <c r="H63" s="19">
        <f t="shared" si="18"/>
        <v>0.31973274104947585</v>
      </c>
      <c r="I63" s="19">
        <f t="shared" si="18"/>
        <v>0.30047324937835884</v>
      </c>
      <c r="J63" s="19">
        <f t="shared" si="18"/>
        <v>0.29466641691370488</v>
      </c>
      <c r="K63" s="19">
        <f t="shared" si="18"/>
        <v>0.28575349031370312</v>
      </c>
      <c r="L63" s="19">
        <f t="shared" si="18"/>
        <v>0.27685439386081656</v>
      </c>
      <c r="M63" s="19">
        <f t="shared" si="18"/>
        <v>0.27216472559245553</v>
      </c>
      <c r="N63" s="19">
        <f t="shared" si="18"/>
        <v>0.28027692813469951</v>
      </c>
      <c r="O63" s="19">
        <f t="shared" si="18"/>
        <v>0.34380449341656338</v>
      </c>
    </row>
  </sheetData>
  <phoneticPr fontId="107" type="noConversion"/>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28"/>
  <sheetViews>
    <sheetView zoomScaleNormal="100" workbookViewId="0">
      <pane xSplit="1" topLeftCell="I1" activePane="topRight" state="frozen"/>
      <selection pane="topRight" activeCell="W13" sqref="W13"/>
    </sheetView>
  </sheetViews>
  <sheetFormatPr defaultRowHeight="14.25"/>
  <cols>
    <col min="1" max="1" width="85.7109375" style="1" customWidth="1"/>
    <col min="2" max="2" width="5.7109375" style="1" customWidth="1"/>
    <col min="3" max="17" width="10.7109375" style="1" customWidth="1"/>
    <col min="18" max="18" width="10.7109375" style="167" customWidth="1"/>
    <col min="19" max="22" width="10.7109375" style="1" customWidth="1"/>
    <col min="23" max="23" width="10.7109375" style="167" customWidth="1"/>
    <col min="24" max="16384" width="9.140625" style="1"/>
  </cols>
  <sheetData>
    <row r="1" spans="1:25" ht="15">
      <c r="A1" s="2" t="s">
        <v>90</v>
      </c>
      <c r="B1" s="2"/>
    </row>
    <row r="2" spans="1:25" ht="15">
      <c r="A2" s="4" t="s">
        <v>735</v>
      </c>
      <c r="S2" s="32" t="s">
        <v>1249</v>
      </c>
      <c r="T2" s="25"/>
      <c r="U2" s="25"/>
      <c r="V2" s="25"/>
      <c r="W2" s="183"/>
    </row>
    <row r="3" spans="1:25">
      <c r="O3" s="25"/>
      <c r="P3" s="25"/>
      <c r="Q3" s="25"/>
      <c r="R3" s="183"/>
      <c r="S3" s="25"/>
      <c r="T3" s="25"/>
      <c r="U3" s="25"/>
      <c r="V3" s="25"/>
      <c r="W3" s="183"/>
    </row>
    <row r="4" spans="1:25" ht="15">
      <c r="A4" s="2" t="s">
        <v>4</v>
      </c>
      <c r="B4" s="2"/>
      <c r="C4" s="5" t="s">
        <v>625</v>
      </c>
      <c r="D4" s="5" t="s">
        <v>5</v>
      </c>
      <c r="E4" s="5" t="s">
        <v>6</v>
      </c>
      <c r="F4" s="5" t="s">
        <v>7</v>
      </c>
      <c r="G4" s="5" t="s">
        <v>8</v>
      </c>
      <c r="H4" s="5" t="s">
        <v>10</v>
      </c>
      <c r="I4" s="5" t="s">
        <v>9</v>
      </c>
      <c r="J4" s="5" t="s">
        <v>11</v>
      </c>
      <c r="K4" s="5" t="s">
        <v>12</v>
      </c>
      <c r="L4" s="5" t="s">
        <v>13</v>
      </c>
      <c r="M4" s="5" t="s">
        <v>14</v>
      </c>
      <c r="N4" s="5" t="s">
        <v>15</v>
      </c>
      <c r="O4" s="5" t="s">
        <v>16</v>
      </c>
      <c r="P4" s="5" t="s">
        <v>17</v>
      </c>
      <c r="Q4" s="5" t="s">
        <v>18</v>
      </c>
      <c r="R4" s="170" t="s">
        <v>19</v>
      </c>
      <c r="S4" s="31" t="s">
        <v>20</v>
      </c>
      <c r="T4" s="31" t="s">
        <v>21</v>
      </c>
      <c r="U4" s="31" t="s">
        <v>22</v>
      </c>
      <c r="V4" s="31" t="s">
        <v>23</v>
      </c>
      <c r="W4" s="187" t="s">
        <v>24</v>
      </c>
      <c r="X4" s="187"/>
      <c r="Y4" s="187"/>
    </row>
    <row r="5" spans="1:25" ht="15">
      <c r="C5" s="2">
        <v>2005</v>
      </c>
      <c r="D5" s="2">
        <v>2006</v>
      </c>
      <c r="E5" s="2">
        <v>2007</v>
      </c>
      <c r="F5" s="2">
        <v>2008</v>
      </c>
      <c r="G5" s="2">
        <v>2009</v>
      </c>
      <c r="H5" s="2">
        <v>2010</v>
      </c>
      <c r="I5" s="2">
        <v>2011</v>
      </c>
      <c r="J5" s="2">
        <v>2012</v>
      </c>
      <c r="K5" s="2">
        <v>2013</v>
      </c>
      <c r="L5" s="2">
        <v>2014</v>
      </c>
      <c r="M5" s="2">
        <v>2015</v>
      </c>
      <c r="N5" s="2">
        <v>2016</v>
      </c>
      <c r="O5" s="2">
        <v>2017</v>
      </c>
      <c r="P5" s="2">
        <v>2018</v>
      </c>
      <c r="Q5" s="2">
        <v>2019</v>
      </c>
      <c r="R5" s="168">
        <v>2020</v>
      </c>
      <c r="S5" s="32">
        <v>2021</v>
      </c>
      <c r="T5" s="32">
        <v>2022</v>
      </c>
      <c r="U5" s="32">
        <v>2023</v>
      </c>
      <c r="V5" s="32">
        <v>2024</v>
      </c>
      <c r="W5" s="188">
        <v>2025</v>
      </c>
    </row>
    <row r="6" spans="1:25" ht="15">
      <c r="A6" s="2" t="s">
        <v>95</v>
      </c>
      <c r="B6" s="2"/>
      <c r="C6" s="171">
        <v>181.21600000000001</v>
      </c>
      <c r="D6" s="171">
        <v>186.697</v>
      </c>
      <c r="E6" s="171">
        <v>192.73099999999999</v>
      </c>
      <c r="F6" s="171">
        <v>196.91200000000001</v>
      </c>
      <c r="G6" s="171">
        <v>193.57</v>
      </c>
      <c r="H6" s="171">
        <v>195.631</v>
      </c>
      <c r="I6" s="171">
        <v>197.68700000000001</v>
      </c>
      <c r="J6" s="171">
        <v>202.97399999999999</v>
      </c>
      <c r="K6" s="171">
        <v>207.571</v>
      </c>
      <c r="L6" s="171">
        <v>213.298</v>
      </c>
      <c r="M6" s="171">
        <v>221.96299999999999</v>
      </c>
      <c r="N6" s="171">
        <v>230.42099999999999</v>
      </c>
      <c r="O6" s="171">
        <v>238.565</v>
      </c>
      <c r="P6" s="171">
        <v>247.316</v>
      </c>
      <c r="Q6" s="171">
        <v>254.50700000000001</v>
      </c>
      <c r="R6" s="171">
        <v>250.06200000000001</v>
      </c>
      <c r="S6" s="176">
        <v>257.32</v>
      </c>
      <c r="T6" s="176">
        <v>265.46899999999999</v>
      </c>
      <c r="U6" s="176">
        <v>277.05099999999999</v>
      </c>
      <c r="V6" s="176">
        <v>286.12200000000001</v>
      </c>
      <c r="W6" s="176">
        <v>294.47899999999998</v>
      </c>
    </row>
    <row r="7" spans="1:25" ht="15">
      <c r="A7" s="2" t="s">
        <v>110</v>
      </c>
      <c r="B7" s="2"/>
      <c r="C7" s="171">
        <v>156.809</v>
      </c>
      <c r="D7" s="171">
        <v>164.39699999999999</v>
      </c>
      <c r="E7" s="171">
        <v>175.36099999999999</v>
      </c>
      <c r="F7" s="171">
        <v>188.809</v>
      </c>
      <c r="G7" s="171">
        <v>189.38300000000001</v>
      </c>
      <c r="H7" s="171">
        <v>196.79900000000001</v>
      </c>
      <c r="I7" s="171">
        <v>205.65</v>
      </c>
      <c r="J7" s="171">
        <v>214.97800000000001</v>
      </c>
      <c r="K7" s="171">
        <v>218.81399999999999</v>
      </c>
      <c r="L7" s="171">
        <v>236.87299999999999</v>
      </c>
      <c r="M7" s="171">
        <v>245.57599999999999</v>
      </c>
      <c r="N7" s="171">
        <v>258.71600000000001</v>
      </c>
      <c r="O7" s="171">
        <v>275.73700000000002</v>
      </c>
      <c r="P7" s="171">
        <v>296.05599999999998</v>
      </c>
      <c r="Q7" s="171">
        <v>310.26100000000002</v>
      </c>
      <c r="R7" s="171">
        <v>316.55200000000002</v>
      </c>
      <c r="S7" s="176">
        <v>334.399</v>
      </c>
      <c r="T7" s="176">
        <v>349.74200000000002</v>
      </c>
      <c r="U7" s="176">
        <v>371.67700000000002</v>
      </c>
      <c r="V7" s="176">
        <v>392.86200000000002</v>
      </c>
      <c r="W7" s="176">
        <v>414.39</v>
      </c>
    </row>
    <row r="8" spans="1:25" ht="15">
      <c r="A8" s="2" t="s">
        <v>1252</v>
      </c>
      <c r="B8" s="2"/>
      <c r="C8" s="171">
        <v>2.153</v>
      </c>
      <c r="D8" s="171">
        <v>2.222</v>
      </c>
      <c r="E8" s="171">
        <v>2.25</v>
      </c>
      <c r="F8" s="171">
        <v>2.266</v>
      </c>
      <c r="G8" s="171">
        <v>2.2869999999999999</v>
      </c>
      <c r="H8" s="171">
        <v>2.2999999999999998</v>
      </c>
      <c r="I8" s="171">
        <v>2.327</v>
      </c>
      <c r="J8" s="171">
        <v>2.3439999999999999</v>
      </c>
      <c r="K8" s="171">
        <v>2.3460000000000001</v>
      </c>
      <c r="L8" s="171">
        <v>2.4180000000000001</v>
      </c>
      <c r="M8" s="171">
        <v>2.504</v>
      </c>
      <c r="N8" s="171">
        <v>2.6120000000000001</v>
      </c>
      <c r="O8" s="171">
        <v>2.6869999999999998</v>
      </c>
      <c r="P8" s="171">
        <v>2.778</v>
      </c>
      <c r="Q8" s="171">
        <v>2.802</v>
      </c>
      <c r="R8" s="171">
        <v>2.85</v>
      </c>
      <c r="S8" s="176">
        <v>2.8835700000000002</v>
      </c>
      <c r="T8" s="176">
        <v>2.93729</v>
      </c>
      <c r="U8" s="176">
        <v>2.9861500000000003</v>
      </c>
      <c r="V8" s="176">
        <v>3.0346799999999998</v>
      </c>
      <c r="W8" s="176">
        <v>3.0835300000000001</v>
      </c>
      <c r="X8" s="161"/>
    </row>
    <row r="9" spans="1:25" ht="15">
      <c r="A9" s="2" t="s">
        <v>1253</v>
      </c>
      <c r="B9" s="2"/>
      <c r="C9" s="171">
        <v>3.1922100000000002</v>
      </c>
      <c r="D9" s="171">
        <v>3.2471799999999997</v>
      </c>
      <c r="E9" s="171">
        <v>3.2853699999999999</v>
      </c>
      <c r="F9" s="171">
        <v>3.3158300000000001</v>
      </c>
      <c r="G9" s="171">
        <v>3.3498999999999999</v>
      </c>
      <c r="H9" s="171">
        <v>3.3914499999999999</v>
      </c>
      <c r="I9" s="171">
        <v>3.4221599999999999</v>
      </c>
      <c r="J9" s="171">
        <v>3.4455800000000001</v>
      </c>
      <c r="K9" s="171">
        <v>3.4771199999999998</v>
      </c>
      <c r="L9" s="171">
        <v>3.5426199999999999</v>
      </c>
      <c r="M9" s="171">
        <v>3.6283799999999999</v>
      </c>
      <c r="N9" s="171">
        <v>3.7317199999999997</v>
      </c>
      <c r="O9" s="171">
        <v>3.8184200000000001</v>
      </c>
      <c r="P9" s="171">
        <v>3.90212</v>
      </c>
      <c r="Q9" s="171">
        <v>3.97031</v>
      </c>
      <c r="R9" s="171">
        <v>4.0742199999999995</v>
      </c>
      <c r="S9" s="176">
        <v>4.1135099999999998</v>
      </c>
      <c r="T9" s="176">
        <v>4.1584200000000004</v>
      </c>
      <c r="U9" s="176">
        <v>4.2111499999999999</v>
      </c>
      <c r="V9" s="176">
        <v>4.2705500000000001</v>
      </c>
      <c r="W9" s="176">
        <v>4.3366699999999998</v>
      </c>
      <c r="X9" s="161"/>
    </row>
    <row r="10" spans="1:25" ht="15">
      <c r="A10" s="2" t="s">
        <v>1254</v>
      </c>
      <c r="B10" s="2"/>
      <c r="C10" s="171">
        <v>4.1357100000000004</v>
      </c>
      <c r="D10" s="171">
        <v>4.1864799999999995</v>
      </c>
      <c r="E10" s="171">
        <v>4.2258100000000001</v>
      </c>
      <c r="F10" s="171">
        <v>4.2619699999999998</v>
      </c>
      <c r="G10" s="171">
        <v>4.3049300000000006</v>
      </c>
      <c r="H10" s="171">
        <v>4.3531599999999999</v>
      </c>
      <c r="I10" s="171">
        <v>4.3864799999999997</v>
      </c>
      <c r="J10" s="171">
        <v>4.4105299999999996</v>
      </c>
      <c r="K10" s="171">
        <v>4.4445399999999999</v>
      </c>
      <c r="L10" s="171">
        <v>4.5190299999999999</v>
      </c>
      <c r="M10" s="171">
        <v>4.6120000000000001</v>
      </c>
      <c r="N10" s="171">
        <v>4.7166600000000001</v>
      </c>
      <c r="O10" s="171">
        <v>4.8160600000000002</v>
      </c>
      <c r="P10" s="171">
        <v>4.9029499999999997</v>
      </c>
      <c r="Q10" s="171">
        <v>4.9814499999999997</v>
      </c>
      <c r="R10" s="171">
        <v>5.0958000000000006</v>
      </c>
      <c r="S10" s="176">
        <v>5.1295999999999999</v>
      </c>
      <c r="T10" s="176">
        <v>5.1731000000000007</v>
      </c>
      <c r="U10" s="176">
        <v>5.2261000000000006</v>
      </c>
      <c r="V10" s="176">
        <v>5.2871000000000006</v>
      </c>
      <c r="W10" s="176">
        <v>5.3561000000000005</v>
      </c>
      <c r="X10" s="161"/>
    </row>
    <row r="11" spans="1:25" ht="15">
      <c r="A11" s="2" t="s">
        <v>96</v>
      </c>
      <c r="B11" s="2"/>
      <c r="C11" s="135">
        <v>3.8300000000000001E-2</v>
      </c>
      <c r="D11" s="135">
        <v>3.8300000000000001E-2</v>
      </c>
      <c r="E11" s="135">
        <v>3.7999999999999999E-2</v>
      </c>
      <c r="F11" s="135">
        <v>3.6499999999999998E-2</v>
      </c>
      <c r="G11" s="135">
        <v>4.8300000000000003E-2</v>
      </c>
      <c r="H11" s="135">
        <v>6.3299999999999995E-2</v>
      </c>
      <c r="I11" s="135">
        <v>6.0999999999999999E-2</v>
      </c>
      <c r="J11" s="135">
        <v>6.2300000000000001E-2</v>
      </c>
      <c r="K11" s="135">
        <v>6.2E-2</v>
      </c>
      <c r="L11" s="135">
        <v>5.5999999999999994E-2</v>
      </c>
      <c r="M11" s="135">
        <v>5.45E-2</v>
      </c>
      <c r="N11" s="135">
        <v>5.28E-2</v>
      </c>
      <c r="O11" s="135">
        <v>0.05</v>
      </c>
      <c r="P11" s="135">
        <v>4.53E-2</v>
      </c>
      <c r="Q11" s="135">
        <v>4.1299999999999996E-2</v>
      </c>
      <c r="R11" s="135">
        <v>4.1299999999999996E-2</v>
      </c>
      <c r="S11" s="147">
        <v>5.1299999999999998E-2</v>
      </c>
      <c r="T11" s="147">
        <v>5.1399999999999994E-2</v>
      </c>
      <c r="U11" s="147">
        <v>4.5199999999999997E-2</v>
      </c>
      <c r="V11" s="147">
        <v>4.2699999999999995E-2</v>
      </c>
      <c r="W11" s="147">
        <v>4.1299999999999996E-2</v>
      </c>
    </row>
    <row r="12" spans="1:25" ht="15">
      <c r="A12" s="2" t="s">
        <v>97</v>
      </c>
      <c r="B12" s="2"/>
      <c r="C12" s="172">
        <v>34.799999999999997</v>
      </c>
      <c r="D12" s="172">
        <v>34.520000000000003</v>
      </c>
      <c r="E12" s="172">
        <v>34.33</v>
      </c>
      <c r="F12" s="172">
        <v>33.94</v>
      </c>
      <c r="G12" s="172">
        <v>33.58</v>
      </c>
      <c r="H12" s="172">
        <v>33.450000000000003</v>
      </c>
      <c r="I12" s="172">
        <v>33.54</v>
      </c>
      <c r="J12" s="172">
        <v>33.409999999999997</v>
      </c>
      <c r="K12" s="172">
        <v>33.67</v>
      </c>
      <c r="L12" s="172">
        <v>33.68</v>
      </c>
      <c r="M12" s="172">
        <v>33.51</v>
      </c>
      <c r="N12" s="172">
        <v>33.74</v>
      </c>
      <c r="O12" s="172">
        <v>33.71</v>
      </c>
      <c r="P12" s="172">
        <v>33.93</v>
      </c>
      <c r="Q12" s="172">
        <v>34.119999999999997</v>
      </c>
      <c r="R12" s="172">
        <v>33.18</v>
      </c>
      <c r="S12" s="180">
        <v>34.17</v>
      </c>
      <c r="T12" s="180">
        <v>33.9</v>
      </c>
      <c r="U12" s="180">
        <v>33.86</v>
      </c>
      <c r="V12" s="180">
        <v>33.83</v>
      </c>
      <c r="W12" s="180">
        <v>33.799999999999997</v>
      </c>
      <c r="X12" s="172"/>
    </row>
    <row r="13" spans="1:25" ht="15">
      <c r="A13" s="2" t="s">
        <v>91</v>
      </c>
      <c r="B13" s="2"/>
      <c r="C13" s="135">
        <v>6.4999999999999997E-3</v>
      </c>
      <c r="D13" s="135">
        <v>1.03E-2</v>
      </c>
      <c r="E13" s="135">
        <v>2.1600000000000001E-2</v>
      </c>
      <c r="F13" s="135">
        <v>1.9900000000000001E-2</v>
      </c>
      <c r="G13" s="135">
        <v>-3.8E-3</v>
      </c>
      <c r="H13" s="135">
        <v>2.8799999999999999E-2</v>
      </c>
      <c r="I13" s="135">
        <v>-6.4000000000000003E-3</v>
      </c>
      <c r="J13" s="135">
        <v>2.18E-2</v>
      </c>
      <c r="K13" s="135">
        <v>1.37E-2</v>
      </c>
      <c r="L13" s="135">
        <v>-6.1999999999999998E-3</v>
      </c>
      <c r="M13" s="135">
        <v>9.5999999999999992E-3</v>
      </c>
      <c r="N13" s="135">
        <v>4.7000000000000002E-3</v>
      </c>
      <c r="O13" s="135">
        <v>-1.5900000000000001E-2</v>
      </c>
      <c r="P13" s="135">
        <v>-5.8999999999999999E-3</v>
      </c>
      <c r="Q13" s="135">
        <v>3.8999999999999998E-3</v>
      </c>
      <c r="R13" s="135">
        <v>-6.4000000000000003E-3</v>
      </c>
      <c r="S13" s="147">
        <v>-2.2000000000000001E-3</v>
      </c>
      <c r="T13" s="147">
        <v>2.5499999999999998E-2</v>
      </c>
      <c r="U13" s="147">
        <v>2.0299999999999999E-2</v>
      </c>
      <c r="V13" s="147">
        <v>1.4500000000000001E-2</v>
      </c>
      <c r="W13" s="147">
        <v>1.21E-2</v>
      </c>
    </row>
    <row r="14" spans="1:25" ht="15">
      <c r="A14" s="2" t="s">
        <v>92</v>
      </c>
      <c r="B14" s="2"/>
      <c r="C14" s="174">
        <v>784</v>
      </c>
      <c r="D14" s="174">
        <v>816</v>
      </c>
      <c r="E14" s="174">
        <v>832</v>
      </c>
      <c r="F14" s="174">
        <v>865</v>
      </c>
      <c r="G14" s="174">
        <v>882</v>
      </c>
      <c r="H14" s="174">
        <v>896</v>
      </c>
      <c r="I14" s="174">
        <v>944</v>
      </c>
      <c r="J14" s="174">
        <v>953</v>
      </c>
      <c r="K14" s="174">
        <v>959</v>
      </c>
      <c r="L14" s="174">
        <v>975</v>
      </c>
      <c r="M14" s="174">
        <v>979</v>
      </c>
      <c r="N14" s="174">
        <v>983</v>
      </c>
      <c r="O14" s="174">
        <v>1000</v>
      </c>
      <c r="P14" s="174">
        <v>1015</v>
      </c>
      <c r="Q14" s="174">
        <v>1032</v>
      </c>
      <c r="R14" s="174">
        <v>1047</v>
      </c>
      <c r="S14" s="163">
        <v>1072</v>
      </c>
      <c r="T14" s="163">
        <v>1090</v>
      </c>
      <c r="U14" s="163">
        <v>1110</v>
      </c>
      <c r="V14" s="163">
        <v>1133</v>
      </c>
      <c r="W14" s="163">
        <v>1157</v>
      </c>
      <c r="X14" s="174"/>
    </row>
    <row r="15" spans="1:25" ht="15">
      <c r="A15" s="2" t="s">
        <v>93</v>
      </c>
      <c r="B15" s="2"/>
      <c r="C15" s="135">
        <v>3.2399999999999998E-2</v>
      </c>
      <c r="D15" s="135">
        <v>4.9700000000000001E-2</v>
      </c>
      <c r="E15" s="135">
        <v>4.8099999999999997E-2</v>
      </c>
      <c r="F15" s="135">
        <v>4.5900000000000003E-2</v>
      </c>
      <c r="G15" s="135">
        <v>5.3100000000000001E-2</v>
      </c>
      <c r="H15" s="135">
        <v>2.1899999999999999E-2</v>
      </c>
      <c r="I15" s="135">
        <v>2.1399999999999999E-2</v>
      </c>
      <c r="J15" s="135">
        <v>3.1699999999999999E-2</v>
      </c>
      <c r="K15" s="135">
        <v>2.3900000000000001E-2</v>
      </c>
      <c r="L15" s="135">
        <v>2.63E-2</v>
      </c>
      <c r="M15" s="135">
        <v>2.4400000000000002E-2</v>
      </c>
      <c r="N15" s="135">
        <v>2.2499999999999999E-2</v>
      </c>
      <c r="O15" s="135">
        <v>1.49E-2</v>
      </c>
      <c r="P15" s="135">
        <v>2.9899999999999999E-2</v>
      </c>
      <c r="Q15" s="135">
        <v>3.4599999999999999E-2</v>
      </c>
      <c r="R15" s="135">
        <v>3.5700000000000003E-2</v>
      </c>
      <c r="S15" s="147">
        <v>3.7499999999999999E-2</v>
      </c>
      <c r="T15" s="147">
        <v>3.0499999999999999E-2</v>
      </c>
      <c r="U15" s="147">
        <v>2.4299999999999999E-2</v>
      </c>
      <c r="V15" s="147">
        <v>2.6499999999999999E-2</v>
      </c>
      <c r="W15" s="147">
        <v>3.0300000000000001E-2</v>
      </c>
    </row>
    <row r="16" spans="1:25" ht="15">
      <c r="A16" s="2" t="s">
        <v>94</v>
      </c>
      <c r="B16" s="2"/>
      <c r="C16" s="135">
        <v>6.0199999999999997E-2</v>
      </c>
      <c r="D16" s="135">
        <v>5.79E-2</v>
      </c>
      <c r="E16" s="135">
        <v>5.96E-2</v>
      </c>
      <c r="F16" s="135">
        <v>6.4100000000000004E-2</v>
      </c>
      <c r="G16" s="135">
        <v>5.4299999999999994E-2</v>
      </c>
      <c r="H16" s="135">
        <v>5.8200000000000002E-2</v>
      </c>
      <c r="I16" s="135">
        <v>5.4199999999999998E-2</v>
      </c>
      <c r="J16" s="135">
        <v>4.1399999999999999E-2</v>
      </c>
      <c r="K16" s="135">
        <v>3.5699999999999996E-2</v>
      </c>
      <c r="L16" s="135">
        <v>4.5499999999999999E-2</v>
      </c>
      <c r="M16" s="135">
        <v>3.7699999999999997E-2</v>
      </c>
      <c r="N16" s="135">
        <v>3.1600000000000003E-2</v>
      </c>
      <c r="O16" s="135">
        <v>2.86E-2</v>
      </c>
      <c r="P16" s="135">
        <v>2.8799999999999999E-2</v>
      </c>
      <c r="Q16" s="135">
        <v>2.3099999999999999E-2</v>
      </c>
      <c r="R16" s="135">
        <v>1.18E-2</v>
      </c>
      <c r="S16" s="147">
        <v>1.1599999999999999E-2</v>
      </c>
      <c r="T16" s="147">
        <v>2.06E-2</v>
      </c>
      <c r="U16" s="147">
        <v>2.35E-2</v>
      </c>
      <c r="V16" s="147">
        <v>2.58E-2</v>
      </c>
      <c r="W16" s="147">
        <v>2.7999999999999997E-2</v>
      </c>
    </row>
    <row r="17" spans="1:24" ht="15">
      <c r="A17" s="2" t="s">
        <v>1049</v>
      </c>
      <c r="C17" s="202">
        <v>9</v>
      </c>
      <c r="D17" s="202">
        <v>10.5</v>
      </c>
      <c r="E17" s="202">
        <v>10.4</v>
      </c>
      <c r="F17" s="202">
        <v>5.3</v>
      </c>
      <c r="G17" s="202">
        <v>12.1</v>
      </c>
      <c r="H17" s="202">
        <v>16.5</v>
      </c>
      <c r="I17" s="202">
        <v>4.0999999999999996</v>
      </c>
      <c r="J17" s="202">
        <v>-3.2</v>
      </c>
      <c r="K17" s="202">
        <v>8.1</v>
      </c>
      <c r="L17" s="202">
        <v>33.799999999999997</v>
      </c>
      <c r="M17" s="202">
        <v>53.5</v>
      </c>
      <c r="N17" s="202">
        <v>64.7</v>
      </c>
      <c r="O17" s="202">
        <v>59.5</v>
      </c>
      <c r="P17" s="202">
        <v>48.9</v>
      </c>
      <c r="Q17" s="202">
        <v>52.5</v>
      </c>
      <c r="R17" s="202">
        <v>79.7</v>
      </c>
      <c r="S17" s="160">
        <v>8.1</v>
      </c>
      <c r="T17" s="160">
        <v>17.5</v>
      </c>
      <c r="U17" s="160">
        <v>27</v>
      </c>
      <c r="V17" s="160">
        <v>35</v>
      </c>
      <c r="W17" s="160">
        <v>43</v>
      </c>
      <c r="X17" s="202"/>
    </row>
    <row r="18" spans="1:24" ht="15">
      <c r="A18" s="2" t="s">
        <v>720</v>
      </c>
      <c r="C18" s="189">
        <v>757.79</v>
      </c>
      <c r="D18" s="189">
        <v>783.78</v>
      </c>
      <c r="E18" s="189">
        <v>832.3</v>
      </c>
      <c r="F18" s="189">
        <v>861.27</v>
      </c>
      <c r="G18" s="189">
        <v>905.51</v>
      </c>
      <c r="H18" s="189">
        <v>934.78</v>
      </c>
      <c r="I18" s="189">
        <v>967.96</v>
      </c>
      <c r="J18" s="189">
        <v>994.19</v>
      </c>
      <c r="K18" s="189">
        <v>1022.88</v>
      </c>
      <c r="L18" s="189">
        <v>1051.6400000000001</v>
      </c>
      <c r="M18" s="189">
        <v>1077.5</v>
      </c>
      <c r="N18" s="189">
        <v>1111.4000000000001</v>
      </c>
      <c r="O18" s="189">
        <v>1129.72</v>
      </c>
      <c r="P18" s="189">
        <v>1166.2</v>
      </c>
      <c r="Q18" s="189">
        <v>1200.82</v>
      </c>
      <c r="R18" s="189">
        <v>1244.21</v>
      </c>
      <c r="S18" s="190">
        <v>1288.5999999999999</v>
      </c>
      <c r="T18" s="190">
        <v>1352</v>
      </c>
      <c r="U18" s="190">
        <v>1383.23</v>
      </c>
      <c r="V18" s="190">
        <v>1418.39</v>
      </c>
      <c r="W18" s="190">
        <v>1460.03</v>
      </c>
    </row>
    <row r="19" spans="1:24" ht="15">
      <c r="A19" s="2" t="s">
        <v>401</v>
      </c>
      <c r="C19" s="41">
        <v>597.66999999999996</v>
      </c>
      <c r="D19" s="41">
        <v>614.05999999999995</v>
      </c>
      <c r="E19" s="41">
        <v>645.82000000000005</v>
      </c>
      <c r="F19" s="41">
        <v>664.02</v>
      </c>
      <c r="G19" s="41">
        <v>723.19</v>
      </c>
      <c r="H19" s="41">
        <v>741.53</v>
      </c>
      <c r="I19" s="41">
        <v>792.36</v>
      </c>
      <c r="J19" s="41">
        <v>813.32</v>
      </c>
      <c r="K19" s="41">
        <v>833.14</v>
      </c>
      <c r="L19" s="41">
        <v>855.33</v>
      </c>
      <c r="M19" s="41">
        <v>873.01</v>
      </c>
      <c r="N19" s="41">
        <v>896.89</v>
      </c>
      <c r="O19" s="41">
        <v>909.56</v>
      </c>
      <c r="P19" s="41">
        <v>934.42</v>
      </c>
      <c r="Q19" s="41">
        <v>958.37</v>
      </c>
      <c r="R19" s="189">
        <v>987.95</v>
      </c>
      <c r="S19" s="190">
        <v>1018.53</v>
      </c>
      <c r="T19" s="42">
        <v>1061.6600000000001</v>
      </c>
      <c r="U19" s="42">
        <v>1082.23</v>
      </c>
      <c r="V19" s="42">
        <v>1105.3599999999999</v>
      </c>
      <c r="W19" s="190">
        <v>1132.55</v>
      </c>
    </row>
    <row r="20" spans="1:24" ht="15">
      <c r="A20" s="2" t="s">
        <v>402</v>
      </c>
      <c r="C20" s="41">
        <v>235.16</v>
      </c>
      <c r="D20" s="41">
        <v>243.06</v>
      </c>
      <c r="E20" s="41">
        <v>255.7</v>
      </c>
      <c r="F20" s="41">
        <v>264.37</v>
      </c>
      <c r="G20" s="41">
        <v>273.63</v>
      </c>
      <c r="H20" s="41">
        <v>280.62</v>
      </c>
      <c r="I20" s="41">
        <v>294.08000000000004</v>
      </c>
      <c r="J20" s="41">
        <v>302.39999999999998</v>
      </c>
      <c r="K20" s="41">
        <v>310.33999999999997</v>
      </c>
      <c r="L20" s="41">
        <v>319.23</v>
      </c>
      <c r="M20" s="41">
        <v>326.3</v>
      </c>
      <c r="N20" s="41">
        <v>335.74</v>
      </c>
      <c r="O20" s="41">
        <v>340.8</v>
      </c>
      <c r="P20" s="41">
        <v>350.76</v>
      </c>
      <c r="Q20" s="41">
        <v>360.42</v>
      </c>
      <c r="R20" s="189">
        <v>372.27</v>
      </c>
      <c r="S20" s="190">
        <v>384.46</v>
      </c>
      <c r="T20" s="190">
        <v>401.67</v>
      </c>
      <c r="U20" s="190">
        <v>410.04</v>
      </c>
      <c r="V20" s="42">
        <v>419.24</v>
      </c>
      <c r="W20" s="190">
        <v>430.14</v>
      </c>
    </row>
    <row r="21" spans="1:24" ht="15">
      <c r="A21" s="2" t="s">
        <v>404</v>
      </c>
      <c r="C21" s="41">
        <v>196.78</v>
      </c>
      <c r="D21" s="41">
        <v>203</v>
      </c>
      <c r="E21" s="41">
        <v>213.12</v>
      </c>
      <c r="F21" s="41">
        <v>219.9</v>
      </c>
      <c r="G21" s="41">
        <v>239.19</v>
      </c>
      <c r="H21" s="41">
        <v>244.71</v>
      </c>
      <c r="I21" s="41">
        <v>261.48</v>
      </c>
      <c r="J21" s="41">
        <v>268.39999999999998</v>
      </c>
      <c r="K21" s="41">
        <v>274.94</v>
      </c>
      <c r="L21" s="41">
        <v>282.26</v>
      </c>
      <c r="M21" s="41">
        <v>288.10000000000002</v>
      </c>
      <c r="N21" s="41">
        <v>295.97000000000003</v>
      </c>
      <c r="O21" s="41">
        <v>300.14999999999998</v>
      </c>
      <c r="P21" s="41">
        <v>308.36</v>
      </c>
      <c r="Q21" s="41">
        <v>316.27</v>
      </c>
      <c r="R21" s="189">
        <v>326.02</v>
      </c>
      <c r="S21" s="42">
        <v>336.11</v>
      </c>
      <c r="T21" s="190">
        <v>350.35</v>
      </c>
      <c r="U21" s="190">
        <v>357.14</v>
      </c>
      <c r="V21" s="190">
        <v>364.77</v>
      </c>
      <c r="W21" s="190">
        <v>373.74</v>
      </c>
    </row>
    <row r="22" spans="1:24">
      <c r="A22" s="18" t="s">
        <v>1169</v>
      </c>
    </row>
    <row r="23" spans="1:24" ht="15">
      <c r="A23" s="2" t="s">
        <v>270</v>
      </c>
      <c r="C23" s="3">
        <v>469</v>
      </c>
      <c r="D23" s="3">
        <v>482</v>
      </c>
      <c r="E23" s="3">
        <v>495</v>
      </c>
      <c r="F23" s="3">
        <v>508</v>
      </c>
      <c r="G23" s="3">
        <v>522</v>
      </c>
      <c r="H23" s="3">
        <v>540</v>
      </c>
      <c r="I23" s="3">
        <v>561</v>
      </c>
      <c r="J23" s="3">
        <v>585</v>
      </c>
      <c r="K23" s="3">
        <v>612</v>
      </c>
      <c r="L23" s="3">
        <v>640</v>
      </c>
      <c r="M23" s="3">
        <v>665</v>
      </c>
      <c r="N23" s="3">
        <v>691</v>
      </c>
      <c r="O23" s="3">
        <v>717</v>
      </c>
      <c r="P23" s="3">
        <v>741</v>
      </c>
      <c r="Q23" s="3">
        <v>767</v>
      </c>
      <c r="R23" s="169">
        <v>795</v>
      </c>
      <c r="S23" s="23">
        <v>825</v>
      </c>
      <c r="T23" s="23">
        <v>851</v>
      </c>
      <c r="U23" s="23">
        <v>879</v>
      </c>
      <c r="V23" s="23">
        <v>907</v>
      </c>
      <c r="W23" s="182">
        <v>937</v>
      </c>
    </row>
    <row r="24" spans="1:24" ht="15">
      <c r="A24" s="2" t="s">
        <v>271</v>
      </c>
      <c r="L24" s="3">
        <v>138</v>
      </c>
      <c r="M24" s="3">
        <v>133</v>
      </c>
      <c r="N24" s="3">
        <v>130</v>
      </c>
      <c r="O24" s="3">
        <v>131</v>
      </c>
      <c r="P24" s="3">
        <v>129</v>
      </c>
      <c r="Q24" s="3">
        <v>139</v>
      </c>
      <c r="R24" s="169">
        <v>162</v>
      </c>
      <c r="S24" s="23">
        <v>214</v>
      </c>
      <c r="T24" s="182">
        <v>222</v>
      </c>
      <c r="U24" s="23">
        <v>203</v>
      </c>
      <c r="V24" s="23">
        <v>191</v>
      </c>
      <c r="W24" s="182">
        <v>178</v>
      </c>
    </row>
    <row r="25" spans="1:24" ht="15">
      <c r="A25" s="2" t="s">
        <v>272</v>
      </c>
      <c r="L25" s="3">
        <v>96</v>
      </c>
      <c r="M25" s="3">
        <v>98</v>
      </c>
      <c r="N25" s="3">
        <v>98</v>
      </c>
      <c r="O25" s="3">
        <v>97</v>
      </c>
      <c r="P25" s="3">
        <v>96</v>
      </c>
      <c r="Q25" s="3">
        <v>95</v>
      </c>
      <c r="R25" s="169">
        <v>96</v>
      </c>
      <c r="S25" s="23">
        <v>97</v>
      </c>
      <c r="T25" s="23">
        <v>98</v>
      </c>
      <c r="U25" s="182">
        <v>100</v>
      </c>
      <c r="V25" s="23">
        <v>100</v>
      </c>
      <c r="W25" s="182">
        <v>101</v>
      </c>
    </row>
    <row r="26" spans="1:24" ht="15">
      <c r="A26" s="2" t="s">
        <v>273</v>
      </c>
      <c r="L26" s="3">
        <v>78</v>
      </c>
      <c r="M26" s="3">
        <v>72</v>
      </c>
      <c r="N26" s="3">
        <v>67</v>
      </c>
      <c r="O26" s="3">
        <v>64</v>
      </c>
      <c r="P26" s="3">
        <v>60</v>
      </c>
      <c r="Q26" s="3">
        <v>59</v>
      </c>
      <c r="R26" s="169">
        <v>61</v>
      </c>
      <c r="S26" s="23">
        <v>67</v>
      </c>
      <c r="T26" s="182">
        <v>71</v>
      </c>
      <c r="U26" s="182">
        <v>74</v>
      </c>
      <c r="V26" s="23">
        <v>72</v>
      </c>
      <c r="W26" s="182">
        <v>70</v>
      </c>
    </row>
    <row r="27" spans="1:24" ht="15">
      <c r="A27" s="2" t="s">
        <v>1170</v>
      </c>
      <c r="C27" s="3">
        <v>243</v>
      </c>
      <c r="D27" s="3">
        <v>249</v>
      </c>
      <c r="E27" s="3">
        <v>251</v>
      </c>
      <c r="F27" s="3">
        <v>245</v>
      </c>
      <c r="G27" s="3">
        <v>267</v>
      </c>
      <c r="H27" s="3">
        <v>312</v>
      </c>
      <c r="I27" s="3">
        <v>320</v>
      </c>
      <c r="J27" s="3">
        <v>311</v>
      </c>
      <c r="K27" s="3">
        <v>305</v>
      </c>
      <c r="L27" s="3">
        <v>297</v>
      </c>
      <c r="M27" s="3">
        <v>292</v>
      </c>
      <c r="N27" s="3">
        <v>292</v>
      </c>
      <c r="O27" s="3">
        <v>290</v>
      </c>
      <c r="P27" s="3">
        <v>285</v>
      </c>
      <c r="Q27" s="3">
        <v>295</v>
      </c>
      <c r="R27" s="169">
        <v>318</v>
      </c>
      <c r="S27" s="23">
        <v>367</v>
      </c>
      <c r="T27" s="182">
        <v>379</v>
      </c>
      <c r="U27" s="182">
        <v>373</v>
      </c>
      <c r="V27" s="182">
        <v>370</v>
      </c>
      <c r="W27" s="182">
        <v>365</v>
      </c>
    </row>
    <row r="28" spans="1:24">
      <c r="Q28" s="167"/>
      <c r="S28" s="167"/>
      <c r="T28" s="167"/>
      <c r="U28" s="167"/>
      <c r="V28" s="167"/>
    </row>
  </sheetData>
  <phoneticPr fontId="10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389"/>
  <sheetViews>
    <sheetView zoomScaleNormal="100" workbookViewId="0">
      <pane xSplit="2" ySplit="7" topLeftCell="C8" activePane="bottomRight" state="frozen"/>
      <selection pane="topRight" activeCell="C1" sqref="C1"/>
      <selection pane="bottomLeft" activeCell="A8" sqref="A8"/>
      <selection pane="bottomRight" activeCell="D192" sqref="D192:J192"/>
    </sheetView>
  </sheetViews>
  <sheetFormatPr defaultRowHeight="14.25"/>
  <cols>
    <col min="1" max="1" width="90.7109375" style="1" customWidth="1"/>
    <col min="2" max="2" width="7.7109375" style="1" customWidth="1"/>
    <col min="3" max="9" width="10.7109375" style="1" customWidth="1"/>
    <col min="10" max="10" width="10.7109375" style="167" customWidth="1"/>
    <col min="11" max="16384" width="9.140625" style="1"/>
  </cols>
  <sheetData>
    <row r="1" spans="1:10" ht="15">
      <c r="A1" s="2" t="s">
        <v>124</v>
      </c>
      <c r="B1" s="2"/>
    </row>
    <row r="2" spans="1:10">
      <c r="A2" s="4" t="s">
        <v>735</v>
      </c>
    </row>
    <row r="3" spans="1:10">
      <c r="A3" s="4" t="s">
        <v>126</v>
      </c>
    </row>
    <row r="4" spans="1:10">
      <c r="A4" s="4" t="s">
        <v>127</v>
      </c>
    </row>
    <row r="5" spans="1:10" ht="15">
      <c r="A5" s="4" t="s">
        <v>106</v>
      </c>
      <c r="D5" s="32"/>
      <c r="E5" s="188"/>
      <c r="F5" s="188" t="s">
        <v>1249</v>
      </c>
    </row>
    <row r="6" spans="1:10" ht="15">
      <c r="A6" s="2" t="s">
        <v>4</v>
      </c>
      <c r="B6" s="2"/>
      <c r="D6" s="5" t="s">
        <v>18</v>
      </c>
      <c r="E6" s="170" t="s">
        <v>19</v>
      </c>
      <c r="F6" s="31" t="s">
        <v>20</v>
      </c>
      <c r="G6" s="31" t="s">
        <v>21</v>
      </c>
      <c r="H6" s="31" t="s">
        <v>22</v>
      </c>
      <c r="I6" s="31" t="s">
        <v>23</v>
      </c>
      <c r="J6" s="187" t="s">
        <v>24</v>
      </c>
    </row>
    <row r="7" spans="1:10" ht="15">
      <c r="D7" s="2">
        <v>2019</v>
      </c>
      <c r="E7" s="168">
        <v>2020</v>
      </c>
      <c r="F7" s="32">
        <v>2021</v>
      </c>
      <c r="G7" s="32">
        <v>2022</v>
      </c>
      <c r="H7" s="32">
        <v>2023</v>
      </c>
      <c r="I7" s="32">
        <v>2024</v>
      </c>
      <c r="J7" s="188">
        <v>2024</v>
      </c>
    </row>
    <row r="8" spans="1:10" ht="15">
      <c r="A8" s="2" t="s">
        <v>125</v>
      </c>
      <c r="B8" s="2"/>
      <c r="C8" s="82"/>
      <c r="D8" s="83"/>
      <c r="E8" s="83"/>
      <c r="F8" s="83"/>
      <c r="G8" s="83"/>
      <c r="H8" s="83"/>
      <c r="I8" s="83"/>
      <c r="J8" s="83"/>
    </row>
    <row r="9" spans="1:10">
      <c r="A9" s="1" t="s">
        <v>128</v>
      </c>
      <c r="B9" s="1" t="s">
        <v>394</v>
      </c>
      <c r="C9" s="85"/>
      <c r="D9" s="85">
        <v>85.722999999999999</v>
      </c>
      <c r="E9" s="85">
        <v>84.521000000000001</v>
      </c>
      <c r="F9" s="81">
        <v>90.938999999999993</v>
      </c>
      <c r="G9" s="81">
        <v>92.674000000000007</v>
      </c>
      <c r="H9" s="81">
        <v>101.10299999999999</v>
      </c>
      <c r="I9" s="81">
        <v>106.468</v>
      </c>
      <c r="J9" s="81">
        <v>112.55500000000001</v>
      </c>
    </row>
    <row r="10" spans="1:10">
      <c r="A10" s="1" t="s">
        <v>129</v>
      </c>
      <c r="B10" s="167" t="s">
        <v>318</v>
      </c>
      <c r="C10" s="85"/>
      <c r="D10" s="85">
        <v>6.0279999999999996</v>
      </c>
      <c r="E10" s="85">
        <v>6.2690000000000001</v>
      </c>
      <c r="F10" s="81">
        <v>6.6139999999999999</v>
      </c>
      <c r="G10" s="81">
        <v>6.8949999999999996</v>
      </c>
      <c r="H10" s="81">
        <v>7.3719999999999999</v>
      </c>
      <c r="I10" s="81">
        <v>8.1329999999999991</v>
      </c>
      <c r="J10" s="81">
        <v>8.6720000000000006</v>
      </c>
    </row>
    <row r="11" spans="1:10">
      <c r="A11" s="1" t="s">
        <v>130</v>
      </c>
      <c r="B11" s="1" t="str">
        <f>$B$10</f>
        <v>UIM</v>
      </c>
      <c r="C11" s="85"/>
      <c r="D11" s="85">
        <v>19.795999999999999</v>
      </c>
      <c r="E11" s="85">
        <v>18.437000000000001</v>
      </c>
      <c r="F11" s="81">
        <v>17.728999999999999</v>
      </c>
      <c r="G11" s="81">
        <v>17.675999999999998</v>
      </c>
      <c r="H11" s="81">
        <v>18.843</v>
      </c>
      <c r="I11" s="81">
        <v>19.315000000000001</v>
      </c>
      <c r="J11" s="81">
        <v>19.626999999999999</v>
      </c>
    </row>
    <row r="12" spans="1:10">
      <c r="A12" s="1" t="s">
        <v>957</v>
      </c>
      <c r="B12" s="1" t="str">
        <f>$B$9</f>
        <v>NAC</v>
      </c>
      <c r="C12" s="85"/>
      <c r="D12" s="85">
        <v>2.6459999999999999</v>
      </c>
      <c r="E12" s="85">
        <v>2.2999999999999998</v>
      </c>
      <c r="F12" s="81">
        <v>2.0150000000000001</v>
      </c>
      <c r="G12" s="81">
        <v>2.02</v>
      </c>
      <c r="H12" s="81">
        <v>2.2160000000000002</v>
      </c>
      <c r="I12" s="81">
        <v>2.427</v>
      </c>
      <c r="J12" s="81">
        <v>2.617</v>
      </c>
    </row>
    <row r="13" spans="1:10">
      <c r="A13" s="1" t="s">
        <v>131</v>
      </c>
      <c r="B13" s="167" t="str">
        <f>$B$9</f>
        <v>NAC</v>
      </c>
      <c r="C13" s="85"/>
      <c r="D13" s="85">
        <v>4.9489999999999998</v>
      </c>
      <c r="E13" s="85">
        <v>4.476</v>
      </c>
      <c r="F13" s="81">
        <v>3.89</v>
      </c>
      <c r="G13" s="81">
        <v>4.6040000000000001</v>
      </c>
      <c r="H13" s="81">
        <v>4.5949999999999998</v>
      </c>
      <c r="I13" s="81">
        <v>4.9279999999999999</v>
      </c>
      <c r="J13" s="81">
        <v>4.9130000000000003</v>
      </c>
    </row>
    <row r="14" spans="1:10" ht="15">
      <c r="A14" s="26" t="s">
        <v>132</v>
      </c>
      <c r="B14" s="2"/>
      <c r="C14" s="85"/>
      <c r="D14" s="210">
        <f t="shared" ref="D14:J14" si="0">SUM(D$9:D$13)</f>
        <v>119.142</v>
      </c>
      <c r="E14" s="210">
        <f t="shared" si="0"/>
        <v>116.003</v>
      </c>
      <c r="F14" s="210">
        <f t="shared" si="0"/>
        <v>121.187</v>
      </c>
      <c r="G14" s="210">
        <f t="shared" si="0"/>
        <v>123.869</v>
      </c>
      <c r="H14" s="210">
        <f t="shared" si="0"/>
        <v>134.12899999999999</v>
      </c>
      <c r="I14" s="210">
        <f t="shared" si="0"/>
        <v>141.27099999999999</v>
      </c>
      <c r="J14" s="210">
        <f t="shared" si="0"/>
        <v>148.38400000000001</v>
      </c>
    </row>
    <row r="15" spans="1:10">
      <c r="A15" s="1" t="s">
        <v>133</v>
      </c>
      <c r="B15" s="1" t="str">
        <f t="shared" ref="B15:B21" si="1">$B$9</f>
        <v>NAC</v>
      </c>
      <c r="C15" s="85"/>
      <c r="D15" s="85">
        <v>28.085999999999999</v>
      </c>
      <c r="E15" s="85">
        <v>42.606999999999999</v>
      </c>
      <c r="F15" s="81">
        <v>35.636000000000003</v>
      </c>
      <c r="G15" s="81">
        <v>36.954999999999998</v>
      </c>
      <c r="H15" s="81">
        <v>38.372999999999998</v>
      </c>
      <c r="I15" s="81">
        <v>39.405999999999999</v>
      </c>
      <c r="J15" s="81">
        <v>40.470999999999997</v>
      </c>
    </row>
    <row r="16" spans="1:10">
      <c r="A16" s="1" t="s">
        <v>134</v>
      </c>
      <c r="B16" s="1" t="str">
        <f t="shared" si="1"/>
        <v>NAC</v>
      </c>
      <c r="C16" s="85"/>
      <c r="D16" s="85">
        <v>25.933</v>
      </c>
      <c r="E16" s="85">
        <v>27.774999999999999</v>
      </c>
      <c r="F16" s="81">
        <v>29.312999999999999</v>
      </c>
      <c r="G16" s="81">
        <v>29.981000000000002</v>
      </c>
      <c r="H16" s="81">
        <v>29.297000000000001</v>
      </c>
      <c r="I16" s="81">
        <v>29.24</v>
      </c>
      <c r="J16" s="81">
        <v>29.231000000000002</v>
      </c>
    </row>
    <row r="17" spans="1:10">
      <c r="A17" s="1" t="s">
        <v>958</v>
      </c>
      <c r="B17" s="1" t="str">
        <f t="shared" si="1"/>
        <v>NAC</v>
      </c>
      <c r="C17" s="85"/>
      <c r="D17" s="85">
        <v>4.5540000000000003</v>
      </c>
      <c r="E17" s="85">
        <v>5.2939999999999996</v>
      </c>
      <c r="F17" s="81">
        <v>5.6340000000000003</v>
      </c>
      <c r="G17" s="81">
        <v>5.7560000000000002</v>
      </c>
      <c r="H17" s="81">
        <v>5.944</v>
      </c>
      <c r="I17" s="81">
        <v>6.1120000000000001</v>
      </c>
      <c r="J17" s="81">
        <v>6.28</v>
      </c>
    </row>
    <row r="18" spans="1:10">
      <c r="A18" s="1" t="s">
        <v>135</v>
      </c>
      <c r="B18" s="1" t="str">
        <f t="shared" si="1"/>
        <v>NAC</v>
      </c>
      <c r="C18" s="85"/>
      <c r="D18" s="85">
        <v>42.692999999999998</v>
      </c>
      <c r="E18" s="85">
        <v>52.582999999999998</v>
      </c>
      <c r="F18" s="81">
        <v>58.031999999999996</v>
      </c>
      <c r="G18" s="81">
        <v>58.972999999999999</v>
      </c>
      <c r="H18" s="81">
        <v>55.543999999999997</v>
      </c>
      <c r="I18" s="81">
        <v>53.945</v>
      </c>
      <c r="J18" s="81">
        <v>52.813000000000002</v>
      </c>
    </row>
    <row r="19" spans="1:10">
      <c r="A19" s="1" t="s">
        <v>136</v>
      </c>
      <c r="B19" s="1" t="str">
        <f t="shared" si="1"/>
        <v>NAC</v>
      </c>
      <c r="C19" s="85"/>
      <c r="D19" s="85">
        <v>4.298</v>
      </c>
      <c r="E19" s="85">
        <v>3.754</v>
      </c>
      <c r="F19" s="81">
        <v>2.5270000000000001</v>
      </c>
      <c r="G19" s="81">
        <v>2.351</v>
      </c>
      <c r="H19" s="81">
        <v>2.67</v>
      </c>
      <c r="I19" s="81">
        <v>3.2789999999999999</v>
      </c>
      <c r="J19" s="81">
        <v>3.8260000000000001</v>
      </c>
    </row>
    <row r="20" spans="1:10">
      <c r="A20" s="1" t="s">
        <v>137</v>
      </c>
      <c r="B20" s="1" t="str">
        <f t="shared" si="1"/>
        <v>NAC</v>
      </c>
      <c r="C20" s="85"/>
      <c r="D20" s="85">
        <v>5.8120000000000003</v>
      </c>
      <c r="E20" s="85">
        <v>6.9029999999999996</v>
      </c>
      <c r="F20" s="81">
        <v>6.585</v>
      </c>
      <c r="G20" s="81">
        <v>6.5380000000000003</v>
      </c>
      <c r="H20" s="81">
        <v>6.984</v>
      </c>
      <c r="I20" s="81">
        <v>7.4219999999999997</v>
      </c>
      <c r="J20" s="81">
        <v>7.9039999999999999</v>
      </c>
    </row>
    <row r="21" spans="1:10">
      <c r="A21" s="1" t="s">
        <v>138</v>
      </c>
      <c r="B21" s="167" t="str">
        <f t="shared" si="1"/>
        <v>NAC</v>
      </c>
      <c r="C21" s="85"/>
      <c r="D21" s="85">
        <v>0</v>
      </c>
      <c r="E21" s="85">
        <v>0</v>
      </c>
      <c r="F21" s="81">
        <v>0.5</v>
      </c>
      <c r="G21" s="81">
        <v>4.2210000000000001</v>
      </c>
      <c r="H21" s="81">
        <v>5.2510000000000003</v>
      </c>
      <c r="I21" s="81">
        <v>7.8840000000000003</v>
      </c>
      <c r="J21" s="81">
        <v>10.558</v>
      </c>
    </row>
    <row r="22" spans="1:10">
      <c r="A22" s="1" t="s">
        <v>139</v>
      </c>
      <c r="B22" s="1" t="str">
        <f>$B$10</f>
        <v>UIM</v>
      </c>
      <c r="C22" s="85"/>
      <c r="D22" s="85">
        <v>0</v>
      </c>
      <c r="E22" s="85">
        <v>0</v>
      </c>
      <c r="F22" s="81">
        <v>-2.0249999999999999</v>
      </c>
      <c r="G22" s="81">
        <v>-2.7749999999999999</v>
      </c>
      <c r="H22" s="81">
        <v>-0.8</v>
      </c>
      <c r="I22" s="81">
        <v>-0.7</v>
      </c>
      <c r="J22" s="81">
        <v>-0.7</v>
      </c>
    </row>
    <row r="23" spans="1:10" ht="15">
      <c r="A23" s="26" t="s">
        <v>140</v>
      </c>
      <c r="C23" s="85"/>
      <c r="D23" s="210">
        <f t="shared" ref="D23:J23" si="2">SUM(D$15:D$22)</f>
        <v>111.37599999999999</v>
      </c>
      <c r="E23" s="210">
        <f t="shared" si="2"/>
        <v>138.916</v>
      </c>
      <c r="F23" s="210">
        <f t="shared" si="2"/>
        <v>136.202</v>
      </c>
      <c r="G23" s="210">
        <f t="shared" si="2"/>
        <v>142.00000000000003</v>
      </c>
      <c r="H23" s="210">
        <f t="shared" si="2"/>
        <v>143.26300000000001</v>
      </c>
      <c r="I23" s="210">
        <f t="shared" si="2"/>
        <v>146.58800000000002</v>
      </c>
      <c r="J23" s="210">
        <f t="shared" si="2"/>
        <v>150.38300000000001</v>
      </c>
    </row>
    <row r="24" spans="1:10">
      <c r="A24" s="1" t="s">
        <v>1161</v>
      </c>
      <c r="B24" s="1" t="str">
        <f>$B$10</f>
        <v>UIM</v>
      </c>
      <c r="C24" s="85"/>
      <c r="D24" s="85">
        <v>0</v>
      </c>
      <c r="E24" s="85">
        <v>-3.258</v>
      </c>
      <c r="F24" s="81">
        <v>-4.5860000000000003</v>
      </c>
      <c r="G24" s="81">
        <v>-0.79100000000000004</v>
      </c>
      <c r="H24" s="81">
        <v>0</v>
      </c>
      <c r="I24" s="81">
        <v>0</v>
      </c>
      <c r="J24" s="81">
        <v>0</v>
      </c>
    </row>
    <row r="25" spans="1:10">
      <c r="A25" s="1" t="s">
        <v>141</v>
      </c>
      <c r="B25" s="167" t="str">
        <f t="shared" ref="B25:B29" si="3">$B$10</f>
        <v>UIM</v>
      </c>
      <c r="C25" s="85"/>
      <c r="D25" s="85">
        <v>4.444</v>
      </c>
      <c r="E25" s="85">
        <v>1.9079999999999999</v>
      </c>
      <c r="F25" s="81">
        <v>12.792</v>
      </c>
      <c r="G25" s="81">
        <v>3.7690000000000001</v>
      </c>
      <c r="H25" s="81">
        <v>4.3109999999999999</v>
      </c>
      <c r="I25" s="81">
        <v>4.7889999999999997</v>
      </c>
      <c r="J25" s="81">
        <v>5.3209999999999997</v>
      </c>
    </row>
    <row r="26" spans="1:10">
      <c r="A26" s="1" t="s">
        <v>142</v>
      </c>
      <c r="B26" s="167" t="str">
        <f t="shared" si="3"/>
        <v>UIM</v>
      </c>
      <c r="C26" s="85"/>
      <c r="D26" s="85">
        <v>-11.574999999999999</v>
      </c>
      <c r="E26" s="85">
        <v>-7.3719999999999999</v>
      </c>
      <c r="F26" s="81">
        <v>8.8369999999999997</v>
      </c>
      <c r="G26" s="81">
        <v>-0.13500000000000001</v>
      </c>
      <c r="H26" s="81">
        <v>-6.3E-2</v>
      </c>
      <c r="I26" s="81">
        <v>-6.8000000000000005E-2</v>
      </c>
      <c r="J26" s="81">
        <v>-6.8000000000000005E-2</v>
      </c>
    </row>
    <row r="27" spans="1:10" s="167" customFormat="1" ht="15">
      <c r="A27" s="26" t="s">
        <v>143</v>
      </c>
      <c r="C27" s="85"/>
      <c r="D27" s="210">
        <f>SUM(D$24:D$26)</f>
        <v>-7.1309999999999993</v>
      </c>
      <c r="E27" s="210">
        <f t="shared" ref="E27:J27" si="4">SUM(E$24:E$26)</f>
        <v>-8.7219999999999995</v>
      </c>
      <c r="F27" s="210">
        <f t="shared" si="4"/>
        <v>17.042999999999999</v>
      </c>
      <c r="G27" s="210">
        <f t="shared" si="4"/>
        <v>2.843</v>
      </c>
      <c r="H27" s="210">
        <f t="shared" si="4"/>
        <v>4.2480000000000002</v>
      </c>
      <c r="I27" s="210">
        <f t="shared" si="4"/>
        <v>4.7210000000000001</v>
      </c>
      <c r="J27" s="210">
        <f t="shared" si="4"/>
        <v>5.2530000000000001</v>
      </c>
    </row>
    <row r="28" spans="1:10" s="167" customFormat="1">
      <c r="A28" s="167" t="s">
        <v>245</v>
      </c>
      <c r="B28" s="167" t="str">
        <f t="shared" si="3"/>
        <v>UIM</v>
      </c>
      <c r="C28" s="85"/>
      <c r="D28" s="85">
        <v>0.20599999999999999</v>
      </c>
      <c r="E28" s="85">
        <v>1.1930000000000001</v>
      </c>
      <c r="F28" s="81">
        <v>-0.53500000000000003</v>
      </c>
      <c r="G28" s="81">
        <v>-9.8000000000000004E-2</v>
      </c>
      <c r="H28" s="81">
        <v>-1E-3</v>
      </c>
      <c r="I28" s="81">
        <v>5.8999999999999997E-2</v>
      </c>
      <c r="J28" s="81">
        <v>0.13800000000000001</v>
      </c>
    </row>
    <row r="29" spans="1:10" s="167" customFormat="1">
      <c r="A29" s="167" t="s">
        <v>1219</v>
      </c>
      <c r="B29" s="167" t="str">
        <f t="shared" si="3"/>
        <v>UIM</v>
      </c>
      <c r="C29" s="85"/>
      <c r="D29" s="85">
        <v>0.45200000000000001</v>
      </c>
      <c r="E29" s="85">
        <v>-0.40200000000000002</v>
      </c>
      <c r="F29" s="81">
        <v>0.219</v>
      </c>
      <c r="G29" s="81">
        <v>0.26200000000000001</v>
      </c>
      <c r="H29" s="81">
        <v>0.35799999999999998</v>
      </c>
      <c r="I29" s="81">
        <v>0.34399999999999997</v>
      </c>
      <c r="J29" s="81">
        <v>0.34699999999999998</v>
      </c>
    </row>
    <row r="30" spans="1:10" s="167" customFormat="1" ht="15">
      <c r="A30" s="26" t="s">
        <v>297</v>
      </c>
      <c r="B30" s="167" t="str">
        <f>$B$9</f>
        <v>NAC</v>
      </c>
      <c r="C30" s="85"/>
      <c r="D30" s="207">
        <v>0.38900000000000001</v>
      </c>
      <c r="E30" s="207">
        <v>-30.04</v>
      </c>
      <c r="F30" s="208">
        <v>1.274</v>
      </c>
      <c r="G30" s="208">
        <v>-15.648</v>
      </c>
      <c r="H30" s="208">
        <v>-5.2450000000000001</v>
      </c>
      <c r="I30" s="208">
        <v>-0.88100000000000001</v>
      </c>
      <c r="J30" s="208">
        <v>3.0449999999999999</v>
      </c>
    </row>
    <row r="31" spans="1:10" s="167" customFormat="1" ht="15">
      <c r="A31" s="26" t="s">
        <v>1222</v>
      </c>
      <c r="C31" s="85"/>
      <c r="D31" s="88" t="str">
        <f t="shared" ref="D31:J31" si="5">IF(ROUND(D$30-(D$14-D$23+D$27+D$28-D$29),3)=0,"OK","ERROR")</f>
        <v>OK</v>
      </c>
      <c r="E31" s="88" t="str">
        <f t="shared" si="5"/>
        <v>OK</v>
      </c>
      <c r="F31" s="88" t="str">
        <f t="shared" si="5"/>
        <v>OK</v>
      </c>
      <c r="G31" s="88" t="str">
        <f t="shared" si="5"/>
        <v>OK</v>
      </c>
      <c r="H31" s="88" t="str">
        <f t="shared" si="5"/>
        <v>OK</v>
      </c>
      <c r="I31" s="88" t="str">
        <f t="shared" si="5"/>
        <v>OK</v>
      </c>
      <c r="J31" s="88" t="str">
        <f t="shared" si="5"/>
        <v>OK</v>
      </c>
    </row>
    <row r="32" spans="1:10" s="167" customFormat="1" ht="15">
      <c r="A32" s="26" t="s">
        <v>1220</v>
      </c>
      <c r="C32" s="85"/>
      <c r="D32" s="210">
        <f t="shared" ref="D32:J32" si="6">SUM(D$14,-D$23,D$27,D$28)</f>
        <v>0.84100000000000597</v>
      </c>
      <c r="E32" s="210">
        <f t="shared" si="6"/>
        <v>-30.441999999999997</v>
      </c>
      <c r="F32" s="210">
        <f t="shared" si="6"/>
        <v>1.4929999999999986</v>
      </c>
      <c r="G32" s="210">
        <f t="shared" si="6"/>
        <v>-15.386000000000029</v>
      </c>
      <c r="H32" s="210">
        <f t="shared" si="6"/>
        <v>-4.8870000000000147</v>
      </c>
      <c r="I32" s="210">
        <f t="shared" si="6"/>
        <v>-0.53700000000003567</v>
      </c>
      <c r="J32" s="210">
        <f t="shared" si="6"/>
        <v>3.3920000000000048</v>
      </c>
    </row>
    <row r="33" spans="1:10">
      <c r="A33" s="1" t="s">
        <v>1221</v>
      </c>
      <c r="B33" s="167" t="str">
        <f>$B$10</f>
        <v>UIM</v>
      </c>
      <c r="C33" s="85"/>
      <c r="D33" s="85">
        <v>0.115</v>
      </c>
      <c r="E33" s="85">
        <v>-0.54600000000000004</v>
      </c>
      <c r="F33" s="81">
        <v>0.107</v>
      </c>
      <c r="G33" s="81">
        <v>-1.6E-2</v>
      </c>
      <c r="H33" s="81">
        <v>6.0000000000000001E-3</v>
      </c>
      <c r="I33" s="81">
        <v>1.0999999999999999E-2</v>
      </c>
      <c r="J33" s="81">
        <v>0.01</v>
      </c>
    </row>
    <row r="34" spans="1:10" s="167" customFormat="1" ht="15">
      <c r="A34" s="26" t="s">
        <v>296</v>
      </c>
      <c r="B34" s="167" t="str">
        <f>$B$10</f>
        <v>UIM</v>
      </c>
      <c r="C34" s="85"/>
      <c r="D34" s="207">
        <v>7.4290000000000003</v>
      </c>
      <c r="E34" s="207">
        <v>-23.056999999999999</v>
      </c>
      <c r="F34" s="208">
        <v>-15.127000000000001</v>
      </c>
      <c r="G34" s="208">
        <v>-18.408999999999999</v>
      </c>
      <c r="H34" s="208">
        <v>-9.4860000000000007</v>
      </c>
      <c r="I34" s="208">
        <v>-5.65</v>
      </c>
      <c r="J34" s="208">
        <v>-2.3359999999999999</v>
      </c>
    </row>
    <row r="35" spans="1:10" s="167" customFormat="1" ht="15">
      <c r="A35" s="26" t="s">
        <v>1223</v>
      </c>
      <c r="C35" s="85"/>
      <c r="D35" s="88" t="str">
        <f>IF(ROUND(D$34-(D$30-D$27-D$28+D$33),3)=0,"OK","ERROR")</f>
        <v>OK</v>
      </c>
      <c r="E35" s="88" t="str">
        <f t="shared" ref="E35:J35" si="7">IF(ROUND(E$34-(E$30-E$27-E$28+E$33),3)=0,"OK","ERROR")</f>
        <v>OK</v>
      </c>
      <c r="F35" s="88" t="str">
        <f t="shared" si="7"/>
        <v>OK</v>
      </c>
      <c r="G35" s="88" t="str">
        <f t="shared" si="7"/>
        <v>OK</v>
      </c>
      <c r="H35" s="88" t="str">
        <f t="shared" si="7"/>
        <v>OK</v>
      </c>
      <c r="I35" s="88" t="str">
        <f t="shared" si="7"/>
        <v>OK</v>
      </c>
      <c r="J35" s="88" t="str">
        <f t="shared" si="7"/>
        <v>OK</v>
      </c>
    </row>
    <row r="36" spans="1:10" ht="15">
      <c r="A36" s="26" t="s">
        <v>144</v>
      </c>
      <c r="C36" s="85"/>
      <c r="D36" s="85"/>
      <c r="E36" s="85"/>
      <c r="F36" s="85"/>
      <c r="G36" s="85"/>
      <c r="H36" s="85"/>
      <c r="I36" s="85"/>
      <c r="J36" s="85"/>
    </row>
    <row r="37" spans="1:10">
      <c r="A37" s="1" t="s">
        <v>145</v>
      </c>
      <c r="B37" s="1" t="str">
        <f>$B$10</f>
        <v>UIM</v>
      </c>
      <c r="C37" s="85"/>
      <c r="D37" s="85">
        <v>33.902000000000001</v>
      </c>
      <c r="E37" s="85">
        <v>49.9</v>
      </c>
      <c r="F37" s="81">
        <v>43.526000000000003</v>
      </c>
      <c r="G37" s="81">
        <v>45.005000000000003</v>
      </c>
      <c r="H37" s="81">
        <v>46.625999999999998</v>
      </c>
      <c r="I37" s="81">
        <v>47.786000000000001</v>
      </c>
      <c r="J37" s="81">
        <v>49.276000000000003</v>
      </c>
    </row>
    <row r="38" spans="1:10">
      <c r="A38" s="1" t="s">
        <v>147</v>
      </c>
      <c r="B38" s="167" t="str">
        <f t="shared" ref="B38:B50" si="8">$B$10</f>
        <v>UIM</v>
      </c>
      <c r="C38" s="85"/>
      <c r="D38" s="85">
        <v>18.66</v>
      </c>
      <c r="E38" s="85">
        <v>20.469000000000001</v>
      </c>
      <c r="F38" s="81">
        <v>23.78</v>
      </c>
      <c r="G38" s="81">
        <v>24.609000000000002</v>
      </c>
      <c r="H38" s="81">
        <v>21.888999999999999</v>
      </c>
      <c r="I38" s="81">
        <v>21.817</v>
      </c>
      <c r="J38" s="81">
        <v>21.763000000000002</v>
      </c>
    </row>
    <row r="39" spans="1:10">
      <c r="A39" s="1" t="s">
        <v>148</v>
      </c>
      <c r="B39" s="167" t="str">
        <f t="shared" si="8"/>
        <v>UIM</v>
      </c>
      <c r="C39" s="85"/>
      <c r="D39" s="85">
        <v>15.28</v>
      </c>
      <c r="E39" s="85">
        <v>17.581</v>
      </c>
      <c r="F39" s="81">
        <v>17.837</v>
      </c>
      <c r="G39" s="81">
        <v>19.166</v>
      </c>
      <c r="H39" s="81">
        <v>18.925999999999998</v>
      </c>
      <c r="I39" s="81">
        <v>18.812999999999999</v>
      </c>
      <c r="J39" s="81">
        <v>18.693999999999999</v>
      </c>
    </row>
    <row r="40" spans="1:10">
      <c r="A40" s="1" t="s">
        <v>149</v>
      </c>
      <c r="B40" s="167" t="str">
        <f t="shared" si="8"/>
        <v>UIM</v>
      </c>
      <c r="C40" s="85"/>
      <c r="D40" s="85">
        <v>4.7320000000000002</v>
      </c>
      <c r="E40" s="85">
        <v>5.8689999999999998</v>
      </c>
      <c r="F40" s="81">
        <v>5.0110000000000001</v>
      </c>
      <c r="G40" s="81">
        <v>5.641</v>
      </c>
      <c r="H40" s="81">
        <v>5.7670000000000003</v>
      </c>
      <c r="I40" s="81">
        <v>5.165</v>
      </c>
      <c r="J40" s="81">
        <v>4.952</v>
      </c>
    </row>
    <row r="41" spans="1:10">
      <c r="A41" s="1" t="s">
        <v>150</v>
      </c>
      <c r="B41" s="167" t="str">
        <f t="shared" si="8"/>
        <v>UIM</v>
      </c>
      <c r="C41" s="85"/>
      <c r="D41" s="85">
        <v>5.05</v>
      </c>
      <c r="E41" s="85">
        <v>5.3040000000000003</v>
      </c>
      <c r="F41" s="81">
        <v>5.8029999999999999</v>
      </c>
      <c r="G41" s="81">
        <v>5.8479999999999999</v>
      </c>
      <c r="H41" s="81">
        <v>5.9039999999999999</v>
      </c>
      <c r="I41" s="81">
        <v>5.843</v>
      </c>
      <c r="J41" s="81">
        <v>5.8970000000000002</v>
      </c>
    </row>
    <row r="42" spans="1:10">
      <c r="A42" s="1" t="s">
        <v>152</v>
      </c>
      <c r="B42" s="167" t="str">
        <f t="shared" si="8"/>
        <v>UIM</v>
      </c>
      <c r="C42" s="85"/>
      <c r="D42" s="85">
        <v>8.4290000000000003</v>
      </c>
      <c r="E42" s="85">
        <v>12.962</v>
      </c>
      <c r="F42" s="81">
        <v>11.601000000000001</v>
      </c>
      <c r="G42" s="81">
        <v>11.96</v>
      </c>
      <c r="H42" s="81">
        <v>11.941000000000001</v>
      </c>
      <c r="I42" s="81">
        <v>11.775</v>
      </c>
      <c r="J42" s="81">
        <v>11.446</v>
      </c>
    </row>
    <row r="43" spans="1:10">
      <c r="A43" s="1" t="s">
        <v>153</v>
      </c>
      <c r="B43" s="167" t="str">
        <f t="shared" si="8"/>
        <v>UIM</v>
      </c>
      <c r="C43" s="85"/>
      <c r="D43" s="85">
        <v>10.433</v>
      </c>
      <c r="E43" s="85">
        <v>11.246</v>
      </c>
      <c r="F43" s="81">
        <v>12.612</v>
      </c>
      <c r="G43" s="81">
        <v>11.01</v>
      </c>
      <c r="H43" s="81">
        <v>10.497999999999999</v>
      </c>
      <c r="I43" s="81">
        <v>10.35</v>
      </c>
      <c r="J43" s="81">
        <v>10.262</v>
      </c>
    </row>
    <row r="44" spans="1:10">
      <c r="A44" s="1" t="s">
        <v>151</v>
      </c>
      <c r="B44" s="167" t="str">
        <f t="shared" si="8"/>
        <v>UIM</v>
      </c>
      <c r="C44" s="85"/>
      <c r="D44" s="85">
        <v>2.39</v>
      </c>
      <c r="E44" s="85">
        <v>2.4820000000000002</v>
      </c>
      <c r="F44" s="81">
        <v>2.6429999999999998</v>
      </c>
      <c r="G44" s="81">
        <v>2.7349999999999999</v>
      </c>
      <c r="H44" s="81">
        <v>2.7269999999999999</v>
      </c>
      <c r="I44" s="81">
        <v>2.8319999999999999</v>
      </c>
      <c r="J44" s="81">
        <v>2.86</v>
      </c>
    </row>
    <row r="45" spans="1:10">
      <c r="A45" s="1" t="s">
        <v>155</v>
      </c>
      <c r="B45" s="167" t="str">
        <f t="shared" si="8"/>
        <v>UIM</v>
      </c>
      <c r="C45" s="85"/>
      <c r="D45" s="85">
        <v>2.5030000000000001</v>
      </c>
      <c r="E45" s="85">
        <v>2.9039999999999999</v>
      </c>
      <c r="F45" s="81">
        <v>3.4279999999999999</v>
      </c>
      <c r="G45" s="81">
        <v>3.1789999999999998</v>
      </c>
      <c r="H45" s="81">
        <v>2.9689999999999999</v>
      </c>
      <c r="I45" s="81">
        <v>2.919</v>
      </c>
      <c r="J45" s="81">
        <v>2.9350000000000001</v>
      </c>
    </row>
    <row r="46" spans="1:10">
      <c r="A46" s="1" t="s">
        <v>154</v>
      </c>
      <c r="B46" s="167" t="str">
        <f t="shared" si="8"/>
        <v>UIM</v>
      </c>
      <c r="C46" s="85"/>
      <c r="D46" s="85">
        <v>2.395</v>
      </c>
      <c r="E46" s="85">
        <v>2.4300000000000002</v>
      </c>
      <c r="F46" s="81">
        <v>2.794</v>
      </c>
      <c r="G46" s="81">
        <v>2.4390000000000001</v>
      </c>
      <c r="H46" s="81">
        <v>2.242</v>
      </c>
      <c r="I46" s="81">
        <v>2.1640000000000001</v>
      </c>
      <c r="J46" s="81">
        <v>2.0299999999999998</v>
      </c>
    </row>
    <row r="47" spans="1:10">
      <c r="A47" s="1" t="s">
        <v>156</v>
      </c>
      <c r="B47" s="167" t="str">
        <f t="shared" si="8"/>
        <v>UIM</v>
      </c>
      <c r="C47" s="85"/>
      <c r="D47" s="85">
        <v>2.02</v>
      </c>
      <c r="E47" s="85">
        <v>2.3929999999999998</v>
      </c>
      <c r="F47" s="81">
        <v>3.4980000000000002</v>
      </c>
      <c r="G47" s="81">
        <v>4.3890000000000002</v>
      </c>
      <c r="H47" s="81">
        <v>4.4829999999999997</v>
      </c>
      <c r="I47" s="81">
        <v>4.5529999999999999</v>
      </c>
      <c r="J47" s="81">
        <v>4.6470000000000002</v>
      </c>
    </row>
    <row r="48" spans="1:10">
      <c r="A48" s="1" t="s">
        <v>157</v>
      </c>
      <c r="B48" s="167" t="str">
        <f t="shared" si="8"/>
        <v>UIM</v>
      </c>
      <c r="C48" s="85"/>
      <c r="D48" s="85">
        <v>1.1080000000000001</v>
      </c>
      <c r="E48" s="85">
        <v>1.472</v>
      </c>
      <c r="F48" s="81">
        <v>1.8819999999999999</v>
      </c>
      <c r="G48" s="81">
        <v>1.905</v>
      </c>
      <c r="H48" s="81">
        <v>1.774</v>
      </c>
      <c r="I48" s="81">
        <v>1.7010000000000001</v>
      </c>
      <c r="J48" s="81">
        <v>1.534</v>
      </c>
    </row>
    <row r="49" spans="1:10">
      <c r="A49" s="1" t="s">
        <v>146</v>
      </c>
      <c r="B49" s="167" t="str">
        <f t="shared" si="8"/>
        <v>UIM</v>
      </c>
      <c r="C49" s="85"/>
      <c r="D49" s="85">
        <v>0.08</v>
      </c>
      <c r="E49" s="85">
        <v>8.6999999999999994E-2</v>
      </c>
      <c r="F49" s="81">
        <v>0.106</v>
      </c>
      <c r="G49" s="81">
        <v>0.10299999999999999</v>
      </c>
      <c r="H49" s="81">
        <v>9.8000000000000004E-2</v>
      </c>
      <c r="I49" s="81">
        <v>9.5000000000000001E-2</v>
      </c>
      <c r="J49" s="81">
        <v>9.0999999999999998E-2</v>
      </c>
    </row>
    <row r="50" spans="1:10">
      <c r="A50" s="1" t="s">
        <v>158</v>
      </c>
      <c r="B50" s="167" t="str">
        <f t="shared" si="8"/>
        <v>UIM</v>
      </c>
      <c r="C50" s="85"/>
      <c r="D50" s="85">
        <v>9.6000000000000002E-2</v>
      </c>
      <c r="E50" s="85">
        <v>6.3E-2</v>
      </c>
      <c r="F50" s="81">
        <v>0.67900000000000005</v>
      </c>
      <c r="G50" s="81">
        <v>0.214</v>
      </c>
      <c r="H50" s="81">
        <v>0.29799999999999999</v>
      </c>
      <c r="I50" s="81">
        <v>0.312</v>
      </c>
      <c r="J50" s="81">
        <v>0.312</v>
      </c>
    </row>
    <row r="51" spans="1:10">
      <c r="A51" s="1" t="s">
        <v>159</v>
      </c>
      <c r="B51" s="1" t="str">
        <f>$B$9</f>
        <v>NAC</v>
      </c>
      <c r="C51" s="85"/>
      <c r="D51" s="85">
        <v>4.298</v>
      </c>
      <c r="E51" s="85">
        <v>3.754</v>
      </c>
      <c r="F51" s="81">
        <v>2.5270000000000001</v>
      </c>
      <c r="G51" s="81">
        <v>2.351</v>
      </c>
      <c r="H51" s="81">
        <v>2.67</v>
      </c>
      <c r="I51" s="81">
        <v>3.2789999999999999</v>
      </c>
      <c r="J51" s="81">
        <v>3.8260000000000001</v>
      </c>
    </row>
    <row r="52" spans="1:10" ht="15">
      <c r="A52" s="26" t="s">
        <v>931</v>
      </c>
      <c r="C52" s="85"/>
      <c r="D52" s="210">
        <f t="shared" ref="D52:J52" si="9">SUM(D$21:D$22,D$37:D$51)</f>
        <v>111.37599999999999</v>
      </c>
      <c r="E52" s="210">
        <f t="shared" si="9"/>
        <v>138.916</v>
      </c>
      <c r="F52" s="210">
        <f t="shared" si="9"/>
        <v>136.20199999999997</v>
      </c>
      <c r="G52" s="210">
        <f t="shared" si="9"/>
        <v>142.00000000000003</v>
      </c>
      <c r="H52" s="210">
        <f t="shared" si="9"/>
        <v>143.26299999999998</v>
      </c>
      <c r="I52" s="210">
        <f t="shared" si="9"/>
        <v>146.58800000000002</v>
      </c>
      <c r="J52" s="210">
        <f t="shared" si="9"/>
        <v>150.38300000000004</v>
      </c>
    </row>
    <row r="53" spans="1:10" ht="15">
      <c r="A53" s="26" t="s">
        <v>160</v>
      </c>
      <c r="C53" s="85"/>
      <c r="D53" s="85"/>
      <c r="E53" s="85"/>
      <c r="F53" s="85"/>
      <c r="G53" s="85"/>
      <c r="H53" s="85"/>
      <c r="I53" s="85"/>
      <c r="J53" s="85"/>
    </row>
    <row r="54" spans="1:10">
      <c r="A54" s="1" t="s">
        <v>145</v>
      </c>
      <c r="B54" s="1" t="str">
        <f t="shared" ref="B54:B67" si="10">$B$10</f>
        <v>UIM</v>
      </c>
      <c r="C54" s="85"/>
      <c r="D54" s="85">
        <v>28.74</v>
      </c>
      <c r="E54" s="85">
        <v>44.027999999999999</v>
      </c>
      <c r="F54" s="81">
        <v>37.411000000000001</v>
      </c>
      <c r="G54" s="81">
        <v>38.917000000000002</v>
      </c>
      <c r="H54" s="81">
        <v>40.241999999999997</v>
      </c>
      <c r="I54" s="81">
        <v>41.061999999999998</v>
      </c>
      <c r="J54" s="81">
        <v>42.170999999999999</v>
      </c>
    </row>
    <row r="55" spans="1:10">
      <c r="A55" s="1" t="s">
        <v>147</v>
      </c>
      <c r="B55" s="1" t="str">
        <f t="shared" si="10"/>
        <v>UIM</v>
      </c>
      <c r="C55" s="85"/>
      <c r="D55" s="85">
        <v>18.268000000000001</v>
      </c>
      <c r="E55" s="85">
        <v>19.890999999999998</v>
      </c>
      <c r="F55" s="81">
        <v>23.837</v>
      </c>
      <c r="G55" s="81">
        <v>25.047999999999998</v>
      </c>
      <c r="H55" s="81">
        <v>22.538</v>
      </c>
      <c r="I55" s="81">
        <v>22.609000000000002</v>
      </c>
      <c r="J55" s="81">
        <v>22.74</v>
      </c>
    </row>
    <row r="56" spans="1:10">
      <c r="A56" s="1" t="s">
        <v>148</v>
      </c>
      <c r="B56" s="1" t="str">
        <f t="shared" si="10"/>
        <v>UIM</v>
      </c>
      <c r="C56" s="85"/>
      <c r="D56" s="85">
        <v>14.292999999999999</v>
      </c>
      <c r="E56" s="85">
        <v>16.321999999999999</v>
      </c>
      <c r="F56" s="81">
        <v>16.326000000000001</v>
      </c>
      <c r="G56" s="81">
        <v>17.869</v>
      </c>
      <c r="H56" s="81">
        <v>17.564</v>
      </c>
      <c r="I56" s="81">
        <v>17.407</v>
      </c>
      <c r="J56" s="81">
        <v>17.219000000000001</v>
      </c>
    </row>
    <row r="57" spans="1:10">
      <c r="A57" s="1" t="s">
        <v>149</v>
      </c>
      <c r="B57" s="1" t="str">
        <f t="shared" si="10"/>
        <v>UIM</v>
      </c>
      <c r="C57" s="85"/>
      <c r="D57" s="85">
        <v>5.1660000000000004</v>
      </c>
      <c r="E57" s="85">
        <v>6.0830000000000002</v>
      </c>
      <c r="F57" s="81">
        <v>6.1609999999999996</v>
      </c>
      <c r="G57" s="81">
        <v>5.6390000000000002</v>
      </c>
      <c r="H57" s="81">
        <v>5.8559999999999999</v>
      </c>
      <c r="I57" s="81">
        <v>5.258</v>
      </c>
      <c r="J57" s="81">
        <v>5.1310000000000002</v>
      </c>
    </row>
    <row r="58" spans="1:10">
      <c r="A58" s="1" t="s">
        <v>150</v>
      </c>
      <c r="B58" s="1" t="str">
        <f t="shared" si="10"/>
        <v>UIM</v>
      </c>
      <c r="C58" s="85"/>
      <c r="D58" s="85">
        <v>4.625</v>
      </c>
      <c r="E58" s="85">
        <v>4.9109999999999996</v>
      </c>
      <c r="F58" s="81">
        <v>5.45</v>
      </c>
      <c r="G58" s="81">
        <v>5.3609999999999998</v>
      </c>
      <c r="H58" s="81">
        <v>5.4269999999999996</v>
      </c>
      <c r="I58" s="81">
        <v>5.3849999999999998</v>
      </c>
      <c r="J58" s="81">
        <v>5.3840000000000003</v>
      </c>
    </row>
    <row r="59" spans="1:10">
      <c r="A59" s="1" t="s">
        <v>152</v>
      </c>
      <c r="B59" s="1" t="str">
        <f t="shared" si="10"/>
        <v>UIM</v>
      </c>
      <c r="C59" s="85"/>
      <c r="D59" s="85">
        <v>2.8889999999999998</v>
      </c>
      <c r="E59" s="85">
        <v>3.1789999999999998</v>
      </c>
      <c r="F59" s="81">
        <v>5.859</v>
      </c>
      <c r="G59" s="81">
        <v>4.3710000000000004</v>
      </c>
      <c r="H59" s="81">
        <v>4.2910000000000004</v>
      </c>
      <c r="I59" s="81">
        <v>4.0140000000000002</v>
      </c>
      <c r="J59" s="81">
        <v>3.677</v>
      </c>
    </row>
    <row r="60" spans="1:10">
      <c r="A60" s="1" t="s">
        <v>153</v>
      </c>
      <c r="B60" s="1" t="str">
        <f t="shared" si="10"/>
        <v>UIM</v>
      </c>
      <c r="C60" s="85"/>
      <c r="D60" s="85">
        <v>3.0059999999999998</v>
      </c>
      <c r="E60" s="85">
        <v>3.988</v>
      </c>
      <c r="F60" s="81">
        <v>4.9589999999999996</v>
      </c>
      <c r="G60" s="81">
        <v>4.4029999999999996</v>
      </c>
      <c r="H60" s="81">
        <v>3.8069999999999999</v>
      </c>
      <c r="I60" s="81">
        <v>3.5840000000000001</v>
      </c>
      <c r="J60" s="81">
        <v>3.387</v>
      </c>
    </row>
    <row r="61" spans="1:10">
      <c r="A61" s="1" t="s">
        <v>151</v>
      </c>
      <c r="B61" s="1" t="str">
        <f t="shared" si="10"/>
        <v>UIM</v>
      </c>
      <c r="C61" s="85"/>
      <c r="D61" s="85">
        <v>2.395</v>
      </c>
      <c r="E61" s="85">
        <v>2.4990000000000001</v>
      </c>
      <c r="F61" s="81">
        <v>2.6589999999999998</v>
      </c>
      <c r="G61" s="81">
        <v>2.7519999999999998</v>
      </c>
      <c r="H61" s="81">
        <v>2.7440000000000002</v>
      </c>
      <c r="I61" s="81">
        <v>2.85</v>
      </c>
      <c r="J61" s="81">
        <v>2.8769999999999998</v>
      </c>
    </row>
    <row r="62" spans="1:10">
      <c r="A62" s="1" t="s">
        <v>155</v>
      </c>
      <c r="B62" s="1" t="str">
        <f t="shared" si="10"/>
        <v>UIM</v>
      </c>
      <c r="C62" s="85"/>
      <c r="D62" s="85">
        <v>0.91800000000000004</v>
      </c>
      <c r="E62" s="85">
        <v>1.1060000000000001</v>
      </c>
      <c r="F62" s="81">
        <v>1.55</v>
      </c>
      <c r="G62" s="81">
        <v>1.3919999999999999</v>
      </c>
      <c r="H62" s="81">
        <v>1.141</v>
      </c>
      <c r="I62" s="81">
        <v>1.0509999999999999</v>
      </c>
      <c r="J62" s="81">
        <v>1.0449999999999999</v>
      </c>
    </row>
    <row r="63" spans="1:10">
      <c r="A63" s="1" t="s">
        <v>154</v>
      </c>
      <c r="B63" s="1" t="str">
        <f t="shared" si="10"/>
        <v>UIM</v>
      </c>
      <c r="C63" s="85"/>
      <c r="D63" s="85">
        <v>0.96</v>
      </c>
      <c r="E63" s="85">
        <v>0.96099999999999997</v>
      </c>
      <c r="F63" s="81">
        <v>1.304</v>
      </c>
      <c r="G63" s="81">
        <v>1.0629999999999999</v>
      </c>
      <c r="H63" s="81">
        <v>0.91</v>
      </c>
      <c r="I63" s="81">
        <v>0.84499999999999997</v>
      </c>
      <c r="J63" s="81">
        <v>0.82299999999999995</v>
      </c>
    </row>
    <row r="64" spans="1:10">
      <c r="A64" s="1" t="s">
        <v>156</v>
      </c>
      <c r="B64" s="1" t="str">
        <f t="shared" si="10"/>
        <v>UIM</v>
      </c>
      <c r="C64" s="85"/>
      <c r="D64" s="85">
        <v>0.72699999999999998</v>
      </c>
      <c r="E64" s="85">
        <v>1.0149999999999999</v>
      </c>
      <c r="F64" s="81">
        <v>2</v>
      </c>
      <c r="G64" s="81">
        <v>2.5649999999999999</v>
      </c>
      <c r="H64" s="81">
        <v>2.4849999999999999</v>
      </c>
      <c r="I64" s="81">
        <v>2.133</v>
      </c>
      <c r="J64" s="81">
        <v>2.08</v>
      </c>
    </row>
    <row r="65" spans="1:10">
      <c r="A65" s="1" t="s">
        <v>157</v>
      </c>
      <c r="B65" s="1" t="str">
        <f t="shared" si="10"/>
        <v>UIM</v>
      </c>
      <c r="C65" s="85"/>
      <c r="D65" s="85">
        <v>1.119</v>
      </c>
      <c r="E65" s="85">
        <v>1.4850000000000001</v>
      </c>
      <c r="F65" s="81">
        <v>2.0339999999999998</v>
      </c>
      <c r="G65" s="81">
        <v>1.9179999999999999</v>
      </c>
      <c r="H65" s="81">
        <v>1.7869999999999999</v>
      </c>
      <c r="I65" s="81">
        <v>1.714</v>
      </c>
      <c r="J65" s="81">
        <v>1.5469999999999999</v>
      </c>
    </row>
    <row r="66" spans="1:10">
      <c r="A66" s="1" t="s">
        <v>146</v>
      </c>
      <c r="B66" s="1" t="str">
        <f t="shared" si="10"/>
        <v>UIM</v>
      </c>
      <c r="C66" s="85"/>
      <c r="D66" s="85">
        <v>6.6000000000000003E-2</v>
      </c>
      <c r="E66" s="85">
        <v>7.2999999999999995E-2</v>
      </c>
      <c r="F66" s="81">
        <v>7.3999999999999996E-2</v>
      </c>
      <c r="G66" s="81">
        <v>7.0999999999999994E-2</v>
      </c>
      <c r="H66" s="81">
        <v>6.5000000000000002E-2</v>
      </c>
      <c r="I66" s="81">
        <v>6.0999999999999999E-2</v>
      </c>
      <c r="J66" s="81">
        <v>5.7000000000000002E-2</v>
      </c>
    </row>
    <row r="67" spans="1:10">
      <c r="A67" s="1" t="s">
        <v>158</v>
      </c>
      <c r="B67" s="1" t="str">
        <f t="shared" si="10"/>
        <v>UIM</v>
      </c>
      <c r="C67" s="85"/>
      <c r="D67" s="85">
        <v>9.6000000000000002E-2</v>
      </c>
      <c r="E67" s="85">
        <v>6.3E-2</v>
      </c>
      <c r="F67" s="81">
        <v>0.67900000000000005</v>
      </c>
      <c r="G67" s="81">
        <v>0.214</v>
      </c>
      <c r="H67" s="81">
        <v>0.29799999999999999</v>
      </c>
      <c r="I67" s="81">
        <v>0.312</v>
      </c>
      <c r="J67" s="81">
        <v>0.312</v>
      </c>
    </row>
    <row r="68" spans="1:10">
      <c r="A68" s="1" t="s">
        <v>159</v>
      </c>
      <c r="B68" s="1" t="str">
        <f>$B$9</f>
        <v>NAC</v>
      </c>
      <c r="C68" s="85"/>
      <c r="D68" s="85">
        <v>3.6909999999999998</v>
      </c>
      <c r="E68" s="85">
        <v>3.2280000000000002</v>
      </c>
      <c r="F68" s="81">
        <v>1.9670000000000001</v>
      </c>
      <c r="G68" s="81">
        <v>1.6879999999999999</v>
      </c>
      <c r="H68" s="81">
        <v>1.83</v>
      </c>
      <c r="I68" s="81">
        <v>2.3340000000000001</v>
      </c>
      <c r="J68" s="81">
        <v>2.8370000000000002</v>
      </c>
    </row>
    <row r="69" spans="1:10" ht="15">
      <c r="A69" s="26" t="s">
        <v>929</v>
      </c>
      <c r="C69" s="85"/>
      <c r="D69" s="210">
        <f t="shared" ref="D69:J69" si="11">SUM(D$21:D$22,D$54:D$68)</f>
        <v>86.959000000000003</v>
      </c>
      <c r="E69" s="210">
        <f t="shared" si="11"/>
        <v>108.83199999999998</v>
      </c>
      <c r="F69" s="210">
        <f t="shared" si="11"/>
        <v>110.74500000000002</v>
      </c>
      <c r="G69" s="210">
        <f t="shared" si="11"/>
        <v>114.717</v>
      </c>
      <c r="H69" s="210">
        <f t="shared" si="11"/>
        <v>115.43599999999998</v>
      </c>
      <c r="I69" s="210">
        <f t="shared" si="11"/>
        <v>117.80299999999998</v>
      </c>
      <c r="J69" s="210">
        <f t="shared" si="11"/>
        <v>121.145</v>
      </c>
    </row>
    <row r="70" spans="1:10" ht="15">
      <c r="A70" s="2" t="s">
        <v>161</v>
      </c>
      <c r="C70" s="85"/>
      <c r="D70" s="90"/>
      <c r="E70" s="90"/>
      <c r="F70" s="90"/>
      <c r="G70" s="90"/>
      <c r="H70" s="90"/>
      <c r="I70" s="90"/>
      <c r="J70" s="90"/>
    </row>
    <row r="71" spans="1:10">
      <c r="A71" s="1" t="s">
        <v>162</v>
      </c>
      <c r="B71" s="167" t="str">
        <f>$B$10</f>
        <v>UIM</v>
      </c>
      <c r="C71" s="85"/>
      <c r="D71" s="85">
        <v>83.016999999999996</v>
      </c>
      <c r="E71" s="85">
        <v>83.156000000000006</v>
      </c>
      <c r="F71" s="81">
        <v>89.620999999999995</v>
      </c>
      <c r="G71" s="81">
        <v>92.581999999999994</v>
      </c>
      <c r="H71" s="81">
        <v>99.69</v>
      </c>
      <c r="I71" s="81">
        <v>105.599</v>
      </c>
      <c r="J71" s="81">
        <v>111.56699999999999</v>
      </c>
    </row>
    <row r="72" spans="1:10">
      <c r="A72" s="1" t="s">
        <v>163</v>
      </c>
      <c r="B72" s="167" t="str">
        <f>$B$10</f>
        <v>UIM</v>
      </c>
      <c r="C72" s="85"/>
      <c r="D72" s="85">
        <v>5.1870000000000003</v>
      </c>
      <c r="E72" s="85">
        <v>5.2939999999999996</v>
      </c>
      <c r="F72" s="81">
        <v>6.4729999999999999</v>
      </c>
      <c r="G72" s="81">
        <v>6.008</v>
      </c>
      <c r="H72" s="81">
        <v>6.4690000000000003</v>
      </c>
      <c r="I72" s="81">
        <v>6.9779999999999998</v>
      </c>
      <c r="J72" s="81">
        <v>7.3769999999999998</v>
      </c>
    </row>
    <row r="73" spans="1:10">
      <c r="A73" s="1" t="s">
        <v>130</v>
      </c>
      <c r="B73" s="167" t="str">
        <f>$B$10</f>
        <v>UIM</v>
      </c>
      <c r="C73" s="85"/>
      <c r="D73" s="85">
        <v>19.763999999999999</v>
      </c>
      <c r="E73" s="85">
        <v>18.289000000000001</v>
      </c>
      <c r="F73" s="81">
        <v>16.829999999999998</v>
      </c>
      <c r="G73" s="81">
        <v>17.995000000000001</v>
      </c>
      <c r="H73" s="81">
        <v>18.751999999999999</v>
      </c>
      <c r="I73" s="81">
        <v>19.164999999999999</v>
      </c>
      <c r="J73" s="81">
        <v>19.477</v>
      </c>
    </row>
    <row r="74" spans="1:10">
      <c r="A74" s="1" t="s">
        <v>959</v>
      </c>
      <c r="B74" s="167" t="str">
        <f>$B$10</f>
        <v>UIM</v>
      </c>
      <c r="C74" s="85"/>
      <c r="D74" s="85">
        <v>2.528</v>
      </c>
      <c r="E74" s="85">
        <v>2.3069999999999999</v>
      </c>
      <c r="F74" s="81">
        <v>1.9590000000000001</v>
      </c>
      <c r="G74" s="81">
        <v>1.7370000000000001</v>
      </c>
      <c r="H74" s="81">
        <v>1.925</v>
      </c>
      <c r="I74" s="81">
        <v>2.1030000000000002</v>
      </c>
      <c r="J74" s="81">
        <v>2.294</v>
      </c>
    </row>
    <row r="75" spans="1:10">
      <c r="A75" s="1" t="s">
        <v>164</v>
      </c>
      <c r="B75" s="167" t="str">
        <f>$B$10</f>
        <v>UIM</v>
      </c>
      <c r="C75" s="85"/>
      <c r="D75" s="85">
        <v>4.5629999999999997</v>
      </c>
      <c r="E75" s="85">
        <v>4.5439999999999996</v>
      </c>
      <c r="F75" s="81">
        <v>4.2640000000000002</v>
      </c>
      <c r="G75" s="81">
        <v>4.2569999999999997</v>
      </c>
      <c r="H75" s="81">
        <v>4.4580000000000002</v>
      </c>
      <c r="I75" s="81">
        <v>4.7329999999999997</v>
      </c>
      <c r="J75" s="81">
        <v>4.8869999999999996</v>
      </c>
    </row>
    <row r="76" spans="1:10" ht="15">
      <c r="A76" s="26" t="s">
        <v>165</v>
      </c>
      <c r="C76" s="85"/>
      <c r="D76" s="210">
        <f t="shared" ref="D76:J76" si="12">SUM(D$71:D$75)</f>
        <v>115.059</v>
      </c>
      <c r="E76" s="210">
        <f t="shared" si="12"/>
        <v>113.59</v>
      </c>
      <c r="F76" s="210">
        <f t="shared" si="12"/>
        <v>119.14699999999999</v>
      </c>
      <c r="G76" s="210">
        <f t="shared" si="12"/>
        <v>122.57899999999999</v>
      </c>
      <c r="H76" s="210">
        <f t="shared" si="12"/>
        <v>131.29399999999998</v>
      </c>
      <c r="I76" s="210">
        <f t="shared" si="12"/>
        <v>138.578</v>
      </c>
      <c r="J76" s="210">
        <f t="shared" si="12"/>
        <v>145.602</v>
      </c>
    </row>
    <row r="77" spans="1:10">
      <c r="A77" s="1" t="s">
        <v>133</v>
      </c>
      <c r="B77" s="167" t="str">
        <f>$B$10</f>
        <v>UIM</v>
      </c>
      <c r="C77" s="85"/>
      <c r="D77" s="85">
        <v>27.981999999999999</v>
      </c>
      <c r="E77" s="85">
        <v>42.945</v>
      </c>
      <c r="F77" s="81">
        <v>35.884999999999998</v>
      </c>
      <c r="G77" s="81">
        <v>37.271000000000001</v>
      </c>
      <c r="H77" s="81">
        <v>38.731999999999999</v>
      </c>
      <c r="I77" s="81">
        <v>39.683</v>
      </c>
      <c r="J77" s="81">
        <v>41.777999999999999</v>
      </c>
    </row>
    <row r="78" spans="1:10">
      <c r="A78" s="1" t="s">
        <v>166</v>
      </c>
      <c r="B78" s="167" t="str">
        <f>$B$10</f>
        <v>UIM</v>
      </c>
      <c r="C78" s="85"/>
      <c r="D78" s="85">
        <v>72.078999999999994</v>
      </c>
      <c r="E78" s="85">
        <v>77.191999999999993</v>
      </c>
      <c r="F78" s="81">
        <v>88.736999999999995</v>
      </c>
      <c r="G78" s="81">
        <v>91.242000000000004</v>
      </c>
      <c r="H78" s="81">
        <v>86.757999999999996</v>
      </c>
      <c r="I78" s="81">
        <v>85.671000000000006</v>
      </c>
      <c r="J78" s="81">
        <v>84.69</v>
      </c>
    </row>
    <row r="79" spans="1:10">
      <c r="A79" s="1" t="s">
        <v>167</v>
      </c>
      <c r="B79" s="167" t="str">
        <f>$B$10</f>
        <v>UIM</v>
      </c>
      <c r="C79" s="85"/>
      <c r="D79" s="85">
        <v>4.0250000000000004</v>
      </c>
      <c r="E79" s="85">
        <v>3.8490000000000002</v>
      </c>
      <c r="F79" s="81">
        <v>3.7930000000000001</v>
      </c>
      <c r="G79" s="81">
        <v>2.9620000000000002</v>
      </c>
      <c r="H79" s="81">
        <v>3.2679999999999998</v>
      </c>
      <c r="I79" s="81">
        <v>3.5209999999999999</v>
      </c>
      <c r="J79" s="81">
        <v>4.0019999999999998</v>
      </c>
    </row>
    <row r="80" spans="1:10" ht="15">
      <c r="A80" s="26" t="s">
        <v>930</v>
      </c>
      <c r="C80" s="85"/>
      <c r="D80" s="210">
        <f t="shared" ref="D80:J80" si="13">SUM(D$21:D$22,D$77:D$79)</f>
        <v>104.086</v>
      </c>
      <c r="E80" s="210">
        <f t="shared" si="13"/>
        <v>123.986</v>
      </c>
      <c r="F80" s="210">
        <f t="shared" si="13"/>
        <v>126.89</v>
      </c>
      <c r="G80" s="210">
        <f t="shared" si="13"/>
        <v>132.92099999999999</v>
      </c>
      <c r="H80" s="210">
        <f t="shared" si="13"/>
        <v>133.209</v>
      </c>
      <c r="I80" s="210">
        <f t="shared" si="13"/>
        <v>136.059</v>
      </c>
      <c r="J80" s="210">
        <f t="shared" si="13"/>
        <v>140.328</v>
      </c>
    </row>
    <row r="81" spans="1:10" ht="15">
      <c r="A81" s="26" t="s">
        <v>168</v>
      </c>
      <c r="C81" s="85"/>
      <c r="D81" s="210">
        <f t="shared" ref="D81:J81" si="14">SUM(D$76,-D$80)</f>
        <v>10.972999999999999</v>
      </c>
      <c r="E81" s="210">
        <f t="shared" si="14"/>
        <v>-10.396000000000001</v>
      </c>
      <c r="F81" s="210">
        <f t="shared" si="14"/>
        <v>-7.7430000000000092</v>
      </c>
      <c r="G81" s="210">
        <f t="shared" si="14"/>
        <v>-10.341999999999999</v>
      </c>
      <c r="H81" s="210">
        <f t="shared" si="14"/>
        <v>-1.9150000000000205</v>
      </c>
      <c r="I81" s="210">
        <f t="shared" si="14"/>
        <v>2.5190000000000055</v>
      </c>
      <c r="J81" s="210">
        <f t="shared" si="14"/>
        <v>5.2740000000000009</v>
      </c>
    </row>
    <row r="82" spans="1:10">
      <c r="A82" s="1" t="s">
        <v>169</v>
      </c>
      <c r="B82" s="167" t="str">
        <f>$B$10</f>
        <v>UIM</v>
      </c>
      <c r="C82" s="85"/>
      <c r="D82" s="85">
        <v>-8.4640000000000004</v>
      </c>
      <c r="E82" s="85">
        <v>-9.0709999999999997</v>
      </c>
      <c r="F82" s="81">
        <v>-11.311999999999999</v>
      </c>
      <c r="G82" s="81">
        <v>-16.039000000000001</v>
      </c>
      <c r="H82" s="81">
        <v>-13.211</v>
      </c>
      <c r="I82" s="81">
        <v>-11.756</v>
      </c>
      <c r="J82" s="81">
        <v>-10.333</v>
      </c>
    </row>
    <row r="83" spans="1:10">
      <c r="A83" s="1" t="s">
        <v>170</v>
      </c>
      <c r="B83" s="167" t="str">
        <f>$B$10</f>
        <v>UIM</v>
      </c>
      <c r="C83" s="85"/>
      <c r="D83" s="85">
        <v>3.8039999999999998</v>
      </c>
      <c r="E83" s="85">
        <v>-14.148999999999999</v>
      </c>
      <c r="F83" s="81">
        <v>11.558999999999999</v>
      </c>
      <c r="G83" s="81">
        <v>-4.7489999999999997</v>
      </c>
      <c r="H83" s="81">
        <v>8.1319999999999997</v>
      </c>
      <c r="I83" s="81">
        <v>-1.079</v>
      </c>
      <c r="J83" s="81">
        <v>-1.2609999999999999</v>
      </c>
    </row>
    <row r="84" spans="1:10">
      <c r="A84" s="1" t="s">
        <v>171</v>
      </c>
      <c r="B84" s="167" t="str">
        <f>$B$10</f>
        <v>UIM</v>
      </c>
      <c r="C84" s="85"/>
      <c r="D84" s="85">
        <v>-0.79100000000000004</v>
      </c>
      <c r="E84" s="85">
        <v>-0.85499999999999998</v>
      </c>
      <c r="F84" s="81">
        <v>-0.94399999999999995</v>
      </c>
      <c r="G84" s="81">
        <v>-0.95099999999999996</v>
      </c>
      <c r="H84" s="81">
        <v>-0.76800000000000002</v>
      </c>
      <c r="I84" s="81">
        <v>-0.66</v>
      </c>
      <c r="J84" s="81">
        <v>-0.63700000000000001</v>
      </c>
    </row>
    <row r="85" spans="1:10">
      <c r="A85" s="1" t="s">
        <v>172</v>
      </c>
      <c r="B85" s="167" t="str">
        <f>$B$10</f>
        <v>UIM</v>
      </c>
      <c r="C85" s="85"/>
      <c r="D85" s="85">
        <v>-1.9019999999999999</v>
      </c>
      <c r="E85" s="85">
        <v>-1.29</v>
      </c>
      <c r="F85" s="81">
        <v>-6.87</v>
      </c>
      <c r="G85" s="81">
        <v>-16.195</v>
      </c>
      <c r="H85" s="81">
        <v>-11.561</v>
      </c>
      <c r="I85" s="81">
        <v>4.07</v>
      </c>
      <c r="J85" s="81">
        <v>10.673</v>
      </c>
    </row>
    <row r="86" spans="1:10">
      <c r="A86" s="1" t="s">
        <v>173</v>
      </c>
      <c r="B86" s="167" t="str">
        <f>$B$10</f>
        <v>UIM</v>
      </c>
      <c r="C86" s="85"/>
      <c r="D86" s="85">
        <v>0.13600000000000001</v>
      </c>
      <c r="E86" s="85">
        <v>-0.28599999999999998</v>
      </c>
      <c r="F86" s="81">
        <v>-0.40100000000000002</v>
      </c>
      <c r="G86" s="81">
        <v>-0.67400000000000004</v>
      </c>
      <c r="H86" s="81">
        <v>-0.45</v>
      </c>
      <c r="I86" s="81">
        <v>-0.192</v>
      </c>
      <c r="J86" s="81">
        <v>-0.1</v>
      </c>
    </row>
    <row r="87" spans="1:10" ht="15">
      <c r="A87" s="26" t="s">
        <v>183</v>
      </c>
      <c r="C87" s="85"/>
      <c r="D87" s="210">
        <f>SUM(D$82:D$86)-SUM(D$127-C$127,D$128-C$128)</f>
        <v>-7.2170000000000005</v>
      </c>
      <c r="E87" s="210">
        <f t="shared" ref="E87:J87" si="15">SUM(E$82:E$86)-SUM(E$127-D$127,E$128-D$128)</f>
        <v>-25.651</v>
      </c>
      <c r="F87" s="210">
        <f t="shared" si="15"/>
        <v>-7.1680000000000001</v>
      </c>
      <c r="G87" s="210">
        <f t="shared" si="15"/>
        <v>-38.215999999999994</v>
      </c>
      <c r="H87" s="210">
        <f t="shared" si="15"/>
        <v>-19.353000000000002</v>
      </c>
      <c r="I87" s="210">
        <f t="shared" si="15"/>
        <v>-11.970000000000002</v>
      </c>
      <c r="J87" s="210">
        <f t="shared" si="15"/>
        <v>-4.468</v>
      </c>
    </row>
    <row r="88" spans="1:10" ht="15">
      <c r="A88" s="26" t="s">
        <v>174</v>
      </c>
      <c r="C88" s="85"/>
      <c r="D88" s="210">
        <f t="shared" ref="D88:J88" si="16">SUM(D$81,D$87)</f>
        <v>3.7559999999999985</v>
      </c>
      <c r="E88" s="210">
        <f t="shared" si="16"/>
        <v>-36.046999999999997</v>
      </c>
      <c r="F88" s="210">
        <f t="shared" si="16"/>
        <v>-14.911000000000008</v>
      </c>
      <c r="G88" s="210">
        <f t="shared" si="16"/>
        <v>-48.557999999999993</v>
      </c>
      <c r="H88" s="210">
        <f t="shared" si="16"/>
        <v>-21.268000000000022</v>
      </c>
      <c r="I88" s="210">
        <f t="shared" si="16"/>
        <v>-9.450999999999997</v>
      </c>
      <c r="J88" s="210">
        <f t="shared" si="16"/>
        <v>0.80600000000000094</v>
      </c>
    </row>
    <row r="89" spans="1:10">
      <c r="A89" s="1" t="s">
        <v>175</v>
      </c>
      <c r="B89" s="167" t="str">
        <f>$B$10</f>
        <v>UIM</v>
      </c>
      <c r="C89" s="85"/>
      <c r="D89" s="85">
        <v>0.437</v>
      </c>
      <c r="E89" s="85">
        <v>1.2090000000000001</v>
      </c>
      <c r="F89" s="81">
        <v>0.39700000000000002</v>
      </c>
      <c r="G89" s="81">
        <v>8.4000000000000005E-2</v>
      </c>
      <c r="H89" s="81">
        <v>8.5000000000000006E-2</v>
      </c>
      <c r="I89" s="81">
        <v>8.5999999999999993E-2</v>
      </c>
      <c r="J89" s="81">
        <v>8.6999999999999994E-2</v>
      </c>
    </row>
    <row r="90" spans="1:10">
      <c r="A90" s="1" t="s">
        <v>176</v>
      </c>
      <c r="B90" s="167" t="str">
        <f>$B$10</f>
        <v>UIM</v>
      </c>
      <c r="C90" s="85"/>
      <c r="D90" s="85">
        <v>-3.536</v>
      </c>
      <c r="E90" s="85">
        <v>7.5979999999999999</v>
      </c>
      <c r="F90" s="81">
        <v>-2.1030000000000002</v>
      </c>
      <c r="G90" s="81">
        <v>0.46400000000000002</v>
      </c>
      <c r="H90" s="81">
        <v>20.427</v>
      </c>
      <c r="I90" s="81">
        <v>22.661000000000001</v>
      </c>
      <c r="J90" s="81">
        <v>18.873999999999999</v>
      </c>
    </row>
    <row r="91" spans="1:10">
      <c r="A91" s="1" t="s">
        <v>177</v>
      </c>
      <c r="B91" s="167" t="str">
        <f>$B$10</f>
        <v>UIM</v>
      </c>
      <c r="C91" s="85"/>
      <c r="D91" s="85">
        <v>1.4870000000000001</v>
      </c>
      <c r="E91" s="85">
        <v>1.1919999999999999</v>
      </c>
      <c r="F91" s="81">
        <v>-2.82</v>
      </c>
      <c r="G91" s="81">
        <v>-0.21</v>
      </c>
      <c r="H91" s="81">
        <v>1E-3</v>
      </c>
      <c r="I91" s="81">
        <v>0.30599999999999999</v>
      </c>
      <c r="J91" s="81">
        <v>0.90200000000000002</v>
      </c>
    </row>
    <row r="92" spans="1:10">
      <c r="A92" s="1" t="s">
        <v>178</v>
      </c>
      <c r="B92" s="167" t="str">
        <f>$B$10</f>
        <v>UIM</v>
      </c>
      <c r="C92" s="85"/>
      <c r="D92" s="85">
        <v>-0.53</v>
      </c>
      <c r="E92" s="85">
        <v>27.366</v>
      </c>
      <c r="F92" s="81">
        <v>13.801</v>
      </c>
      <c r="G92" s="81">
        <v>45.957999999999998</v>
      </c>
      <c r="H92" s="81">
        <v>0.36599999999999999</v>
      </c>
      <c r="I92" s="81">
        <v>-14.164999999999999</v>
      </c>
      <c r="J92" s="81">
        <v>-20.704999999999998</v>
      </c>
    </row>
    <row r="93" spans="1:10">
      <c r="A93" s="1" t="s">
        <v>179</v>
      </c>
      <c r="B93" s="167" t="str">
        <f>$B$10</f>
        <v>UIM</v>
      </c>
      <c r="C93" s="85"/>
      <c r="D93" s="85">
        <v>-0.504</v>
      </c>
      <c r="E93" s="85">
        <v>-0.47899999999999998</v>
      </c>
      <c r="F93" s="81">
        <v>-0.23899999999999999</v>
      </c>
      <c r="G93" s="81">
        <v>-0.26700000000000002</v>
      </c>
      <c r="H93" s="81">
        <v>-0.20599999999999999</v>
      </c>
      <c r="I93" s="81">
        <v>-0.214</v>
      </c>
      <c r="J93" s="81">
        <v>-0.223</v>
      </c>
    </row>
    <row r="94" spans="1:10" ht="15">
      <c r="A94" s="26" t="s">
        <v>180</v>
      </c>
      <c r="C94" s="85"/>
      <c r="D94" s="210">
        <f t="shared" ref="D94:J94" si="17">SUM(D$89:D$93)</f>
        <v>-2.6460000000000004</v>
      </c>
      <c r="E94" s="210">
        <f t="shared" si="17"/>
        <v>36.886000000000003</v>
      </c>
      <c r="F94" s="210">
        <f t="shared" si="17"/>
        <v>9.0359999999999996</v>
      </c>
      <c r="G94" s="210">
        <f t="shared" si="17"/>
        <v>46.028999999999996</v>
      </c>
      <c r="H94" s="210">
        <f t="shared" si="17"/>
        <v>20.673000000000002</v>
      </c>
      <c r="I94" s="210">
        <f t="shared" si="17"/>
        <v>8.6740000000000013</v>
      </c>
      <c r="J94" s="210">
        <f t="shared" si="17"/>
        <v>-1.0649999999999988</v>
      </c>
    </row>
    <row r="95" spans="1:10" ht="15">
      <c r="A95" s="26" t="s">
        <v>181</v>
      </c>
      <c r="C95" s="85"/>
      <c r="D95" s="210">
        <f t="shared" ref="D95:J95" si="18">SUM(D$88,D$94)</f>
        <v>1.1099999999999981</v>
      </c>
      <c r="E95" s="210">
        <f t="shared" si="18"/>
        <v>0.83900000000000574</v>
      </c>
      <c r="F95" s="210">
        <f t="shared" si="18"/>
        <v>-5.8750000000000089</v>
      </c>
      <c r="G95" s="210">
        <f t="shared" si="18"/>
        <v>-2.5289999999999964</v>
      </c>
      <c r="H95" s="210">
        <f t="shared" si="18"/>
        <v>-0.59500000000002018</v>
      </c>
      <c r="I95" s="210">
        <f t="shared" si="18"/>
        <v>-0.77699999999999569</v>
      </c>
      <c r="J95" s="210">
        <f t="shared" si="18"/>
        <v>-0.2589999999999979</v>
      </c>
    </row>
    <row r="96" spans="1:10">
      <c r="A96" s="1" t="s">
        <v>182</v>
      </c>
      <c r="B96" s="1" t="str">
        <f>$B$9</f>
        <v>NAC</v>
      </c>
      <c r="C96" s="85"/>
      <c r="D96" s="85">
        <v>0.24399999999999999</v>
      </c>
      <c r="E96" s="85">
        <v>0.84</v>
      </c>
      <c r="F96" s="81">
        <v>-1.105</v>
      </c>
      <c r="G96" s="81">
        <v>4.0000000000000001E-3</v>
      </c>
      <c r="H96" s="81">
        <v>7.0000000000000001E-3</v>
      </c>
      <c r="I96" s="81">
        <v>7.0000000000000001E-3</v>
      </c>
      <c r="J96" s="81">
        <v>8.9999999999999993E-3</v>
      </c>
    </row>
    <row r="97" spans="1:10" ht="15">
      <c r="A97" s="26" t="s">
        <v>195</v>
      </c>
      <c r="C97" s="85"/>
      <c r="D97" s="88" t="str">
        <f>IF(ROUND(D$116-C$116-SUM(D$95:D$96),3)=0,"OK","ERROR")</f>
        <v>OK</v>
      </c>
      <c r="E97" s="88" t="str">
        <f>IF(ROUND(E$116-D$116-SUM(E$95:E$96),3)=0,"OK","ERROR")</f>
        <v>OK</v>
      </c>
      <c r="F97" s="89" t="str">
        <f t="shared" ref="F97:J97" si="19">IF(ROUND(F$116-E$116-SUM(F$95:F$96),3)=0,"OK","ERROR")</f>
        <v>OK</v>
      </c>
      <c r="G97" s="89" t="str">
        <f t="shared" si="19"/>
        <v>OK</v>
      </c>
      <c r="H97" s="89" t="str">
        <f t="shared" si="19"/>
        <v>OK</v>
      </c>
      <c r="I97" s="89" t="str">
        <f t="shared" si="19"/>
        <v>OK</v>
      </c>
      <c r="J97" s="89" t="str">
        <f t="shared" si="19"/>
        <v>OK</v>
      </c>
    </row>
    <row r="98" spans="1:10" ht="15">
      <c r="A98" s="2" t="s">
        <v>194</v>
      </c>
      <c r="C98" s="85"/>
      <c r="D98" s="81"/>
      <c r="E98" s="81"/>
      <c r="F98" s="81"/>
      <c r="G98" s="81"/>
      <c r="H98" s="81"/>
      <c r="I98" s="81"/>
      <c r="J98" s="81"/>
    </row>
    <row r="99" spans="1:10" ht="15">
      <c r="A99" s="26" t="s">
        <v>1224</v>
      </c>
      <c r="C99" s="85"/>
      <c r="D99" s="210">
        <f t="shared" ref="D99:J99" si="20">SUM(D$81,D$27,D$28,-D$29)</f>
        <v>3.5960000000000001</v>
      </c>
      <c r="E99" s="210">
        <f t="shared" si="20"/>
        <v>-17.523</v>
      </c>
      <c r="F99" s="210">
        <f t="shared" si="20"/>
        <v>8.5459999999999905</v>
      </c>
      <c r="G99" s="210">
        <f t="shared" si="20"/>
        <v>-7.8589999999999982</v>
      </c>
      <c r="H99" s="210">
        <f t="shared" si="20"/>
        <v>1.9739999999999798</v>
      </c>
      <c r="I99" s="210">
        <f t="shared" si="20"/>
        <v>6.9550000000000054</v>
      </c>
      <c r="J99" s="210">
        <f t="shared" si="20"/>
        <v>10.318000000000001</v>
      </c>
    </row>
    <row r="100" spans="1:10">
      <c r="A100" s="1" t="s">
        <v>960</v>
      </c>
      <c r="B100" s="1" t="str">
        <f>$B$10</f>
        <v>UIM</v>
      </c>
      <c r="C100" s="85"/>
      <c r="D100" s="85">
        <v>-0.93400000000000005</v>
      </c>
      <c r="E100" s="85">
        <v>-2.375</v>
      </c>
      <c r="F100" s="81">
        <v>-0.78600000000000003</v>
      </c>
      <c r="G100" s="81">
        <v>-0.83099999999999996</v>
      </c>
      <c r="H100" s="81">
        <v>-0.88500000000000001</v>
      </c>
      <c r="I100" s="81">
        <v>-0.88</v>
      </c>
      <c r="J100" s="81">
        <v>-0.874</v>
      </c>
    </row>
    <row r="101" spans="1:10">
      <c r="A101" s="1" t="s">
        <v>583</v>
      </c>
      <c r="B101" s="1" t="str">
        <f>$B$10</f>
        <v>UIM</v>
      </c>
      <c r="C101" s="85"/>
      <c r="D101" s="85">
        <v>-0.76300000000000001</v>
      </c>
      <c r="E101" s="85">
        <v>-1.2789999999999999</v>
      </c>
      <c r="F101" s="81">
        <v>-0.93400000000000005</v>
      </c>
      <c r="G101" s="81">
        <v>-0.746</v>
      </c>
      <c r="H101" s="81">
        <v>-0.68700000000000006</v>
      </c>
      <c r="I101" s="81">
        <v>-0.61199999999999999</v>
      </c>
      <c r="J101" s="81">
        <v>-0.628</v>
      </c>
    </row>
    <row r="102" spans="1:10">
      <c r="A102" s="1" t="s">
        <v>184</v>
      </c>
      <c r="B102" s="167" t="str">
        <f t="shared" ref="B102:B104" si="21">$B$10</f>
        <v>UIM</v>
      </c>
      <c r="C102" s="85"/>
      <c r="D102" s="85">
        <v>-4.1000000000000002E-2</v>
      </c>
      <c r="E102" s="85">
        <v>-5.2999999999999999E-2</v>
      </c>
      <c r="F102" s="81">
        <v>-5.0999999999999997E-2</v>
      </c>
      <c r="G102" s="81">
        <v>-0.1</v>
      </c>
      <c r="H102" s="81">
        <v>-8.5000000000000006E-2</v>
      </c>
      <c r="I102" s="81">
        <v>-6.4000000000000001E-2</v>
      </c>
      <c r="J102" s="81">
        <v>-3.7999999999999999E-2</v>
      </c>
    </row>
    <row r="103" spans="1:10">
      <c r="A103" s="1" t="s">
        <v>186</v>
      </c>
      <c r="B103" s="167" t="str">
        <f t="shared" si="21"/>
        <v>UIM</v>
      </c>
      <c r="C103" s="85"/>
      <c r="D103" s="85">
        <v>-1.768</v>
      </c>
      <c r="E103" s="85">
        <v>-2.351</v>
      </c>
      <c r="F103" s="81">
        <v>-1.3080000000000001</v>
      </c>
      <c r="G103" s="81">
        <v>-1.4450000000000001</v>
      </c>
      <c r="H103" s="81">
        <v>-1.7270000000000001</v>
      </c>
      <c r="I103" s="81">
        <v>-1.931</v>
      </c>
      <c r="J103" s="81">
        <v>-2.1819999999999999</v>
      </c>
    </row>
    <row r="104" spans="1:10">
      <c r="A104" s="1" t="s">
        <v>158</v>
      </c>
      <c r="B104" s="167" t="str">
        <f t="shared" si="21"/>
        <v>UIM</v>
      </c>
      <c r="C104" s="85"/>
      <c r="D104" s="85">
        <v>2.5139999999999998</v>
      </c>
      <c r="E104" s="85">
        <v>-0.35100000000000003</v>
      </c>
      <c r="F104" s="81">
        <v>0</v>
      </c>
      <c r="G104" s="81">
        <v>0</v>
      </c>
      <c r="H104" s="81">
        <v>0</v>
      </c>
      <c r="I104" s="81">
        <v>0</v>
      </c>
      <c r="J104" s="81">
        <v>0</v>
      </c>
    </row>
    <row r="105" spans="1:10" ht="15">
      <c r="A105" s="26" t="s">
        <v>932</v>
      </c>
      <c r="C105" s="85"/>
      <c r="D105" s="210">
        <f t="shared" ref="D105:J105" si="22">SUM(-D$17,D$100:D$104)</f>
        <v>-5.5460000000000012</v>
      </c>
      <c r="E105" s="210">
        <f t="shared" si="22"/>
        <v>-11.703000000000001</v>
      </c>
      <c r="F105" s="210">
        <f t="shared" si="22"/>
        <v>-8.713000000000001</v>
      </c>
      <c r="G105" s="210">
        <f t="shared" si="22"/>
        <v>-8.8780000000000001</v>
      </c>
      <c r="H105" s="210">
        <f t="shared" si="22"/>
        <v>-9.3279999999999994</v>
      </c>
      <c r="I105" s="210">
        <f t="shared" si="22"/>
        <v>-9.5990000000000002</v>
      </c>
      <c r="J105" s="210">
        <f t="shared" si="22"/>
        <v>-10.002000000000001</v>
      </c>
    </row>
    <row r="106" spans="1:10">
      <c r="A106" s="1" t="s">
        <v>187</v>
      </c>
      <c r="B106" s="167" t="str">
        <f>$B$10</f>
        <v>UIM</v>
      </c>
      <c r="C106" s="85"/>
      <c r="D106" s="85">
        <v>4.1879999999999997</v>
      </c>
      <c r="E106" s="85">
        <v>0.63100000000000001</v>
      </c>
      <c r="F106" s="81">
        <v>0.67500000000000004</v>
      </c>
      <c r="G106" s="81">
        <v>-0.55000000000000004</v>
      </c>
      <c r="H106" s="81">
        <v>1.177</v>
      </c>
      <c r="I106" s="81">
        <v>0.76400000000000001</v>
      </c>
      <c r="J106" s="81">
        <v>0.89200000000000002</v>
      </c>
    </row>
    <row r="107" spans="1:10">
      <c r="A107" s="1" t="s">
        <v>188</v>
      </c>
      <c r="B107" s="167" t="str">
        <f>$B$10</f>
        <v>UIM</v>
      </c>
      <c r="C107" s="85"/>
      <c r="D107" s="85">
        <v>3.6999999999999998E-2</v>
      </c>
      <c r="E107" s="85">
        <v>2.1000000000000001E-2</v>
      </c>
      <c r="F107" s="81">
        <v>1.391</v>
      </c>
      <c r="G107" s="81">
        <v>0.98299999999999998</v>
      </c>
      <c r="H107" s="81">
        <v>0.91700000000000004</v>
      </c>
      <c r="I107" s="81">
        <v>0.57999999999999996</v>
      </c>
      <c r="J107" s="81">
        <v>0.49199999999999999</v>
      </c>
    </row>
    <row r="108" spans="1:10">
      <c r="A108" s="1" t="s">
        <v>189</v>
      </c>
      <c r="B108" s="167" t="str">
        <f t="shared" ref="B108:B112" si="23">$B$10</f>
        <v>UIM</v>
      </c>
      <c r="C108" s="85"/>
      <c r="D108" s="85">
        <v>0.17499999999999999</v>
      </c>
      <c r="E108" s="85">
        <v>0.254</v>
      </c>
      <c r="F108" s="81">
        <v>0.30199999999999999</v>
      </c>
      <c r="G108" s="81">
        <v>0.42399999999999999</v>
      </c>
      <c r="H108" s="81">
        <v>0.41799999999999998</v>
      </c>
      <c r="I108" s="81">
        <v>0.251</v>
      </c>
      <c r="J108" s="81">
        <v>0.245</v>
      </c>
    </row>
    <row r="109" spans="1:10">
      <c r="A109" s="1" t="s">
        <v>190</v>
      </c>
      <c r="B109" s="167" t="str">
        <f t="shared" si="23"/>
        <v>UIM</v>
      </c>
      <c r="C109" s="85"/>
      <c r="D109" s="85">
        <v>3.5999999999999997E-2</v>
      </c>
      <c r="E109" s="85">
        <v>0.108</v>
      </c>
      <c r="F109" s="81">
        <v>0.06</v>
      </c>
      <c r="G109" s="81">
        <v>1.2E-2</v>
      </c>
      <c r="H109" s="81">
        <v>5.0000000000000001E-3</v>
      </c>
      <c r="I109" s="81">
        <v>4.0000000000000001E-3</v>
      </c>
      <c r="J109" s="81">
        <v>2E-3</v>
      </c>
    </row>
    <row r="110" spans="1:10">
      <c r="A110" s="1" t="s">
        <v>191</v>
      </c>
      <c r="B110" s="167" t="str">
        <f t="shared" si="23"/>
        <v>UIM</v>
      </c>
      <c r="C110" s="85"/>
      <c r="D110" s="85">
        <v>-9.7000000000000003E-2</v>
      </c>
      <c r="E110" s="85">
        <v>-6.8000000000000005E-2</v>
      </c>
      <c r="F110" s="81">
        <v>0.254</v>
      </c>
      <c r="G110" s="81">
        <v>-0.34</v>
      </c>
      <c r="H110" s="81">
        <v>-0.14299999999999999</v>
      </c>
      <c r="I110" s="81">
        <v>-0.13100000000000001</v>
      </c>
      <c r="J110" s="81">
        <v>-0.254</v>
      </c>
    </row>
    <row r="111" spans="1:10">
      <c r="A111" s="1" t="s">
        <v>192</v>
      </c>
      <c r="B111" s="167" t="str">
        <f t="shared" si="23"/>
        <v>UIM</v>
      </c>
      <c r="C111" s="85"/>
      <c r="D111" s="85">
        <v>-2.5710000000000002</v>
      </c>
      <c r="E111" s="85">
        <v>-0.95599999999999996</v>
      </c>
      <c r="F111" s="81">
        <v>-1.919</v>
      </c>
      <c r="G111" s="81">
        <v>-0.191</v>
      </c>
      <c r="H111" s="81">
        <v>-1.036</v>
      </c>
      <c r="I111" s="81">
        <v>-0.48899999999999999</v>
      </c>
      <c r="J111" s="81">
        <v>0.56899999999999995</v>
      </c>
    </row>
    <row r="112" spans="1:10" s="167" customFormat="1">
      <c r="A112" s="167" t="s">
        <v>185</v>
      </c>
      <c r="B112" s="167" t="str">
        <f t="shared" si="23"/>
        <v>UIM</v>
      </c>
      <c r="C112" s="85"/>
      <c r="D112" s="85">
        <v>0.57099999999999995</v>
      </c>
      <c r="E112" s="85">
        <v>-0.80400000000000005</v>
      </c>
      <c r="F112" s="81">
        <v>0.67800000000000005</v>
      </c>
      <c r="G112" s="81">
        <v>0.751</v>
      </c>
      <c r="H112" s="81">
        <v>0.77100000000000002</v>
      </c>
      <c r="I112" s="81">
        <v>0.78400000000000003</v>
      </c>
      <c r="J112" s="81">
        <v>0.78300000000000003</v>
      </c>
    </row>
    <row r="113" spans="1:10" ht="15">
      <c r="A113" s="26" t="s">
        <v>193</v>
      </c>
      <c r="C113" s="85"/>
      <c r="D113" s="210">
        <f>SUM(D$106:D$112)</f>
        <v>2.3389999999999986</v>
      </c>
      <c r="E113" s="210">
        <f t="shared" ref="E113:J113" si="24">SUM(E$106:E$112)</f>
        <v>-0.81400000000000006</v>
      </c>
      <c r="F113" s="210">
        <f t="shared" si="24"/>
        <v>1.4409999999999998</v>
      </c>
      <c r="G113" s="210">
        <f t="shared" si="24"/>
        <v>1.089</v>
      </c>
      <c r="H113" s="210">
        <f t="shared" si="24"/>
        <v>2.1090000000000004</v>
      </c>
      <c r="I113" s="210">
        <f t="shared" si="24"/>
        <v>1.7629999999999999</v>
      </c>
      <c r="J113" s="210">
        <f t="shared" si="24"/>
        <v>2.7290000000000001</v>
      </c>
    </row>
    <row r="114" spans="1:10" ht="15">
      <c r="A114" s="26" t="s">
        <v>196</v>
      </c>
      <c r="C114" s="85"/>
      <c r="D114" s="88" t="str">
        <f t="shared" ref="D114:J114" si="25">IF(ROUND(D$30-(D$99+D$105+D$113),3)=0,"OK","ERROR")</f>
        <v>OK</v>
      </c>
      <c r="E114" s="88" t="str">
        <f t="shared" si="25"/>
        <v>OK</v>
      </c>
      <c r="F114" s="89" t="str">
        <f t="shared" si="25"/>
        <v>OK</v>
      </c>
      <c r="G114" s="89" t="str">
        <f t="shared" si="25"/>
        <v>OK</v>
      </c>
      <c r="H114" s="89" t="str">
        <f t="shared" si="25"/>
        <v>OK</v>
      </c>
      <c r="I114" s="89" t="str">
        <f t="shared" si="25"/>
        <v>OK</v>
      </c>
      <c r="J114" s="89" t="str">
        <f t="shared" si="25"/>
        <v>OK</v>
      </c>
    </row>
    <row r="115" spans="1:10" ht="15">
      <c r="A115" s="2" t="s">
        <v>197</v>
      </c>
      <c r="C115" s="85"/>
      <c r="D115" s="81"/>
      <c r="E115" s="81"/>
      <c r="F115" s="81"/>
      <c r="G115" s="81"/>
      <c r="H115" s="81"/>
      <c r="I115" s="81"/>
      <c r="J115" s="81"/>
    </row>
    <row r="116" spans="1:10" ht="15">
      <c r="A116" s="1" t="s">
        <v>198</v>
      </c>
      <c r="B116" s="1" t="str">
        <f t="shared" ref="B116:B123" si="26">$B$10</f>
        <v>UIM</v>
      </c>
      <c r="C116" s="86">
        <v>18.893999999999998</v>
      </c>
      <c r="D116" s="85">
        <v>20.248000000000001</v>
      </c>
      <c r="E116" s="85">
        <v>21.927</v>
      </c>
      <c r="F116" s="81">
        <v>14.946999999999999</v>
      </c>
      <c r="G116" s="81">
        <v>12.422000000000001</v>
      </c>
      <c r="H116" s="81">
        <v>11.834</v>
      </c>
      <c r="I116" s="81">
        <v>11.064</v>
      </c>
      <c r="J116" s="81">
        <v>10.814</v>
      </c>
    </row>
    <row r="117" spans="1:10">
      <c r="A117" s="1" t="s">
        <v>199</v>
      </c>
      <c r="B117" s="1" t="str">
        <f t="shared" si="26"/>
        <v>UIM</v>
      </c>
      <c r="C117" s="85"/>
      <c r="D117" s="85">
        <v>23.327000000000002</v>
      </c>
      <c r="E117" s="85">
        <v>24.742999999999999</v>
      </c>
      <c r="F117" s="81">
        <v>25.001000000000001</v>
      </c>
      <c r="G117" s="81">
        <v>24.66</v>
      </c>
      <c r="H117" s="81">
        <v>25.73</v>
      </c>
      <c r="I117" s="81">
        <v>26.594999999999999</v>
      </c>
      <c r="J117" s="81">
        <v>27.579000000000001</v>
      </c>
    </row>
    <row r="118" spans="1:10">
      <c r="A118" s="1" t="s">
        <v>200</v>
      </c>
      <c r="B118" s="1" t="str">
        <f t="shared" si="26"/>
        <v>UIM</v>
      </c>
      <c r="C118" s="85"/>
      <c r="D118" s="85">
        <v>43.616</v>
      </c>
      <c r="E118" s="85">
        <v>61.005000000000003</v>
      </c>
      <c r="F118" s="81">
        <v>57.741</v>
      </c>
      <c r="G118" s="81">
        <v>57.207999999999998</v>
      </c>
      <c r="H118" s="81">
        <v>58.302999999999997</v>
      </c>
      <c r="I118" s="81">
        <v>60.04</v>
      </c>
      <c r="J118" s="81">
        <v>62.698999999999998</v>
      </c>
    </row>
    <row r="119" spans="1:10">
      <c r="A119" s="1" t="s">
        <v>201</v>
      </c>
      <c r="B119" s="1" t="str">
        <f t="shared" si="26"/>
        <v>UIM</v>
      </c>
      <c r="C119" s="85"/>
      <c r="D119" s="85">
        <v>39.552</v>
      </c>
      <c r="E119" s="85">
        <v>33.790999999999997</v>
      </c>
      <c r="F119" s="81">
        <v>43.494</v>
      </c>
      <c r="G119" s="81">
        <v>46.247999999999998</v>
      </c>
      <c r="H119" s="81">
        <v>48.655999999999999</v>
      </c>
      <c r="I119" s="81">
        <v>51.381999999999998</v>
      </c>
      <c r="J119" s="81">
        <v>54.692</v>
      </c>
    </row>
    <row r="120" spans="1:10">
      <c r="A120" s="1" t="s">
        <v>202</v>
      </c>
      <c r="B120" s="1" t="str">
        <f t="shared" si="26"/>
        <v>UIM</v>
      </c>
      <c r="C120" s="85"/>
      <c r="D120" s="85">
        <v>33.69</v>
      </c>
      <c r="E120" s="85">
        <v>37.628999999999998</v>
      </c>
      <c r="F120" s="81">
        <v>47.043999999999997</v>
      </c>
      <c r="G120" s="81">
        <v>63.738999999999997</v>
      </c>
      <c r="H120" s="81">
        <v>75.665000000000006</v>
      </c>
      <c r="I120" s="81">
        <v>71.918999999999997</v>
      </c>
      <c r="J120" s="81">
        <v>62.005000000000003</v>
      </c>
    </row>
    <row r="121" spans="1:10">
      <c r="A121" s="1" t="s">
        <v>1088</v>
      </c>
      <c r="B121" s="1" t="str">
        <f t="shared" si="26"/>
        <v>UIM</v>
      </c>
      <c r="C121" s="85"/>
      <c r="D121" s="85">
        <v>3.6880000000000002</v>
      </c>
      <c r="E121" s="85">
        <v>4.22</v>
      </c>
      <c r="F121" s="81">
        <v>4.2759999999999998</v>
      </c>
      <c r="G121" s="81">
        <v>5.1260000000000003</v>
      </c>
      <c r="H121" s="81">
        <v>6.218</v>
      </c>
      <c r="I121" s="81">
        <v>7.5110000000000001</v>
      </c>
      <c r="J121" s="81">
        <v>8.66</v>
      </c>
    </row>
    <row r="122" spans="1:10">
      <c r="A122" s="1" t="s">
        <v>203</v>
      </c>
      <c r="B122" s="1" t="str">
        <f t="shared" si="26"/>
        <v>UIM</v>
      </c>
      <c r="C122" s="85"/>
      <c r="D122" s="85">
        <v>1.5169999999999999</v>
      </c>
      <c r="E122" s="85">
        <v>1.7729999999999999</v>
      </c>
      <c r="F122" s="81">
        <v>2.0750000000000002</v>
      </c>
      <c r="G122" s="81">
        <v>2.4990000000000001</v>
      </c>
      <c r="H122" s="81">
        <v>2.9180000000000001</v>
      </c>
      <c r="I122" s="81">
        <v>3.1680000000000001</v>
      </c>
      <c r="J122" s="81">
        <v>3.4129999999999998</v>
      </c>
    </row>
    <row r="123" spans="1:10">
      <c r="A123" s="1" t="s">
        <v>204</v>
      </c>
      <c r="B123" s="1" t="str">
        <f t="shared" si="26"/>
        <v>UIM</v>
      </c>
      <c r="C123" s="85"/>
      <c r="D123" s="85">
        <v>2.8279999999999998</v>
      </c>
      <c r="E123" s="85">
        <v>3.61</v>
      </c>
      <c r="F123" s="81">
        <v>3.3260000000000001</v>
      </c>
      <c r="G123" s="81">
        <v>3.4470000000000001</v>
      </c>
      <c r="H123" s="81">
        <v>3.35</v>
      </c>
      <c r="I123" s="81">
        <v>3.26</v>
      </c>
      <c r="J123" s="81">
        <v>3.18</v>
      </c>
    </row>
    <row r="124" spans="1:10">
      <c r="A124" s="1" t="s">
        <v>205</v>
      </c>
      <c r="B124" s="1" t="str">
        <f>$B$9</f>
        <v>NAC</v>
      </c>
      <c r="C124" s="85"/>
      <c r="D124" s="85">
        <v>177.625</v>
      </c>
      <c r="E124" s="85">
        <v>186.50200000000001</v>
      </c>
      <c r="F124" s="81">
        <v>191.55699999999999</v>
      </c>
      <c r="G124" s="81">
        <v>201.00299999999999</v>
      </c>
      <c r="H124" s="81">
        <v>207.58199999999999</v>
      </c>
      <c r="I124" s="81">
        <v>213.01</v>
      </c>
      <c r="J124" s="81">
        <v>216.66200000000001</v>
      </c>
    </row>
    <row r="125" spans="1:10">
      <c r="A125" s="1" t="s">
        <v>206</v>
      </c>
      <c r="B125" s="1" t="str">
        <f>$B$10</f>
        <v>UIM</v>
      </c>
      <c r="C125" s="85"/>
      <c r="D125" s="85">
        <v>14.65</v>
      </c>
      <c r="E125" s="85">
        <v>14.308</v>
      </c>
      <c r="F125" s="81">
        <v>14.162000000000001</v>
      </c>
      <c r="G125" s="81">
        <v>14.695</v>
      </c>
      <c r="H125" s="81">
        <v>15.173</v>
      </c>
      <c r="I125" s="81">
        <v>15.428000000000001</v>
      </c>
      <c r="J125" s="81">
        <v>15.661</v>
      </c>
    </row>
    <row r="126" spans="1:10">
      <c r="A126" s="1" t="s">
        <v>207</v>
      </c>
      <c r="B126" s="1" t="str">
        <f>$B$9</f>
        <v>NAC</v>
      </c>
      <c r="C126" s="85"/>
      <c r="D126" s="85">
        <v>3.911</v>
      </c>
      <c r="E126" s="85">
        <v>3.8919999999999999</v>
      </c>
      <c r="F126" s="81">
        <v>4.1289999999999996</v>
      </c>
      <c r="G126" s="81">
        <v>4.3840000000000003</v>
      </c>
      <c r="H126" s="81">
        <v>4.4109999999999996</v>
      </c>
      <c r="I126" s="81">
        <v>4.3380000000000001</v>
      </c>
      <c r="J126" s="81">
        <v>4.2220000000000004</v>
      </c>
    </row>
    <row r="127" spans="1:10" ht="15">
      <c r="A127" s="1" t="s">
        <v>208</v>
      </c>
      <c r="C127" s="86">
        <v>0</v>
      </c>
      <c r="D127" s="85">
        <v>0</v>
      </c>
      <c r="E127" s="85">
        <v>0</v>
      </c>
      <c r="F127" s="81">
        <v>0</v>
      </c>
      <c r="G127" s="81">
        <v>2.0329999999999999</v>
      </c>
      <c r="H127" s="81">
        <v>4.9279999999999999</v>
      </c>
      <c r="I127" s="81">
        <v>8.2810000000000006</v>
      </c>
      <c r="J127" s="81">
        <v>11.941000000000001</v>
      </c>
    </row>
    <row r="128" spans="1:10" ht="15">
      <c r="A128" s="1" t="s">
        <v>209</v>
      </c>
      <c r="C128" s="86">
        <v>0</v>
      </c>
      <c r="D128" s="85">
        <v>0</v>
      </c>
      <c r="E128" s="85">
        <v>0</v>
      </c>
      <c r="F128" s="81">
        <v>-0.8</v>
      </c>
      <c r="G128" s="81">
        <v>-3.2250000000000001</v>
      </c>
      <c r="H128" s="81">
        <v>-4.625</v>
      </c>
      <c r="I128" s="81">
        <v>-5.625</v>
      </c>
      <c r="J128" s="81">
        <v>-6.4749999999999996</v>
      </c>
    </row>
    <row r="129" spans="1:10" ht="15">
      <c r="A129" s="26" t="s">
        <v>210</v>
      </c>
      <c r="C129" s="85"/>
      <c r="D129" s="210">
        <f t="shared" ref="D129:J129" si="27">SUM(D$116:D$128)</f>
        <v>364.65199999999999</v>
      </c>
      <c r="E129" s="210">
        <f t="shared" si="27"/>
        <v>393.40000000000003</v>
      </c>
      <c r="F129" s="210">
        <f t="shared" si="27"/>
        <v>406.95199999999994</v>
      </c>
      <c r="G129" s="210">
        <f t="shared" si="27"/>
        <v>434.23899999999998</v>
      </c>
      <c r="H129" s="210">
        <f t="shared" si="27"/>
        <v>460.14299999999997</v>
      </c>
      <c r="I129" s="210">
        <f t="shared" si="27"/>
        <v>470.37099999999998</v>
      </c>
      <c r="J129" s="210">
        <f t="shared" si="27"/>
        <v>475.05299999999994</v>
      </c>
    </row>
    <row r="130" spans="1:10">
      <c r="A130" s="1" t="s">
        <v>211</v>
      </c>
      <c r="B130" s="1" t="str">
        <f>$B$10</f>
        <v>UIM</v>
      </c>
      <c r="C130" s="85"/>
      <c r="D130" s="85">
        <v>6.8129999999999997</v>
      </c>
      <c r="E130" s="85">
        <v>8.0220000000000002</v>
      </c>
      <c r="F130" s="81">
        <v>8.4190000000000005</v>
      </c>
      <c r="G130" s="81">
        <v>8.5030000000000001</v>
      </c>
      <c r="H130" s="81">
        <v>8.5879999999999992</v>
      </c>
      <c r="I130" s="81">
        <v>8.6739999999999995</v>
      </c>
      <c r="J130" s="81">
        <v>8.7609999999999992</v>
      </c>
    </row>
    <row r="131" spans="1:10">
      <c r="A131" s="1" t="s">
        <v>212</v>
      </c>
      <c r="B131" s="1" t="str">
        <f>$B$10</f>
        <v>UIM</v>
      </c>
      <c r="C131" s="85"/>
      <c r="D131" s="85">
        <v>16.742000000000001</v>
      </c>
      <c r="E131" s="85">
        <v>16.971</v>
      </c>
      <c r="F131" s="81">
        <v>16.004999999999999</v>
      </c>
      <c r="G131" s="81">
        <v>15.401999999999999</v>
      </c>
      <c r="H131" s="81">
        <v>15.359</v>
      </c>
      <c r="I131" s="81">
        <v>15.843</v>
      </c>
      <c r="J131" s="81">
        <v>15.311999999999999</v>
      </c>
    </row>
    <row r="132" spans="1:10">
      <c r="A132" s="1" t="s">
        <v>213</v>
      </c>
      <c r="B132" s="1" t="str">
        <f>$B$10</f>
        <v>UIM</v>
      </c>
      <c r="C132" s="85"/>
      <c r="D132" s="85">
        <v>2.5230000000000001</v>
      </c>
      <c r="E132" s="85">
        <v>2.59</v>
      </c>
      <c r="F132" s="81">
        <v>2.331</v>
      </c>
      <c r="G132" s="81">
        <v>2.67</v>
      </c>
      <c r="H132" s="81">
        <v>2.8130000000000002</v>
      </c>
      <c r="I132" s="81">
        <v>2.9409999999999998</v>
      </c>
      <c r="J132" s="81">
        <v>3.194</v>
      </c>
    </row>
    <row r="133" spans="1:10">
      <c r="A133" s="1" t="s">
        <v>214</v>
      </c>
      <c r="B133" s="167" t="str">
        <f>$B$10</f>
        <v>UIM</v>
      </c>
      <c r="C133" s="85"/>
      <c r="D133" s="85">
        <v>110.248</v>
      </c>
      <c r="E133" s="85">
        <v>152.71700000000001</v>
      </c>
      <c r="F133" s="81">
        <v>173.227</v>
      </c>
      <c r="G133" s="81">
        <v>215.23400000000001</v>
      </c>
      <c r="H133" s="81">
        <v>245.21799999999999</v>
      </c>
      <c r="I133" s="81">
        <v>254.45699999999999</v>
      </c>
      <c r="J133" s="81">
        <v>255.084</v>
      </c>
    </row>
    <row r="134" spans="1:10">
      <c r="A134" s="1" t="s">
        <v>215</v>
      </c>
      <c r="B134" s="1" t="str">
        <f>$B$9</f>
        <v>NAC</v>
      </c>
      <c r="C134" s="85"/>
      <c r="D134" s="85">
        <v>58.216000000000001</v>
      </c>
      <c r="E134" s="85">
        <v>66.69</v>
      </c>
      <c r="F134" s="81">
        <v>58.529000000000003</v>
      </c>
      <c r="G134" s="81">
        <v>59.972999999999999</v>
      </c>
      <c r="H134" s="81">
        <v>61.701000000000001</v>
      </c>
      <c r="I134" s="81">
        <v>63.631999999999998</v>
      </c>
      <c r="J134" s="81">
        <v>65.814999999999998</v>
      </c>
    </row>
    <row r="135" spans="1:10">
      <c r="A135" s="1" t="s">
        <v>216</v>
      </c>
      <c r="B135" s="1" t="str">
        <f>$B$10</f>
        <v>UIM</v>
      </c>
      <c r="C135" s="85"/>
      <c r="D135" s="85">
        <v>13.179</v>
      </c>
      <c r="E135" s="85">
        <v>13.983000000000001</v>
      </c>
      <c r="F135" s="81">
        <v>12.725</v>
      </c>
      <c r="G135" s="81">
        <v>11.859</v>
      </c>
      <c r="H135" s="81">
        <v>10.997</v>
      </c>
      <c r="I135" s="81">
        <v>10.154999999999999</v>
      </c>
      <c r="J135" s="81">
        <v>9.3460000000000001</v>
      </c>
    </row>
    <row r="136" spans="1:10">
      <c r="A136" s="1" t="s">
        <v>217</v>
      </c>
      <c r="B136" s="1" t="str">
        <f>$B$10</f>
        <v>UIM</v>
      </c>
      <c r="C136" s="85"/>
      <c r="D136" s="85">
        <v>13.592000000000001</v>
      </c>
      <c r="E136" s="85">
        <v>16.484000000000002</v>
      </c>
      <c r="F136" s="81">
        <v>18.452999999999999</v>
      </c>
      <c r="G136" s="81">
        <v>18.411000000000001</v>
      </c>
      <c r="H136" s="81">
        <v>18.321999999999999</v>
      </c>
      <c r="I136" s="81">
        <v>18.23</v>
      </c>
      <c r="J136" s="81">
        <v>17.898</v>
      </c>
    </row>
    <row r="137" spans="1:10" ht="15">
      <c r="A137" s="26" t="s">
        <v>218</v>
      </c>
      <c r="C137" s="85"/>
      <c r="D137" s="210">
        <f t="shared" ref="D137:J137" si="28">SUM(D$130:D$136)</f>
        <v>221.31300000000002</v>
      </c>
      <c r="E137" s="210">
        <f t="shared" si="28"/>
        <v>277.45699999999999</v>
      </c>
      <c r="F137" s="210">
        <f t="shared" si="28"/>
        <v>289.68900000000002</v>
      </c>
      <c r="G137" s="210">
        <f t="shared" si="28"/>
        <v>332.05200000000002</v>
      </c>
      <c r="H137" s="210">
        <f t="shared" si="28"/>
        <v>362.99800000000005</v>
      </c>
      <c r="I137" s="210">
        <f t="shared" si="28"/>
        <v>373.93199999999996</v>
      </c>
      <c r="J137" s="210">
        <f t="shared" si="28"/>
        <v>375.41</v>
      </c>
    </row>
    <row r="138" spans="1:10" ht="15">
      <c r="A138" s="26" t="s">
        <v>219</v>
      </c>
      <c r="C138" s="85"/>
      <c r="D138" s="86">
        <v>143.339</v>
      </c>
      <c r="E138" s="86">
        <v>115.943</v>
      </c>
      <c r="F138" s="87">
        <v>117.26300000000001</v>
      </c>
      <c r="G138" s="87">
        <v>102.187</v>
      </c>
      <c r="H138" s="87">
        <v>97.144999999999996</v>
      </c>
      <c r="I138" s="87">
        <v>96.438999999999993</v>
      </c>
      <c r="J138" s="87">
        <v>99.643000000000001</v>
      </c>
    </row>
    <row r="139" spans="1:10" ht="15">
      <c r="A139" s="26" t="s">
        <v>220</v>
      </c>
      <c r="C139" s="85"/>
      <c r="D139" s="88" t="str">
        <f t="shared" ref="D139:J139" si="29">IF(ROUND(D$138-(D$129-D$137),3)=0,"OK","ERROR")</f>
        <v>OK</v>
      </c>
      <c r="E139" s="88" t="str">
        <f t="shared" si="29"/>
        <v>OK</v>
      </c>
      <c r="F139" s="89" t="str">
        <f t="shared" si="29"/>
        <v>OK</v>
      </c>
      <c r="G139" s="89" t="str">
        <f t="shared" si="29"/>
        <v>OK</v>
      </c>
      <c r="H139" s="89" t="str">
        <f t="shared" si="29"/>
        <v>OK</v>
      </c>
      <c r="I139" s="89" t="str">
        <f t="shared" si="29"/>
        <v>OK</v>
      </c>
      <c r="J139" s="89" t="str">
        <f t="shared" si="29"/>
        <v>OK</v>
      </c>
    </row>
    <row r="140" spans="1:10" ht="15">
      <c r="A140" s="26" t="s">
        <v>221</v>
      </c>
      <c r="B140" s="167" t="str">
        <f>$B$10</f>
        <v>UIM</v>
      </c>
      <c r="C140" s="85"/>
      <c r="D140" s="85">
        <v>6.39</v>
      </c>
      <c r="E140" s="85">
        <v>5.6230000000000002</v>
      </c>
      <c r="F140" s="81">
        <v>5.2729999999999997</v>
      </c>
      <c r="G140" s="81">
        <v>5.6360000000000001</v>
      </c>
      <c r="H140" s="81">
        <v>5.6369999999999996</v>
      </c>
      <c r="I140" s="81">
        <v>5.6219999999999999</v>
      </c>
      <c r="J140" s="81">
        <v>5.6050000000000004</v>
      </c>
    </row>
    <row r="141" spans="1:10" ht="15">
      <c r="A141" s="2" t="s">
        <v>222</v>
      </c>
      <c r="C141" s="85"/>
      <c r="D141" s="81"/>
      <c r="E141" s="81"/>
      <c r="F141" s="81"/>
      <c r="G141" s="81"/>
      <c r="H141" s="81"/>
      <c r="I141" s="81"/>
      <c r="J141" s="81"/>
    </row>
    <row r="142" spans="1:10">
      <c r="A142" s="1" t="s">
        <v>223</v>
      </c>
      <c r="B142" s="167" t="str">
        <f>$B$10</f>
        <v>UIM</v>
      </c>
      <c r="C142" s="85"/>
      <c r="D142" s="85">
        <v>91.832999999999998</v>
      </c>
      <c r="E142" s="85">
        <v>126.82</v>
      </c>
      <c r="F142" s="81">
        <v>139.892</v>
      </c>
      <c r="G142" s="81">
        <v>177.60499999999999</v>
      </c>
      <c r="H142" s="81">
        <v>201.661</v>
      </c>
      <c r="I142" s="81">
        <v>206.39699999999999</v>
      </c>
      <c r="J142" s="81">
        <v>203.441</v>
      </c>
    </row>
    <row r="143" spans="1:10">
      <c r="A143" s="1" t="s">
        <v>224</v>
      </c>
      <c r="B143" s="167" t="str">
        <f>$B$10</f>
        <v>UIM</v>
      </c>
      <c r="C143" s="85"/>
      <c r="D143" s="85">
        <v>0.90300000000000002</v>
      </c>
      <c r="E143" s="85">
        <v>2.6749999999999998</v>
      </c>
      <c r="F143" s="81">
        <v>2.9729999999999999</v>
      </c>
      <c r="G143" s="81">
        <v>3.11</v>
      </c>
      <c r="H143" s="81">
        <v>3.2320000000000002</v>
      </c>
      <c r="I143" s="81">
        <v>3.4359999999999999</v>
      </c>
      <c r="J143" s="81">
        <v>3.6059999999999999</v>
      </c>
    </row>
    <row r="144" spans="1:10" ht="15">
      <c r="A144" s="26" t="s">
        <v>225</v>
      </c>
      <c r="C144" s="85"/>
      <c r="D144" s="210">
        <f t="shared" ref="D144:E144" si="30">D$142-D$143</f>
        <v>90.929999999999993</v>
      </c>
      <c r="E144" s="210">
        <f t="shared" si="30"/>
        <v>124.145</v>
      </c>
      <c r="F144" s="210">
        <f>F$142-F$143</f>
        <v>136.91899999999998</v>
      </c>
      <c r="G144" s="210">
        <f>G$142-G$143</f>
        <v>174.49499999999998</v>
      </c>
      <c r="H144" s="210">
        <f>H$142-H$143</f>
        <v>198.429</v>
      </c>
      <c r="I144" s="210">
        <f>I$142-I$143</f>
        <v>202.96099999999998</v>
      </c>
      <c r="J144" s="210">
        <f>J$142-J$143</f>
        <v>199.83500000000001</v>
      </c>
    </row>
    <row r="145" spans="1:10">
      <c r="A145" s="1" t="s">
        <v>226</v>
      </c>
      <c r="B145" s="167" t="str">
        <f>$B$10</f>
        <v>UIM</v>
      </c>
      <c r="C145" s="85"/>
      <c r="D145" s="85">
        <v>90.715000000000003</v>
      </c>
      <c r="E145" s="85">
        <v>102.169</v>
      </c>
      <c r="F145" s="81">
        <v>102.036</v>
      </c>
      <c r="G145" s="81">
        <v>117.33499999999999</v>
      </c>
      <c r="H145" s="81">
        <v>130.53399999999999</v>
      </c>
      <c r="I145" s="81">
        <v>128.352</v>
      </c>
      <c r="J145" s="81">
        <v>121.937</v>
      </c>
    </row>
    <row r="146" spans="1:10" ht="15">
      <c r="A146" s="26" t="s">
        <v>227</v>
      </c>
      <c r="C146" s="85"/>
      <c r="D146" s="210">
        <f t="shared" ref="D146:J146" si="31">D$144-D$145</f>
        <v>0.2149999999999892</v>
      </c>
      <c r="E146" s="210">
        <f t="shared" si="31"/>
        <v>21.975999999999999</v>
      </c>
      <c r="F146" s="210">
        <f t="shared" si="31"/>
        <v>34.882999999999981</v>
      </c>
      <c r="G146" s="210">
        <f t="shared" si="31"/>
        <v>57.159999999999982</v>
      </c>
      <c r="H146" s="210">
        <f t="shared" si="31"/>
        <v>67.89500000000001</v>
      </c>
      <c r="I146" s="210">
        <f t="shared" si="31"/>
        <v>74.60899999999998</v>
      </c>
      <c r="J146" s="210">
        <f t="shared" si="31"/>
        <v>77.89800000000001</v>
      </c>
    </row>
    <row r="147" spans="1:10">
      <c r="A147" s="1" t="s">
        <v>1225</v>
      </c>
      <c r="B147" s="167" t="str">
        <f>$B$10</f>
        <v>UIM</v>
      </c>
      <c r="C147" s="85"/>
      <c r="D147" s="85">
        <v>43.676000000000002</v>
      </c>
      <c r="E147" s="85">
        <v>46.843000000000004</v>
      </c>
      <c r="F147" s="81">
        <v>58.363</v>
      </c>
      <c r="G147" s="81">
        <v>61.895000000000003</v>
      </c>
      <c r="H147" s="81">
        <v>66.974000000000004</v>
      </c>
      <c r="I147" s="81">
        <v>72.721000000000004</v>
      </c>
      <c r="J147" s="81">
        <v>79.034999999999997</v>
      </c>
    </row>
    <row r="148" spans="1:10" s="167" customFormat="1">
      <c r="A148" s="167" t="s">
        <v>1226</v>
      </c>
      <c r="B148" s="167" t="str">
        <f t="shared" ref="B148:B149" si="32">$B$10</f>
        <v>UIM</v>
      </c>
      <c r="C148" s="85"/>
      <c r="D148" s="85">
        <v>0</v>
      </c>
      <c r="E148" s="85">
        <v>0</v>
      </c>
      <c r="F148" s="81">
        <v>4.54</v>
      </c>
      <c r="G148" s="81">
        <v>18.72</v>
      </c>
      <c r="H148" s="81">
        <v>28</v>
      </c>
      <c r="I148" s="81">
        <v>21.76</v>
      </c>
      <c r="J148" s="81">
        <v>9.2799999999999994</v>
      </c>
    </row>
    <row r="149" spans="1:10" s="167" customFormat="1">
      <c r="A149" s="167" t="s">
        <v>1227</v>
      </c>
      <c r="B149" s="167" t="str">
        <f t="shared" si="32"/>
        <v>UIM</v>
      </c>
      <c r="C149" s="85"/>
      <c r="D149" s="85">
        <v>13.845000000000001</v>
      </c>
      <c r="E149" s="85">
        <v>14.555999999999999</v>
      </c>
      <c r="F149" s="81">
        <v>15.869</v>
      </c>
      <c r="G149" s="81">
        <v>15.536</v>
      </c>
      <c r="H149" s="81">
        <v>15.609</v>
      </c>
      <c r="I149" s="81">
        <v>15.153</v>
      </c>
      <c r="J149" s="81">
        <v>14.571</v>
      </c>
    </row>
    <row r="150" spans="1:10" s="167" customFormat="1" ht="15">
      <c r="A150" s="26" t="s">
        <v>1228</v>
      </c>
      <c r="C150" s="85"/>
      <c r="D150" s="210">
        <f>SUM(D$147:D$149)</f>
        <v>57.521000000000001</v>
      </c>
      <c r="E150" s="210">
        <f t="shared" ref="E150:J150" si="33">SUM(E$147:E$149)</f>
        <v>61.399000000000001</v>
      </c>
      <c r="F150" s="210">
        <f t="shared" si="33"/>
        <v>78.771999999999991</v>
      </c>
      <c r="G150" s="210">
        <f t="shared" si="33"/>
        <v>96.15100000000001</v>
      </c>
      <c r="H150" s="210">
        <f t="shared" si="33"/>
        <v>110.583</v>
      </c>
      <c r="I150" s="210">
        <f t="shared" si="33"/>
        <v>109.63400000000001</v>
      </c>
      <c r="J150" s="210">
        <f t="shared" si="33"/>
        <v>102.886</v>
      </c>
    </row>
    <row r="151" spans="1:10" ht="15">
      <c r="A151" s="26" t="s">
        <v>228</v>
      </c>
      <c r="B151" s="1" t="str">
        <f>$B$10</f>
        <v>UIM</v>
      </c>
      <c r="C151" s="85"/>
      <c r="D151" s="86">
        <v>57.735999999999997</v>
      </c>
      <c r="E151" s="86">
        <v>83.375</v>
      </c>
      <c r="F151" s="87">
        <v>113.655</v>
      </c>
      <c r="G151" s="87">
        <v>153.31100000000001</v>
      </c>
      <c r="H151" s="87">
        <v>178.47800000000001</v>
      </c>
      <c r="I151" s="87">
        <v>184.24299999999999</v>
      </c>
      <c r="J151" s="87">
        <v>180.78399999999999</v>
      </c>
    </row>
    <row r="152" spans="1:10" ht="15">
      <c r="A152" s="26" t="s">
        <v>933</v>
      </c>
      <c r="C152" s="85"/>
      <c r="D152" s="88" t="str">
        <f t="shared" ref="D152:J152" si="34">IF(ROUND(D$151-(D$144-D$145+D$150),3)=0,"OK","ERROR")</f>
        <v>OK</v>
      </c>
      <c r="E152" s="88" t="str">
        <f t="shared" si="34"/>
        <v>OK</v>
      </c>
      <c r="F152" s="89" t="str">
        <f t="shared" si="34"/>
        <v>OK</v>
      </c>
      <c r="G152" s="89" t="str">
        <f t="shared" si="34"/>
        <v>OK</v>
      </c>
      <c r="H152" s="89" t="str">
        <f t="shared" si="34"/>
        <v>OK</v>
      </c>
      <c r="I152" s="89" t="str">
        <f t="shared" si="34"/>
        <v>OK</v>
      </c>
      <c r="J152" s="89" t="str">
        <f t="shared" si="34"/>
        <v>OK</v>
      </c>
    </row>
    <row r="153" spans="1:10" ht="15">
      <c r="A153" s="2" t="s">
        <v>241</v>
      </c>
      <c r="C153" s="85"/>
      <c r="D153" s="81"/>
      <c r="E153" s="81"/>
      <c r="F153" s="81"/>
      <c r="G153" s="81"/>
      <c r="H153" s="81"/>
      <c r="I153" s="81"/>
      <c r="J153" s="81"/>
    </row>
    <row r="154" spans="1:10">
      <c r="A154" s="1" t="s">
        <v>128</v>
      </c>
      <c r="B154" s="167" t="str">
        <f>$B$10</f>
        <v>UIM</v>
      </c>
      <c r="C154" s="85"/>
      <c r="D154" s="85">
        <v>86.468000000000004</v>
      </c>
      <c r="E154" s="85">
        <v>85.102000000000004</v>
      </c>
      <c r="F154" s="81">
        <v>91.543000000000006</v>
      </c>
      <c r="G154" s="81">
        <v>93.188000000000002</v>
      </c>
      <c r="H154" s="81">
        <v>101.693</v>
      </c>
      <c r="I154" s="81">
        <v>107.108</v>
      </c>
      <c r="J154" s="81">
        <v>113.245</v>
      </c>
    </row>
    <row r="155" spans="1:10">
      <c r="A155" s="1" t="s">
        <v>129</v>
      </c>
      <c r="B155" s="1" t="str">
        <f>$B$10</f>
        <v>UIM</v>
      </c>
      <c r="C155" s="85"/>
      <c r="D155" s="85">
        <v>1.9770000000000001</v>
      </c>
      <c r="E155" s="85">
        <v>2.12</v>
      </c>
      <c r="F155" s="81">
        <v>2.2599999999999998</v>
      </c>
      <c r="G155" s="81">
        <v>2.419</v>
      </c>
      <c r="H155" s="81">
        <v>2.6139999999999999</v>
      </c>
      <c r="I155" s="81">
        <v>3.0190000000000001</v>
      </c>
      <c r="J155" s="81">
        <v>3.157</v>
      </c>
    </row>
    <row r="156" spans="1:10">
      <c r="A156" s="1" t="s">
        <v>130</v>
      </c>
      <c r="B156" s="1" t="str">
        <f>$B$10</f>
        <v>UIM</v>
      </c>
      <c r="C156" s="85"/>
      <c r="D156" s="85">
        <v>1.583</v>
      </c>
      <c r="E156" s="85">
        <v>1.5529999999999999</v>
      </c>
      <c r="F156" s="81">
        <v>1.4930000000000001</v>
      </c>
      <c r="G156" s="81">
        <v>1.5089999999999999</v>
      </c>
      <c r="H156" s="81">
        <v>1.768</v>
      </c>
      <c r="I156" s="81">
        <v>1.7150000000000001</v>
      </c>
      <c r="J156" s="81">
        <v>1.724</v>
      </c>
    </row>
    <row r="157" spans="1:10">
      <c r="A157" s="1" t="s">
        <v>957</v>
      </c>
      <c r="B157" s="1" t="str">
        <f>$B$10</f>
        <v>UIM</v>
      </c>
      <c r="C157" s="85"/>
      <c r="D157" s="85">
        <v>1.06</v>
      </c>
      <c r="E157" s="85">
        <v>0.85</v>
      </c>
      <c r="F157" s="81">
        <v>0.71499999999999997</v>
      </c>
      <c r="G157" s="81">
        <v>0.67700000000000005</v>
      </c>
      <c r="H157" s="81">
        <v>0.76700000000000002</v>
      </c>
      <c r="I157" s="81">
        <v>0.84299999999999997</v>
      </c>
      <c r="J157" s="81">
        <v>0.91600000000000004</v>
      </c>
    </row>
    <row r="158" spans="1:10">
      <c r="A158" s="1" t="s">
        <v>131</v>
      </c>
      <c r="B158" s="1" t="str">
        <f>$B$10</f>
        <v>UIM</v>
      </c>
      <c r="C158" s="85"/>
      <c r="D158" s="85">
        <v>2.3860000000000001</v>
      </c>
      <c r="E158" s="85">
        <v>2.298</v>
      </c>
      <c r="F158" s="81">
        <v>1.931</v>
      </c>
      <c r="G158" s="81">
        <v>1.9850000000000001</v>
      </c>
      <c r="H158" s="81">
        <v>2.0950000000000002</v>
      </c>
      <c r="I158" s="81">
        <v>2.198</v>
      </c>
      <c r="J158" s="81">
        <v>2.3010000000000002</v>
      </c>
    </row>
    <row r="159" spans="1:10" ht="15">
      <c r="A159" s="26" t="s">
        <v>229</v>
      </c>
      <c r="B159" s="1" t="str">
        <f>$B$9</f>
        <v>NAC</v>
      </c>
      <c r="C159" s="85"/>
      <c r="D159" s="86">
        <v>93.474000000000004</v>
      </c>
      <c r="E159" s="86">
        <v>91.923000000000002</v>
      </c>
      <c r="F159" s="87">
        <v>97.941999999999993</v>
      </c>
      <c r="G159" s="87">
        <v>99.778000000000006</v>
      </c>
      <c r="H159" s="87">
        <v>108.937</v>
      </c>
      <c r="I159" s="87">
        <v>114.883</v>
      </c>
      <c r="J159" s="87">
        <v>121.343</v>
      </c>
    </row>
    <row r="160" spans="1:10" ht="15">
      <c r="A160" s="26" t="s">
        <v>242</v>
      </c>
      <c r="C160" s="85"/>
      <c r="D160" s="88" t="str">
        <f t="shared" ref="D160:J160" si="35">IF(ROUND(D$159-SUM(D$154:D$158),3)=0,"OK","ERROR")</f>
        <v>OK</v>
      </c>
      <c r="E160" s="88" t="str">
        <f t="shared" si="35"/>
        <v>OK</v>
      </c>
      <c r="F160" s="89" t="str">
        <f t="shared" si="35"/>
        <v>OK</v>
      </c>
      <c r="G160" s="89" t="str">
        <f t="shared" si="35"/>
        <v>OK</v>
      </c>
      <c r="H160" s="89" t="str">
        <f t="shared" si="35"/>
        <v>OK</v>
      </c>
      <c r="I160" s="89" t="str">
        <f t="shared" si="35"/>
        <v>OK</v>
      </c>
      <c r="J160" s="89" t="str">
        <f t="shared" si="35"/>
        <v>OK</v>
      </c>
    </row>
    <row r="161" spans="1:10">
      <c r="A161" s="1" t="s">
        <v>230</v>
      </c>
      <c r="B161" s="1" t="str">
        <f>$B$10</f>
        <v>UIM</v>
      </c>
      <c r="C161" s="85"/>
      <c r="D161" s="85">
        <v>29.015000000000001</v>
      </c>
      <c r="E161" s="85">
        <v>43.616</v>
      </c>
      <c r="F161" s="81">
        <v>36.773000000000003</v>
      </c>
      <c r="G161" s="81">
        <v>38.177999999999997</v>
      </c>
      <c r="H161" s="81">
        <v>39.683</v>
      </c>
      <c r="I161" s="81">
        <v>40.807000000000002</v>
      </c>
      <c r="J161" s="81">
        <v>41.886000000000003</v>
      </c>
    </row>
    <row r="162" spans="1:10">
      <c r="A162" s="1" t="s">
        <v>243</v>
      </c>
      <c r="B162" s="1" t="str">
        <f>$B$10</f>
        <v>UIM</v>
      </c>
      <c r="C162" s="85"/>
      <c r="D162" s="85">
        <v>7.7939999999999996</v>
      </c>
      <c r="E162" s="85">
        <v>8.48</v>
      </c>
      <c r="F162" s="81">
        <v>9.2739999999999991</v>
      </c>
      <c r="G162" s="81">
        <v>9.4789999999999992</v>
      </c>
      <c r="H162" s="81">
        <v>9.1609999999999996</v>
      </c>
      <c r="I162" s="81">
        <v>9.1010000000000009</v>
      </c>
      <c r="J162" s="81">
        <v>9.0980000000000008</v>
      </c>
    </row>
    <row r="163" spans="1:10">
      <c r="A163" s="1" t="s">
        <v>244</v>
      </c>
      <c r="B163" s="1" t="str">
        <f>$B$9</f>
        <v>NAC</v>
      </c>
      <c r="C163" s="85"/>
      <c r="D163" s="85">
        <v>46.46</v>
      </c>
      <c r="E163" s="85">
        <v>53.508000000000003</v>
      </c>
      <c r="F163" s="81">
        <v>64.253</v>
      </c>
      <c r="G163" s="81">
        <v>63.923999999999999</v>
      </c>
      <c r="H163" s="81">
        <v>60.308999999999997</v>
      </c>
      <c r="I163" s="81">
        <v>58.375</v>
      </c>
      <c r="J163" s="81">
        <v>57.463999999999999</v>
      </c>
    </row>
    <row r="164" spans="1:10">
      <c r="A164" s="1" t="s">
        <v>136</v>
      </c>
      <c r="B164" s="1" t="str">
        <f>$B$10</f>
        <v>UIM</v>
      </c>
      <c r="C164" s="85"/>
      <c r="D164" s="85">
        <v>3.69</v>
      </c>
      <c r="E164" s="85">
        <v>3.2280000000000002</v>
      </c>
      <c r="F164" s="81">
        <v>1.9670000000000001</v>
      </c>
      <c r="G164" s="81">
        <v>1.6879999999999999</v>
      </c>
      <c r="H164" s="81">
        <v>1.83</v>
      </c>
      <c r="I164" s="81">
        <v>2.3340000000000001</v>
      </c>
      <c r="J164" s="81">
        <v>2.8370000000000002</v>
      </c>
    </row>
    <row r="165" spans="1:10">
      <c r="A165" s="1" t="s">
        <v>137</v>
      </c>
      <c r="B165" s="1" t="str">
        <f>$B$10</f>
        <v>UIM</v>
      </c>
      <c r="C165" s="85"/>
      <c r="D165" s="85">
        <v>0</v>
      </c>
      <c r="E165" s="85">
        <v>0</v>
      </c>
      <c r="F165" s="81">
        <v>3.0000000000000001E-3</v>
      </c>
      <c r="G165" s="81">
        <v>2E-3</v>
      </c>
      <c r="H165" s="81">
        <v>2E-3</v>
      </c>
      <c r="I165" s="81">
        <v>2E-3</v>
      </c>
      <c r="J165" s="81">
        <v>2E-3</v>
      </c>
    </row>
    <row r="166" spans="1:10" ht="15">
      <c r="A166" s="26" t="s">
        <v>231</v>
      </c>
      <c r="B166" s="1" t="str">
        <f>$B$9</f>
        <v>NAC</v>
      </c>
      <c r="C166" s="85"/>
      <c r="D166" s="86">
        <v>86.959000000000003</v>
      </c>
      <c r="E166" s="86">
        <v>108.83199999999999</v>
      </c>
      <c r="F166" s="87">
        <v>110.745</v>
      </c>
      <c r="G166" s="87">
        <v>114.717</v>
      </c>
      <c r="H166" s="87">
        <v>115.43600000000001</v>
      </c>
      <c r="I166" s="87">
        <v>117.803</v>
      </c>
      <c r="J166" s="87">
        <v>121.145</v>
      </c>
    </row>
    <row r="167" spans="1:10" ht="15">
      <c r="A167" s="26" t="s">
        <v>934</v>
      </c>
      <c r="C167" s="85"/>
      <c r="D167" s="88" t="str">
        <f t="shared" ref="D167:J167" si="36">IF(ROUND(D$166-SUM(D$21:D$22,D$161:D$165),3)=0,"OK","ERROR")</f>
        <v>OK</v>
      </c>
      <c r="E167" s="88" t="str">
        <f t="shared" si="36"/>
        <v>OK</v>
      </c>
      <c r="F167" s="89" t="str">
        <f t="shared" si="36"/>
        <v>OK</v>
      </c>
      <c r="G167" s="89" t="str">
        <f t="shared" si="36"/>
        <v>OK</v>
      </c>
      <c r="H167" s="89" t="str">
        <f t="shared" si="36"/>
        <v>OK</v>
      </c>
      <c r="I167" s="89" t="str">
        <f t="shared" si="36"/>
        <v>OK</v>
      </c>
      <c r="J167" s="89" t="str">
        <f t="shared" si="36"/>
        <v>OK</v>
      </c>
    </row>
    <row r="168" spans="1:10" s="167" customFormat="1">
      <c r="A168" s="209" t="s">
        <v>1229</v>
      </c>
      <c r="C168" s="85"/>
      <c r="D168" s="85">
        <v>3.1920000000000002</v>
      </c>
      <c r="E168" s="85">
        <v>-3.9740000000000002</v>
      </c>
      <c r="F168" s="81">
        <v>4.2380000000000004</v>
      </c>
      <c r="G168" s="81">
        <v>2.82</v>
      </c>
      <c r="H168" s="81">
        <v>4.0049999999999999</v>
      </c>
      <c r="I168" s="81">
        <v>4.3390000000000004</v>
      </c>
      <c r="J168" s="81">
        <v>4.702</v>
      </c>
    </row>
    <row r="169" spans="1:10" ht="15">
      <c r="A169" s="26" t="s">
        <v>246</v>
      </c>
      <c r="B169" s="167" t="str">
        <f>$B$9</f>
        <v>NAC</v>
      </c>
      <c r="C169" s="85"/>
      <c r="D169" s="86">
        <v>9.7070000000000007</v>
      </c>
      <c r="E169" s="86">
        <v>-20.882999999999999</v>
      </c>
      <c r="F169" s="87">
        <v>-8.5649999999999995</v>
      </c>
      <c r="G169" s="87">
        <v>-12.119</v>
      </c>
      <c r="H169" s="87">
        <v>-2.4940000000000002</v>
      </c>
      <c r="I169" s="87">
        <v>1.419</v>
      </c>
      <c r="J169" s="87">
        <v>4.9000000000000004</v>
      </c>
    </row>
    <row r="170" spans="1:10" ht="15">
      <c r="A170" s="26" t="s">
        <v>247</v>
      </c>
      <c r="C170" s="85"/>
      <c r="D170" s="88" t="str">
        <f t="shared" ref="D170:J170" si="37">IF(ROUND(D$169-(D$159-D$166+D$168),3)=0,"OK","ERROR")</f>
        <v>OK</v>
      </c>
      <c r="E170" s="88" t="str">
        <f t="shared" si="37"/>
        <v>OK</v>
      </c>
      <c r="F170" s="89" t="str">
        <f t="shared" si="37"/>
        <v>OK</v>
      </c>
      <c r="G170" s="89" t="str">
        <f t="shared" si="37"/>
        <v>OK</v>
      </c>
      <c r="H170" s="89" t="str">
        <f t="shared" si="37"/>
        <v>OK</v>
      </c>
      <c r="I170" s="89" t="str">
        <f t="shared" si="37"/>
        <v>OK</v>
      </c>
      <c r="J170" s="89" t="str">
        <f t="shared" si="37"/>
        <v>OK</v>
      </c>
    </row>
    <row r="171" spans="1:10" ht="15">
      <c r="A171" s="1" t="s">
        <v>198</v>
      </c>
      <c r="B171" s="1" t="str">
        <f>$B$10</f>
        <v>UIM</v>
      </c>
      <c r="C171" s="86">
        <v>16.170999999999999</v>
      </c>
      <c r="D171" s="85">
        <v>17.378</v>
      </c>
      <c r="E171" s="85">
        <v>18.181000000000001</v>
      </c>
      <c r="F171" s="81">
        <v>9.4610000000000003</v>
      </c>
      <c r="G171" s="81">
        <v>7.2450000000000001</v>
      </c>
      <c r="H171" s="81">
        <v>6.6070000000000002</v>
      </c>
      <c r="I171" s="81">
        <v>5.9779999999999998</v>
      </c>
      <c r="J171" s="81">
        <v>5.5540000000000003</v>
      </c>
    </row>
    <row r="172" spans="1:10">
      <c r="A172" s="1" t="s">
        <v>199</v>
      </c>
      <c r="B172" s="1" t="str">
        <f>$B$10</f>
        <v>UIM</v>
      </c>
      <c r="C172" s="85"/>
      <c r="D172" s="85">
        <v>16.573</v>
      </c>
      <c r="E172" s="85">
        <v>18.100000000000001</v>
      </c>
      <c r="F172" s="81">
        <v>18.488</v>
      </c>
      <c r="G172" s="81">
        <v>18.059999999999999</v>
      </c>
      <c r="H172" s="81">
        <v>18.913</v>
      </c>
      <c r="I172" s="81">
        <v>19.474</v>
      </c>
      <c r="J172" s="81">
        <v>20.215</v>
      </c>
    </row>
    <row r="173" spans="1:10">
      <c r="A173" s="1" t="s">
        <v>200</v>
      </c>
      <c r="B173" s="1" t="str">
        <f>$B$10</f>
        <v>UIM</v>
      </c>
      <c r="C173" s="85"/>
      <c r="D173" s="85">
        <v>27.405999999999999</v>
      </c>
      <c r="E173" s="85">
        <v>43.665999999999997</v>
      </c>
      <c r="F173" s="81">
        <v>38.390999999999998</v>
      </c>
      <c r="G173" s="81">
        <v>38.545999999999999</v>
      </c>
      <c r="H173" s="81">
        <v>39.680999999999997</v>
      </c>
      <c r="I173" s="81">
        <v>41.088000000000001</v>
      </c>
      <c r="J173" s="81">
        <v>44.151000000000003</v>
      </c>
    </row>
    <row r="174" spans="1:10">
      <c r="A174" s="1" t="s">
        <v>201</v>
      </c>
      <c r="B174" s="1" t="str">
        <f>$B$10</f>
        <v>UIM</v>
      </c>
      <c r="C174" s="85"/>
      <c r="D174" s="85">
        <v>26.395</v>
      </c>
      <c r="E174" s="85">
        <v>17.86</v>
      </c>
      <c r="F174" s="81">
        <v>24.312000000000001</v>
      </c>
      <c r="G174" s="81">
        <v>26.974</v>
      </c>
      <c r="H174" s="81">
        <v>29.233000000000001</v>
      </c>
      <c r="I174" s="81">
        <v>31.675999999999998</v>
      </c>
      <c r="J174" s="81">
        <v>34.534999999999997</v>
      </c>
    </row>
    <row r="175" spans="1:10">
      <c r="A175" s="1" t="s">
        <v>1088</v>
      </c>
      <c r="B175" s="1" t="str">
        <f>$B$9</f>
        <v>NAC</v>
      </c>
      <c r="C175" s="85"/>
      <c r="D175" s="85">
        <v>3.6880000000000002</v>
      </c>
      <c r="E175" s="85">
        <v>4.22</v>
      </c>
      <c r="F175" s="81">
        <v>4.2759999999999998</v>
      </c>
      <c r="G175" s="81">
        <v>5.1260000000000003</v>
      </c>
      <c r="H175" s="81">
        <v>6.218</v>
      </c>
      <c r="I175" s="81">
        <v>7.5110000000000001</v>
      </c>
      <c r="J175" s="81">
        <v>8.66</v>
      </c>
    </row>
    <row r="176" spans="1:10">
      <c r="A176" s="1" t="s">
        <v>202</v>
      </c>
      <c r="B176" s="1" t="str">
        <f>$B$10</f>
        <v>UIM</v>
      </c>
      <c r="C176" s="85"/>
      <c r="D176" s="85">
        <v>15.848000000000001</v>
      </c>
      <c r="E176" s="85">
        <v>18.242000000000001</v>
      </c>
      <c r="F176" s="81">
        <v>25.596</v>
      </c>
      <c r="G176" s="81">
        <v>39.444000000000003</v>
      </c>
      <c r="H176" s="81">
        <v>48.795000000000002</v>
      </c>
      <c r="I176" s="81">
        <v>42.098999999999997</v>
      </c>
      <c r="J176" s="81">
        <v>29.036999999999999</v>
      </c>
    </row>
    <row r="177" spans="1:10" ht="15">
      <c r="A177" s="1" t="s">
        <v>205</v>
      </c>
      <c r="B177" s="1" t="str">
        <f>$B$10</f>
        <v>UIM</v>
      </c>
      <c r="C177" s="86">
        <v>41.279000000000003</v>
      </c>
      <c r="D177" s="85">
        <v>43.683999999999997</v>
      </c>
      <c r="E177" s="85">
        <v>45.167000000000002</v>
      </c>
      <c r="F177" s="81">
        <v>46.210999999999999</v>
      </c>
      <c r="G177" s="81">
        <v>48.415999999999997</v>
      </c>
      <c r="H177" s="81">
        <v>50.008000000000003</v>
      </c>
      <c r="I177" s="81">
        <v>51.195999999999998</v>
      </c>
      <c r="J177" s="81">
        <v>51.122999999999998</v>
      </c>
    </row>
    <row r="178" spans="1:10">
      <c r="A178" s="1" t="s">
        <v>206</v>
      </c>
      <c r="B178" s="1" t="str">
        <f>$B$10</f>
        <v>UIM</v>
      </c>
      <c r="C178" s="85"/>
      <c r="D178" s="85">
        <v>46.601999999999997</v>
      </c>
      <c r="E178" s="85">
        <v>49.604999999999997</v>
      </c>
      <c r="F178" s="81">
        <v>54.780999999999999</v>
      </c>
      <c r="G178" s="81">
        <v>61.332999999999998</v>
      </c>
      <c r="H178" s="81">
        <v>65.42</v>
      </c>
      <c r="I178" s="81">
        <v>69.402000000000001</v>
      </c>
      <c r="J178" s="81">
        <v>72.828999999999994</v>
      </c>
    </row>
    <row r="179" spans="1:10">
      <c r="A179" s="1" t="s">
        <v>207</v>
      </c>
      <c r="B179" s="1" t="str">
        <f>$B$10</f>
        <v>UIM</v>
      </c>
      <c r="C179" s="85"/>
      <c r="D179" s="85">
        <v>1.681</v>
      </c>
      <c r="E179" s="85">
        <v>1.57</v>
      </c>
      <c r="F179" s="81">
        <v>1.7669999999999999</v>
      </c>
      <c r="G179" s="81">
        <v>2.0640000000000001</v>
      </c>
      <c r="H179" s="81">
        <v>2.1019999999999999</v>
      </c>
      <c r="I179" s="81">
        <v>2.0670000000000002</v>
      </c>
      <c r="J179" s="81">
        <v>1.99</v>
      </c>
    </row>
    <row r="180" spans="1:10">
      <c r="A180" s="1" t="s">
        <v>248</v>
      </c>
      <c r="B180" s="1" t="str">
        <f>$B$10</f>
        <v>UIM</v>
      </c>
      <c r="C180" s="85"/>
      <c r="D180" s="85">
        <v>2.169</v>
      </c>
      <c r="E180" s="85">
        <v>3.21</v>
      </c>
      <c r="F180" s="81">
        <v>2.9449999999999998</v>
      </c>
      <c r="G180" s="81">
        <v>3.1789999999999998</v>
      </c>
      <c r="H180" s="81">
        <v>3.1019999999999999</v>
      </c>
      <c r="I180" s="81">
        <v>2.9540000000000002</v>
      </c>
      <c r="J180" s="81">
        <v>2.887</v>
      </c>
    </row>
    <row r="181" spans="1:10" ht="15">
      <c r="A181" s="26" t="s">
        <v>249</v>
      </c>
      <c r="B181" s="1" t="str">
        <f>$B$9</f>
        <v>NAC</v>
      </c>
      <c r="C181" s="85"/>
      <c r="D181" s="86">
        <v>201.42400000000001</v>
      </c>
      <c r="E181" s="86">
        <v>219.821</v>
      </c>
      <c r="F181" s="87">
        <v>225.428</v>
      </c>
      <c r="G181" s="87">
        <v>249.19499999999999</v>
      </c>
      <c r="H181" s="87">
        <v>270.38200000000001</v>
      </c>
      <c r="I181" s="87">
        <v>276.101</v>
      </c>
      <c r="J181" s="87">
        <v>276.447</v>
      </c>
    </row>
    <row r="182" spans="1:10" ht="15">
      <c r="A182" s="26" t="s">
        <v>935</v>
      </c>
      <c r="C182" s="85"/>
      <c r="D182" s="88" t="str">
        <f t="shared" ref="D182:J182" si="38">IF(ROUND(D$181-SUM(D$127:D$128,D$171:D$180),3)=0,"OK","ERROR")</f>
        <v>OK</v>
      </c>
      <c r="E182" s="88" t="str">
        <f t="shared" si="38"/>
        <v>OK</v>
      </c>
      <c r="F182" s="89" t="str">
        <f t="shared" si="38"/>
        <v>OK</v>
      </c>
      <c r="G182" s="89" t="str">
        <f t="shared" si="38"/>
        <v>OK</v>
      </c>
      <c r="H182" s="89" t="str">
        <f t="shared" si="38"/>
        <v>OK</v>
      </c>
      <c r="I182" s="89" t="str">
        <f t="shared" si="38"/>
        <v>OK</v>
      </c>
      <c r="J182" s="89" t="str">
        <f t="shared" si="38"/>
        <v>OK</v>
      </c>
    </row>
    <row r="183" spans="1:10">
      <c r="A183" s="1" t="s">
        <v>214</v>
      </c>
      <c r="B183" s="167" t="str">
        <f>$B$10</f>
        <v>UIM</v>
      </c>
      <c r="C183" s="85"/>
      <c r="D183" s="85">
        <v>91.51</v>
      </c>
      <c r="E183" s="85">
        <v>126.34099999999999</v>
      </c>
      <c r="F183" s="81">
        <v>139.892</v>
      </c>
      <c r="G183" s="81">
        <v>177.60499999999999</v>
      </c>
      <c r="H183" s="81">
        <v>201.661</v>
      </c>
      <c r="I183" s="81">
        <v>206.39699999999999</v>
      </c>
      <c r="J183" s="81">
        <v>203.441</v>
      </c>
    </row>
    <row r="184" spans="1:10">
      <c r="A184" s="1" t="s">
        <v>212</v>
      </c>
      <c r="B184" s="167" t="str">
        <f t="shared" ref="B184:B188" si="39">$B$10</f>
        <v>UIM</v>
      </c>
      <c r="C184" s="85"/>
      <c r="D184" s="85">
        <v>10.465999999999999</v>
      </c>
      <c r="E184" s="85">
        <v>10.85</v>
      </c>
      <c r="F184" s="81">
        <v>10.882999999999999</v>
      </c>
      <c r="G184" s="81">
        <v>10.343</v>
      </c>
      <c r="H184" s="81">
        <v>10.303000000000001</v>
      </c>
      <c r="I184" s="81">
        <v>10.715</v>
      </c>
      <c r="J184" s="81">
        <v>10.067</v>
      </c>
    </row>
    <row r="185" spans="1:10">
      <c r="A185" s="1" t="s">
        <v>213</v>
      </c>
      <c r="B185" s="167" t="str">
        <f t="shared" si="39"/>
        <v>UIM</v>
      </c>
      <c r="C185" s="85"/>
      <c r="D185" s="85">
        <v>0.44900000000000001</v>
      </c>
      <c r="E185" s="85">
        <v>0.39800000000000002</v>
      </c>
      <c r="F185" s="81">
        <v>0.38200000000000001</v>
      </c>
      <c r="G185" s="81">
        <v>0.37</v>
      </c>
      <c r="H185" s="81">
        <v>0.36299999999999999</v>
      </c>
      <c r="I185" s="81">
        <v>0.36</v>
      </c>
      <c r="J185" s="81">
        <v>0.45400000000000001</v>
      </c>
    </row>
    <row r="186" spans="1:10">
      <c r="A186" s="1" t="s">
        <v>215</v>
      </c>
      <c r="B186" s="167" t="str">
        <f t="shared" si="39"/>
        <v>UIM</v>
      </c>
      <c r="C186" s="85"/>
      <c r="D186" s="85">
        <v>4.0000000000000001E-3</v>
      </c>
      <c r="E186" s="85">
        <v>5.0000000000000001E-3</v>
      </c>
      <c r="F186" s="81">
        <v>4.0000000000000001E-3</v>
      </c>
      <c r="G186" s="81">
        <v>4.0000000000000001E-3</v>
      </c>
      <c r="H186" s="81">
        <v>4.0000000000000001E-3</v>
      </c>
      <c r="I186" s="81">
        <v>4.0000000000000001E-3</v>
      </c>
      <c r="J186" s="81">
        <v>4.0000000000000001E-3</v>
      </c>
    </row>
    <row r="187" spans="1:10">
      <c r="A187" s="1" t="s">
        <v>216</v>
      </c>
      <c r="B187" s="167" t="str">
        <f t="shared" si="39"/>
        <v>UIM</v>
      </c>
      <c r="C187" s="85"/>
      <c r="D187" s="85">
        <v>13.164999999999999</v>
      </c>
      <c r="E187" s="85">
        <v>13.976000000000001</v>
      </c>
      <c r="F187" s="81">
        <v>12.718999999999999</v>
      </c>
      <c r="G187" s="81">
        <v>11.853</v>
      </c>
      <c r="H187" s="81">
        <v>10.99</v>
      </c>
      <c r="I187" s="81">
        <v>10.148999999999999</v>
      </c>
      <c r="J187" s="81">
        <v>9.34</v>
      </c>
    </row>
    <row r="188" spans="1:10">
      <c r="A188" s="1" t="s">
        <v>217</v>
      </c>
      <c r="B188" s="167" t="str">
        <f t="shared" si="39"/>
        <v>UIM</v>
      </c>
      <c r="C188" s="85"/>
      <c r="D188" s="85">
        <v>10.473000000000001</v>
      </c>
      <c r="E188" s="85">
        <v>13.113</v>
      </c>
      <c r="F188" s="81">
        <v>13.91</v>
      </c>
      <c r="G188" s="81">
        <v>13.202</v>
      </c>
      <c r="H188" s="81">
        <v>13.438000000000001</v>
      </c>
      <c r="I188" s="81">
        <v>13.144</v>
      </c>
      <c r="J188" s="81">
        <v>12.629</v>
      </c>
    </row>
    <row r="189" spans="1:10" ht="15">
      <c r="A189" s="26" t="s">
        <v>250</v>
      </c>
      <c r="B189" s="1" t="str">
        <f>$B$9</f>
        <v>NAC</v>
      </c>
      <c r="C189" s="85"/>
      <c r="D189" s="86">
        <v>132.88</v>
      </c>
      <c r="E189" s="86">
        <v>172.70500000000001</v>
      </c>
      <c r="F189" s="87">
        <v>186.209</v>
      </c>
      <c r="G189" s="87">
        <v>221.88</v>
      </c>
      <c r="H189" s="87">
        <v>245.34700000000001</v>
      </c>
      <c r="I189" s="87">
        <v>249.44300000000001</v>
      </c>
      <c r="J189" s="87">
        <v>244.696</v>
      </c>
    </row>
    <row r="190" spans="1:10" ht="15">
      <c r="A190" s="26" t="s">
        <v>251</v>
      </c>
      <c r="C190" s="85"/>
      <c r="D190" s="88" t="str">
        <f t="shared" ref="D190:J190" si="40">IF(ROUND(D$189-SUM(D$130,D$183:D$188),3)=0,"OK","ERROR")</f>
        <v>OK</v>
      </c>
      <c r="E190" s="88" t="str">
        <f t="shared" si="40"/>
        <v>OK</v>
      </c>
      <c r="F190" s="89" t="str">
        <f t="shared" si="40"/>
        <v>OK</v>
      </c>
      <c r="G190" s="89" t="str">
        <f t="shared" si="40"/>
        <v>OK</v>
      </c>
      <c r="H190" s="89" t="str">
        <f t="shared" si="40"/>
        <v>OK</v>
      </c>
      <c r="I190" s="89" t="str">
        <f t="shared" si="40"/>
        <v>OK</v>
      </c>
      <c r="J190" s="89" t="str">
        <f t="shared" si="40"/>
        <v>OK</v>
      </c>
    </row>
    <row r="191" spans="1:10" ht="15">
      <c r="A191" s="26" t="s">
        <v>252</v>
      </c>
      <c r="B191" s="1" t="str">
        <f>$B$10</f>
        <v>UIM</v>
      </c>
      <c r="C191" s="85"/>
      <c r="D191" s="210">
        <f t="shared" ref="D191:J191" si="41">D$181-D$189</f>
        <v>68.544000000000011</v>
      </c>
      <c r="E191" s="210">
        <f t="shared" si="41"/>
        <v>47.115999999999985</v>
      </c>
      <c r="F191" s="210">
        <f t="shared" si="41"/>
        <v>39.218999999999994</v>
      </c>
      <c r="G191" s="210">
        <f t="shared" si="41"/>
        <v>27.314999999999998</v>
      </c>
      <c r="H191" s="210">
        <f t="shared" si="41"/>
        <v>25.034999999999997</v>
      </c>
      <c r="I191" s="210">
        <f t="shared" si="41"/>
        <v>26.657999999999987</v>
      </c>
      <c r="J191" s="210">
        <f t="shared" si="41"/>
        <v>31.751000000000005</v>
      </c>
    </row>
    <row r="192" spans="1:10" ht="15">
      <c r="A192" s="26" t="s">
        <v>1318</v>
      </c>
      <c r="B192" s="1" t="str">
        <f>$B$9</f>
        <v>NAC</v>
      </c>
      <c r="C192" s="85"/>
      <c r="D192" s="88" t="str">
        <f>IF(ROUND(D$145-SUM(D$171,D$173:D$176),3)=0,"OK","ERROR")</f>
        <v>OK</v>
      </c>
      <c r="E192" s="88" t="str">
        <f t="shared" ref="E192:J192" si="42">IF(ROUND(E$145-SUM(E$171,E$173:E$176),3)=0,"OK","ERROR")</f>
        <v>OK</v>
      </c>
      <c r="F192" s="89" t="str">
        <f t="shared" si="42"/>
        <v>OK</v>
      </c>
      <c r="G192" s="89" t="str">
        <f t="shared" si="42"/>
        <v>OK</v>
      </c>
      <c r="H192" s="89" t="str">
        <f t="shared" si="42"/>
        <v>OK</v>
      </c>
      <c r="I192" s="89" t="str">
        <f t="shared" si="42"/>
        <v>OK</v>
      </c>
      <c r="J192" s="89" t="str">
        <f t="shared" si="42"/>
        <v>OK</v>
      </c>
    </row>
    <row r="193" spans="1:10" ht="15">
      <c r="A193" s="2" t="s">
        <v>286</v>
      </c>
      <c r="C193" s="85"/>
      <c r="D193" s="81"/>
      <c r="E193" s="81"/>
      <c r="F193" s="81"/>
      <c r="G193" s="81"/>
      <c r="H193" s="81"/>
      <c r="I193" s="81"/>
      <c r="J193" s="81"/>
    </row>
    <row r="194" spans="1:10">
      <c r="A194" s="1" t="s">
        <v>288</v>
      </c>
      <c r="B194" s="1" t="str">
        <f>$B$10</f>
        <v>UIM</v>
      </c>
      <c r="C194" s="85"/>
      <c r="D194" s="85">
        <v>5.8070000000000004</v>
      </c>
      <c r="E194" s="85">
        <v>6.8959999999999999</v>
      </c>
      <c r="F194" s="81">
        <v>6.5759999999999996</v>
      </c>
      <c r="G194" s="81">
        <v>6.53</v>
      </c>
      <c r="H194" s="81">
        <v>6.9749999999999996</v>
      </c>
      <c r="I194" s="81">
        <v>7.4130000000000003</v>
      </c>
      <c r="J194" s="81">
        <v>7.8949999999999996</v>
      </c>
    </row>
    <row r="195" spans="1:10">
      <c r="A195" s="1" t="s">
        <v>964</v>
      </c>
      <c r="B195" s="1" t="str">
        <f>$B$10</f>
        <v>UIM</v>
      </c>
      <c r="C195" s="85"/>
      <c r="D195" s="85">
        <v>5.0000000000000001E-3</v>
      </c>
      <c r="E195" s="85">
        <v>7.0000000000000001E-3</v>
      </c>
      <c r="F195" s="81">
        <v>6.0000000000000001E-3</v>
      </c>
      <c r="G195" s="81">
        <v>6.0000000000000001E-3</v>
      </c>
      <c r="H195" s="81">
        <v>7.0000000000000001E-3</v>
      </c>
      <c r="I195" s="81">
        <v>7.0000000000000001E-3</v>
      </c>
      <c r="J195" s="81">
        <v>7.0000000000000001E-3</v>
      </c>
    </row>
    <row r="196" spans="1:10" ht="15">
      <c r="A196" s="26" t="s">
        <v>294</v>
      </c>
      <c r="C196" s="85"/>
      <c r="D196" s="88" t="str">
        <f t="shared" ref="D196:J196" si="43">IF(ROUND(D$20-SUM(D$165,D$194:D$195),3)=0,"OK","ERROR")</f>
        <v>OK</v>
      </c>
      <c r="E196" s="88" t="str">
        <f t="shared" si="43"/>
        <v>OK</v>
      </c>
      <c r="F196" s="89" t="str">
        <f t="shared" si="43"/>
        <v>OK</v>
      </c>
      <c r="G196" s="89" t="str">
        <f t="shared" si="43"/>
        <v>OK</v>
      </c>
      <c r="H196" s="89" t="str">
        <f t="shared" si="43"/>
        <v>OK</v>
      </c>
      <c r="I196" s="89" t="str">
        <f t="shared" si="43"/>
        <v>OK</v>
      </c>
      <c r="J196" s="89" t="str">
        <f t="shared" si="43"/>
        <v>OK</v>
      </c>
    </row>
    <row r="197" spans="1:10">
      <c r="A197" s="1" t="s">
        <v>287</v>
      </c>
      <c r="B197" s="1" t="str">
        <f>$B$10</f>
        <v>UIM</v>
      </c>
      <c r="C197" s="85"/>
      <c r="D197" s="85">
        <v>6.6790000000000003</v>
      </c>
      <c r="E197" s="85">
        <v>7.6630000000000003</v>
      </c>
      <c r="F197" s="81">
        <v>7.8319999999999999</v>
      </c>
      <c r="G197" s="81">
        <v>7.8949999999999996</v>
      </c>
      <c r="H197" s="81">
        <v>8.3070000000000004</v>
      </c>
      <c r="I197" s="81">
        <v>8.7669999999999995</v>
      </c>
      <c r="J197" s="81">
        <v>9.3089999999999993</v>
      </c>
    </row>
    <row r="198" spans="1:10">
      <c r="A198" s="1" t="s">
        <v>290</v>
      </c>
      <c r="B198" s="167" t="str">
        <f t="shared" ref="B198:B208" si="44">$B$10</f>
        <v>UIM</v>
      </c>
      <c r="C198" s="85"/>
      <c r="D198" s="85">
        <v>16.579000000000001</v>
      </c>
      <c r="E198" s="85">
        <v>17.788</v>
      </c>
      <c r="F198" s="81">
        <v>19.521000000000001</v>
      </c>
      <c r="G198" s="81">
        <v>20.029</v>
      </c>
      <c r="H198" s="81">
        <v>19.13</v>
      </c>
      <c r="I198" s="81">
        <v>19.079999999999998</v>
      </c>
      <c r="J198" s="81">
        <v>19.071999999999999</v>
      </c>
    </row>
    <row r="199" spans="1:10">
      <c r="A199" s="1" t="s">
        <v>291</v>
      </c>
      <c r="B199" s="167" t="str">
        <f t="shared" si="44"/>
        <v>UIM</v>
      </c>
      <c r="C199" s="85"/>
      <c r="D199" s="85">
        <v>11.428000000000001</v>
      </c>
      <c r="E199" s="85">
        <v>13.705</v>
      </c>
      <c r="F199" s="81">
        <v>13.486000000000001</v>
      </c>
      <c r="G199" s="81">
        <v>14.49</v>
      </c>
      <c r="H199" s="81">
        <v>14.371</v>
      </c>
      <c r="I199" s="81">
        <v>14.266</v>
      </c>
      <c r="J199" s="81">
        <v>14.077</v>
      </c>
    </row>
    <row r="200" spans="1:10">
      <c r="A200" s="1" t="s">
        <v>292</v>
      </c>
      <c r="B200" s="167" t="str">
        <f t="shared" si="44"/>
        <v>UIM</v>
      </c>
      <c r="C200" s="85"/>
      <c r="D200" s="85">
        <v>3.21</v>
      </c>
      <c r="E200" s="85">
        <v>3.8239999999999998</v>
      </c>
      <c r="F200" s="81">
        <v>4.5199999999999996</v>
      </c>
      <c r="G200" s="81">
        <v>4.5030000000000001</v>
      </c>
      <c r="H200" s="81">
        <v>4.4749999999999996</v>
      </c>
      <c r="I200" s="81">
        <v>3.8809999999999998</v>
      </c>
      <c r="J200" s="81">
        <v>3.6230000000000002</v>
      </c>
    </row>
    <row r="201" spans="1:10">
      <c r="A201" s="1" t="s">
        <v>289</v>
      </c>
      <c r="B201" s="167" t="str">
        <f t="shared" si="44"/>
        <v>UIM</v>
      </c>
      <c r="C201" s="85"/>
      <c r="D201" s="85">
        <v>5.4009999999999998</v>
      </c>
      <c r="E201" s="85">
        <v>8.9149999999999991</v>
      </c>
      <c r="F201" s="81">
        <v>5.601</v>
      </c>
      <c r="G201" s="81">
        <v>7.1349999999999998</v>
      </c>
      <c r="H201" s="81">
        <v>7.6390000000000002</v>
      </c>
      <c r="I201" s="81">
        <v>8.1020000000000003</v>
      </c>
      <c r="J201" s="81">
        <v>8.0470000000000006</v>
      </c>
    </row>
    <row r="202" spans="1:10">
      <c r="A202" s="1" t="s">
        <v>936</v>
      </c>
      <c r="B202" s="167" t="str">
        <f t="shared" si="44"/>
        <v>UIM</v>
      </c>
      <c r="C202" s="85"/>
      <c r="D202" s="85">
        <v>6.7160000000000002</v>
      </c>
      <c r="E202" s="85">
        <v>7.5140000000000002</v>
      </c>
      <c r="F202" s="81">
        <v>8.298</v>
      </c>
      <c r="G202" s="81">
        <v>8.2850000000000001</v>
      </c>
      <c r="H202" s="81">
        <v>8.077</v>
      </c>
      <c r="I202" s="81">
        <v>8.3840000000000003</v>
      </c>
      <c r="J202" s="81">
        <v>8.2620000000000005</v>
      </c>
    </row>
    <row r="203" spans="1:10">
      <c r="A203" s="1" t="s">
        <v>937</v>
      </c>
      <c r="B203" s="167" t="str">
        <f t="shared" si="44"/>
        <v>UIM</v>
      </c>
      <c r="C203" s="85"/>
      <c r="D203" s="85">
        <v>8.64</v>
      </c>
      <c r="E203" s="85">
        <v>8.3070000000000004</v>
      </c>
      <c r="F203" s="81">
        <v>8.9169999999999998</v>
      </c>
      <c r="G203" s="81">
        <v>7.8719999999999999</v>
      </c>
      <c r="H203" s="81">
        <v>7.827</v>
      </c>
      <c r="I203" s="81">
        <v>8.0129999999999999</v>
      </c>
      <c r="J203" s="81">
        <v>7.9850000000000003</v>
      </c>
    </row>
    <row r="204" spans="1:10">
      <c r="A204" s="1" t="s">
        <v>293</v>
      </c>
      <c r="B204" s="167" t="str">
        <f t="shared" si="44"/>
        <v>UIM</v>
      </c>
      <c r="C204" s="85"/>
      <c r="D204" s="85">
        <v>-3.629</v>
      </c>
      <c r="E204" s="85">
        <v>-3.7549999999999999</v>
      </c>
      <c r="F204" s="81">
        <v>-5.6289999999999996</v>
      </c>
      <c r="G204" s="81">
        <v>-4.0720000000000001</v>
      </c>
      <c r="H204" s="81">
        <v>-3.6640000000000001</v>
      </c>
      <c r="I204" s="81">
        <v>-3.6560000000000001</v>
      </c>
      <c r="J204" s="81">
        <v>-3.37</v>
      </c>
    </row>
    <row r="205" spans="1:10">
      <c r="A205" s="1" t="s">
        <v>488</v>
      </c>
      <c r="B205" s="167" t="str">
        <f t="shared" si="44"/>
        <v>UIM</v>
      </c>
      <c r="C205" s="85"/>
      <c r="D205" s="85">
        <v>33.838000000000001</v>
      </c>
      <c r="E205" s="85">
        <v>34.494</v>
      </c>
      <c r="F205" s="81">
        <v>32.215000000000003</v>
      </c>
      <c r="G205" s="81">
        <v>31.315000000000001</v>
      </c>
      <c r="H205" s="81">
        <v>31.106999999999999</v>
      </c>
      <c r="I205" s="81">
        <v>31.552</v>
      </c>
      <c r="J205" s="81">
        <v>31.445</v>
      </c>
    </row>
    <row r="206" spans="1:10">
      <c r="A206" s="1" t="s">
        <v>489</v>
      </c>
      <c r="B206" s="167" t="str">
        <f t="shared" si="44"/>
        <v>UIM</v>
      </c>
      <c r="C206" s="85"/>
      <c r="D206" s="85">
        <v>3.3879999999999999</v>
      </c>
      <c r="E206" s="85">
        <v>3.88</v>
      </c>
      <c r="F206" s="81">
        <v>4.2850000000000001</v>
      </c>
      <c r="G206" s="81">
        <v>3.927</v>
      </c>
      <c r="H206" s="81">
        <v>3.7989999999999999</v>
      </c>
      <c r="I206" s="81">
        <v>3.8959999999999999</v>
      </c>
      <c r="J206" s="81">
        <v>3.9369999999999998</v>
      </c>
    </row>
    <row r="207" spans="1:10">
      <c r="A207" s="1" t="s">
        <v>490</v>
      </c>
      <c r="B207" s="167" t="str">
        <f t="shared" si="44"/>
        <v>UIM</v>
      </c>
      <c r="C207" s="85"/>
      <c r="D207" s="85">
        <v>14.254</v>
      </c>
      <c r="E207" s="85">
        <v>17.135000000000002</v>
      </c>
      <c r="F207" s="81">
        <v>20.414000000000001</v>
      </c>
      <c r="G207" s="81">
        <v>20.54</v>
      </c>
      <c r="H207" s="81">
        <v>20.719000000000001</v>
      </c>
      <c r="I207" s="81">
        <v>21.042000000000002</v>
      </c>
      <c r="J207" s="81">
        <v>21.54</v>
      </c>
    </row>
    <row r="208" spans="1:10">
      <c r="A208" s="1" t="s">
        <v>491</v>
      </c>
      <c r="B208" s="167" t="str">
        <f t="shared" si="44"/>
        <v>UIM</v>
      </c>
      <c r="C208" s="85"/>
      <c r="D208" s="85">
        <v>0.27900000000000003</v>
      </c>
      <c r="E208" s="85">
        <v>3.7999999999999999E-2</v>
      </c>
      <c r="F208" s="81">
        <v>3.3000000000000002E-2</v>
      </c>
      <c r="G208" s="81">
        <v>0.03</v>
      </c>
      <c r="H208" s="81">
        <v>0.03</v>
      </c>
      <c r="I208" s="81">
        <v>0.03</v>
      </c>
      <c r="J208" s="81">
        <v>0.03</v>
      </c>
    </row>
    <row r="209" spans="1:10" ht="15">
      <c r="A209" s="2" t="s">
        <v>232</v>
      </c>
      <c r="C209" s="85"/>
      <c r="D209" s="85"/>
      <c r="E209" s="85"/>
      <c r="F209" s="85"/>
      <c r="G209" s="85"/>
      <c r="H209" s="85"/>
      <c r="I209" s="85"/>
      <c r="J209" s="85"/>
    </row>
    <row r="210" spans="1:10" ht="15">
      <c r="A210" s="26" t="s">
        <v>233</v>
      </c>
      <c r="C210" s="85"/>
      <c r="D210" s="81"/>
      <c r="E210" s="81"/>
      <c r="F210" s="81"/>
      <c r="G210" s="81"/>
      <c r="H210" s="81"/>
      <c r="I210" s="81"/>
      <c r="J210" s="81"/>
    </row>
    <row r="211" spans="1:10">
      <c r="A211" s="1" t="s">
        <v>234</v>
      </c>
      <c r="B211" s="167" t="str">
        <f t="shared" ref="B211:B215" si="45">$B$10</f>
        <v>UIM</v>
      </c>
      <c r="C211" s="85"/>
      <c r="D211" s="85">
        <v>32.878999999999998</v>
      </c>
      <c r="E211" s="85">
        <v>34.963000000000001</v>
      </c>
      <c r="F211" s="81">
        <v>37.090000000000003</v>
      </c>
      <c r="G211" s="81">
        <v>39.448999999999998</v>
      </c>
      <c r="H211" s="81">
        <v>41.776000000000003</v>
      </c>
      <c r="I211" s="81">
        <v>44.014000000000003</v>
      </c>
      <c r="J211" s="81">
        <v>46.517000000000003</v>
      </c>
    </row>
    <row r="212" spans="1:10">
      <c r="A212" s="1" t="s">
        <v>235</v>
      </c>
      <c r="B212" s="167" t="str">
        <f t="shared" si="45"/>
        <v>UIM</v>
      </c>
      <c r="C212" s="85"/>
      <c r="D212" s="85">
        <v>15.199</v>
      </c>
      <c r="E212" s="85">
        <v>12.103999999999999</v>
      </c>
      <c r="F212" s="81">
        <v>13.351000000000001</v>
      </c>
      <c r="G212" s="81">
        <v>13.092000000000001</v>
      </c>
      <c r="H212" s="81">
        <v>16.545000000000002</v>
      </c>
      <c r="I212" s="81">
        <v>17.152999999999999</v>
      </c>
      <c r="J212" s="81">
        <v>18.356999999999999</v>
      </c>
    </row>
    <row r="213" spans="1:10">
      <c r="A213" s="1" t="s">
        <v>236</v>
      </c>
      <c r="B213" s="167" t="str">
        <f t="shared" si="45"/>
        <v>UIM</v>
      </c>
      <c r="C213" s="85"/>
      <c r="D213" s="85">
        <v>21.861999999999998</v>
      </c>
      <c r="E213" s="85">
        <v>21.748999999999999</v>
      </c>
      <c r="F213" s="81">
        <v>24.524000000000001</v>
      </c>
      <c r="G213" s="81">
        <v>25.047999999999998</v>
      </c>
      <c r="H213" s="81">
        <v>26.51</v>
      </c>
      <c r="I213" s="81">
        <v>28.173999999999999</v>
      </c>
      <c r="J213" s="81">
        <v>29.72</v>
      </c>
    </row>
    <row r="214" spans="1:10">
      <c r="A214" s="1" t="s">
        <v>237</v>
      </c>
      <c r="B214" s="167" t="str">
        <f t="shared" si="45"/>
        <v>UIM</v>
      </c>
      <c r="C214" s="85"/>
      <c r="D214" s="85">
        <v>3.8820000000000001</v>
      </c>
      <c r="E214" s="85">
        <v>3.819</v>
      </c>
      <c r="F214" s="81">
        <v>4.2569999999999997</v>
      </c>
      <c r="G214" s="81">
        <v>4.4029999999999996</v>
      </c>
      <c r="H214" s="81">
        <v>4.5110000000000001</v>
      </c>
      <c r="I214" s="81">
        <v>4.6109999999999998</v>
      </c>
      <c r="J214" s="81">
        <v>4.7050000000000001</v>
      </c>
    </row>
    <row r="215" spans="1:10">
      <c r="A215" s="1" t="s">
        <v>238</v>
      </c>
      <c r="B215" s="167" t="str">
        <f t="shared" si="45"/>
        <v>UIM</v>
      </c>
      <c r="C215" s="85"/>
      <c r="D215" s="85">
        <v>11.901</v>
      </c>
      <c r="E215" s="85">
        <v>11.885999999999999</v>
      </c>
      <c r="F215" s="81">
        <v>11.717000000000001</v>
      </c>
      <c r="G215" s="81">
        <v>10.682000000000002</v>
      </c>
      <c r="H215" s="81">
        <v>11.760999999999999</v>
      </c>
      <c r="I215" s="81">
        <v>12.515999999999998</v>
      </c>
      <c r="J215" s="81">
        <v>13.255999999999998</v>
      </c>
    </row>
    <row r="216" spans="1:10" ht="15">
      <c r="A216" s="26" t="s">
        <v>239</v>
      </c>
      <c r="C216" s="85"/>
      <c r="D216" s="88" t="str">
        <f t="shared" ref="D216:J216" si="46">IF(ROUND(D$9-SUM(D$211:D$215),3)=0,"OK","ERROR")</f>
        <v>OK</v>
      </c>
      <c r="E216" s="88" t="str">
        <f t="shared" si="46"/>
        <v>OK</v>
      </c>
      <c r="F216" s="89" t="str">
        <f t="shared" si="46"/>
        <v>OK</v>
      </c>
      <c r="G216" s="89" t="str">
        <f t="shared" si="46"/>
        <v>OK</v>
      </c>
      <c r="H216" s="89" t="str">
        <f t="shared" si="46"/>
        <v>OK</v>
      </c>
      <c r="I216" s="89" t="str">
        <f t="shared" si="46"/>
        <v>OK</v>
      </c>
      <c r="J216" s="89" t="str">
        <f t="shared" si="46"/>
        <v>OK</v>
      </c>
    </row>
    <row r="217" spans="1:10" ht="15">
      <c r="A217" s="26" t="s">
        <v>253</v>
      </c>
      <c r="C217" s="85"/>
      <c r="D217" s="92"/>
      <c r="E217" s="92"/>
      <c r="F217" s="92"/>
      <c r="G217" s="92"/>
      <c r="H217" s="92"/>
      <c r="I217" s="92"/>
      <c r="J217" s="92"/>
    </row>
    <row r="218" spans="1:10">
      <c r="A218" s="1" t="s">
        <v>240</v>
      </c>
      <c r="B218" s="1" t="str">
        <f>$B$10</f>
        <v>UIM</v>
      </c>
      <c r="C218" s="85"/>
      <c r="D218" s="85">
        <v>3.0139999999999998</v>
      </c>
      <c r="E218" s="85">
        <v>3.032</v>
      </c>
      <c r="F218" s="81">
        <v>3.1709999999999998</v>
      </c>
      <c r="G218" s="81">
        <v>3.278</v>
      </c>
      <c r="H218" s="81">
        <v>3.5419999999999998</v>
      </c>
      <c r="I218" s="81">
        <v>3.8809999999999998</v>
      </c>
      <c r="J218" s="81">
        <v>4.2640000000000002</v>
      </c>
    </row>
    <row r="219" spans="1:10">
      <c r="A219" s="1" t="s">
        <v>956</v>
      </c>
      <c r="B219" s="1" t="str">
        <f>$B$10</f>
        <v>UIM</v>
      </c>
      <c r="C219" s="85"/>
      <c r="D219" s="85">
        <v>0.84599999999999997</v>
      </c>
      <c r="E219" s="85">
        <v>1.0429999999999999</v>
      </c>
      <c r="F219" s="81">
        <v>1.3660000000000001</v>
      </c>
      <c r="G219" s="81">
        <v>1.4670000000000001</v>
      </c>
      <c r="H219" s="81">
        <v>1.5269999999999999</v>
      </c>
      <c r="I219" s="81">
        <v>1.726</v>
      </c>
      <c r="J219" s="81">
        <v>1.8069999999999999</v>
      </c>
    </row>
    <row r="220" spans="1:10">
      <c r="A220" s="1" t="s">
        <v>255</v>
      </c>
      <c r="B220" s="1" t="str">
        <f>$B$10</f>
        <v>UIM</v>
      </c>
      <c r="C220" s="85"/>
      <c r="D220" s="85">
        <v>2.1680000000000001</v>
      </c>
      <c r="E220" s="85">
        <v>2.194</v>
      </c>
      <c r="F220" s="81">
        <v>2.077</v>
      </c>
      <c r="G220" s="81">
        <v>2.15</v>
      </c>
      <c r="H220" s="81">
        <v>2.3029999999999999</v>
      </c>
      <c r="I220" s="81">
        <v>2.5259999999999998</v>
      </c>
      <c r="J220" s="81">
        <v>2.601</v>
      </c>
    </row>
    <row r="221" spans="1:10" ht="15">
      <c r="A221" s="26" t="s">
        <v>254</v>
      </c>
      <c r="C221" s="85"/>
      <c r="D221" s="88" t="str">
        <f t="shared" ref="D221:J221" si="47">IF(ROUND(D$10-SUM(D$218:D$220),3)=0,"OK","ERROR")</f>
        <v>OK</v>
      </c>
      <c r="E221" s="88" t="str">
        <f t="shared" si="47"/>
        <v>OK</v>
      </c>
      <c r="F221" s="89" t="str">
        <f t="shared" si="47"/>
        <v>OK</v>
      </c>
      <c r="G221" s="89" t="str">
        <f t="shared" si="47"/>
        <v>OK</v>
      </c>
      <c r="H221" s="89" t="str">
        <f t="shared" si="47"/>
        <v>OK</v>
      </c>
      <c r="I221" s="89" t="str">
        <f t="shared" si="47"/>
        <v>OK</v>
      </c>
      <c r="J221" s="89" t="str">
        <f t="shared" si="47"/>
        <v>OK</v>
      </c>
    </row>
    <row r="222" spans="1:10" ht="15">
      <c r="A222" s="26" t="s">
        <v>957</v>
      </c>
      <c r="C222" s="85"/>
      <c r="D222" s="81"/>
      <c r="E222" s="81"/>
      <c r="F222" s="81"/>
      <c r="G222" s="81"/>
      <c r="H222" s="81"/>
      <c r="I222" s="81"/>
      <c r="J222" s="81"/>
    </row>
    <row r="223" spans="1:10">
      <c r="A223" s="1" t="s">
        <v>256</v>
      </c>
      <c r="B223" s="1" t="str">
        <f>$B$10</f>
        <v>UIM</v>
      </c>
      <c r="C223" s="85"/>
      <c r="D223" s="85">
        <v>1.016</v>
      </c>
      <c r="E223" s="85">
        <v>0.94699999999999995</v>
      </c>
      <c r="F223" s="81">
        <v>0.78700000000000003</v>
      </c>
      <c r="G223" s="81">
        <v>0.71599999999999997</v>
      </c>
      <c r="H223" s="81">
        <v>0.72899999999999998</v>
      </c>
      <c r="I223" s="81">
        <v>0.75700000000000001</v>
      </c>
      <c r="J223" s="81">
        <v>0.76200000000000001</v>
      </c>
    </row>
    <row r="224" spans="1:10">
      <c r="A224" s="1" t="s">
        <v>257</v>
      </c>
      <c r="B224" s="1" t="str">
        <f>$B$10</f>
        <v>UIM</v>
      </c>
      <c r="C224" s="85"/>
      <c r="D224" s="85">
        <v>1.014</v>
      </c>
      <c r="E224" s="85">
        <v>0.95299999999999996</v>
      </c>
      <c r="F224" s="81">
        <v>0.84099999999999997</v>
      </c>
      <c r="G224" s="81">
        <v>0.93200000000000005</v>
      </c>
      <c r="H224" s="81">
        <v>1.0249999999999999</v>
      </c>
      <c r="I224" s="81">
        <v>1.1319999999999999</v>
      </c>
      <c r="J224" s="81">
        <v>1.25</v>
      </c>
    </row>
    <row r="225" spans="1:10">
      <c r="A225" s="1" t="s">
        <v>258</v>
      </c>
      <c r="B225" s="1" t="str">
        <f>$B$10</f>
        <v>UIM</v>
      </c>
      <c r="C225" s="85"/>
      <c r="D225" s="85">
        <v>-0.44400000000000001</v>
      </c>
      <c r="E225" s="85">
        <v>-0.45</v>
      </c>
      <c r="F225" s="81">
        <v>-0.32800000000000001</v>
      </c>
      <c r="G225" s="81">
        <v>-0.30499999999999999</v>
      </c>
      <c r="H225" s="81">
        <v>-0.30499999999999999</v>
      </c>
      <c r="I225" s="81">
        <v>-0.30499999999999999</v>
      </c>
      <c r="J225" s="81">
        <v>-0.311</v>
      </c>
    </row>
    <row r="226" spans="1:10" ht="15">
      <c r="A226" s="26" t="s">
        <v>961</v>
      </c>
      <c r="C226" s="85"/>
      <c r="D226" s="88" t="str">
        <f t="shared" ref="D226:J226" si="48">IF(ROUND(D$12-SUM(D$157,D$223:D$225),3)=0,"OK","ERROR")</f>
        <v>OK</v>
      </c>
      <c r="E226" s="88" t="str">
        <f t="shared" si="48"/>
        <v>OK</v>
      </c>
      <c r="F226" s="89" t="str">
        <f t="shared" si="48"/>
        <v>OK</v>
      </c>
      <c r="G226" s="89" t="str">
        <f t="shared" si="48"/>
        <v>OK</v>
      </c>
      <c r="H226" s="89" t="str">
        <f t="shared" si="48"/>
        <v>OK</v>
      </c>
      <c r="I226" s="89" t="str">
        <f t="shared" si="48"/>
        <v>OK</v>
      </c>
      <c r="J226" s="89" t="str">
        <f t="shared" si="48"/>
        <v>OK</v>
      </c>
    </row>
    <row r="227" spans="1:10" ht="15">
      <c r="A227" s="26" t="s">
        <v>962</v>
      </c>
      <c r="B227" s="1" t="str">
        <f>$B$9</f>
        <v>NAC</v>
      </c>
      <c r="C227" s="85"/>
      <c r="D227" s="85">
        <v>1.07</v>
      </c>
      <c r="E227" s="85">
        <v>0.90600000000000003</v>
      </c>
      <c r="F227" s="81">
        <v>0.878</v>
      </c>
      <c r="G227" s="81">
        <v>1.101</v>
      </c>
      <c r="H227" s="81">
        <v>1.17</v>
      </c>
      <c r="I227" s="81">
        <v>1.246</v>
      </c>
      <c r="J227" s="81">
        <v>1.3380000000000001</v>
      </c>
    </row>
    <row r="228" spans="1:10">
      <c r="A228" s="1" t="s">
        <v>279</v>
      </c>
      <c r="B228" s="1" t="str">
        <f>$B$10</f>
        <v>UIM</v>
      </c>
      <c r="C228" s="85"/>
      <c r="D228" s="85">
        <v>1.4630000000000001</v>
      </c>
      <c r="E228" s="85">
        <v>1.3360000000000001</v>
      </c>
      <c r="F228" s="81">
        <v>1.07</v>
      </c>
      <c r="G228" s="81">
        <v>1.246</v>
      </c>
      <c r="H228" s="81">
        <v>1.2989999999999999</v>
      </c>
      <c r="I228" s="81">
        <v>1.3879999999999999</v>
      </c>
      <c r="J228" s="81">
        <v>1.476</v>
      </c>
    </row>
    <row r="229" spans="1:10">
      <c r="A229" s="1" t="s">
        <v>256</v>
      </c>
      <c r="B229" s="1" t="str">
        <f>$B$10</f>
        <v>UIM</v>
      </c>
      <c r="C229" s="85"/>
      <c r="D229" s="85">
        <v>0.42399999999999999</v>
      </c>
      <c r="E229" s="85">
        <v>0.39500000000000002</v>
      </c>
      <c r="F229" s="81">
        <v>0.43</v>
      </c>
      <c r="G229" s="81">
        <v>0.439</v>
      </c>
      <c r="H229" s="81">
        <v>0.44</v>
      </c>
      <c r="I229" s="81">
        <v>0.44500000000000001</v>
      </c>
      <c r="J229" s="81">
        <v>0.45700000000000002</v>
      </c>
    </row>
    <row r="230" spans="1:10">
      <c r="A230" s="1" t="s">
        <v>258</v>
      </c>
      <c r="B230" s="1" t="str">
        <f>$B$10</f>
        <v>UIM</v>
      </c>
      <c r="C230" s="85"/>
      <c r="D230" s="85">
        <v>-0.81699999999999995</v>
      </c>
      <c r="E230" s="85">
        <v>-0.82499999999999996</v>
      </c>
      <c r="F230" s="81">
        <v>-0.622</v>
      </c>
      <c r="G230" s="81">
        <v>-0.58399999999999996</v>
      </c>
      <c r="H230" s="81">
        <v>-0.56899999999999995</v>
      </c>
      <c r="I230" s="81">
        <v>-0.58699999999999997</v>
      </c>
      <c r="J230" s="81">
        <v>-0.59499999999999997</v>
      </c>
    </row>
    <row r="231" spans="1:10" ht="15">
      <c r="A231" s="26" t="s">
        <v>963</v>
      </c>
      <c r="C231" s="85"/>
      <c r="D231" s="88" t="str">
        <f t="shared" ref="D231:J231" si="49">IF(ROUND(D$227-SUM(D$228:D$230),3)=0,"OK","ERROR")</f>
        <v>OK</v>
      </c>
      <c r="E231" s="88" t="str">
        <f t="shared" si="49"/>
        <v>OK</v>
      </c>
      <c r="F231" s="89" t="str">
        <f t="shared" si="49"/>
        <v>OK</v>
      </c>
      <c r="G231" s="89" t="str">
        <f t="shared" si="49"/>
        <v>OK</v>
      </c>
      <c r="H231" s="89" t="str">
        <f t="shared" si="49"/>
        <v>OK</v>
      </c>
      <c r="I231" s="89" t="str">
        <f t="shared" si="49"/>
        <v>OK</v>
      </c>
      <c r="J231" s="89" t="str">
        <f t="shared" si="49"/>
        <v>OK</v>
      </c>
    </row>
    <row r="232" spans="1:10" ht="15">
      <c r="A232" s="26" t="s">
        <v>133</v>
      </c>
      <c r="C232" s="85"/>
      <c r="D232" s="81"/>
      <c r="E232" s="81"/>
      <c r="F232" s="81"/>
      <c r="G232" s="81"/>
      <c r="H232" s="81"/>
      <c r="I232" s="81"/>
      <c r="J232" s="81"/>
    </row>
    <row r="233" spans="1:10">
      <c r="A233" s="1" t="s">
        <v>270</v>
      </c>
      <c r="B233" s="1" t="str">
        <f t="shared" ref="B233:B241" si="50">$B$10</f>
        <v>UIM</v>
      </c>
      <c r="C233" s="85"/>
      <c r="D233" s="85">
        <v>14.561999999999999</v>
      </c>
      <c r="E233" s="85">
        <v>15.521000000000001</v>
      </c>
      <c r="F233" s="81">
        <v>16.553999999999998</v>
      </c>
      <c r="G233" s="81">
        <v>17.690999999999999</v>
      </c>
      <c r="H233" s="81">
        <v>18.931000000000001</v>
      </c>
      <c r="I233" s="81">
        <v>19.977</v>
      </c>
      <c r="J233" s="81">
        <v>21.021999999999998</v>
      </c>
    </row>
    <row r="234" spans="1:10">
      <c r="A234" s="1" t="s">
        <v>271</v>
      </c>
      <c r="B234" s="1" t="str">
        <f t="shared" si="50"/>
        <v>UIM</v>
      </c>
      <c r="C234" s="85"/>
      <c r="D234" s="85">
        <v>1.8540000000000001</v>
      </c>
      <c r="E234" s="85">
        <v>2.2850000000000001</v>
      </c>
      <c r="F234" s="81">
        <v>3.2730000000000001</v>
      </c>
      <c r="G234" s="81">
        <v>3.8570000000000002</v>
      </c>
      <c r="H234" s="81">
        <v>3.8679999999999999</v>
      </c>
      <c r="I234" s="81">
        <v>3.742</v>
      </c>
      <c r="J234" s="81">
        <v>3.5590000000000002</v>
      </c>
    </row>
    <row r="235" spans="1:10" s="167" customFormat="1">
      <c r="A235" s="167" t="s">
        <v>272</v>
      </c>
      <c r="B235" s="167" t="str">
        <f t="shared" si="50"/>
        <v>UIM</v>
      </c>
      <c r="C235" s="85"/>
      <c r="D235" s="85">
        <v>1.556</v>
      </c>
      <c r="E235" s="85">
        <v>1.65</v>
      </c>
      <c r="F235" s="81">
        <v>1.831</v>
      </c>
      <c r="G235" s="81">
        <v>2.0609999999999999</v>
      </c>
      <c r="H235" s="81">
        <v>2.2309999999999999</v>
      </c>
      <c r="I235" s="81">
        <v>2.2970000000000002</v>
      </c>
      <c r="J235" s="81">
        <v>2.355</v>
      </c>
    </row>
    <row r="236" spans="1:10">
      <c r="A236" s="1" t="s">
        <v>273</v>
      </c>
      <c r="B236" s="1" t="str">
        <f t="shared" si="50"/>
        <v>UIM</v>
      </c>
      <c r="C236" s="85"/>
      <c r="D236" s="85">
        <v>1.115</v>
      </c>
      <c r="E236" s="85">
        <v>1.2310000000000001</v>
      </c>
      <c r="F236" s="81">
        <v>1.47</v>
      </c>
      <c r="G236" s="81">
        <v>1.72</v>
      </c>
      <c r="H236" s="81">
        <v>1.8779999999999999</v>
      </c>
      <c r="I236" s="81">
        <v>1.8879999999999999</v>
      </c>
      <c r="J236" s="81">
        <v>1.8680000000000001</v>
      </c>
    </row>
    <row r="237" spans="1:10">
      <c r="A237" s="1" t="s">
        <v>405</v>
      </c>
      <c r="B237" s="1" t="str">
        <f t="shared" si="50"/>
        <v>UIM</v>
      </c>
      <c r="C237" s="85"/>
      <c r="D237" s="85">
        <v>2.766</v>
      </c>
      <c r="E237" s="85">
        <v>2.83</v>
      </c>
      <c r="F237" s="81">
        <v>2.7530000000000001</v>
      </c>
      <c r="G237" s="81">
        <v>2.7109999999999999</v>
      </c>
      <c r="H237" s="81">
        <v>2.9180000000000001</v>
      </c>
      <c r="I237" s="81">
        <v>2.8889999999999998</v>
      </c>
      <c r="J237" s="81">
        <v>2.9350000000000001</v>
      </c>
    </row>
    <row r="238" spans="1:10">
      <c r="A238" s="1" t="s">
        <v>406</v>
      </c>
      <c r="B238" s="1" t="str">
        <f t="shared" si="50"/>
        <v>UIM</v>
      </c>
      <c r="C238" s="85"/>
      <c r="D238" s="85">
        <v>3.9910000000000001</v>
      </c>
      <c r="E238" s="85">
        <v>16.893999999999998</v>
      </c>
      <c r="F238" s="81">
        <v>7.391</v>
      </c>
      <c r="G238" s="81">
        <v>6.4649999999999999</v>
      </c>
      <c r="H238" s="81">
        <v>6.0069999999999997</v>
      </c>
      <c r="I238" s="81">
        <v>6.0650000000000004</v>
      </c>
      <c r="J238" s="81">
        <v>6.1210000000000004</v>
      </c>
    </row>
    <row r="239" spans="1:10">
      <c r="A239" s="1" t="s">
        <v>274</v>
      </c>
      <c r="B239" s="1" t="str">
        <f t="shared" si="50"/>
        <v>UIM</v>
      </c>
      <c r="C239" s="85"/>
      <c r="D239" s="85">
        <v>0.58299999999999996</v>
      </c>
      <c r="E239" s="85">
        <v>0.56699999999999995</v>
      </c>
      <c r="F239" s="81">
        <v>0.61</v>
      </c>
      <c r="G239" s="81">
        <v>0.65600000000000003</v>
      </c>
      <c r="H239" s="81">
        <v>0.66700000000000004</v>
      </c>
      <c r="I239" s="81">
        <v>0.63600000000000001</v>
      </c>
      <c r="J239" s="81">
        <v>0.66700000000000004</v>
      </c>
    </row>
    <row r="240" spans="1:10">
      <c r="A240" s="1" t="s">
        <v>276</v>
      </c>
      <c r="B240" s="1" t="str">
        <f t="shared" si="50"/>
        <v>UIM</v>
      </c>
      <c r="C240" s="85"/>
      <c r="D240" s="85">
        <v>0.95099999999999996</v>
      </c>
      <c r="E240" s="85">
        <v>0.89300000000000002</v>
      </c>
      <c r="F240" s="81">
        <v>0.92900000000000005</v>
      </c>
      <c r="G240" s="81">
        <v>0.97399999999999998</v>
      </c>
      <c r="H240" s="81">
        <v>1.0149999999999999</v>
      </c>
      <c r="I240" s="81">
        <v>1.0509999999999999</v>
      </c>
      <c r="J240" s="81">
        <v>1.083</v>
      </c>
    </row>
    <row r="241" spans="1:10">
      <c r="A241" s="1" t="s">
        <v>277</v>
      </c>
      <c r="B241" s="1" t="str">
        <f t="shared" si="50"/>
        <v>UIM</v>
      </c>
      <c r="C241" s="85"/>
      <c r="D241" s="85">
        <v>0.70799999999999996</v>
      </c>
      <c r="E241" s="85">
        <v>0.73599999999999999</v>
      </c>
      <c r="F241" s="81">
        <v>0.82499999999999996</v>
      </c>
      <c r="G241" s="81">
        <v>0.82</v>
      </c>
      <c r="H241" s="81">
        <v>0.85799999999999998</v>
      </c>
      <c r="I241" s="81">
        <v>0.86099999999999999</v>
      </c>
      <c r="J241" s="81">
        <v>0.86099999999999999</v>
      </c>
    </row>
    <row r="242" spans="1:10" ht="15">
      <c r="A242" s="26" t="s">
        <v>275</v>
      </c>
      <c r="C242" s="85"/>
      <c r="D242" s="88" t="str">
        <f t="shared" ref="D242:J242" si="51">IF(ROUND(D$15-SUM(D$233:D$241),3)=0,"OK","ERROR")</f>
        <v>OK</v>
      </c>
      <c r="E242" s="88" t="str">
        <f t="shared" si="51"/>
        <v>OK</v>
      </c>
      <c r="F242" s="89" t="str">
        <f t="shared" si="51"/>
        <v>OK</v>
      </c>
      <c r="G242" s="89" t="str">
        <f t="shared" si="51"/>
        <v>OK</v>
      </c>
      <c r="H242" s="89" t="str">
        <f t="shared" si="51"/>
        <v>OK</v>
      </c>
      <c r="I242" s="89" t="str">
        <f t="shared" si="51"/>
        <v>OK</v>
      </c>
      <c r="J242" s="89" t="str">
        <f t="shared" si="51"/>
        <v>OK</v>
      </c>
    </row>
    <row r="243" spans="1:10" ht="15">
      <c r="A243" s="26" t="s">
        <v>134</v>
      </c>
      <c r="C243" s="85"/>
      <c r="D243" s="81"/>
      <c r="E243" s="81"/>
      <c r="F243" s="81"/>
      <c r="G243" s="81"/>
      <c r="H243" s="81"/>
      <c r="I243" s="81"/>
      <c r="J243" s="81"/>
    </row>
    <row r="244" spans="1:10">
      <c r="A244" s="1" t="s">
        <v>256</v>
      </c>
      <c r="B244" s="1" t="str">
        <f>$B$10</f>
        <v>UIM</v>
      </c>
      <c r="C244" s="85"/>
      <c r="D244" s="85">
        <v>15.085000000000001</v>
      </c>
      <c r="E244" s="85">
        <v>16.317</v>
      </c>
      <c r="F244" s="81">
        <v>17.989000000000001</v>
      </c>
      <c r="G244" s="81">
        <v>18.436</v>
      </c>
      <c r="H244" s="81">
        <v>18.033000000000001</v>
      </c>
      <c r="I244" s="81">
        <v>18.006</v>
      </c>
      <c r="J244" s="81">
        <v>17.992000000000001</v>
      </c>
    </row>
    <row r="245" spans="1:10">
      <c r="A245" s="1" t="s">
        <v>257</v>
      </c>
      <c r="B245" s="1" t="str">
        <f>$B$10</f>
        <v>UIM</v>
      </c>
      <c r="C245" s="85"/>
      <c r="D245" s="85">
        <v>3.0960000000000001</v>
      </c>
      <c r="E245" s="85">
        <v>3.0230000000000001</v>
      </c>
      <c r="F245" s="81">
        <v>2.0840000000000001</v>
      </c>
      <c r="G245" s="81">
        <v>2.1</v>
      </c>
      <c r="H245" s="81">
        <v>2.1379999999999999</v>
      </c>
      <c r="I245" s="81">
        <v>2.1669999999999998</v>
      </c>
      <c r="J245" s="81">
        <v>2.1760000000000002</v>
      </c>
    </row>
    <row r="246" spans="1:10">
      <c r="A246" s="1" t="s">
        <v>258</v>
      </c>
      <c r="B246" s="1" t="str">
        <f>$B$10</f>
        <v>UIM</v>
      </c>
      <c r="C246" s="85"/>
      <c r="D246" s="85">
        <v>-4.2000000000000003E-2</v>
      </c>
      <c r="E246" s="85">
        <v>-4.4999999999999998E-2</v>
      </c>
      <c r="F246" s="81">
        <v>-3.4000000000000002E-2</v>
      </c>
      <c r="G246" s="81">
        <v>-3.4000000000000002E-2</v>
      </c>
      <c r="H246" s="81">
        <v>-3.5000000000000003E-2</v>
      </c>
      <c r="I246" s="81">
        <v>-3.4000000000000002E-2</v>
      </c>
      <c r="J246" s="81">
        <v>-3.5000000000000003E-2</v>
      </c>
    </row>
    <row r="247" spans="1:10" ht="15">
      <c r="A247" s="26" t="s">
        <v>278</v>
      </c>
      <c r="C247" s="85"/>
      <c r="D247" s="88" t="str">
        <f t="shared" ref="D247:J247" si="52">IF(ROUND(D$16-SUM(D$162,D$244:D$246),3)=0,"OK","ERROR")</f>
        <v>OK</v>
      </c>
      <c r="E247" s="88" t="str">
        <f t="shared" si="52"/>
        <v>OK</v>
      </c>
      <c r="F247" s="89" t="str">
        <f t="shared" si="52"/>
        <v>OK</v>
      </c>
      <c r="G247" s="89" t="str">
        <f t="shared" si="52"/>
        <v>OK</v>
      </c>
      <c r="H247" s="89" t="str">
        <f t="shared" si="52"/>
        <v>OK</v>
      </c>
      <c r="I247" s="89" t="str">
        <f t="shared" si="52"/>
        <v>OK</v>
      </c>
      <c r="J247" s="89" t="str">
        <f t="shared" si="52"/>
        <v>OK</v>
      </c>
    </row>
    <row r="248" spans="1:10" ht="15">
      <c r="A248" s="26" t="s">
        <v>958</v>
      </c>
      <c r="C248" s="85"/>
      <c r="D248" s="81"/>
      <c r="E248" s="81"/>
      <c r="F248" s="81"/>
      <c r="G248" s="81"/>
      <c r="H248" s="81"/>
      <c r="I248" s="81"/>
      <c r="J248" s="81"/>
    </row>
    <row r="249" spans="1:10">
      <c r="A249" s="1" t="s">
        <v>279</v>
      </c>
      <c r="B249" s="1" t="str">
        <f>$B$10</f>
        <v>UIM</v>
      </c>
      <c r="C249" s="85"/>
      <c r="D249" s="85">
        <v>1.5009999999999999</v>
      </c>
      <c r="E249" s="85">
        <v>1.675</v>
      </c>
      <c r="F249" s="81">
        <v>1.782</v>
      </c>
      <c r="G249" s="81">
        <v>1.8160000000000001</v>
      </c>
      <c r="H249" s="81">
        <v>1.869</v>
      </c>
      <c r="I249" s="81">
        <v>1.9119999999999999</v>
      </c>
      <c r="J249" s="81">
        <v>1.96</v>
      </c>
    </row>
    <row r="250" spans="1:10">
      <c r="A250" s="1" t="s">
        <v>256</v>
      </c>
      <c r="B250" s="1" t="str">
        <f>$B$10</f>
        <v>UIM</v>
      </c>
      <c r="C250" s="85"/>
      <c r="D250" s="85">
        <v>1.587</v>
      </c>
      <c r="E250" s="85">
        <v>1.776</v>
      </c>
      <c r="F250" s="81">
        <v>1.919</v>
      </c>
      <c r="G250" s="81">
        <v>2.0329999999999999</v>
      </c>
      <c r="H250" s="81">
        <v>2.1</v>
      </c>
      <c r="I250" s="81">
        <v>2.2029999999999998</v>
      </c>
      <c r="J250" s="81">
        <v>2.2789999999999999</v>
      </c>
    </row>
    <row r="251" spans="1:10">
      <c r="A251" s="1" t="s">
        <v>257</v>
      </c>
      <c r="B251" s="1" t="str">
        <f>$B$10</f>
        <v>UIM</v>
      </c>
      <c r="C251" s="85"/>
      <c r="D251" s="85">
        <v>1.466</v>
      </c>
      <c r="E251" s="85">
        <v>1.843</v>
      </c>
      <c r="F251" s="81">
        <v>1.9330000000000001</v>
      </c>
      <c r="G251" s="81">
        <v>1.907</v>
      </c>
      <c r="H251" s="81">
        <v>1.9750000000000001</v>
      </c>
      <c r="I251" s="81">
        <v>1.9970000000000001</v>
      </c>
      <c r="J251" s="81">
        <v>2.0409999999999999</v>
      </c>
    </row>
    <row r="252" spans="1:10" ht="15">
      <c r="A252" s="26" t="s">
        <v>965</v>
      </c>
      <c r="C252" s="85"/>
      <c r="D252" s="88" t="str">
        <f t="shared" ref="D252:J252" si="53">IF(ROUND(D$17-SUM(D$249:D$251),3)=0,"OK","ERROR")</f>
        <v>OK</v>
      </c>
      <c r="E252" s="88" t="str">
        <f t="shared" si="53"/>
        <v>OK</v>
      </c>
      <c r="F252" s="89" t="str">
        <f t="shared" si="53"/>
        <v>OK</v>
      </c>
      <c r="G252" s="89" t="str">
        <f t="shared" si="53"/>
        <v>OK</v>
      </c>
      <c r="H252" s="89" t="str">
        <f t="shared" si="53"/>
        <v>OK</v>
      </c>
      <c r="I252" s="89" t="str">
        <f t="shared" si="53"/>
        <v>OK</v>
      </c>
      <c r="J252" s="89" t="str">
        <f t="shared" si="53"/>
        <v>OK</v>
      </c>
    </row>
    <row r="253" spans="1:10" ht="15">
      <c r="A253" s="26" t="s">
        <v>960</v>
      </c>
      <c r="C253" s="85"/>
      <c r="D253" s="92"/>
      <c r="E253" s="92"/>
      <c r="F253" s="92"/>
      <c r="G253" s="92"/>
      <c r="H253" s="92"/>
      <c r="I253" s="92"/>
      <c r="J253" s="92"/>
    </row>
    <row r="254" spans="1:10">
      <c r="A254" s="1" t="s">
        <v>279</v>
      </c>
      <c r="B254" s="1" t="str">
        <f>$B$10</f>
        <v>UIM</v>
      </c>
      <c r="C254" s="85"/>
      <c r="D254" s="85">
        <v>0.29399999999999998</v>
      </c>
      <c r="E254" s="85">
        <v>0.57399999999999995</v>
      </c>
      <c r="F254" s="81">
        <v>0.32800000000000001</v>
      </c>
      <c r="G254" s="81">
        <v>0.36699999999999999</v>
      </c>
      <c r="H254" s="81">
        <v>0.40300000000000002</v>
      </c>
      <c r="I254" s="81">
        <v>0.4</v>
      </c>
      <c r="J254" s="81">
        <v>0.4</v>
      </c>
    </row>
    <row r="255" spans="1:10">
      <c r="A255" s="1" t="s">
        <v>256</v>
      </c>
      <c r="B255" s="1" t="str">
        <f>$B$9</f>
        <v>NAC</v>
      </c>
      <c r="C255" s="85"/>
      <c r="D255" s="85">
        <v>0.31900000000000001</v>
      </c>
      <c r="E255" s="85">
        <v>0.34</v>
      </c>
      <c r="F255" s="81">
        <v>0.32700000000000001</v>
      </c>
      <c r="G255" s="81">
        <v>0.35</v>
      </c>
      <c r="H255" s="81">
        <v>0.35899999999999999</v>
      </c>
      <c r="I255" s="81">
        <v>0.35799999999999998</v>
      </c>
      <c r="J255" s="81">
        <v>0.35899999999999999</v>
      </c>
    </row>
    <row r="256" spans="1:10">
      <c r="A256" s="1" t="s">
        <v>257</v>
      </c>
      <c r="B256" s="1" t="str">
        <f>$B$9</f>
        <v>NAC</v>
      </c>
      <c r="C256" s="85"/>
      <c r="D256" s="85">
        <v>0.32100000000000001</v>
      </c>
      <c r="E256" s="85">
        <v>1.4610000000000001</v>
      </c>
      <c r="F256" s="81">
        <v>0.13100000000000001</v>
      </c>
      <c r="G256" s="81">
        <v>0.114</v>
      </c>
      <c r="H256" s="81">
        <v>0.123</v>
      </c>
      <c r="I256" s="81">
        <v>0.122</v>
      </c>
      <c r="J256" s="81">
        <v>0.115</v>
      </c>
    </row>
    <row r="257" spans="1:10" ht="15">
      <c r="A257" s="26" t="s">
        <v>997</v>
      </c>
      <c r="C257" s="85"/>
      <c r="D257" s="88" t="str">
        <f t="shared" ref="D257:J257" si="54">IF(ROUND(-D$100-SUM(D$254:D$256),3)=0,"OK","ERROR")</f>
        <v>OK</v>
      </c>
      <c r="E257" s="88" t="str">
        <f t="shared" si="54"/>
        <v>OK</v>
      </c>
      <c r="F257" s="89" t="str">
        <f t="shared" si="54"/>
        <v>OK</v>
      </c>
      <c r="G257" s="89" t="str">
        <f t="shared" si="54"/>
        <v>OK</v>
      </c>
      <c r="H257" s="89" t="str">
        <f t="shared" si="54"/>
        <v>OK</v>
      </c>
      <c r="I257" s="89" t="str">
        <f t="shared" si="54"/>
        <v>OK</v>
      </c>
      <c r="J257" s="89" t="str">
        <f t="shared" si="54"/>
        <v>OK</v>
      </c>
    </row>
    <row r="258" spans="1:10" ht="15">
      <c r="A258" s="26" t="s">
        <v>966</v>
      </c>
      <c r="C258" s="85"/>
      <c r="D258" s="85"/>
      <c r="E258" s="85"/>
      <c r="F258" s="85"/>
      <c r="G258" s="85"/>
      <c r="H258" s="85"/>
      <c r="I258" s="85"/>
      <c r="J258" s="85"/>
    </row>
    <row r="259" spans="1:10">
      <c r="A259" s="1" t="s">
        <v>279</v>
      </c>
      <c r="B259" s="1" t="str">
        <f>$B$10</f>
        <v>UIM</v>
      </c>
      <c r="C259" s="85"/>
      <c r="D259" s="85">
        <v>44.959000000000003</v>
      </c>
      <c r="E259" s="85">
        <v>51.832999999999998</v>
      </c>
      <c r="F259" s="81">
        <v>62.470999999999997</v>
      </c>
      <c r="G259" s="81">
        <v>62.107999999999997</v>
      </c>
      <c r="H259" s="81">
        <v>58.44</v>
      </c>
      <c r="I259" s="81">
        <v>56.463000000000001</v>
      </c>
      <c r="J259" s="81">
        <v>55.503999999999998</v>
      </c>
    </row>
    <row r="260" spans="1:10">
      <c r="A260" s="1" t="s">
        <v>256</v>
      </c>
      <c r="B260" s="1" t="str">
        <f>$B$10</f>
        <v>UIM</v>
      </c>
      <c r="C260" s="85"/>
      <c r="D260" s="85">
        <v>22.132999999999999</v>
      </c>
      <c r="E260" s="85">
        <v>25.504999999999999</v>
      </c>
      <c r="F260" s="81">
        <v>27.172999999999998</v>
      </c>
      <c r="G260" s="81">
        <v>28.202999999999999</v>
      </c>
      <c r="H260" s="81">
        <v>27.251999999999999</v>
      </c>
      <c r="I260" s="81">
        <v>26.756</v>
      </c>
      <c r="J260" s="81">
        <v>26.177</v>
      </c>
    </row>
    <row r="261" spans="1:10">
      <c r="A261" s="1" t="s">
        <v>257</v>
      </c>
      <c r="B261" s="1" t="str">
        <f>$B$10</f>
        <v>UIM</v>
      </c>
      <c r="C261" s="85"/>
      <c r="D261" s="85">
        <v>9.4740000000000002</v>
      </c>
      <c r="E261" s="85">
        <v>12.164999999999999</v>
      </c>
      <c r="F261" s="81">
        <v>10.494999999999999</v>
      </c>
      <c r="G261" s="81">
        <v>10.994</v>
      </c>
      <c r="H261" s="81">
        <v>11.346</v>
      </c>
      <c r="I261" s="81">
        <v>11.944000000000001</v>
      </c>
      <c r="J261" s="81">
        <v>11.808</v>
      </c>
    </row>
    <row r="262" spans="1:10">
      <c r="A262" s="1" t="s">
        <v>258</v>
      </c>
      <c r="B262" s="1" t="str">
        <f>$B$10</f>
        <v>UIM</v>
      </c>
      <c r="C262" s="85"/>
      <c r="D262" s="85">
        <v>-33.872999999999998</v>
      </c>
      <c r="E262" s="85">
        <v>-36.92</v>
      </c>
      <c r="F262" s="81">
        <v>-42.106999999999999</v>
      </c>
      <c r="G262" s="81">
        <v>-42.332000000000001</v>
      </c>
      <c r="H262" s="81">
        <v>-41.494</v>
      </c>
      <c r="I262" s="81">
        <v>-41.218000000000004</v>
      </c>
      <c r="J262" s="81">
        <v>-40.676000000000002</v>
      </c>
    </row>
    <row r="263" spans="1:10" ht="15">
      <c r="A263" s="26" t="s">
        <v>280</v>
      </c>
      <c r="C263" s="85"/>
      <c r="D263" s="88" t="str">
        <f t="shared" ref="D263:J263" si="55">IF(ROUND(D$18-SUM(D$259:D$262),3)=0,"OK","ERROR")</f>
        <v>OK</v>
      </c>
      <c r="E263" s="88" t="str">
        <f t="shared" si="55"/>
        <v>OK</v>
      </c>
      <c r="F263" s="89" t="str">
        <f t="shared" si="55"/>
        <v>OK</v>
      </c>
      <c r="G263" s="89" t="str">
        <f t="shared" si="55"/>
        <v>OK</v>
      </c>
      <c r="H263" s="89" t="str">
        <f t="shared" si="55"/>
        <v>OK</v>
      </c>
      <c r="I263" s="89" t="str">
        <f t="shared" si="55"/>
        <v>OK</v>
      </c>
      <c r="J263" s="89" t="str">
        <f t="shared" si="55"/>
        <v>OK</v>
      </c>
    </row>
    <row r="264" spans="1:10" ht="15">
      <c r="A264" s="26" t="s">
        <v>281</v>
      </c>
      <c r="C264" s="85"/>
      <c r="D264" s="81"/>
      <c r="E264" s="81"/>
      <c r="F264" s="81"/>
      <c r="G264" s="81"/>
      <c r="H264" s="81"/>
      <c r="I264" s="81"/>
      <c r="J264" s="81"/>
    </row>
    <row r="265" spans="1:10">
      <c r="A265" s="1" t="s">
        <v>256</v>
      </c>
      <c r="B265" s="1" t="str">
        <f>$B$10</f>
        <v>UIM</v>
      </c>
      <c r="C265" s="85"/>
      <c r="D265" s="85">
        <v>0.11700000000000001</v>
      </c>
      <c r="E265" s="85">
        <v>0.16400000000000001</v>
      </c>
      <c r="F265" s="81">
        <v>0.26300000000000001</v>
      </c>
      <c r="G265" s="81">
        <v>0.33200000000000002</v>
      </c>
      <c r="H265" s="81">
        <v>0.46100000000000002</v>
      </c>
      <c r="I265" s="81">
        <v>0.55100000000000005</v>
      </c>
      <c r="J265" s="81">
        <v>0.57399999999999995</v>
      </c>
    </row>
    <row r="266" spans="1:10">
      <c r="A266" s="1" t="s">
        <v>257</v>
      </c>
      <c r="B266" s="1" t="str">
        <f>$B$10</f>
        <v>UIM</v>
      </c>
      <c r="C266" s="85"/>
      <c r="D266" s="85">
        <v>1.0449999999999999</v>
      </c>
      <c r="E266" s="85">
        <v>0.90100000000000002</v>
      </c>
      <c r="F266" s="81">
        <v>0.65600000000000003</v>
      </c>
      <c r="G266" s="81">
        <v>0.69199999999999995</v>
      </c>
      <c r="H266" s="81">
        <v>0.73599999999999999</v>
      </c>
      <c r="I266" s="81">
        <v>0.75900000000000001</v>
      </c>
      <c r="J266" s="81">
        <v>0.79300000000000004</v>
      </c>
    </row>
    <row r="267" spans="1:10">
      <c r="A267" s="1" t="s">
        <v>258</v>
      </c>
      <c r="B267" s="1" t="str">
        <f>$B$10</f>
        <v>UIM</v>
      </c>
      <c r="C267" s="85"/>
      <c r="D267" s="85">
        <v>-0.55400000000000005</v>
      </c>
      <c r="E267" s="85">
        <v>-0.53900000000000003</v>
      </c>
      <c r="F267" s="81">
        <v>-0.35899999999999999</v>
      </c>
      <c r="G267" s="81">
        <v>-0.36099999999999999</v>
      </c>
      <c r="H267" s="81">
        <v>-0.35699999999999998</v>
      </c>
      <c r="I267" s="81">
        <v>-0.36499999999999999</v>
      </c>
      <c r="J267" s="81">
        <v>-0.378</v>
      </c>
    </row>
    <row r="268" spans="1:10" ht="15">
      <c r="A268" s="26" t="s">
        <v>282</v>
      </c>
      <c r="C268" s="85"/>
      <c r="D268" s="88" t="str">
        <f t="shared" ref="D268:J268" si="56">IF(ROUND(D$19-SUM(D$164,D$265:D$267),3)=0,"OK","ERROR")</f>
        <v>OK</v>
      </c>
      <c r="E268" s="88" t="str">
        <f t="shared" si="56"/>
        <v>OK</v>
      </c>
      <c r="F268" s="89" t="str">
        <f t="shared" si="56"/>
        <v>OK</v>
      </c>
      <c r="G268" s="89" t="str">
        <f t="shared" si="56"/>
        <v>OK</v>
      </c>
      <c r="H268" s="89" t="str">
        <f t="shared" si="56"/>
        <v>OK</v>
      </c>
      <c r="I268" s="89" t="str">
        <f t="shared" si="56"/>
        <v>OK</v>
      </c>
      <c r="J268" s="89" t="str">
        <f t="shared" si="56"/>
        <v>OK</v>
      </c>
    </row>
    <row r="269" spans="1:10" ht="15">
      <c r="A269" s="26" t="s">
        <v>137</v>
      </c>
      <c r="C269" s="85"/>
      <c r="D269" s="92"/>
      <c r="E269" s="92"/>
      <c r="F269" s="92"/>
      <c r="G269" s="92"/>
      <c r="H269" s="92"/>
      <c r="I269" s="92"/>
      <c r="J269" s="92"/>
    </row>
    <row r="270" spans="1:10">
      <c r="A270" s="1" t="s">
        <v>283</v>
      </c>
      <c r="B270" s="1" t="str">
        <f>$B$10</f>
        <v>UIM</v>
      </c>
      <c r="C270" s="85"/>
      <c r="D270" s="85">
        <v>5.3620000000000001</v>
      </c>
      <c r="E270" s="85">
        <v>6.2460000000000004</v>
      </c>
      <c r="F270" s="81">
        <v>6.282</v>
      </c>
      <c r="G270" s="81">
        <v>6.3129999999999997</v>
      </c>
      <c r="H270" s="81">
        <v>6.726</v>
      </c>
      <c r="I270" s="81">
        <v>7.1379999999999999</v>
      </c>
      <c r="J270" s="81">
        <v>7.5960000000000001</v>
      </c>
    </row>
    <row r="271" spans="1:10">
      <c r="A271" s="1" t="s">
        <v>284</v>
      </c>
      <c r="B271" s="1" t="str">
        <f>$B$10</f>
        <v>UIM</v>
      </c>
      <c r="C271" s="85"/>
      <c r="D271" s="85">
        <v>0.47599999999999998</v>
      </c>
      <c r="E271" s="85">
        <v>0.61399999999999999</v>
      </c>
      <c r="F271" s="81">
        <v>0.214</v>
      </c>
      <c r="G271" s="81">
        <v>0.223</v>
      </c>
      <c r="H271" s="81">
        <v>0.246</v>
      </c>
      <c r="I271" s="81">
        <v>0.26700000000000002</v>
      </c>
      <c r="J271" s="81">
        <v>0.28899999999999998</v>
      </c>
    </row>
    <row r="272" spans="1:10">
      <c r="A272" s="1" t="s">
        <v>295</v>
      </c>
      <c r="B272" s="1" t="str">
        <f>$B$10</f>
        <v>UIM</v>
      </c>
      <c r="C272" s="85"/>
      <c r="D272" s="85">
        <v>-2.5999999999999999E-2</v>
      </c>
      <c r="E272" s="85">
        <v>4.2999999999999997E-2</v>
      </c>
      <c r="F272" s="81">
        <v>8.8999999999999996E-2</v>
      </c>
      <c r="G272" s="81">
        <v>2E-3</v>
      </c>
      <c r="H272" s="81">
        <v>1.2E-2</v>
      </c>
      <c r="I272" s="81">
        <v>1.7000000000000001E-2</v>
      </c>
      <c r="J272" s="81">
        <v>1.9E-2</v>
      </c>
    </row>
    <row r="273" spans="1:10" ht="15.75" customHeight="1">
      <c r="A273" s="26" t="s">
        <v>285</v>
      </c>
      <c r="C273" s="85"/>
      <c r="D273" s="88" t="str">
        <f t="shared" ref="D273:J273" si="57">IF(ROUND(D$20-SUM(D$270:D$272),3)=0,"OK","ERROR")</f>
        <v>OK</v>
      </c>
      <c r="E273" s="88" t="str">
        <f t="shared" si="57"/>
        <v>OK</v>
      </c>
      <c r="F273" s="89" t="str">
        <f t="shared" si="57"/>
        <v>OK</v>
      </c>
      <c r="G273" s="89" t="str">
        <f t="shared" si="57"/>
        <v>OK</v>
      </c>
      <c r="H273" s="89" t="str">
        <f t="shared" si="57"/>
        <v>OK</v>
      </c>
      <c r="I273" s="89" t="str">
        <f t="shared" si="57"/>
        <v>OK</v>
      </c>
      <c r="J273" s="89" t="str">
        <f t="shared" si="57"/>
        <v>OK</v>
      </c>
    </row>
    <row r="274" spans="1:10" ht="15">
      <c r="A274" s="26" t="s">
        <v>138</v>
      </c>
      <c r="C274" s="85"/>
      <c r="D274" s="81"/>
      <c r="E274" s="81"/>
      <c r="F274" s="81"/>
      <c r="G274" s="81"/>
      <c r="H274" s="81"/>
      <c r="I274" s="81"/>
      <c r="J274" s="81"/>
    </row>
    <row r="275" spans="1:10">
      <c r="A275" s="1" t="s">
        <v>298</v>
      </c>
      <c r="B275" s="1" t="str">
        <f>$B$9</f>
        <v>NAC</v>
      </c>
      <c r="C275" s="85"/>
      <c r="D275" s="85">
        <v>0</v>
      </c>
      <c r="E275" s="85">
        <v>0</v>
      </c>
      <c r="F275" s="81">
        <v>0</v>
      </c>
      <c r="G275" s="81">
        <v>3.0790000000000002</v>
      </c>
      <c r="H275" s="81">
        <v>2.1179999999999999</v>
      </c>
      <c r="I275" s="81">
        <v>2.2959999999999998</v>
      </c>
      <c r="J275" s="81">
        <v>2.2599999999999998</v>
      </c>
    </row>
    <row r="276" spans="1:10">
      <c r="A276" s="1" t="s">
        <v>1133</v>
      </c>
      <c r="C276" s="85"/>
      <c r="D276" s="85">
        <v>0</v>
      </c>
      <c r="E276" s="85">
        <v>0</v>
      </c>
      <c r="F276" s="81">
        <v>0.5</v>
      </c>
      <c r="G276" s="81">
        <v>1.1419999999999999</v>
      </c>
      <c r="H276" s="81">
        <v>1.1419999999999999</v>
      </c>
      <c r="I276" s="81">
        <v>1.1419999999999999</v>
      </c>
      <c r="J276" s="81">
        <v>1.1419999999999999</v>
      </c>
    </row>
    <row r="277" spans="1:10">
      <c r="A277" s="1" t="s">
        <v>299</v>
      </c>
      <c r="B277" s="1" t="str">
        <f t="shared" ref="B277:B280" si="58">$B$9</f>
        <v>NAC</v>
      </c>
      <c r="C277" s="85"/>
      <c r="D277" s="85">
        <v>0</v>
      </c>
      <c r="E277" s="85">
        <v>0</v>
      </c>
      <c r="F277" s="81">
        <v>0</v>
      </c>
      <c r="G277" s="81">
        <v>0</v>
      </c>
      <c r="H277" s="81">
        <v>0</v>
      </c>
      <c r="I277" s="81">
        <v>0</v>
      </c>
      <c r="J277" s="81">
        <v>0</v>
      </c>
    </row>
    <row r="278" spans="1:10">
      <c r="A278" s="1" t="s">
        <v>300</v>
      </c>
      <c r="B278" s="1" t="str">
        <f t="shared" si="58"/>
        <v>NAC</v>
      </c>
      <c r="C278" s="85"/>
      <c r="D278" s="85">
        <v>0</v>
      </c>
      <c r="E278" s="85">
        <v>0</v>
      </c>
      <c r="F278" s="81">
        <v>0</v>
      </c>
      <c r="G278" s="81">
        <v>0</v>
      </c>
      <c r="H278" s="81">
        <v>1.9910000000000001</v>
      </c>
      <c r="I278" s="81">
        <v>1.746</v>
      </c>
      <c r="J278" s="81">
        <v>1.756</v>
      </c>
    </row>
    <row r="279" spans="1:10">
      <c r="A279" s="1" t="s">
        <v>301</v>
      </c>
      <c r="B279" s="1" t="str">
        <f t="shared" si="58"/>
        <v>NAC</v>
      </c>
      <c r="C279" s="85"/>
      <c r="D279" s="85">
        <v>0</v>
      </c>
      <c r="E279" s="85">
        <v>0</v>
      </c>
      <c r="F279" s="81">
        <v>0</v>
      </c>
      <c r="G279" s="81">
        <v>0</v>
      </c>
      <c r="H279" s="81">
        <v>0</v>
      </c>
      <c r="I279" s="81">
        <v>2.7</v>
      </c>
      <c r="J279" s="81">
        <v>2.7</v>
      </c>
    </row>
    <row r="280" spans="1:10">
      <c r="A280" s="1" t="s">
        <v>302</v>
      </c>
      <c r="B280" s="1" t="str">
        <f t="shared" si="58"/>
        <v>NAC</v>
      </c>
      <c r="C280" s="85"/>
      <c r="D280" s="85">
        <v>0</v>
      </c>
      <c r="E280" s="85">
        <v>0</v>
      </c>
      <c r="F280" s="81">
        <v>0</v>
      </c>
      <c r="G280" s="81">
        <v>0</v>
      </c>
      <c r="H280" s="81">
        <v>0</v>
      </c>
      <c r="I280" s="81">
        <v>0</v>
      </c>
      <c r="J280" s="81">
        <v>2.7</v>
      </c>
    </row>
    <row r="281" spans="1:10" ht="15">
      <c r="A281" s="26" t="s">
        <v>304</v>
      </c>
      <c r="C281" s="85"/>
      <c r="D281" s="88" t="str">
        <f t="shared" ref="D281:J281" si="59">IF(ROUND(D$21-SUM(D$275:D$280),3)=0,"OK","ERROR")</f>
        <v>OK</v>
      </c>
      <c r="E281" s="88" t="str">
        <f t="shared" si="59"/>
        <v>OK</v>
      </c>
      <c r="F281" s="89" t="str">
        <f t="shared" si="59"/>
        <v>OK</v>
      </c>
      <c r="G281" s="89" t="str">
        <f t="shared" si="59"/>
        <v>OK</v>
      </c>
      <c r="H281" s="89" t="str">
        <f t="shared" si="59"/>
        <v>OK</v>
      </c>
      <c r="I281" s="89" t="str">
        <f t="shared" si="59"/>
        <v>OK</v>
      </c>
      <c r="J281" s="89" t="str">
        <f t="shared" si="59"/>
        <v>OK</v>
      </c>
    </row>
    <row r="282" spans="1:10" ht="15">
      <c r="A282" s="26" t="s">
        <v>303</v>
      </c>
      <c r="C282" s="85"/>
      <c r="D282" s="81"/>
      <c r="E282" s="81"/>
      <c r="F282" s="81"/>
      <c r="G282" s="81"/>
      <c r="H282" s="81"/>
      <c r="I282" s="81"/>
      <c r="J282" s="81"/>
    </row>
    <row r="283" spans="1:10">
      <c r="A283" s="1" t="s">
        <v>298</v>
      </c>
      <c r="B283" s="1" t="str">
        <f>$B$10</f>
        <v>UIM</v>
      </c>
      <c r="C283" s="85"/>
      <c r="D283" s="85">
        <v>0</v>
      </c>
      <c r="E283" s="85">
        <v>0</v>
      </c>
      <c r="F283" s="81">
        <v>0</v>
      </c>
      <c r="G283" s="81">
        <v>2.0329999999999999</v>
      </c>
      <c r="H283" s="81">
        <v>2.0099999999999998</v>
      </c>
      <c r="I283" s="81">
        <v>1.583</v>
      </c>
      <c r="J283" s="81">
        <v>1.3839999999999999</v>
      </c>
    </row>
    <row r="284" spans="1:10">
      <c r="A284" s="1" t="s">
        <v>1052</v>
      </c>
      <c r="B284" s="1" t="str">
        <f>$B$10</f>
        <v>UIM</v>
      </c>
      <c r="C284" s="85"/>
      <c r="D284" s="85">
        <v>0</v>
      </c>
      <c r="E284" s="85">
        <v>0</v>
      </c>
      <c r="F284" s="81">
        <v>0</v>
      </c>
      <c r="G284" s="81">
        <v>0</v>
      </c>
      <c r="H284" s="81">
        <v>0.88500000000000001</v>
      </c>
      <c r="I284" s="81">
        <v>1.77</v>
      </c>
      <c r="J284" s="81">
        <v>2.2759999999999998</v>
      </c>
    </row>
    <row r="285" spans="1:10" ht="15">
      <c r="A285" s="26" t="s">
        <v>305</v>
      </c>
      <c r="C285" s="85"/>
      <c r="D285" s="88" t="str">
        <f>IF(ROUND(D$127-SUM($C$283:D$284),3)=0,"OK","ERROR")</f>
        <v>OK</v>
      </c>
      <c r="E285" s="88" t="str">
        <f>IF(ROUND(E$127-SUM($C$283:E$284),3)=0,"OK","ERROR")</f>
        <v>OK</v>
      </c>
      <c r="F285" s="89" t="str">
        <f>IF(ROUND(F$127-SUM($C$283:F$284),3)=0,"OK","ERROR")</f>
        <v>OK</v>
      </c>
      <c r="G285" s="89" t="str">
        <f>IF(ROUND(G$127-SUM($C$283:G$284),3)=0,"OK","ERROR")</f>
        <v>OK</v>
      </c>
      <c r="H285" s="89" t="str">
        <f>IF(ROUND(H$127-SUM($C$283:H$284),3)=0,"OK","ERROR")</f>
        <v>OK</v>
      </c>
      <c r="I285" s="89" t="str">
        <f>IF(ROUND(I$127-SUM($C$283:I$284),3)=0,"OK","ERROR")</f>
        <v>OK</v>
      </c>
      <c r="J285" s="89" t="str">
        <f>IF(ROUND(J$127-SUM($C$283:J$284),3)=0,"OK","ERROR")</f>
        <v>OK</v>
      </c>
    </row>
    <row r="286" spans="1:10" ht="15">
      <c r="A286" s="26" t="s">
        <v>319</v>
      </c>
      <c r="C286" s="85"/>
      <c r="D286" s="81"/>
      <c r="E286" s="81"/>
      <c r="F286" s="81"/>
      <c r="G286" s="81"/>
      <c r="H286" s="81"/>
      <c r="I286" s="81"/>
      <c r="J286" s="81"/>
    </row>
    <row r="287" spans="1:10">
      <c r="A287" s="1" t="s">
        <v>279</v>
      </c>
      <c r="B287" s="1" t="str">
        <f>$B$9</f>
        <v>NAC</v>
      </c>
      <c r="C287" s="85"/>
      <c r="D287" s="85">
        <v>3.472</v>
      </c>
      <c r="E287" s="85">
        <v>-2.7559999999999998</v>
      </c>
      <c r="F287" s="81">
        <v>4.7530000000000001</v>
      </c>
      <c r="G287" s="81">
        <v>2.8029999999999999</v>
      </c>
      <c r="H287" s="81">
        <v>3.9870000000000001</v>
      </c>
      <c r="I287" s="81">
        <v>4.3209999999999997</v>
      </c>
      <c r="J287" s="81">
        <v>4.6859999999999999</v>
      </c>
    </row>
    <row r="288" spans="1:10">
      <c r="A288" s="1" t="s">
        <v>256</v>
      </c>
      <c r="B288" s="1" t="str">
        <f>$B$10</f>
        <v>UIM</v>
      </c>
      <c r="C288" s="85"/>
      <c r="D288" s="85">
        <v>3.5529999999999999</v>
      </c>
      <c r="E288" s="85">
        <v>1.8129999999999999</v>
      </c>
      <c r="F288" s="81">
        <v>1.764</v>
      </c>
      <c r="G288" s="81">
        <v>0.26600000000000001</v>
      </c>
      <c r="H288" s="81">
        <v>0.38700000000000001</v>
      </c>
      <c r="I288" s="81">
        <v>0.54700000000000004</v>
      </c>
      <c r="J288" s="81">
        <v>0.73099999999999998</v>
      </c>
    </row>
    <row r="289" spans="1:10">
      <c r="A289" s="1" t="s">
        <v>320</v>
      </c>
      <c r="B289" s="1" t="str">
        <f>$B$10</f>
        <v>UIM</v>
      </c>
      <c r="C289" s="85"/>
      <c r="D289" s="85">
        <v>0.1</v>
      </c>
      <c r="E289" s="85">
        <v>-5.0000000000000001E-3</v>
      </c>
      <c r="F289" s="81">
        <v>0.22600000000000001</v>
      </c>
      <c r="G289" s="81">
        <v>-4.0000000000000001E-3</v>
      </c>
      <c r="H289" s="81">
        <v>1.9E-2</v>
      </c>
      <c r="I289" s="81">
        <v>1.9E-2</v>
      </c>
      <c r="J289" s="81">
        <v>1.9E-2</v>
      </c>
    </row>
    <row r="290" spans="1:10">
      <c r="A290" s="1" t="s">
        <v>258</v>
      </c>
      <c r="B290" s="1" t="str">
        <f>$B$9</f>
        <v>NAC</v>
      </c>
      <c r="C290" s="85"/>
      <c r="D290" s="85">
        <v>-2.681</v>
      </c>
      <c r="E290" s="85">
        <v>-0.40200000000000002</v>
      </c>
      <c r="F290" s="81">
        <v>1.4630000000000001</v>
      </c>
      <c r="G290" s="81">
        <v>-8.6999999999999994E-2</v>
      </c>
      <c r="H290" s="81">
        <v>-8.2000000000000003E-2</v>
      </c>
      <c r="I290" s="81">
        <v>-9.8000000000000004E-2</v>
      </c>
      <c r="J290" s="81">
        <v>-0.115</v>
      </c>
    </row>
    <row r="291" spans="1:10" ht="15">
      <c r="A291" s="26" t="s">
        <v>360</v>
      </c>
      <c r="C291" s="85"/>
      <c r="D291" s="88" t="str">
        <f t="shared" ref="D291:J291" si="60">IF(ROUND(SUM(D$24,D$25)-SUM(D$287:D$290),3)=0,"OK","ERROR")</f>
        <v>OK</v>
      </c>
      <c r="E291" s="88" t="str">
        <f t="shared" si="60"/>
        <v>OK</v>
      </c>
      <c r="F291" s="89" t="str">
        <f t="shared" si="60"/>
        <v>OK</v>
      </c>
      <c r="G291" s="89" t="str">
        <f t="shared" si="60"/>
        <v>OK</v>
      </c>
      <c r="H291" s="89" t="str">
        <f t="shared" si="60"/>
        <v>OK</v>
      </c>
      <c r="I291" s="89" t="str">
        <f t="shared" si="60"/>
        <v>OK</v>
      </c>
      <c r="J291" s="89" t="str">
        <f t="shared" si="60"/>
        <v>OK</v>
      </c>
    </row>
    <row r="292" spans="1:10" ht="15">
      <c r="A292" s="26" t="s">
        <v>321</v>
      </c>
      <c r="C292" s="85"/>
      <c r="D292" s="92"/>
      <c r="E292" s="92"/>
      <c r="F292" s="92"/>
      <c r="G292" s="92"/>
      <c r="H292" s="92"/>
      <c r="I292" s="92"/>
      <c r="J292" s="92"/>
    </row>
    <row r="293" spans="1:10">
      <c r="A293" s="1" t="s">
        <v>279</v>
      </c>
      <c r="B293" s="1" t="str">
        <f>$B$9</f>
        <v>NAC</v>
      </c>
      <c r="C293" s="85"/>
      <c r="D293" s="85">
        <v>-0.28399999999999997</v>
      </c>
      <c r="E293" s="85">
        <v>-1.1759999999999999</v>
      </c>
      <c r="F293" s="81">
        <v>-0.52700000000000002</v>
      </c>
      <c r="G293" s="81">
        <v>-1E-3</v>
      </c>
      <c r="H293" s="81">
        <v>-1E-3</v>
      </c>
      <c r="I293" s="81">
        <v>0</v>
      </c>
      <c r="J293" s="81">
        <v>0</v>
      </c>
    </row>
    <row r="294" spans="1:10">
      <c r="A294" s="1" t="s">
        <v>256</v>
      </c>
      <c r="B294" s="1" t="str">
        <f>$B$10</f>
        <v>UIM</v>
      </c>
      <c r="C294" s="85"/>
      <c r="D294" s="85">
        <v>-11.445</v>
      </c>
      <c r="E294" s="85">
        <v>-6.133</v>
      </c>
      <c r="F294" s="81">
        <v>9.3260000000000005</v>
      </c>
      <c r="G294" s="81">
        <v>-0.14299999999999999</v>
      </c>
      <c r="H294" s="81">
        <v>-6.2E-2</v>
      </c>
      <c r="I294" s="81">
        <v>-6.8000000000000005E-2</v>
      </c>
      <c r="J294" s="81">
        <v>-6.8000000000000005E-2</v>
      </c>
    </row>
    <row r="295" spans="1:10">
      <c r="A295" s="1" t="s">
        <v>320</v>
      </c>
      <c r="B295" s="1" t="str">
        <f>$B$10</f>
        <v>UIM</v>
      </c>
      <c r="C295" s="85"/>
      <c r="D295" s="85">
        <v>0.154</v>
      </c>
      <c r="E295" s="85">
        <v>-6.4000000000000001E-2</v>
      </c>
      <c r="F295" s="81">
        <v>3.7999999999999999E-2</v>
      </c>
      <c r="G295" s="81">
        <v>8.9999999999999993E-3</v>
      </c>
      <c r="H295" s="81">
        <v>0</v>
      </c>
      <c r="I295" s="81">
        <v>0</v>
      </c>
      <c r="J295" s="81">
        <v>0</v>
      </c>
    </row>
    <row r="296" spans="1:10">
      <c r="A296" s="1" t="s">
        <v>258</v>
      </c>
      <c r="B296" s="1" t="str">
        <f>$B$9</f>
        <v>NAC</v>
      </c>
      <c r="C296" s="85"/>
      <c r="D296" s="85">
        <v>0</v>
      </c>
      <c r="E296" s="85">
        <v>1E-3</v>
      </c>
      <c r="F296" s="81">
        <v>0</v>
      </c>
      <c r="G296" s="81">
        <v>0</v>
      </c>
      <c r="H296" s="81">
        <v>0</v>
      </c>
      <c r="I296" s="81">
        <v>0</v>
      </c>
      <c r="J296" s="81">
        <v>0</v>
      </c>
    </row>
    <row r="297" spans="1:10" ht="15">
      <c r="A297" s="26" t="s">
        <v>361</v>
      </c>
      <c r="C297" s="85"/>
      <c r="D297" s="88" t="str">
        <f t="shared" ref="D297:J297" si="61">IF(ROUND(D$26-SUM(D$293:D$296),3)=0,"OK","ERROR")</f>
        <v>OK</v>
      </c>
      <c r="E297" s="88" t="str">
        <f t="shared" si="61"/>
        <v>OK</v>
      </c>
      <c r="F297" s="89" t="str">
        <f t="shared" si="61"/>
        <v>OK</v>
      </c>
      <c r="G297" s="89" t="str">
        <f t="shared" si="61"/>
        <v>OK</v>
      </c>
      <c r="H297" s="89" t="str">
        <f t="shared" si="61"/>
        <v>OK</v>
      </c>
      <c r="I297" s="89" t="str">
        <f t="shared" si="61"/>
        <v>OK</v>
      </c>
      <c r="J297" s="89" t="str">
        <f t="shared" si="61"/>
        <v>OK</v>
      </c>
    </row>
    <row r="298" spans="1:10" ht="15">
      <c r="A298" s="26" t="s">
        <v>560</v>
      </c>
      <c r="C298" s="85"/>
      <c r="D298" s="92"/>
      <c r="E298" s="92"/>
      <c r="F298" s="92"/>
      <c r="G298" s="92"/>
      <c r="H298" s="92"/>
      <c r="I298" s="92"/>
      <c r="J298" s="92"/>
    </row>
    <row r="299" spans="1:10">
      <c r="A299" s="1" t="s">
        <v>279</v>
      </c>
      <c r="B299" s="1" t="str">
        <f>$B$9</f>
        <v>NAC</v>
      </c>
      <c r="C299" s="85"/>
      <c r="D299" s="85">
        <v>9.7070000000000007</v>
      </c>
      <c r="E299" s="85">
        <v>-20.882999999999999</v>
      </c>
      <c r="F299" s="81">
        <v>-8.5649999999999995</v>
      </c>
      <c r="G299" s="81">
        <v>-12.119</v>
      </c>
      <c r="H299" s="81">
        <v>-2.4940000000000002</v>
      </c>
      <c r="I299" s="81">
        <v>1.419</v>
      </c>
      <c r="J299" s="81">
        <v>4.9000000000000004</v>
      </c>
    </row>
    <row r="300" spans="1:10">
      <c r="A300" s="1" t="s">
        <v>256</v>
      </c>
      <c r="B300" s="1" t="str">
        <f>$B$9</f>
        <v>NAC</v>
      </c>
      <c r="C300" s="85"/>
      <c r="D300" s="85">
        <v>-9.1809999999999992</v>
      </c>
      <c r="E300" s="85">
        <v>-7.1959999999999997</v>
      </c>
      <c r="F300" s="81">
        <v>7.8289999999999997</v>
      </c>
      <c r="G300" s="81">
        <v>-2.7989999999999999</v>
      </c>
      <c r="H300" s="81">
        <v>-2.181</v>
      </c>
      <c r="I300" s="81">
        <v>-1.9630000000000001</v>
      </c>
      <c r="J300" s="81">
        <v>-1.6859999999999999</v>
      </c>
    </row>
    <row r="301" spans="1:10">
      <c r="A301" s="1" t="s">
        <v>320</v>
      </c>
      <c r="B301" s="1" t="str">
        <f>$B$9</f>
        <v>NAC</v>
      </c>
      <c r="C301" s="85"/>
      <c r="D301" s="85">
        <v>3.363</v>
      </c>
      <c r="E301" s="85">
        <v>-0.34100000000000003</v>
      </c>
      <c r="F301" s="81">
        <v>0.18099999999999999</v>
      </c>
      <c r="G301" s="81">
        <v>0.17799999999999999</v>
      </c>
      <c r="H301" s="81">
        <v>0.38500000000000001</v>
      </c>
      <c r="I301" s="81">
        <v>0.308</v>
      </c>
      <c r="J301" s="81">
        <v>0.442</v>
      </c>
    </row>
    <row r="302" spans="1:10">
      <c r="A302" s="1" t="s">
        <v>258</v>
      </c>
      <c r="B302" s="1" t="str">
        <f>$B$9</f>
        <v>NAC</v>
      </c>
      <c r="C302" s="85"/>
      <c r="D302" s="85">
        <v>-3.5</v>
      </c>
      <c r="E302" s="85">
        <v>-1.62</v>
      </c>
      <c r="F302" s="81">
        <v>1.829</v>
      </c>
      <c r="G302" s="81">
        <v>-0.90800000000000003</v>
      </c>
      <c r="H302" s="81">
        <v>-0.95499999999999996</v>
      </c>
      <c r="I302" s="81">
        <v>-0.64500000000000002</v>
      </c>
      <c r="J302" s="81">
        <v>-0.61099999999999999</v>
      </c>
    </row>
    <row r="303" spans="1:10" ht="15">
      <c r="A303" s="26" t="s">
        <v>938</v>
      </c>
      <c r="C303" s="85"/>
      <c r="D303" s="88" t="str">
        <f t="shared" ref="D303:J303" si="62">IF(ROUND(D$30-SUM(D$299:D$302),3)=0,"OK","ERROR")</f>
        <v>OK</v>
      </c>
      <c r="E303" s="88" t="str">
        <f t="shared" si="62"/>
        <v>OK</v>
      </c>
      <c r="F303" s="89" t="str">
        <f t="shared" si="62"/>
        <v>OK</v>
      </c>
      <c r="G303" s="89" t="str">
        <f t="shared" si="62"/>
        <v>OK</v>
      </c>
      <c r="H303" s="89" t="str">
        <f t="shared" si="62"/>
        <v>OK</v>
      </c>
      <c r="I303" s="89" t="str">
        <f t="shared" si="62"/>
        <v>OK</v>
      </c>
      <c r="J303" s="89" t="str">
        <f t="shared" si="62"/>
        <v>OK</v>
      </c>
    </row>
    <row r="304" spans="1:10" ht="15">
      <c r="A304" s="26" t="s">
        <v>363</v>
      </c>
      <c r="C304" s="85"/>
      <c r="D304" s="81"/>
      <c r="E304" s="81"/>
      <c r="F304" s="81"/>
      <c r="G304" s="81"/>
      <c r="H304" s="81"/>
      <c r="I304" s="81"/>
      <c r="J304" s="81"/>
    </row>
    <row r="305" spans="1:10">
      <c r="A305" s="1" t="s">
        <v>322</v>
      </c>
      <c r="B305" s="1" t="str">
        <f>$B$10</f>
        <v>UIM</v>
      </c>
      <c r="C305" s="85"/>
      <c r="D305" s="85">
        <v>13.763999999999999</v>
      </c>
      <c r="E305" s="85">
        <v>14.29</v>
      </c>
      <c r="F305" s="81">
        <v>14.612</v>
      </c>
      <c r="G305" s="81">
        <v>13.942</v>
      </c>
      <c r="H305" s="81">
        <v>14.606999999999999</v>
      </c>
      <c r="I305" s="81">
        <v>14.678000000000001</v>
      </c>
      <c r="J305" s="81">
        <v>14.933</v>
      </c>
    </row>
    <row r="306" spans="1:10">
      <c r="A306" s="1" t="s">
        <v>323</v>
      </c>
      <c r="B306" s="1" t="str">
        <f>$B$9</f>
        <v>NAC</v>
      </c>
      <c r="C306" s="85"/>
      <c r="D306" s="85">
        <v>9.5630000000000006</v>
      </c>
      <c r="E306" s="85">
        <v>10.452999999999999</v>
      </c>
      <c r="F306" s="81">
        <v>10.388999999999999</v>
      </c>
      <c r="G306" s="81">
        <v>10.718</v>
      </c>
      <c r="H306" s="81">
        <v>11.122999999999999</v>
      </c>
      <c r="I306" s="81">
        <v>11.917</v>
      </c>
      <c r="J306" s="81">
        <v>12.646000000000001</v>
      </c>
    </row>
    <row r="307" spans="1:10" ht="15">
      <c r="A307" s="26" t="s">
        <v>362</v>
      </c>
      <c r="C307" s="85"/>
      <c r="D307" s="88" t="str">
        <f t="shared" ref="D307:J307" si="63">IF(ROUND(D$117-SUM(D$305:D$306),3)=0,"OK","ERROR")</f>
        <v>OK</v>
      </c>
      <c r="E307" s="88" t="str">
        <f t="shared" si="63"/>
        <v>OK</v>
      </c>
      <c r="F307" s="89" t="str">
        <f t="shared" si="63"/>
        <v>OK</v>
      </c>
      <c r="G307" s="89" t="str">
        <f t="shared" si="63"/>
        <v>OK</v>
      </c>
      <c r="H307" s="89" t="str">
        <f t="shared" si="63"/>
        <v>OK</v>
      </c>
      <c r="I307" s="89" t="str">
        <f t="shared" si="63"/>
        <v>OK</v>
      </c>
      <c r="J307" s="89" t="str">
        <f t="shared" si="63"/>
        <v>OK</v>
      </c>
    </row>
    <row r="308" spans="1:10" ht="15">
      <c r="A308" s="26" t="s">
        <v>364</v>
      </c>
      <c r="C308" s="85"/>
      <c r="D308" s="92"/>
      <c r="E308" s="92"/>
      <c r="F308" s="92"/>
      <c r="G308" s="92"/>
      <c r="H308" s="92"/>
      <c r="I308" s="92"/>
      <c r="J308" s="92"/>
    </row>
    <row r="309" spans="1:10" ht="15">
      <c r="A309" s="1" t="s">
        <v>325</v>
      </c>
      <c r="B309" s="1" t="str">
        <f>$B$9</f>
        <v>NAC</v>
      </c>
      <c r="C309" s="86">
        <v>9.9290000000000003</v>
      </c>
      <c r="D309" s="85">
        <v>10.731</v>
      </c>
      <c r="E309" s="85">
        <v>10.395</v>
      </c>
      <c r="F309" s="81">
        <v>10.833</v>
      </c>
      <c r="G309" s="81">
        <v>10.615</v>
      </c>
      <c r="H309" s="81">
        <v>10.369</v>
      </c>
      <c r="I309" s="81">
        <v>10.081</v>
      </c>
      <c r="J309" s="81">
        <v>9.7490000000000006</v>
      </c>
    </row>
    <row r="310" spans="1:10">
      <c r="A310" s="1" t="s">
        <v>324</v>
      </c>
      <c r="B310" s="1" t="str">
        <f>$B$10</f>
        <v>UIM</v>
      </c>
      <c r="C310" s="85"/>
      <c r="D310" s="85">
        <v>20.411000000000001</v>
      </c>
      <c r="E310" s="85">
        <v>22.189</v>
      </c>
      <c r="F310" s="81">
        <v>24.614999999999998</v>
      </c>
      <c r="G310" s="81">
        <v>26.8</v>
      </c>
      <c r="H310" s="81">
        <v>29.242000000000001</v>
      </c>
      <c r="I310" s="81">
        <v>31.914999999999999</v>
      </c>
      <c r="J310" s="81">
        <v>34.826999999999998</v>
      </c>
    </row>
    <row r="311" spans="1:10" ht="15">
      <c r="A311" s="26" t="s">
        <v>325</v>
      </c>
      <c r="C311" s="85"/>
      <c r="D311" s="81"/>
      <c r="E311" s="81"/>
      <c r="F311" s="81"/>
      <c r="G311" s="81"/>
      <c r="H311" s="81"/>
      <c r="I311" s="81"/>
      <c r="J311" s="81"/>
    </row>
    <row r="312" spans="1:10">
      <c r="A312" s="1" t="s">
        <v>1316</v>
      </c>
      <c r="B312" s="1" t="str">
        <f t="shared" ref="B312:B317" si="64">$B$10</f>
        <v>UIM</v>
      </c>
      <c r="C312" s="85"/>
      <c r="D312" s="85">
        <v>1.361</v>
      </c>
      <c r="E312" s="85">
        <v>1.413</v>
      </c>
      <c r="F312" s="81">
        <v>1.4530000000000001</v>
      </c>
      <c r="G312" s="81">
        <v>1.5760000000000001</v>
      </c>
      <c r="H312" s="81">
        <v>1.6</v>
      </c>
      <c r="I312" s="81">
        <v>1.5940000000000001</v>
      </c>
      <c r="J312" s="81">
        <v>1.619</v>
      </c>
    </row>
    <row r="313" spans="1:10">
      <c r="A313" s="1" t="s">
        <v>1317</v>
      </c>
      <c r="B313" s="1" t="str">
        <f t="shared" si="64"/>
        <v>UIM</v>
      </c>
      <c r="C313" s="85"/>
      <c r="D313" s="85">
        <v>3.5999999999999997E-2</v>
      </c>
      <c r="E313" s="85">
        <v>3.5999999999999997E-2</v>
      </c>
      <c r="F313" s="81">
        <v>3.6999999999999998E-2</v>
      </c>
      <c r="G313" s="81">
        <v>3.5000000000000003E-2</v>
      </c>
      <c r="H313" s="81">
        <v>3.5000000000000003E-2</v>
      </c>
      <c r="I313" s="81">
        <v>3.5000000000000003E-2</v>
      </c>
      <c r="J313" s="81">
        <v>3.5000000000000003E-2</v>
      </c>
    </row>
    <row r="314" spans="1:10">
      <c r="A314" s="1" t="s">
        <v>326</v>
      </c>
      <c r="B314" s="1" t="str">
        <f t="shared" si="64"/>
        <v>UIM</v>
      </c>
      <c r="C314" s="85"/>
      <c r="D314" s="85">
        <v>0.56299999999999994</v>
      </c>
      <c r="E314" s="85">
        <v>0.50600000000000001</v>
      </c>
      <c r="F314" s="81">
        <v>0.47599999999999998</v>
      </c>
      <c r="G314" s="81">
        <v>0.51500000000000001</v>
      </c>
      <c r="H314" s="81">
        <v>0.53900000000000003</v>
      </c>
      <c r="I314" s="81">
        <v>0.55300000000000005</v>
      </c>
      <c r="J314" s="81">
        <v>0.58799999999999997</v>
      </c>
    </row>
    <row r="315" spans="1:10">
      <c r="A315" s="1" t="s">
        <v>1230</v>
      </c>
      <c r="B315" s="1" t="str">
        <f t="shared" si="64"/>
        <v>UIM</v>
      </c>
      <c r="C315" s="85"/>
      <c r="D315" s="85">
        <v>1.371</v>
      </c>
      <c r="E315" s="85">
        <v>1.4770000000000001</v>
      </c>
      <c r="F315" s="81">
        <v>1.4530000000000001</v>
      </c>
      <c r="G315" s="81">
        <v>1.508</v>
      </c>
      <c r="H315" s="81">
        <v>1.54</v>
      </c>
      <c r="I315" s="81">
        <v>1.577</v>
      </c>
      <c r="J315" s="81">
        <v>1.6339999999999999</v>
      </c>
    </row>
    <row r="316" spans="1:10">
      <c r="A316" s="1" t="s">
        <v>78</v>
      </c>
      <c r="B316" s="1" t="str">
        <f t="shared" si="64"/>
        <v>UIM</v>
      </c>
      <c r="C316" s="85"/>
      <c r="D316" s="85">
        <v>0.39400000000000002</v>
      </c>
      <c r="E316" s="85">
        <v>0.33100000000000002</v>
      </c>
      <c r="F316" s="81">
        <v>0.23400000000000001</v>
      </c>
      <c r="G316" s="81">
        <v>0.19400000000000001</v>
      </c>
      <c r="H316" s="81">
        <v>0.19800000000000001</v>
      </c>
      <c r="I316" s="81">
        <v>0.21299999999999999</v>
      </c>
      <c r="J316" s="81">
        <v>0.23599999999999999</v>
      </c>
    </row>
    <row r="317" spans="1:10">
      <c r="A317" s="1" t="s">
        <v>1050</v>
      </c>
      <c r="B317" s="1" t="str">
        <f t="shared" si="64"/>
        <v>UIM</v>
      </c>
      <c r="C317" s="85"/>
      <c r="D317" s="85">
        <v>0.94499999999999995</v>
      </c>
      <c r="E317" s="85">
        <v>-0.13300000000000001</v>
      </c>
      <c r="F317" s="81">
        <v>0.64300000000000002</v>
      </c>
      <c r="G317" s="81">
        <v>0</v>
      </c>
      <c r="H317" s="81">
        <v>0</v>
      </c>
      <c r="I317" s="81">
        <v>0</v>
      </c>
      <c r="J317" s="81">
        <v>0</v>
      </c>
    </row>
    <row r="318" spans="1:10" s="167" customFormat="1" ht="15">
      <c r="A318" s="167" t="s">
        <v>436</v>
      </c>
      <c r="C318" s="86">
        <v>9.9290000000000003</v>
      </c>
      <c r="D318" s="210">
        <f>SUM(C$318,D$312,D$313,-D$314,-D$315,D$316,D$317)</f>
        <v>10.731</v>
      </c>
      <c r="E318" s="210">
        <f t="shared" ref="E318:J318" si="65">SUM(D$318,E$312,E$313,-E$314,-E$315,E$316,E$317)</f>
        <v>10.395</v>
      </c>
      <c r="F318" s="210">
        <f t="shared" si="65"/>
        <v>10.833</v>
      </c>
      <c r="G318" s="210">
        <f t="shared" si="65"/>
        <v>10.615</v>
      </c>
      <c r="H318" s="210">
        <f t="shared" si="65"/>
        <v>10.369</v>
      </c>
      <c r="I318" s="210">
        <f t="shared" si="65"/>
        <v>10.080999999999998</v>
      </c>
      <c r="J318" s="210">
        <f t="shared" si="65"/>
        <v>9.7489999999999988</v>
      </c>
    </row>
    <row r="319" spans="1:10" ht="15">
      <c r="A319" s="26" t="s">
        <v>365</v>
      </c>
      <c r="C319" s="85"/>
      <c r="D319" s="88" t="str">
        <f>IF(ROUND(D$309-D$318,3)=0,"OK","ERROR")</f>
        <v>OK</v>
      </c>
      <c r="E319" s="88" t="str">
        <f t="shared" ref="E319:J319" si="66">IF(ROUND(E$309-E$318,3)=0,"OK","ERROR")</f>
        <v>OK</v>
      </c>
      <c r="F319" s="89" t="str">
        <f t="shared" si="66"/>
        <v>OK</v>
      </c>
      <c r="G319" s="89" t="str">
        <f t="shared" si="66"/>
        <v>OK</v>
      </c>
      <c r="H319" s="89" t="str">
        <f t="shared" si="66"/>
        <v>OK</v>
      </c>
      <c r="I319" s="89" t="str">
        <f t="shared" si="66"/>
        <v>OK</v>
      </c>
      <c r="J319" s="89" t="str">
        <f t="shared" si="66"/>
        <v>OK</v>
      </c>
    </row>
    <row r="320" spans="1:10" ht="15">
      <c r="A320" s="26" t="s">
        <v>367</v>
      </c>
      <c r="C320" s="85"/>
      <c r="D320" s="81"/>
      <c r="E320" s="81"/>
      <c r="F320" s="81"/>
      <c r="G320" s="81"/>
      <c r="H320" s="81"/>
      <c r="I320" s="81"/>
      <c r="J320" s="81"/>
    </row>
    <row r="321" spans="1:10">
      <c r="A321" s="1" t="s">
        <v>256</v>
      </c>
      <c r="B321" s="1" t="str">
        <f>$B$10</f>
        <v>UIM</v>
      </c>
      <c r="C321" s="85"/>
      <c r="D321" s="85">
        <v>93.730999999999995</v>
      </c>
      <c r="E321" s="85">
        <v>101.509</v>
      </c>
      <c r="F321" s="81">
        <v>106.19</v>
      </c>
      <c r="G321" s="81">
        <v>112.893</v>
      </c>
      <c r="H321" s="81">
        <v>116.98699999999999</v>
      </c>
      <c r="I321" s="81">
        <v>120.504</v>
      </c>
      <c r="J321" s="81">
        <v>124.172</v>
      </c>
    </row>
    <row r="322" spans="1:10">
      <c r="A322" s="1" t="s">
        <v>320</v>
      </c>
      <c r="B322" s="1" t="str">
        <f>$B$10</f>
        <v>UIM</v>
      </c>
      <c r="C322" s="85"/>
      <c r="D322" s="85">
        <v>40.21</v>
      </c>
      <c r="E322" s="85">
        <v>39.828000000000003</v>
      </c>
      <c r="F322" s="81">
        <v>39.155999999999999</v>
      </c>
      <c r="G322" s="81">
        <v>39.694000000000003</v>
      </c>
      <c r="H322" s="81">
        <v>40.587000000000003</v>
      </c>
      <c r="I322" s="81">
        <v>41.31</v>
      </c>
      <c r="J322" s="81">
        <v>41.366999999999997</v>
      </c>
    </row>
    <row r="323" spans="1:10">
      <c r="A323" s="1" t="s">
        <v>258</v>
      </c>
      <c r="B323" s="1" t="str">
        <f>$B$10</f>
        <v>UIM</v>
      </c>
      <c r="C323" s="85"/>
      <c r="D323" s="85">
        <v>0</v>
      </c>
      <c r="E323" s="85">
        <v>-2E-3</v>
      </c>
      <c r="F323" s="81">
        <v>0</v>
      </c>
      <c r="G323" s="81">
        <v>0</v>
      </c>
      <c r="H323" s="81">
        <v>0</v>
      </c>
      <c r="I323" s="81">
        <v>0</v>
      </c>
      <c r="J323" s="81">
        <v>0</v>
      </c>
    </row>
    <row r="324" spans="1:10" ht="15">
      <c r="A324" s="26" t="s">
        <v>366</v>
      </c>
      <c r="C324" s="85"/>
      <c r="D324" s="88" t="str">
        <f t="shared" ref="D324:J324" si="67">IF(ROUND(D$124-SUM(D$177,D$321:D$323),3)=0,"OK","ERROR")</f>
        <v>OK</v>
      </c>
      <c r="E324" s="88" t="str">
        <f t="shared" si="67"/>
        <v>OK</v>
      </c>
      <c r="F324" s="89" t="str">
        <f t="shared" si="67"/>
        <v>OK</v>
      </c>
      <c r="G324" s="89" t="str">
        <f t="shared" si="67"/>
        <v>OK</v>
      </c>
      <c r="H324" s="89" t="str">
        <f t="shared" si="67"/>
        <v>OK</v>
      </c>
      <c r="I324" s="89" t="str">
        <f t="shared" si="67"/>
        <v>OK</v>
      </c>
      <c r="J324" s="89" t="str">
        <f t="shared" si="67"/>
        <v>OK</v>
      </c>
    </row>
    <row r="325" spans="1:10" ht="15">
      <c r="A325" s="26" t="s">
        <v>327</v>
      </c>
      <c r="C325" s="85"/>
      <c r="D325" s="81"/>
      <c r="E325" s="81"/>
      <c r="F325" s="81"/>
      <c r="G325" s="81"/>
      <c r="H325" s="81"/>
      <c r="I325" s="81"/>
      <c r="J325" s="81"/>
    </row>
    <row r="326" spans="1:10">
      <c r="A326" s="1" t="s">
        <v>328</v>
      </c>
      <c r="B326" s="1" t="str">
        <f>$B$10</f>
        <v>UIM</v>
      </c>
      <c r="C326" s="85"/>
      <c r="D326" s="85">
        <v>9.4619999999999997</v>
      </c>
      <c r="E326" s="85">
        <v>9.5679999999999996</v>
      </c>
      <c r="F326" s="81">
        <v>11.481</v>
      </c>
      <c r="G326" s="81">
        <v>16.094000000000001</v>
      </c>
      <c r="H326" s="81">
        <v>13.513999999999999</v>
      </c>
      <c r="I326" s="81">
        <v>11.81</v>
      </c>
      <c r="J326" s="81">
        <v>10.221</v>
      </c>
    </row>
    <row r="327" spans="1:10">
      <c r="A327" s="1" t="s">
        <v>329</v>
      </c>
      <c r="B327" s="1" t="str">
        <f>$B$10</f>
        <v>UIM</v>
      </c>
      <c r="C327" s="85"/>
      <c r="D327" s="85">
        <v>-1.157</v>
      </c>
      <c r="E327" s="85">
        <v>-1.202</v>
      </c>
      <c r="F327" s="81">
        <v>-0.86099999999999999</v>
      </c>
      <c r="G327" s="81">
        <v>-1.0620000000000001</v>
      </c>
      <c r="H327" s="81">
        <v>-1.1879999999999999</v>
      </c>
      <c r="I327" s="81">
        <v>-0.44800000000000001</v>
      </c>
      <c r="J327" s="81">
        <v>-0.50800000000000001</v>
      </c>
    </row>
    <row r="328" spans="1:10">
      <c r="A328" s="1" t="s">
        <v>330</v>
      </c>
      <c r="B328" s="1" t="str">
        <f>$B$10</f>
        <v>UIM</v>
      </c>
      <c r="C328" s="85"/>
      <c r="D328" s="85">
        <v>9.6240000000000006</v>
      </c>
      <c r="E328" s="85">
        <v>2.4769999999999999</v>
      </c>
      <c r="F328" s="81">
        <v>-0.443</v>
      </c>
      <c r="G328" s="81">
        <v>0</v>
      </c>
      <c r="H328" s="81">
        <v>0</v>
      </c>
      <c r="I328" s="81">
        <v>0</v>
      </c>
      <c r="J328" s="81">
        <v>0</v>
      </c>
    </row>
    <row r="329" spans="1:10">
      <c r="A329" s="1" t="s">
        <v>331</v>
      </c>
      <c r="B329" s="1" t="str">
        <f>$B$10</f>
        <v>UIM</v>
      </c>
      <c r="C329" s="85"/>
      <c r="D329" s="85">
        <v>-0.14000000000000001</v>
      </c>
      <c r="E329" s="85">
        <v>2.0379999999999998</v>
      </c>
      <c r="F329" s="81">
        <v>6.7000000000000004E-2</v>
      </c>
      <c r="G329" s="81">
        <v>-8.2000000000000003E-2</v>
      </c>
      <c r="H329" s="81">
        <v>-7.0000000000000001E-3</v>
      </c>
      <c r="I329" s="81">
        <v>-4.7E-2</v>
      </c>
      <c r="J329" s="81">
        <v>1.7000000000000001E-2</v>
      </c>
    </row>
    <row r="330" spans="1:10" ht="15">
      <c r="A330" s="26" t="s">
        <v>332</v>
      </c>
      <c r="B330" s="1" t="str">
        <f>$B$9</f>
        <v>NAC</v>
      </c>
      <c r="C330" s="86">
        <v>175.01900000000001</v>
      </c>
      <c r="D330" s="210">
        <f>SUM(C$330,D$326:D$329)</f>
        <v>192.80799999999999</v>
      </c>
      <c r="E330" s="210">
        <f t="shared" ref="E330:J330" si="68">SUM(D$330,E$326:E$329)</f>
        <v>205.68900000000002</v>
      </c>
      <c r="F330" s="210">
        <f t="shared" si="68"/>
        <v>215.93300000000002</v>
      </c>
      <c r="G330" s="210">
        <f t="shared" si="68"/>
        <v>230.88300000000001</v>
      </c>
      <c r="H330" s="210">
        <f t="shared" si="68"/>
        <v>243.20200000000003</v>
      </c>
      <c r="I330" s="210">
        <f t="shared" si="68"/>
        <v>254.51700000000002</v>
      </c>
      <c r="J330" s="210">
        <f t="shared" si="68"/>
        <v>264.24700000000001</v>
      </c>
    </row>
    <row r="331" spans="1:10">
      <c r="A331" s="1" t="s">
        <v>333</v>
      </c>
      <c r="B331" s="1" t="str">
        <f>$B$10</f>
        <v>UIM</v>
      </c>
      <c r="C331" s="85"/>
      <c r="D331" s="85">
        <v>-0.78900000000000003</v>
      </c>
      <c r="E331" s="85">
        <v>-0.68600000000000005</v>
      </c>
      <c r="F331" s="81">
        <v>-0.23899999999999999</v>
      </c>
      <c r="G331" s="81">
        <v>-0.252</v>
      </c>
      <c r="H331" s="81">
        <v>-0.20399999999999999</v>
      </c>
      <c r="I331" s="81">
        <v>-0.22500000000000001</v>
      </c>
      <c r="J331" s="81">
        <v>-0.20200000000000001</v>
      </c>
    </row>
    <row r="332" spans="1:10">
      <c r="A332" s="1" t="s">
        <v>334</v>
      </c>
      <c r="B332" s="1" t="str">
        <f>$B$10</f>
        <v>UIM</v>
      </c>
      <c r="C332" s="85"/>
      <c r="D332" s="85">
        <v>-2.452</v>
      </c>
      <c r="E332" s="85">
        <v>-2.0859999999999999</v>
      </c>
      <c r="F332" s="81">
        <v>-0.192</v>
      </c>
      <c r="G332" s="81">
        <v>0</v>
      </c>
      <c r="H332" s="81">
        <v>0</v>
      </c>
      <c r="I332" s="81">
        <v>0</v>
      </c>
      <c r="J332" s="81">
        <v>0</v>
      </c>
    </row>
    <row r="333" spans="1:10">
      <c r="A333" s="1" t="s">
        <v>335</v>
      </c>
      <c r="B333" s="1" t="str">
        <f>$B$10</f>
        <v>UIM</v>
      </c>
      <c r="C333" s="85"/>
      <c r="D333" s="85">
        <v>-2.516</v>
      </c>
      <c r="E333" s="85">
        <v>1.1930000000000001</v>
      </c>
      <c r="F333" s="81">
        <v>0</v>
      </c>
      <c r="G333" s="81">
        <v>0</v>
      </c>
      <c r="H333" s="81">
        <v>0</v>
      </c>
      <c r="I333" s="81">
        <v>0</v>
      </c>
      <c r="J333" s="81">
        <v>0</v>
      </c>
    </row>
    <row r="334" spans="1:10">
      <c r="A334" s="1" t="s">
        <v>336</v>
      </c>
      <c r="B334" s="1" t="str">
        <f>$B$10</f>
        <v>UIM</v>
      </c>
      <c r="C334" s="85"/>
      <c r="D334" s="85">
        <v>4.5540000000000003</v>
      </c>
      <c r="E334" s="85">
        <v>5.2939999999999996</v>
      </c>
      <c r="F334" s="81">
        <v>5.6340000000000003</v>
      </c>
      <c r="G334" s="81">
        <v>5.7560000000000002</v>
      </c>
      <c r="H334" s="81">
        <v>5.944</v>
      </c>
      <c r="I334" s="81">
        <v>6.1120000000000001</v>
      </c>
      <c r="J334" s="81">
        <v>6.28</v>
      </c>
    </row>
    <row r="335" spans="1:10">
      <c r="A335" s="1" t="s">
        <v>331</v>
      </c>
      <c r="B335" s="1" t="str">
        <f>$B$10</f>
        <v>UIM</v>
      </c>
      <c r="C335" s="85"/>
      <c r="D335" s="85">
        <v>0.03</v>
      </c>
      <c r="E335" s="85">
        <v>0.28299999999999997</v>
      </c>
      <c r="F335" s="81">
        <v>-1.4E-2</v>
      </c>
      <c r="G335" s="81">
        <v>0</v>
      </c>
      <c r="H335" s="81">
        <v>0</v>
      </c>
      <c r="I335" s="81">
        <v>0</v>
      </c>
      <c r="J335" s="81">
        <v>0</v>
      </c>
    </row>
    <row r="336" spans="1:10" ht="15">
      <c r="A336" s="26" t="s">
        <v>337</v>
      </c>
      <c r="B336" s="1" t="str">
        <f>$B$9</f>
        <v>NAC</v>
      </c>
      <c r="C336" s="86">
        <v>16.361999999999998</v>
      </c>
      <c r="D336" s="210">
        <f>SUM(C$336,D$331:D$335)</f>
        <v>15.188999999999998</v>
      </c>
      <c r="E336" s="210">
        <f t="shared" ref="E336:J336" si="69">SUM(D$336,E$331:E$335)</f>
        <v>19.186999999999998</v>
      </c>
      <c r="F336" s="210">
        <f t="shared" si="69"/>
        <v>24.375999999999998</v>
      </c>
      <c r="G336" s="210">
        <f t="shared" si="69"/>
        <v>29.88</v>
      </c>
      <c r="H336" s="210">
        <f t="shared" si="69"/>
        <v>35.619999999999997</v>
      </c>
      <c r="I336" s="210">
        <f t="shared" si="69"/>
        <v>41.506999999999998</v>
      </c>
      <c r="J336" s="210">
        <f t="shared" si="69"/>
        <v>47.585000000000001</v>
      </c>
    </row>
    <row r="337" spans="1:10" ht="15">
      <c r="A337" s="26" t="s">
        <v>368</v>
      </c>
      <c r="C337" s="85"/>
      <c r="D337" s="130" t="str">
        <f>IF(ROUND(D$124-(D$330-D$336)-0.006,3)=0,"OK","ERROR")</f>
        <v>OK</v>
      </c>
      <c r="E337" s="88" t="str">
        <f t="shared" ref="E337:J337" si="70">IF(ROUND(E$124-(E$330-E$336),3)=0,"OK","ERROR")</f>
        <v>OK</v>
      </c>
      <c r="F337" s="89" t="str">
        <f t="shared" si="70"/>
        <v>OK</v>
      </c>
      <c r="G337" s="89" t="str">
        <f t="shared" si="70"/>
        <v>OK</v>
      </c>
      <c r="H337" s="89" t="str">
        <f t="shared" si="70"/>
        <v>OK</v>
      </c>
      <c r="I337" s="89" t="str">
        <f t="shared" si="70"/>
        <v>OK</v>
      </c>
      <c r="J337" s="89" t="str">
        <f t="shared" si="70"/>
        <v>OK</v>
      </c>
    </row>
    <row r="338" spans="1:10" ht="15">
      <c r="A338" s="26" t="s">
        <v>207</v>
      </c>
      <c r="C338" s="85"/>
      <c r="D338" s="81"/>
      <c r="E338" s="81"/>
      <c r="F338" s="81"/>
      <c r="G338" s="81"/>
      <c r="H338" s="81"/>
      <c r="I338" s="81"/>
      <c r="J338" s="81"/>
    </row>
    <row r="339" spans="1:10">
      <c r="A339" s="1" t="s">
        <v>256</v>
      </c>
      <c r="B339" s="1" t="str">
        <f>$B$10</f>
        <v>UIM</v>
      </c>
      <c r="C339" s="85"/>
      <c r="D339" s="85">
        <v>0.69299999999999995</v>
      </c>
      <c r="E339" s="85">
        <v>0.81599999999999995</v>
      </c>
      <c r="F339" s="81">
        <v>0.81499999999999995</v>
      </c>
      <c r="G339" s="81">
        <v>0.82599999999999996</v>
      </c>
      <c r="H339" s="81">
        <v>0.82099999999999995</v>
      </c>
      <c r="I339" s="81">
        <v>0.80800000000000005</v>
      </c>
      <c r="J339" s="81">
        <v>0.78900000000000003</v>
      </c>
    </row>
    <row r="340" spans="1:10">
      <c r="A340" s="1" t="s">
        <v>320</v>
      </c>
      <c r="B340" s="1" t="str">
        <f>$B$10</f>
        <v>UIM</v>
      </c>
      <c r="C340" s="85"/>
      <c r="D340" s="85">
        <v>1.5569999999999999</v>
      </c>
      <c r="E340" s="85">
        <v>1.526</v>
      </c>
      <c r="F340" s="81">
        <v>1.5669999999999999</v>
      </c>
      <c r="G340" s="81">
        <v>1.514</v>
      </c>
      <c r="H340" s="81">
        <v>1.5069999999999999</v>
      </c>
      <c r="I340" s="81">
        <v>1.482</v>
      </c>
      <c r="J340" s="81">
        <v>1.464</v>
      </c>
    </row>
    <row r="341" spans="1:10">
      <c r="A341" s="1" t="s">
        <v>258</v>
      </c>
      <c r="B341" s="1" t="str">
        <f>$B$10</f>
        <v>UIM</v>
      </c>
      <c r="C341" s="85"/>
      <c r="D341" s="85">
        <v>-0.02</v>
      </c>
      <c r="E341" s="85">
        <v>-0.02</v>
      </c>
      <c r="F341" s="81">
        <v>-0.02</v>
      </c>
      <c r="G341" s="81">
        <v>-0.02</v>
      </c>
      <c r="H341" s="81">
        <v>-1.9E-2</v>
      </c>
      <c r="I341" s="81">
        <v>-1.9E-2</v>
      </c>
      <c r="J341" s="81">
        <v>-2.1000000000000001E-2</v>
      </c>
    </row>
    <row r="342" spans="1:10" ht="15">
      <c r="A342" s="26" t="s">
        <v>369</v>
      </c>
      <c r="C342" s="85"/>
      <c r="D342" s="88" t="str">
        <f t="shared" ref="D342:J342" si="71">IF(ROUND(D$126-SUM(D$179,D$339:D$341),3)=0,"OK","ERROR")</f>
        <v>OK</v>
      </c>
      <c r="E342" s="88" t="str">
        <f t="shared" si="71"/>
        <v>OK</v>
      </c>
      <c r="F342" s="89" t="str">
        <f t="shared" si="71"/>
        <v>OK</v>
      </c>
      <c r="G342" s="89" t="str">
        <f t="shared" si="71"/>
        <v>OK</v>
      </c>
      <c r="H342" s="89" t="str">
        <f t="shared" si="71"/>
        <v>OK</v>
      </c>
      <c r="I342" s="89" t="str">
        <f t="shared" si="71"/>
        <v>OK</v>
      </c>
      <c r="J342" s="89" t="str">
        <f t="shared" si="71"/>
        <v>OK</v>
      </c>
    </row>
    <row r="343" spans="1:10" ht="15">
      <c r="A343" s="26" t="s">
        <v>1155</v>
      </c>
      <c r="C343" s="85"/>
      <c r="D343" s="81"/>
      <c r="E343" s="81"/>
      <c r="F343" s="81"/>
      <c r="G343" s="81"/>
      <c r="H343" s="81"/>
      <c r="I343" s="81"/>
      <c r="J343" s="81"/>
    </row>
    <row r="344" spans="1:10">
      <c r="A344" s="1" t="s">
        <v>338</v>
      </c>
      <c r="B344" s="1" t="str">
        <f t="shared" ref="B344:B349" si="72">$B$10</f>
        <v>UIM</v>
      </c>
      <c r="C344" s="85"/>
      <c r="D344" s="85">
        <v>0.98199999999999998</v>
      </c>
      <c r="E344" s="85">
        <v>0.80300000000000005</v>
      </c>
      <c r="F344" s="81">
        <v>0.69</v>
      </c>
      <c r="G344" s="81">
        <v>0.86399999999999999</v>
      </c>
      <c r="H344" s="81">
        <v>0.96699999999999997</v>
      </c>
      <c r="I344" s="81">
        <v>1.0529999999999999</v>
      </c>
      <c r="J344" s="81">
        <v>1.1519999999999999</v>
      </c>
    </row>
    <row r="345" spans="1:10">
      <c r="A345" s="1" t="s">
        <v>339</v>
      </c>
      <c r="B345" s="1" t="str">
        <f t="shared" si="72"/>
        <v>UIM</v>
      </c>
      <c r="C345" s="85"/>
      <c r="D345" s="85">
        <v>0.504</v>
      </c>
      <c r="E345" s="85">
        <v>0.44800000000000001</v>
      </c>
      <c r="F345" s="81">
        <v>2.2599999999999998</v>
      </c>
      <c r="G345" s="81">
        <v>0.99299999999999999</v>
      </c>
      <c r="H345" s="81">
        <v>1.1060000000000001</v>
      </c>
      <c r="I345" s="81">
        <v>1.1970000000000001</v>
      </c>
      <c r="J345" s="81">
        <v>1.3049999999999999</v>
      </c>
    </row>
    <row r="346" spans="1:10">
      <c r="A346" s="1" t="s">
        <v>340</v>
      </c>
      <c r="B346" s="1" t="str">
        <f t="shared" si="72"/>
        <v>UIM</v>
      </c>
      <c r="C346" s="85"/>
      <c r="D346" s="85">
        <v>0.13</v>
      </c>
      <c r="E346" s="85">
        <v>0.15</v>
      </c>
      <c r="F346" s="81">
        <v>0.125</v>
      </c>
      <c r="G346" s="81">
        <v>0.217</v>
      </c>
      <c r="H346" s="81">
        <v>0.23799999999999999</v>
      </c>
      <c r="I346" s="81">
        <v>0.254</v>
      </c>
      <c r="J346" s="81">
        <v>0.27200000000000002</v>
      </c>
    </row>
    <row r="347" spans="1:10">
      <c r="A347" s="1" t="s">
        <v>341</v>
      </c>
      <c r="B347" s="1" t="str">
        <f t="shared" si="72"/>
        <v>UIM</v>
      </c>
      <c r="C347" s="85"/>
      <c r="D347" s="85">
        <v>1.9550000000000001</v>
      </c>
      <c r="E347" s="85">
        <v>1.7000000000000001E-2</v>
      </c>
      <c r="F347" s="81">
        <v>9.0579999999999998</v>
      </c>
      <c r="G347" s="81">
        <v>3.5139999999999998</v>
      </c>
      <c r="H347" s="81">
        <v>3.9049999999999998</v>
      </c>
      <c r="I347" s="81">
        <v>4.218</v>
      </c>
      <c r="J347" s="81">
        <v>4.5860000000000003</v>
      </c>
    </row>
    <row r="348" spans="1:10">
      <c r="A348" s="1" t="s">
        <v>342</v>
      </c>
      <c r="B348" s="1" t="str">
        <f t="shared" si="72"/>
        <v>UIM</v>
      </c>
      <c r="C348" s="85"/>
      <c r="D348" s="85">
        <v>1</v>
      </c>
      <c r="E348" s="85">
        <v>1.46</v>
      </c>
      <c r="F348" s="81">
        <v>2.12</v>
      </c>
      <c r="G348" s="81">
        <v>2.42</v>
      </c>
      <c r="H348" s="81">
        <v>1.351</v>
      </c>
      <c r="I348" s="81">
        <v>1.63</v>
      </c>
      <c r="J348" s="81">
        <v>1.8979999999999999</v>
      </c>
    </row>
    <row r="349" spans="1:10">
      <c r="A349" s="1" t="s">
        <v>75</v>
      </c>
      <c r="B349" s="1" t="str">
        <f t="shared" si="72"/>
        <v>UIM</v>
      </c>
      <c r="C349" s="85"/>
      <c r="D349" s="85">
        <v>8.8999999999999996E-2</v>
      </c>
      <c r="E349" s="85">
        <v>-0.13</v>
      </c>
      <c r="F349" s="81">
        <v>0</v>
      </c>
      <c r="G349" s="81">
        <v>0</v>
      </c>
      <c r="H349" s="81">
        <v>0</v>
      </c>
      <c r="I349" s="81">
        <v>0</v>
      </c>
      <c r="J349" s="81">
        <v>0</v>
      </c>
    </row>
    <row r="350" spans="1:10" ht="15">
      <c r="A350" s="26" t="s">
        <v>343</v>
      </c>
      <c r="B350" s="1" t="str">
        <f>$B$9</f>
        <v>NAC</v>
      </c>
      <c r="C350" s="86">
        <v>39.052999999999997</v>
      </c>
      <c r="D350" s="210">
        <f>SUM(C$350,D$344,-D$345,-D$346,D$347,D$348,D$349)</f>
        <v>42.444999999999993</v>
      </c>
      <c r="E350" s="210">
        <f t="shared" ref="E350:J350" si="73">SUM(D$350,E$344,-E$345,-E$346,E$347,E$348,E$349)</f>
        <v>43.996999999999993</v>
      </c>
      <c r="F350" s="210">
        <f t="shared" si="73"/>
        <v>53.47999999999999</v>
      </c>
      <c r="G350" s="210">
        <f t="shared" si="73"/>
        <v>59.067999999999991</v>
      </c>
      <c r="H350" s="210">
        <f t="shared" si="73"/>
        <v>63.946999999999989</v>
      </c>
      <c r="I350" s="210">
        <f t="shared" si="73"/>
        <v>69.396999999999977</v>
      </c>
      <c r="J350" s="210">
        <f t="shared" si="73"/>
        <v>75.45599999999996</v>
      </c>
    </row>
    <row r="351" spans="1:10">
      <c r="A351" s="1" t="s">
        <v>344</v>
      </c>
      <c r="B351" s="1" t="str">
        <f>$B$10</f>
        <v>UIM</v>
      </c>
      <c r="C351" s="85"/>
      <c r="D351" s="85">
        <v>44.307000000000002</v>
      </c>
      <c r="E351" s="85">
        <v>48.220999999999997</v>
      </c>
      <c r="F351" s="81">
        <v>61.26</v>
      </c>
      <c r="G351" s="81">
        <v>64.861999999999995</v>
      </c>
      <c r="H351" s="81">
        <v>69.658000000000001</v>
      </c>
      <c r="I351" s="81">
        <v>75.23</v>
      </c>
      <c r="J351" s="81">
        <v>81.406999999999996</v>
      </c>
    </row>
    <row r="352" spans="1:10">
      <c r="A352" s="1" t="s">
        <v>345</v>
      </c>
      <c r="B352" s="1" t="str">
        <f>$B$10</f>
        <v>UIM</v>
      </c>
      <c r="C352" s="85"/>
      <c r="D352" s="85">
        <v>-1.9910000000000001</v>
      </c>
      <c r="E352" s="85">
        <v>-4.226</v>
      </c>
      <c r="F352" s="81">
        <v>-7.78</v>
      </c>
      <c r="G352" s="81">
        <v>-5.7939999999999996</v>
      </c>
      <c r="H352" s="81">
        <v>-5.7110000000000003</v>
      </c>
      <c r="I352" s="81">
        <v>-5.8330000000000002</v>
      </c>
      <c r="J352" s="81">
        <v>-5.9509999999999996</v>
      </c>
    </row>
    <row r="353" spans="1:10">
      <c r="A353" s="1" t="s">
        <v>346</v>
      </c>
      <c r="B353" s="1" t="str">
        <f>$B$10</f>
        <v>UIM</v>
      </c>
      <c r="C353" s="85"/>
      <c r="D353" s="85">
        <v>0</v>
      </c>
      <c r="E353" s="85">
        <v>2E-3</v>
      </c>
      <c r="F353" s="81">
        <v>0</v>
      </c>
      <c r="G353" s="81">
        <v>0</v>
      </c>
      <c r="H353" s="81">
        <v>0</v>
      </c>
      <c r="I353" s="81">
        <v>0</v>
      </c>
      <c r="J353" s="81">
        <v>0</v>
      </c>
    </row>
    <row r="354" spans="1:10" ht="15">
      <c r="A354" s="26" t="s">
        <v>370</v>
      </c>
      <c r="C354" s="85"/>
      <c r="D354" s="130" t="str">
        <f>IF(ROUND(D$350-SUM(D$351:D$353)-0.129,3)=0,"OK","ERROR")</f>
        <v>OK</v>
      </c>
      <c r="E354" s="88" t="str">
        <f t="shared" ref="E354:J354" si="74">IF(ROUND(E$350-SUM(E$351:E$353),3)=0,"OK","ERROR")</f>
        <v>OK</v>
      </c>
      <c r="F354" s="89" t="str">
        <f t="shared" si="74"/>
        <v>OK</v>
      </c>
      <c r="G354" s="89" t="str">
        <f t="shared" si="74"/>
        <v>OK</v>
      </c>
      <c r="H354" s="89" t="str">
        <f t="shared" si="74"/>
        <v>OK</v>
      </c>
      <c r="I354" s="89" t="str">
        <f t="shared" si="74"/>
        <v>OK</v>
      </c>
      <c r="J354" s="89" t="str">
        <f t="shared" si="74"/>
        <v>OK</v>
      </c>
    </row>
    <row r="355" spans="1:10" ht="15">
      <c r="A355" s="26" t="s">
        <v>212</v>
      </c>
      <c r="C355" s="85"/>
      <c r="D355" s="81"/>
      <c r="E355" s="81"/>
      <c r="F355" s="81"/>
      <c r="G355" s="81"/>
      <c r="H355" s="81"/>
      <c r="I355" s="81"/>
      <c r="J355" s="81"/>
    </row>
    <row r="356" spans="1:10">
      <c r="A356" s="1" t="s">
        <v>347</v>
      </c>
      <c r="B356" s="1" t="str">
        <f>$B$9</f>
        <v>NAC</v>
      </c>
      <c r="C356" s="85"/>
      <c r="D356" s="85">
        <v>10.449</v>
      </c>
      <c r="E356" s="85">
        <v>11.928000000000001</v>
      </c>
      <c r="F356" s="81">
        <v>10.88</v>
      </c>
      <c r="G356" s="81">
        <v>10.234999999999999</v>
      </c>
      <c r="H356" s="81">
        <v>10.144</v>
      </c>
      <c r="I356" s="81">
        <v>10.584</v>
      </c>
      <c r="J356" s="81">
        <v>10.013</v>
      </c>
    </row>
    <row r="357" spans="1:10">
      <c r="A357" s="1" t="s">
        <v>348</v>
      </c>
      <c r="B357" s="1" t="str">
        <f>$B$10</f>
        <v>UIM</v>
      </c>
      <c r="C357" s="85"/>
      <c r="D357" s="85">
        <v>6.2930000000000001</v>
      </c>
      <c r="E357" s="85">
        <v>5.0430000000000001</v>
      </c>
      <c r="F357" s="81">
        <v>5.125</v>
      </c>
      <c r="G357" s="81">
        <v>5.1669999999999998</v>
      </c>
      <c r="H357" s="81">
        <v>5.2149999999999999</v>
      </c>
      <c r="I357" s="81">
        <v>5.2590000000000003</v>
      </c>
      <c r="J357" s="81">
        <v>5.2990000000000004</v>
      </c>
    </row>
    <row r="358" spans="1:10" ht="15">
      <c r="A358" s="26" t="s">
        <v>371</v>
      </c>
      <c r="C358" s="85"/>
      <c r="D358" s="88" t="str">
        <f t="shared" ref="D358:J358" si="75">IF(ROUND(D$131-SUM(D$356:D$357),3)=0,"OK","ERROR")</f>
        <v>OK</v>
      </c>
      <c r="E358" s="88" t="str">
        <f t="shared" si="75"/>
        <v>OK</v>
      </c>
      <c r="F358" s="89" t="str">
        <f t="shared" si="75"/>
        <v>OK</v>
      </c>
      <c r="G358" s="89" t="str">
        <f t="shared" si="75"/>
        <v>OK</v>
      </c>
      <c r="H358" s="89" t="str">
        <f t="shared" si="75"/>
        <v>OK</v>
      </c>
      <c r="I358" s="89" t="str">
        <f t="shared" si="75"/>
        <v>OK</v>
      </c>
      <c r="J358" s="89" t="str">
        <f t="shared" si="75"/>
        <v>OK</v>
      </c>
    </row>
    <row r="359" spans="1:10" ht="15">
      <c r="A359" s="26" t="s">
        <v>1134</v>
      </c>
      <c r="C359" s="85"/>
      <c r="D359" s="92"/>
      <c r="E359" s="92"/>
      <c r="F359" s="92"/>
      <c r="G359" s="92"/>
      <c r="H359" s="92"/>
      <c r="I359" s="92"/>
      <c r="J359" s="92"/>
    </row>
    <row r="360" spans="1:10">
      <c r="A360" s="1" t="s">
        <v>1135</v>
      </c>
      <c r="B360" s="1" t="str">
        <f>$B$10</f>
        <v>UIM</v>
      </c>
      <c r="C360" s="85"/>
      <c r="D360" s="85">
        <v>2.8839999999999999</v>
      </c>
      <c r="E360" s="85">
        <v>3.8039999999999998</v>
      </c>
      <c r="F360" s="81">
        <v>5.2549999999999999</v>
      </c>
      <c r="G360" s="81">
        <v>5.3390000000000004</v>
      </c>
      <c r="H360" s="81">
        <v>5.3529999999999998</v>
      </c>
      <c r="I360" s="81">
        <v>5.125</v>
      </c>
      <c r="J360" s="81">
        <v>4.7229999999999999</v>
      </c>
    </row>
    <row r="361" spans="1:10" s="167" customFormat="1">
      <c r="A361" s="167" t="s">
        <v>1231</v>
      </c>
      <c r="C361" s="85"/>
      <c r="D361" s="85">
        <v>0</v>
      </c>
      <c r="E361" s="85">
        <v>0</v>
      </c>
      <c r="F361" s="81">
        <v>0.35099999999999998</v>
      </c>
      <c r="G361" s="81">
        <v>0.70699999999999996</v>
      </c>
      <c r="H361" s="81">
        <v>0.69899999999999995</v>
      </c>
      <c r="I361" s="81">
        <v>0.66</v>
      </c>
      <c r="J361" s="81">
        <v>0.60299999999999998</v>
      </c>
    </row>
    <row r="362" spans="1:10">
      <c r="A362" s="1" t="s">
        <v>1136</v>
      </c>
      <c r="B362" s="1" t="str">
        <f>$B$10</f>
        <v>UIM</v>
      </c>
      <c r="C362" s="85"/>
      <c r="D362" s="85">
        <v>0.42499999999999999</v>
      </c>
      <c r="E362" s="85">
        <v>0.82699999999999996</v>
      </c>
      <c r="F362" s="81">
        <v>0.34200000000000003</v>
      </c>
      <c r="G362" s="81">
        <v>1.4670000000000001</v>
      </c>
      <c r="H362" s="81">
        <v>1.5269999999999999</v>
      </c>
      <c r="I362" s="81">
        <v>1.726</v>
      </c>
      <c r="J362" s="81">
        <v>1.8069999999999999</v>
      </c>
    </row>
    <row r="363" spans="1:10">
      <c r="A363" s="1" t="s">
        <v>967</v>
      </c>
      <c r="B363" s="1" t="str">
        <f>$B$10</f>
        <v>UIM</v>
      </c>
      <c r="C363" s="85"/>
      <c r="D363" s="85">
        <v>0.54300000000000004</v>
      </c>
      <c r="E363" s="85">
        <v>0.65</v>
      </c>
      <c r="F363" s="81">
        <v>0.85599999999999998</v>
      </c>
      <c r="G363" s="81">
        <v>0.84399999999999997</v>
      </c>
      <c r="H363" s="81">
        <v>0.84199999999999997</v>
      </c>
      <c r="I363" s="81">
        <v>0.83799999999999997</v>
      </c>
      <c r="J363" s="81">
        <v>0.80200000000000005</v>
      </c>
    </row>
    <row r="364" spans="1:10" ht="15">
      <c r="A364" s="26" t="s">
        <v>215</v>
      </c>
      <c r="C364" s="85"/>
      <c r="D364" s="81"/>
      <c r="E364" s="81"/>
      <c r="F364" s="81"/>
      <c r="G364" s="81"/>
      <c r="H364" s="81"/>
      <c r="I364" s="81"/>
      <c r="J364" s="81"/>
    </row>
    <row r="365" spans="1:10">
      <c r="A365" s="1" t="s">
        <v>283</v>
      </c>
      <c r="B365" s="1" t="str">
        <f>$B$10</f>
        <v>UIM</v>
      </c>
      <c r="C365" s="85"/>
      <c r="D365" s="85">
        <v>56.610999999999997</v>
      </c>
      <c r="E365" s="85">
        <v>64.945999999999998</v>
      </c>
      <c r="F365" s="81">
        <v>57.607999999999997</v>
      </c>
      <c r="G365" s="81">
        <v>59.328000000000003</v>
      </c>
      <c r="H365" s="81">
        <v>61.225999999999999</v>
      </c>
      <c r="I365" s="81">
        <v>63.256999999999998</v>
      </c>
      <c r="J365" s="81">
        <v>65.478999999999999</v>
      </c>
    </row>
    <row r="366" spans="1:10">
      <c r="A366" s="1" t="s">
        <v>284</v>
      </c>
      <c r="B366" s="1" t="str">
        <f>$B$10</f>
        <v>UIM</v>
      </c>
      <c r="C366" s="85"/>
      <c r="D366" s="85">
        <v>1.3420000000000001</v>
      </c>
      <c r="E366" s="85">
        <v>1.528</v>
      </c>
      <c r="F366" s="81">
        <v>0.76500000000000001</v>
      </c>
      <c r="G366" s="81">
        <v>0.54200000000000004</v>
      </c>
      <c r="H366" s="81">
        <v>0.4</v>
      </c>
      <c r="I366" s="81">
        <v>0.314</v>
      </c>
      <c r="J366" s="81">
        <v>0.28299999999999997</v>
      </c>
    </row>
    <row r="367" spans="1:10">
      <c r="A367" s="1" t="s">
        <v>349</v>
      </c>
      <c r="B367" s="1" t="str">
        <f>$B$10</f>
        <v>UIM</v>
      </c>
      <c r="C367" s="85"/>
      <c r="D367" s="85">
        <v>0.26300000000000001</v>
      </c>
      <c r="E367" s="85">
        <v>0.216</v>
      </c>
      <c r="F367" s="81">
        <v>0.156</v>
      </c>
      <c r="G367" s="81">
        <v>0.10299999999999999</v>
      </c>
      <c r="H367" s="81">
        <v>7.4999999999999997E-2</v>
      </c>
      <c r="I367" s="81">
        <v>6.0999999999999999E-2</v>
      </c>
      <c r="J367" s="81">
        <v>5.2999999999999999E-2</v>
      </c>
    </row>
    <row r="368" spans="1:10" ht="15">
      <c r="A368" s="26" t="s">
        <v>372</v>
      </c>
      <c r="C368" s="85"/>
      <c r="D368" s="88" t="str">
        <f t="shared" ref="D368:J368" si="76">IF(ROUND(D$134-SUM(D$365:D$367),3)=0,"OK","ERROR")</f>
        <v>OK</v>
      </c>
      <c r="E368" s="88" t="str">
        <f t="shared" si="76"/>
        <v>OK</v>
      </c>
      <c r="F368" s="89" t="str">
        <f t="shared" si="76"/>
        <v>OK</v>
      </c>
      <c r="G368" s="89" t="str">
        <f t="shared" si="76"/>
        <v>OK</v>
      </c>
      <c r="H368" s="89" t="str">
        <f t="shared" si="76"/>
        <v>OK</v>
      </c>
      <c r="I368" s="89" t="str">
        <f t="shared" si="76"/>
        <v>OK</v>
      </c>
      <c r="J368" s="89" t="str">
        <f t="shared" si="76"/>
        <v>OK</v>
      </c>
    </row>
    <row r="369" spans="1:10">
      <c r="A369" s="28"/>
      <c r="C369" s="85"/>
      <c r="D369" s="81"/>
      <c r="E369" s="81"/>
      <c r="F369" s="81"/>
      <c r="G369" s="81"/>
      <c r="H369" s="81"/>
      <c r="I369" s="81"/>
      <c r="J369" s="81"/>
    </row>
    <row r="370" spans="1:10" ht="15">
      <c r="A370" s="26" t="s">
        <v>1156</v>
      </c>
      <c r="C370" s="85"/>
      <c r="D370" s="81"/>
      <c r="E370" s="81"/>
      <c r="F370" s="81"/>
      <c r="G370" s="81"/>
      <c r="H370" s="81"/>
      <c r="I370" s="81"/>
      <c r="J370" s="81"/>
    </row>
    <row r="371" spans="1:10">
      <c r="A371" s="1" t="s">
        <v>351</v>
      </c>
      <c r="B371" s="1" t="str">
        <f t="shared" ref="B371:B377" si="77">$B$10</f>
        <v>UIM</v>
      </c>
      <c r="C371" s="85"/>
      <c r="D371" s="85">
        <v>83.715999999999994</v>
      </c>
      <c r="E371" s="85">
        <v>84.31</v>
      </c>
      <c r="F371" s="81">
        <v>90.495000000000005</v>
      </c>
      <c r="G371" s="81">
        <v>95.986000000000004</v>
      </c>
      <c r="H371" s="81">
        <v>101.23699999999999</v>
      </c>
      <c r="I371" s="81">
        <v>107.334</v>
      </c>
      <c r="J371" s="81">
        <v>113.404</v>
      </c>
    </row>
    <row r="372" spans="1:10">
      <c r="A372" s="1" t="s">
        <v>163</v>
      </c>
      <c r="B372" s="1" t="str">
        <f t="shared" si="77"/>
        <v>UIM</v>
      </c>
      <c r="C372" s="85"/>
      <c r="D372" s="85">
        <v>1.359</v>
      </c>
      <c r="E372" s="85">
        <v>1.226</v>
      </c>
      <c r="F372" s="81">
        <v>2.2189999999999999</v>
      </c>
      <c r="G372" s="81">
        <v>1.6120000000000001</v>
      </c>
      <c r="H372" s="81">
        <v>1.7629999999999999</v>
      </c>
      <c r="I372" s="81">
        <v>1.9219999999999999</v>
      </c>
      <c r="J372" s="81">
        <v>1.9219999999999999</v>
      </c>
    </row>
    <row r="373" spans="1:10">
      <c r="A373" s="1" t="s">
        <v>959</v>
      </c>
      <c r="B373" s="1" t="str">
        <f t="shared" si="77"/>
        <v>UIM</v>
      </c>
      <c r="C373" s="85"/>
      <c r="D373" s="85">
        <v>0.71199999999999997</v>
      </c>
      <c r="E373" s="85">
        <v>0.42799999999999999</v>
      </c>
      <c r="F373" s="81">
        <v>0.22700000000000001</v>
      </c>
      <c r="G373" s="81">
        <v>0.217</v>
      </c>
      <c r="H373" s="81">
        <v>0.26100000000000001</v>
      </c>
      <c r="I373" s="81">
        <v>0.31900000000000001</v>
      </c>
      <c r="J373" s="81">
        <v>0.38100000000000001</v>
      </c>
    </row>
    <row r="374" spans="1:10">
      <c r="A374" s="1" t="s">
        <v>352</v>
      </c>
      <c r="B374" s="1" t="str">
        <f t="shared" si="77"/>
        <v>UIM</v>
      </c>
      <c r="C374" s="85"/>
      <c r="D374" s="85">
        <v>3.2</v>
      </c>
      <c r="E374" s="85">
        <v>3.2429999999999999</v>
      </c>
      <c r="F374" s="81">
        <v>2.8620000000000001</v>
      </c>
      <c r="G374" s="81">
        <v>2.8340000000000001</v>
      </c>
      <c r="H374" s="81">
        <v>3.1440000000000001</v>
      </c>
      <c r="I374" s="81">
        <v>3.0489999999999999</v>
      </c>
      <c r="J374" s="81">
        <v>3.157</v>
      </c>
    </row>
    <row r="375" spans="1:10">
      <c r="A375" s="1" t="s">
        <v>500</v>
      </c>
      <c r="B375" s="1" t="str">
        <f t="shared" si="77"/>
        <v>UIM</v>
      </c>
      <c r="C375" s="85"/>
      <c r="D375" s="85">
        <v>28.91</v>
      </c>
      <c r="E375" s="85">
        <v>43.915999999999997</v>
      </c>
      <c r="F375" s="81">
        <v>37.021000000000001</v>
      </c>
      <c r="G375" s="81">
        <v>38.491999999999997</v>
      </c>
      <c r="H375" s="81">
        <v>40.042000000000002</v>
      </c>
      <c r="I375" s="81">
        <v>41.084000000000003</v>
      </c>
      <c r="J375" s="81">
        <v>43.191000000000003</v>
      </c>
    </row>
    <row r="376" spans="1:10">
      <c r="A376" s="1" t="s">
        <v>501</v>
      </c>
      <c r="B376" s="1" t="str">
        <f t="shared" si="77"/>
        <v>UIM</v>
      </c>
      <c r="C376" s="85"/>
      <c r="D376" s="85">
        <v>50.591000000000001</v>
      </c>
      <c r="E376" s="85">
        <v>56.582999999999998</v>
      </c>
      <c r="F376" s="81">
        <v>67.980999999999995</v>
      </c>
      <c r="G376" s="81">
        <v>70.364000000000004</v>
      </c>
      <c r="H376" s="81">
        <v>64.959000000000003</v>
      </c>
      <c r="I376" s="81">
        <v>63.097999999999999</v>
      </c>
      <c r="J376" s="81">
        <v>62.253</v>
      </c>
    </row>
    <row r="377" spans="1:10">
      <c r="A377" s="1" t="s">
        <v>968</v>
      </c>
      <c r="B377" s="1" t="str">
        <f t="shared" si="77"/>
        <v>UIM</v>
      </c>
      <c r="C377" s="85"/>
      <c r="D377" s="85">
        <v>3.45</v>
      </c>
      <c r="E377" s="85">
        <v>3.016</v>
      </c>
      <c r="F377" s="81">
        <v>2.7229999999999999</v>
      </c>
      <c r="G377" s="81">
        <v>2.0819999999999999</v>
      </c>
      <c r="H377" s="81">
        <v>2.2130000000000001</v>
      </c>
      <c r="I377" s="81">
        <v>2.3639999999999999</v>
      </c>
      <c r="J377" s="81">
        <v>2.802</v>
      </c>
    </row>
    <row r="378" spans="1:10" ht="15">
      <c r="A378" s="26" t="s">
        <v>374</v>
      </c>
      <c r="C378" s="85"/>
      <c r="D378" s="210">
        <f t="shared" ref="D378:J378" si="78">SUM(D$371:D$374)-SUM(D$21:D$22,D$375:D$377)</f>
        <v>6.0359999999999872</v>
      </c>
      <c r="E378" s="210">
        <f t="shared" si="78"/>
        <v>-14.308000000000007</v>
      </c>
      <c r="F378" s="210">
        <f t="shared" si="78"/>
        <v>-10.397000000000006</v>
      </c>
      <c r="G378" s="210">
        <f t="shared" si="78"/>
        <v>-11.734999999999985</v>
      </c>
      <c r="H378" s="210">
        <f t="shared" si="78"/>
        <v>-5.2599999999999909</v>
      </c>
      <c r="I378" s="210">
        <f t="shared" si="78"/>
        <v>-1.1059999999999945</v>
      </c>
      <c r="J378" s="210">
        <f t="shared" si="78"/>
        <v>0.75999999999997669</v>
      </c>
    </row>
    <row r="379" spans="1:10">
      <c r="A379" s="1" t="s">
        <v>314</v>
      </c>
      <c r="B379" s="1" t="str">
        <f>$B$10</f>
        <v>UIM</v>
      </c>
      <c r="C379" s="85"/>
      <c r="D379" s="85">
        <v>-3.0019999999999998</v>
      </c>
      <c r="E379" s="85">
        <v>-2.9550000000000001</v>
      </c>
      <c r="F379" s="81">
        <v>-3.536</v>
      </c>
      <c r="G379" s="81">
        <v>-4.6120000000000001</v>
      </c>
      <c r="H379" s="81">
        <v>-3.7909999999999999</v>
      </c>
      <c r="I379" s="81">
        <v>-3.2869999999999999</v>
      </c>
      <c r="J379" s="81">
        <v>-2.5329999999999999</v>
      </c>
    </row>
    <row r="380" spans="1:10">
      <c r="A380" s="1" t="s">
        <v>353</v>
      </c>
      <c r="B380" s="1" t="str">
        <f>$B$10</f>
        <v>UIM</v>
      </c>
      <c r="C380" s="85"/>
      <c r="D380" s="85">
        <v>-8.5999999999999993E-2</v>
      </c>
      <c r="E380" s="85">
        <v>-1.798</v>
      </c>
      <c r="F380" s="81">
        <v>-5.7469999999999999</v>
      </c>
      <c r="G380" s="81">
        <v>-14.175000000000001</v>
      </c>
      <c r="H380" s="81">
        <v>-9.5950000000000006</v>
      </c>
      <c r="I380" s="81">
        <v>6.484</v>
      </c>
      <c r="J380" s="81">
        <v>12.897</v>
      </c>
    </row>
    <row r="381" spans="1:10">
      <c r="A381" s="1" t="s">
        <v>354</v>
      </c>
      <c r="B381" s="1" t="str">
        <f>$B$10</f>
        <v>UIM</v>
      </c>
      <c r="C381" s="85"/>
      <c r="D381" s="85">
        <v>-2.6579999999999999</v>
      </c>
      <c r="E381" s="85">
        <v>-3.1709999999999998</v>
      </c>
      <c r="F381" s="81">
        <v>-4.2770000000000001</v>
      </c>
      <c r="G381" s="81">
        <v>-6.6820000000000004</v>
      </c>
      <c r="H381" s="81">
        <v>-4.1619999999999999</v>
      </c>
      <c r="I381" s="81">
        <v>-4.1070000000000002</v>
      </c>
      <c r="J381" s="81">
        <v>-3.1320000000000001</v>
      </c>
    </row>
    <row r="382" spans="1:10" ht="15">
      <c r="A382" s="26" t="s">
        <v>1157</v>
      </c>
      <c r="C382" s="85"/>
      <c r="D382" s="210">
        <f t="shared" ref="D382:J382" si="79">SUM(D$379:D$381)-SUM(D$348,D$127-C$127,D$128-C$128)</f>
        <v>-6.7459999999999996</v>
      </c>
      <c r="E382" s="210">
        <f t="shared" si="79"/>
        <v>-9.3840000000000003</v>
      </c>
      <c r="F382" s="210">
        <f t="shared" si="79"/>
        <v>-14.879999999999999</v>
      </c>
      <c r="G382" s="210">
        <f t="shared" si="79"/>
        <v>-27.497</v>
      </c>
      <c r="H382" s="210">
        <f t="shared" si="79"/>
        <v>-20.394000000000002</v>
      </c>
      <c r="I382" s="210">
        <f t="shared" si="79"/>
        <v>-4.8930000000000007</v>
      </c>
      <c r="J382" s="210">
        <f t="shared" si="79"/>
        <v>2.5240000000000009</v>
      </c>
    </row>
    <row r="383" spans="1:10" ht="15">
      <c r="A383" s="26" t="s">
        <v>355</v>
      </c>
      <c r="B383" s="1" t="str">
        <f>$B$9</f>
        <v>NAC</v>
      </c>
      <c r="C383" s="85"/>
      <c r="D383" s="86">
        <v>-0.71</v>
      </c>
      <c r="E383" s="86">
        <v>-23.692</v>
      </c>
      <c r="F383" s="87">
        <v>-25.277000000000001</v>
      </c>
      <c r="G383" s="87">
        <v>-39.231999999999999</v>
      </c>
      <c r="H383" s="87">
        <v>-25.654</v>
      </c>
      <c r="I383" s="87">
        <v>-5.9989999999999997</v>
      </c>
      <c r="J383" s="87">
        <v>3.2839999999999998</v>
      </c>
    </row>
    <row r="384" spans="1:10" ht="15">
      <c r="A384" s="26" t="s">
        <v>375</v>
      </c>
      <c r="C384" s="85"/>
      <c r="D384" s="91" t="str">
        <f t="shared" ref="D384:G384" si="80">IF(ROUND(D$383-SUM(D$378,D$382),3)=0,"OK","ERROR")</f>
        <v>OK</v>
      </c>
      <c r="E384" s="91" t="str">
        <f t="shared" si="80"/>
        <v>OK</v>
      </c>
      <c r="F384" s="92" t="str">
        <f t="shared" si="80"/>
        <v>OK</v>
      </c>
      <c r="G384" s="92" t="str">
        <f t="shared" si="80"/>
        <v>OK</v>
      </c>
      <c r="H384" s="92" t="str">
        <f>IF(ROUND(H$383-SUM(H$378,H$382),3)=0,"OK","ERROR")</f>
        <v>OK</v>
      </c>
      <c r="I384" s="92" t="str">
        <f>IF(ROUND(I$383-SUM(I$378,I$382),3)=0,"OK","ERROR")</f>
        <v>OK</v>
      </c>
      <c r="J384" s="92" t="str">
        <f>IF(ROUND(J$383-SUM(J$378,J$382),3)=0,"OK","ERROR")</f>
        <v>OK</v>
      </c>
    </row>
    <row r="385" spans="1:10" ht="15">
      <c r="A385" s="26" t="s">
        <v>356</v>
      </c>
      <c r="B385" s="1" t="str">
        <f>$B$10</f>
        <v>UIM</v>
      </c>
      <c r="C385" s="85"/>
      <c r="D385" s="86">
        <v>-4.9580000000000002</v>
      </c>
      <c r="E385" s="86">
        <v>33.061999999999998</v>
      </c>
      <c r="F385" s="87">
        <v>5.3689999999999998</v>
      </c>
      <c r="G385" s="87">
        <v>40.652000000000001</v>
      </c>
      <c r="H385" s="87">
        <v>15.315</v>
      </c>
      <c r="I385" s="87">
        <v>4.4459999999999997</v>
      </c>
      <c r="J385" s="87">
        <v>-4.548</v>
      </c>
    </row>
    <row r="386" spans="1:10">
      <c r="A386" s="1" t="s">
        <v>357</v>
      </c>
      <c r="B386" s="1" t="str">
        <f>$B$10</f>
        <v>UIM</v>
      </c>
      <c r="C386" s="85"/>
      <c r="D386" s="85">
        <v>5.1630000000000003</v>
      </c>
      <c r="E386" s="85">
        <v>-14.911</v>
      </c>
      <c r="F386" s="81">
        <v>12.401</v>
      </c>
      <c r="G386" s="81">
        <v>-1.581</v>
      </c>
      <c r="H386" s="81">
        <v>10.26</v>
      </c>
      <c r="I386" s="81">
        <v>1.47</v>
      </c>
      <c r="J386" s="81">
        <v>1.1719999999999999</v>
      </c>
    </row>
    <row r="387" spans="1:10">
      <c r="A387" s="1" t="s">
        <v>358</v>
      </c>
      <c r="B387" s="1" t="str">
        <f>$B$10</f>
        <v>UIM</v>
      </c>
      <c r="C387" s="85"/>
      <c r="D387" s="85">
        <v>6.8000000000000005E-2</v>
      </c>
      <c r="E387" s="85">
        <v>4.3319999999999999</v>
      </c>
      <c r="F387" s="81">
        <v>7.11</v>
      </c>
      <c r="G387" s="81">
        <v>7.6999999999999999E-2</v>
      </c>
      <c r="H387" s="81">
        <v>-6.0000000000000001E-3</v>
      </c>
      <c r="I387" s="81">
        <v>-3.0000000000000001E-3</v>
      </c>
      <c r="J387" s="81">
        <v>5.0000000000000001E-3</v>
      </c>
    </row>
    <row r="388" spans="1:10" ht="15">
      <c r="A388" s="26" t="s">
        <v>1001</v>
      </c>
      <c r="C388" s="85"/>
      <c r="D388" s="210">
        <f t="shared" ref="D388:J388" si="81">SUM(D$89,D$386:D$387)</f>
        <v>5.6680000000000001</v>
      </c>
      <c r="E388" s="210">
        <f t="shared" si="81"/>
        <v>-9.370000000000001</v>
      </c>
      <c r="F388" s="210">
        <f t="shared" si="81"/>
        <v>19.908000000000001</v>
      </c>
      <c r="G388" s="210">
        <f t="shared" si="81"/>
        <v>-1.42</v>
      </c>
      <c r="H388" s="210">
        <f t="shared" si="81"/>
        <v>10.339</v>
      </c>
      <c r="I388" s="210">
        <f t="shared" si="81"/>
        <v>1.5530000000000002</v>
      </c>
      <c r="J388" s="210">
        <f t="shared" si="81"/>
        <v>1.2639999999999998</v>
      </c>
    </row>
    <row r="389" spans="1:10" ht="15">
      <c r="A389" s="26" t="s">
        <v>359</v>
      </c>
      <c r="C389" s="85"/>
      <c r="D389" s="210">
        <f t="shared" ref="D389:J389" si="82">SUM(D$385,D$388)</f>
        <v>0.71</v>
      </c>
      <c r="E389" s="210">
        <f t="shared" si="82"/>
        <v>23.691999999999997</v>
      </c>
      <c r="F389" s="210">
        <f t="shared" si="82"/>
        <v>25.277000000000001</v>
      </c>
      <c r="G389" s="210">
        <f t="shared" si="82"/>
        <v>39.231999999999999</v>
      </c>
      <c r="H389" s="210">
        <f t="shared" si="82"/>
        <v>25.654</v>
      </c>
      <c r="I389" s="210">
        <f t="shared" si="82"/>
        <v>5.9989999999999997</v>
      </c>
      <c r="J389" s="210">
        <f t="shared" si="82"/>
        <v>-3.2840000000000003</v>
      </c>
    </row>
  </sheetData>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87"/>
  <sheetViews>
    <sheetView zoomScaleNormal="100" workbookViewId="0">
      <selection activeCell="F58" sqref="F58"/>
    </sheetView>
  </sheetViews>
  <sheetFormatPr defaultRowHeight="14.25"/>
  <cols>
    <col min="1" max="1" width="100.7109375" style="1" customWidth="1"/>
    <col min="2" max="2" width="5.7109375" style="1" customWidth="1"/>
    <col min="3" max="4" width="14.7109375" style="1" customWidth="1"/>
    <col min="5" max="16384" width="9.140625" style="1"/>
  </cols>
  <sheetData>
    <row r="1" spans="1:4" ht="15">
      <c r="A1" s="2" t="s">
        <v>98</v>
      </c>
    </row>
    <row r="2" spans="1:4">
      <c r="A2" s="4" t="s">
        <v>736</v>
      </c>
    </row>
    <row r="3" spans="1:4">
      <c r="A3" s="4" t="s">
        <v>100</v>
      </c>
    </row>
    <row r="4" spans="1:4">
      <c r="A4" s="4" t="s">
        <v>636</v>
      </c>
    </row>
    <row r="5" spans="1:4">
      <c r="A5" s="4" t="s">
        <v>99</v>
      </c>
    </row>
    <row r="7" spans="1:4" ht="15">
      <c r="A7" s="2" t="s">
        <v>101</v>
      </c>
      <c r="C7" s="5" t="s">
        <v>1255</v>
      </c>
      <c r="D7" s="5" t="s">
        <v>1090</v>
      </c>
    </row>
    <row r="8" spans="1:4" ht="15">
      <c r="A8" s="2" t="s">
        <v>635</v>
      </c>
      <c r="C8" s="11">
        <v>2026</v>
      </c>
      <c r="D8" s="174">
        <v>2026</v>
      </c>
    </row>
    <row r="9" spans="1:4" ht="15">
      <c r="A9" s="2" t="s">
        <v>631</v>
      </c>
      <c r="C9" s="11">
        <v>0</v>
      </c>
      <c r="D9" s="11">
        <v>0</v>
      </c>
    </row>
    <row r="10" spans="1:4" ht="15">
      <c r="A10" s="2"/>
      <c r="C10" s="11"/>
      <c r="D10" s="11"/>
    </row>
    <row r="11" spans="1:4" ht="15">
      <c r="A11" s="2" t="s">
        <v>102</v>
      </c>
      <c r="B11" s="12" t="s">
        <v>103</v>
      </c>
      <c r="C11" s="12"/>
      <c r="D11" s="12"/>
    </row>
    <row r="12" spans="1:4">
      <c r="A12" s="1" t="s">
        <v>96</v>
      </c>
      <c r="C12" s="10">
        <v>4.2500000000000003E-2</v>
      </c>
      <c r="D12" s="10">
        <v>4.2500000000000003E-2</v>
      </c>
    </row>
    <row r="13" spans="1:4">
      <c r="A13" s="1" t="s">
        <v>996</v>
      </c>
      <c r="C13" s="9">
        <v>33.700000000000003</v>
      </c>
      <c r="D13" s="9">
        <v>33.700000000000003</v>
      </c>
    </row>
    <row r="14" spans="1:4">
      <c r="A14" s="1" t="s">
        <v>116</v>
      </c>
      <c r="C14" s="10">
        <v>0.01</v>
      </c>
      <c r="D14" s="173">
        <v>0.01</v>
      </c>
    </row>
    <row r="15" spans="1:4">
      <c r="A15" s="1" t="s">
        <v>117</v>
      </c>
      <c r="C15" s="10">
        <v>0.02</v>
      </c>
      <c r="D15" s="10">
        <v>0.02</v>
      </c>
    </row>
    <row r="16" spans="1:4">
      <c r="A16" s="1" t="s">
        <v>119</v>
      </c>
      <c r="C16" s="10">
        <v>4.8000000000000001E-2</v>
      </c>
      <c r="D16" s="173">
        <v>4.8000000000000001E-2</v>
      </c>
    </row>
    <row r="17" spans="1:4">
      <c r="A17" s="18" t="s">
        <v>112</v>
      </c>
      <c r="B17" s="12" t="s">
        <v>113</v>
      </c>
    </row>
    <row r="18" spans="1:4">
      <c r="A18" s="1" t="s">
        <v>114</v>
      </c>
      <c r="C18" s="10">
        <v>4.0000000000000002E-4</v>
      </c>
      <c r="D18" s="173">
        <v>4.0000000000000002E-4</v>
      </c>
    </row>
    <row r="19" spans="1:4">
      <c r="A19" s="1" t="s">
        <v>995</v>
      </c>
      <c r="C19" s="9">
        <v>0.04</v>
      </c>
      <c r="D19" s="172">
        <v>0.04</v>
      </c>
    </row>
    <row r="20" spans="1:4">
      <c r="A20" s="1" t="s">
        <v>115</v>
      </c>
      <c r="C20" s="10">
        <v>6.9999999999999999E-4</v>
      </c>
      <c r="D20" s="173">
        <v>6.9999999999999999E-4</v>
      </c>
    </row>
    <row r="21" spans="1:4">
      <c r="A21" s="1" t="s">
        <v>118</v>
      </c>
      <c r="C21" s="10">
        <v>4.0000000000000002E-4</v>
      </c>
      <c r="D21" s="10">
        <v>4.0000000000000002E-4</v>
      </c>
    </row>
    <row r="22" spans="1:4">
      <c r="A22" s="1" t="s">
        <v>120</v>
      </c>
      <c r="C22" s="40">
        <v>0.15</v>
      </c>
      <c r="D22" s="40">
        <v>0.15</v>
      </c>
    </row>
    <row r="23" spans="1:4">
      <c r="A23" s="1" t="s">
        <v>1083</v>
      </c>
      <c r="C23" s="10">
        <v>1E-3</v>
      </c>
      <c r="D23" s="10">
        <v>1E-3</v>
      </c>
    </row>
    <row r="24" spans="1:4">
      <c r="A24" s="167" t="s">
        <v>1314</v>
      </c>
      <c r="C24" s="173">
        <v>2.5000000000000001E-3</v>
      </c>
      <c r="D24" s="173">
        <v>2.5000000000000001E-3</v>
      </c>
    </row>
    <row r="25" spans="1:4" s="167" customFormat="1"/>
    <row r="26" spans="1:4" ht="15">
      <c r="A26" s="168" t="s">
        <v>121</v>
      </c>
      <c r="B26" s="12" t="s">
        <v>944</v>
      </c>
    </row>
    <row r="27" spans="1:4" ht="15">
      <c r="A27" s="2"/>
      <c r="B27" s="12" t="s">
        <v>945</v>
      </c>
    </row>
    <row r="28" spans="1:4">
      <c r="A28" s="1" t="s">
        <v>955</v>
      </c>
      <c r="C28" s="61" t="s">
        <v>716</v>
      </c>
      <c r="D28" s="61" t="s">
        <v>716</v>
      </c>
    </row>
    <row r="29" spans="1:4">
      <c r="A29" s="1" t="s">
        <v>715</v>
      </c>
      <c r="C29" s="9">
        <v>1.25</v>
      </c>
      <c r="D29" s="172">
        <v>1.25</v>
      </c>
    </row>
    <row r="30" spans="1:4">
      <c r="A30" s="1" t="s">
        <v>1091</v>
      </c>
      <c r="C30" s="173">
        <v>5.0000000000000001E-4</v>
      </c>
      <c r="D30" s="173">
        <v>5.0000000000000001E-4</v>
      </c>
    </row>
    <row r="31" spans="1:4">
      <c r="A31" s="1" t="s">
        <v>383</v>
      </c>
      <c r="C31" s="19">
        <v>0.113</v>
      </c>
      <c r="D31" s="19">
        <v>0.113</v>
      </c>
    </row>
    <row r="32" spans="1:4">
      <c r="A32" s="1" t="s">
        <v>384</v>
      </c>
      <c r="C32" s="19">
        <v>4.4999999999999998E-2</v>
      </c>
      <c r="D32" s="19">
        <v>4.4999999999999998E-2</v>
      </c>
    </row>
    <row r="33" spans="1:4">
      <c r="A33" s="1" t="s">
        <v>385</v>
      </c>
      <c r="C33" s="19">
        <v>7.1999999999999995E-2</v>
      </c>
      <c r="D33" s="19">
        <v>7.1999999999999995E-2</v>
      </c>
    </row>
    <row r="34" spans="1:4">
      <c r="A34" s="1" t="s">
        <v>386</v>
      </c>
      <c r="C34" s="19">
        <v>0.01</v>
      </c>
      <c r="D34" s="19">
        <v>0.01</v>
      </c>
    </row>
    <row r="35" spans="1:4">
      <c r="A35" s="1" t="s">
        <v>387</v>
      </c>
      <c r="C35" s="19">
        <v>3.4000000000000002E-2</v>
      </c>
      <c r="D35" s="19">
        <v>3.4000000000000002E-2</v>
      </c>
    </row>
    <row r="36" spans="1:4">
      <c r="A36" s="1" t="s">
        <v>388</v>
      </c>
      <c r="C36" s="19">
        <v>2E-3</v>
      </c>
      <c r="D36" s="19">
        <v>2E-3</v>
      </c>
    </row>
    <row r="37" spans="1:4">
      <c r="C37" s="19"/>
      <c r="D37" s="19"/>
    </row>
    <row r="38" spans="1:4">
      <c r="A38" s="1" t="s">
        <v>973</v>
      </c>
      <c r="C38" s="40">
        <v>0.5</v>
      </c>
      <c r="D38" s="40">
        <v>0.5</v>
      </c>
    </row>
    <row r="39" spans="1:4">
      <c r="D39" s="167"/>
    </row>
    <row r="40" spans="1:4">
      <c r="A40" s="1" t="s">
        <v>403</v>
      </c>
      <c r="C40" s="40">
        <v>0.66</v>
      </c>
      <c r="D40" s="40">
        <v>0.66</v>
      </c>
    </row>
    <row r="41" spans="1:4">
      <c r="B41" s="12" t="s">
        <v>1140</v>
      </c>
      <c r="C41" s="40"/>
      <c r="D41" s="40"/>
    </row>
    <row r="42" spans="1:4">
      <c r="A42" s="1" t="s">
        <v>1171</v>
      </c>
      <c r="B42" s="12"/>
      <c r="C42" s="19">
        <v>5.0000000000000001E-3</v>
      </c>
      <c r="D42" s="19">
        <v>5.0000000000000001E-3</v>
      </c>
    </row>
    <row r="43" spans="1:4">
      <c r="A43" s="1" t="s">
        <v>1172</v>
      </c>
      <c r="C43" s="19">
        <v>4.7E-2</v>
      </c>
      <c r="D43" s="19">
        <v>4.7E-2</v>
      </c>
    </row>
    <row r="44" spans="1:4">
      <c r="A44" s="1" t="s">
        <v>1173</v>
      </c>
      <c r="C44" s="19">
        <v>3.3000000000000002E-2</v>
      </c>
      <c r="D44" s="19">
        <v>3.3000000000000002E-2</v>
      </c>
    </row>
    <row r="45" spans="1:4">
      <c r="A45" s="1" t="s">
        <v>1174</v>
      </c>
      <c r="C45" s="19">
        <v>5.1999999999999998E-2</v>
      </c>
      <c r="D45" s="19">
        <v>5.1999999999999998E-2</v>
      </c>
    </row>
    <row r="46" spans="1:4">
      <c r="A46" s="1" t="s">
        <v>1175</v>
      </c>
      <c r="C46" s="19">
        <v>3.0000000000000001E-3</v>
      </c>
      <c r="D46" s="19">
        <v>3.0000000000000001E-3</v>
      </c>
    </row>
    <row r="47" spans="1:4">
      <c r="A47" s="1" t="s">
        <v>1176</v>
      </c>
      <c r="C47" s="19">
        <v>7.8E-2</v>
      </c>
      <c r="D47" s="19">
        <v>7.8E-2</v>
      </c>
    </row>
    <row r="48" spans="1:4">
      <c r="B48" s="12" t="s">
        <v>1092</v>
      </c>
      <c r="C48" s="40"/>
      <c r="D48" s="40"/>
    </row>
    <row r="49" spans="1:4">
      <c r="B49" s="12" t="s">
        <v>1093</v>
      </c>
      <c r="C49" s="40"/>
      <c r="D49" s="40"/>
    </row>
    <row r="50" spans="1:4">
      <c r="A50" s="1" t="s">
        <v>1097</v>
      </c>
      <c r="B50" s="12"/>
      <c r="C50" s="61" t="s">
        <v>716</v>
      </c>
      <c r="D50" s="61" t="s">
        <v>716</v>
      </c>
    </row>
    <row r="51" spans="1:4">
      <c r="A51" s="1" t="s">
        <v>1094</v>
      </c>
      <c r="C51" s="19">
        <v>0.01</v>
      </c>
      <c r="D51" s="19">
        <v>0.01</v>
      </c>
    </row>
    <row r="52" spans="1:4">
      <c r="A52" s="1" t="s">
        <v>1095</v>
      </c>
      <c r="C52" s="19">
        <v>1.4999999999999999E-2</v>
      </c>
      <c r="D52" s="19">
        <v>1.4999999999999999E-2</v>
      </c>
    </row>
    <row r="53" spans="1:4">
      <c r="A53" s="1" t="s">
        <v>1096</v>
      </c>
      <c r="C53" s="19">
        <v>2E-3</v>
      </c>
      <c r="D53" s="19">
        <v>2E-3</v>
      </c>
    </row>
    <row r="54" spans="1:4">
      <c r="A54" s="1" t="s">
        <v>1098</v>
      </c>
      <c r="C54" s="10">
        <v>5.0000000000000001E-4</v>
      </c>
      <c r="D54" s="10">
        <v>5.0000000000000001E-4</v>
      </c>
    </row>
    <row r="55" spans="1:4">
      <c r="C55" s="10"/>
      <c r="D55" s="10"/>
    </row>
    <row r="56" spans="1:4">
      <c r="A56" s="1" t="s">
        <v>576</v>
      </c>
      <c r="C56" s="11">
        <v>2035</v>
      </c>
      <c r="D56" s="174">
        <v>2035</v>
      </c>
    </row>
    <row r="57" spans="1:4">
      <c r="A57" s="1" t="s">
        <v>411</v>
      </c>
      <c r="C57" s="19">
        <v>2E-3</v>
      </c>
      <c r="D57" s="19">
        <v>2E-3</v>
      </c>
    </row>
    <row r="58" spans="1:4">
      <c r="B58" s="12" t="s">
        <v>993</v>
      </c>
    </row>
    <row r="59" spans="1:4">
      <c r="B59" s="12" t="s">
        <v>994</v>
      </c>
    </row>
    <row r="60" spans="1:4">
      <c r="A60" s="1" t="s">
        <v>429</v>
      </c>
      <c r="C60" s="104">
        <v>2</v>
      </c>
      <c r="D60" s="171">
        <v>2</v>
      </c>
    </row>
    <row r="61" spans="1:4">
      <c r="A61" s="1" t="s">
        <v>430</v>
      </c>
      <c r="C61" s="19">
        <v>0.02</v>
      </c>
      <c r="D61" s="19">
        <v>0.02</v>
      </c>
    </row>
    <row r="62" spans="1:4">
      <c r="A62" s="1" t="s">
        <v>1163</v>
      </c>
      <c r="C62" s="131">
        <v>-1.1419999999999999</v>
      </c>
      <c r="D62" s="171">
        <v>-1.1419999999999999</v>
      </c>
    </row>
    <row r="63" spans="1:4">
      <c r="A63" s="1" t="s">
        <v>1164</v>
      </c>
      <c r="C63" s="19">
        <v>-1</v>
      </c>
      <c r="D63" s="19">
        <v>-1</v>
      </c>
    </row>
    <row r="64" spans="1:4">
      <c r="A64" s="1" t="s">
        <v>1082</v>
      </c>
      <c r="C64" s="104">
        <v>0.53100000000000003</v>
      </c>
      <c r="D64" s="171">
        <v>0.53100000000000003</v>
      </c>
    </row>
    <row r="65" spans="1:4">
      <c r="A65" s="1" t="s">
        <v>537</v>
      </c>
      <c r="C65" s="104">
        <v>4</v>
      </c>
      <c r="D65" s="171">
        <v>4</v>
      </c>
    </row>
    <row r="66" spans="1:4">
      <c r="A66" s="1" t="s">
        <v>538</v>
      </c>
      <c r="C66" s="19">
        <v>0.02</v>
      </c>
      <c r="D66" s="19">
        <v>0.02</v>
      </c>
    </row>
    <row r="67" spans="1:4">
      <c r="C67" s="19"/>
      <c r="D67" s="19"/>
    </row>
    <row r="68" spans="1:4">
      <c r="A68" s="1" t="s">
        <v>1099</v>
      </c>
      <c r="C68" s="19">
        <v>0.03</v>
      </c>
      <c r="D68" s="19">
        <v>0.03</v>
      </c>
    </row>
    <row r="69" spans="1:4">
      <c r="A69" s="1" t="s">
        <v>1141</v>
      </c>
      <c r="C69" s="40">
        <v>0.33</v>
      </c>
      <c r="D69" s="40">
        <v>0.33</v>
      </c>
    </row>
    <row r="70" spans="1:4">
      <c r="C70" s="61"/>
      <c r="D70" s="61"/>
    </row>
    <row r="71" spans="1:4">
      <c r="A71" s="18" t="s">
        <v>1142</v>
      </c>
      <c r="B71" s="12" t="s">
        <v>1143</v>
      </c>
      <c r="C71" s="61"/>
      <c r="D71" s="61"/>
    </row>
    <row r="72" spans="1:4">
      <c r="A72" s="18" t="s">
        <v>1144</v>
      </c>
      <c r="B72" s="12" t="s">
        <v>1145</v>
      </c>
      <c r="C72" s="61"/>
      <c r="D72" s="61"/>
    </row>
    <row r="73" spans="1:4">
      <c r="A73" s="1" t="s">
        <v>1146</v>
      </c>
      <c r="B73" s="12"/>
      <c r="C73" s="19">
        <v>5.0000000000000001E-3</v>
      </c>
      <c r="D73" s="19">
        <v>5.0000000000000001E-3</v>
      </c>
    </row>
    <row r="74" spans="1:4">
      <c r="A74" s="1" t="s">
        <v>1147</v>
      </c>
      <c r="B74" s="12"/>
      <c r="C74" s="40">
        <v>1.07</v>
      </c>
      <c r="D74" s="40">
        <v>1.07</v>
      </c>
    </row>
    <row r="75" spans="1:4">
      <c r="A75" s="1" t="s">
        <v>1148</v>
      </c>
      <c r="C75" s="40">
        <v>0.03</v>
      </c>
      <c r="D75" s="40">
        <v>0.03</v>
      </c>
    </row>
    <row r="76" spans="1:4">
      <c r="A76" s="1" t="s">
        <v>1149</v>
      </c>
      <c r="C76" s="40">
        <v>0.4</v>
      </c>
      <c r="D76" s="40">
        <v>0.4</v>
      </c>
    </row>
    <row r="77" spans="1:4">
      <c r="A77" s="1" t="s">
        <v>1150</v>
      </c>
      <c r="C77" s="40">
        <v>0.09</v>
      </c>
      <c r="D77" s="40">
        <v>0.09</v>
      </c>
    </row>
    <row r="78" spans="1:4">
      <c r="A78" s="1" t="s">
        <v>1151</v>
      </c>
      <c r="C78" s="40">
        <v>0.03</v>
      </c>
      <c r="D78" s="40">
        <v>0.03</v>
      </c>
    </row>
    <row r="79" spans="1:4">
      <c r="A79" s="1" t="s">
        <v>1152</v>
      </c>
      <c r="C79" s="40">
        <v>0.4</v>
      </c>
      <c r="D79" s="40">
        <v>0.4</v>
      </c>
    </row>
    <row r="80" spans="1:4">
      <c r="A80" s="1" t="s">
        <v>1153</v>
      </c>
      <c r="C80" s="40">
        <v>0.35</v>
      </c>
      <c r="D80" s="40">
        <v>0.35</v>
      </c>
    </row>
    <row r="81" spans="1:4">
      <c r="A81" s="1" t="s">
        <v>1154</v>
      </c>
      <c r="C81" s="40">
        <v>0.6</v>
      </c>
      <c r="D81" s="40">
        <v>0.6</v>
      </c>
    </row>
    <row r="82" spans="1:4">
      <c r="C82" s="40"/>
      <c r="D82" s="40"/>
    </row>
    <row r="83" spans="1:4">
      <c r="A83" s="18" t="s">
        <v>577</v>
      </c>
      <c r="B83" s="12" t="s">
        <v>578</v>
      </c>
    </row>
    <row r="84" spans="1:4">
      <c r="A84" s="18" t="s">
        <v>954</v>
      </c>
      <c r="B84" s="12" t="s">
        <v>927</v>
      </c>
    </row>
    <row r="85" spans="1:4">
      <c r="B85" s="12" t="s">
        <v>579</v>
      </c>
    </row>
    <row r="86" spans="1:4">
      <c r="A86" s="1" t="s">
        <v>580</v>
      </c>
      <c r="C86" s="11">
        <v>3</v>
      </c>
      <c r="D86" s="11">
        <v>3</v>
      </c>
    </row>
    <row r="87" spans="1:4">
      <c r="A87" s="1" t="s">
        <v>581</v>
      </c>
      <c r="C87" s="11">
        <v>5</v>
      </c>
      <c r="D87" s="11">
        <v>5</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525"/>
  <sheetViews>
    <sheetView tabSelected="1" zoomScaleNormal="100" workbookViewId="0">
      <pane xSplit="2" ySplit="8" topLeftCell="C9" activePane="bottomRight" state="frozen"/>
      <selection pane="topRight" activeCell="C1" sqref="C1"/>
      <selection pane="bottomLeft" activeCell="A9" sqref="A9"/>
      <selection pane="bottomRight" activeCell="B4" sqref="B4"/>
    </sheetView>
  </sheetViews>
  <sheetFormatPr defaultRowHeight="14.25"/>
  <cols>
    <col min="1" max="1" width="85.7109375" style="1" customWidth="1"/>
    <col min="2" max="2" width="25.7109375" style="1" customWidth="1"/>
    <col min="3" max="3" width="7.7109375" style="1" customWidth="1"/>
    <col min="4" max="4" width="10.7109375" style="1" customWidth="1"/>
    <col min="5" max="5" width="9.140625" style="1"/>
    <col min="6" max="6" width="9.140625" style="1" customWidth="1"/>
    <col min="7" max="14" width="9.5703125" style="1" bestFit="1" customWidth="1"/>
    <col min="15" max="16" width="9.7109375" style="1" bestFit="1" customWidth="1"/>
    <col min="17" max="19" width="9.140625" style="1"/>
    <col min="20" max="20" width="9.140625" style="167"/>
    <col min="21" max="16384" width="9.140625" style="1"/>
  </cols>
  <sheetData>
    <row r="1" spans="1:20" ht="15">
      <c r="A1" s="2" t="s">
        <v>104</v>
      </c>
      <c r="B1" s="5" t="s">
        <v>1255</v>
      </c>
      <c r="C1" s="5">
        <f>MATCH($B$1,Assumptions!$C$7:$Q$7,0)</f>
        <v>1</v>
      </c>
      <c r="D1" s="4" t="s">
        <v>105</v>
      </c>
    </row>
    <row r="2" spans="1:20" ht="15">
      <c r="A2" s="4" t="s">
        <v>106</v>
      </c>
      <c r="B2" s="4"/>
      <c r="C2" s="5"/>
      <c r="D2" s="1" t="s">
        <v>582</v>
      </c>
      <c r="F2" s="6"/>
      <c r="G2" s="6"/>
      <c r="H2" s="6"/>
      <c r="I2" s="6"/>
      <c r="J2" s="6"/>
      <c r="K2" s="6">
        <f ca="1">MAX(OFFSET(Assumptions!$B$8,0,$C$1)+OFFSET(Assumptions!$B$87,0,$C$1)-K$6,0)/(OFFSET(Assumptions!$B$87,0,$C$1)*(OFFSET(Assumptions!$B$87,0,$C$1)+1)/2)</f>
        <v>0.33333333333333331</v>
      </c>
      <c r="L2" s="6">
        <f ca="1">MAX(OFFSET(Assumptions!$B$8,0,$C$1)+OFFSET(Assumptions!$B$87,0,$C$1)-L$6,0)/(OFFSET(Assumptions!$B$87,0,$C$1)*(OFFSET(Assumptions!$B$87,0,$C$1)+1)/2)</f>
        <v>0.26666666666666666</v>
      </c>
      <c r="M2" s="6">
        <f ca="1">MAX(OFFSET(Assumptions!$B$8,0,$C$1)+OFFSET(Assumptions!$B$87,0,$C$1)-M$6,0)/(OFFSET(Assumptions!$B$87,0,$C$1)*(OFFSET(Assumptions!$B$87,0,$C$1)+1)/2)</f>
        <v>0.2</v>
      </c>
      <c r="N2" s="6">
        <f ca="1">MAX(OFFSET(Assumptions!$B$8,0,$C$1)+OFFSET(Assumptions!$B$87,0,$C$1)-N$6,0)/(OFFSET(Assumptions!$B$87,0,$C$1)*(OFFSET(Assumptions!$B$87,0,$C$1)+1)/2)</f>
        <v>0.13333333333333333</v>
      </c>
      <c r="O2" s="6">
        <f ca="1">MAX(OFFSET(Assumptions!$B$8,0,$C$1)+OFFSET(Assumptions!$B$87,0,$C$1)-O$6,0)/(OFFSET(Assumptions!$B$87,0,$C$1)*(OFFSET(Assumptions!$B$87,0,$C$1)+1)/2)</f>
        <v>6.6666666666666666E-2</v>
      </c>
      <c r="P2" s="6">
        <f ca="1">MAX(OFFSET(Assumptions!$B$8,0,$C$1)+OFFSET(Assumptions!$B$87,0,$C$1)-P$6,0)/(OFFSET(Assumptions!$B$87,0,$C$1)*(OFFSET(Assumptions!$B$87,0,$C$1)+1)/2)</f>
        <v>0</v>
      </c>
      <c r="Q2" s="6">
        <f ca="1">MAX(OFFSET(Assumptions!$B$8,0,$C$1)+OFFSET(Assumptions!$B$87,0,$C$1)-Q$6,0)/(OFFSET(Assumptions!$B$87,0,$C$1)*(OFFSET(Assumptions!$B$87,0,$C$1)+1)/2)</f>
        <v>0</v>
      </c>
      <c r="R2" s="104">
        <f ca="1">MAX(OFFSET(Assumptions!$B$8,0,$C$1)+OFFSET(Assumptions!$B$87,0,$C$1)-R$6,0)/(OFFSET(Assumptions!$B$87,0,$C$1)*(OFFSET(Assumptions!$B$87,0,$C$1)+1)/2)</f>
        <v>0</v>
      </c>
      <c r="S2" s="104">
        <f ca="1">MAX(OFFSET(Assumptions!$B$8,0,$C$1)+OFFSET(Assumptions!$B$87,0,$C$1)-S$6,0)/(OFFSET(Assumptions!$B$87,0,$C$1)*(OFFSET(Assumptions!$B$87,0,$C$1)+1)/2)</f>
        <v>0</v>
      </c>
      <c r="T2" s="171">
        <f ca="1">MAX(OFFSET(Assumptions!$B$8,0,$C$1)+OFFSET(Assumptions!$B$87,0,$C$1)-T$6,0)/(OFFSET(Assumptions!$B$87,0,$C$1)*(OFFSET(Assumptions!$B$87,0,$C$1)+1)/2)</f>
        <v>0</v>
      </c>
    </row>
    <row r="3" spans="1:20" ht="15">
      <c r="B3" s="4"/>
      <c r="C3" s="5"/>
      <c r="D3" s="30" t="s">
        <v>632</v>
      </c>
      <c r="E3" s="186" t="s">
        <v>632</v>
      </c>
      <c r="F3" s="188" t="s">
        <v>1250</v>
      </c>
      <c r="G3" s="2"/>
      <c r="K3" s="2" t="s">
        <v>1251</v>
      </c>
    </row>
    <row r="4" spans="1:20" ht="15">
      <c r="D4" s="30" t="s">
        <v>633</v>
      </c>
      <c r="E4" s="186" t="s">
        <v>633</v>
      </c>
      <c r="F4" s="183" t="s">
        <v>122</v>
      </c>
      <c r="K4" s="1" t="s">
        <v>123</v>
      </c>
    </row>
    <row r="5" spans="1:20" ht="15">
      <c r="A5" s="13" t="s">
        <v>107</v>
      </c>
      <c r="D5" s="29" t="s">
        <v>18</v>
      </c>
      <c r="E5" s="185" t="s">
        <v>19</v>
      </c>
      <c r="F5" s="31" t="s">
        <v>20</v>
      </c>
      <c r="G5" s="31" t="s">
        <v>21</v>
      </c>
      <c r="H5" s="31" t="s">
        <v>22</v>
      </c>
      <c r="I5" s="31" t="s">
        <v>23</v>
      </c>
      <c r="J5" s="187" t="s">
        <v>24</v>
      </c>
      <c r="K5" s="5" t="s">
        <v>25</v>
      </c>
      <c r="L5" s="5" t="s">
        <v>26</v>
      </c>
      <c r="M5" s="5" t="s">
        <v>27</v>
      </c>
      <c r="N5" s="5" t="s">
        <v>28</v>
      </c>
      <c r="O5" s="5" t="s">
        <v>29</v>
      </c>
      <c r="P5" s="5" t="s">
        <v>30</v>
      </c>
      <c r="Q5" s="5" t="s">
        <v>31</v>
      </c>
      <c r="R5" s="5" t="s">
        <v>32</v>
      </c>
      <c r="S5" s="5" t="s">
        <v>33</v>
      </c>
      <c r="T5" s="170" t="s">
        <v>34</v>
      </c>
    </row>
    <row r="6" spans="1:20" ht="15">
      <c r="A6" s="13" t="s">
        <v>612</v>
      </c>
      <c r="D6" s="30">
        <v>2019</v>
      </c>
      <c r="E6" s="186">
        <v>2020</v>
      </c>
      <c r="F6" s="32">
        <v>2021</v>
      </c>
      <c r="G6" s="32">
        <v>2022</v>
      </c>
      <c r="H6" s="32">
        <v>2023</v>
      </c>
      <c r="I6" s="32">
        <v>2024</v>
      </c>
      <c r="J6" s="188">
        <v>2025</v>
      </c>
      <c r="K6" s="2">
        <v>2026</v>
      </c>
      <c r="L6" s="2">
        <v>2027</v>
      </c>
      <c r="M6" s="2">
        <v>2028</v>
      </c>
      <c r="N6" s="2">
        <v>2029</v>
      </c>
      <c r="O6" s="2">
        <v>2030</v>
      </c>
      <c r="P6" s="2">
        <v>2031</v>
      </c>
      <c r="Q6" s="2">
        <v>2032</v>
      </c>
      <c r="R6" s="2">
        <v>2033</v>
      </c>
      <c r="S6" s="2">
        <v>2034</v>
      </c>
      <c r="T6" s="168">
        <v>2035</v>
      </c>
    </row>
    <row r="7" spans="1:20" ht="15">
      <c r="A7" s="13"/>
      <c r="D7" s="142">
        <f ca="1">OFFSET(D$1,Display!$C$1-1,0)</f>
        <v>57.73599999999999</v>
      </c>
      <c r="E7" s="142">
        <f ca="1">OFFSET(E$1,Display!$C$1-1,0)</f>
        <v>83.375</v>
      </c>
      <c r="F7" s="38">
        <f ca="1">OFFSET(F$1,Display!$C$1-1,0)</f>
        <v>113.65499999999999</v>
      </c>
      <c r="G7" s="38">
        <f ca="1">OFFSET(G$1,Display!$C$1-1,0)</f>
        <v>153.31099999999998</v>
      </c>
      <c r="H7" s="38">
        <f ca="1">OFFSET(H$1,Display!$C$1-1,0)</f>
        <v>178.47800000000004</v>
      </c>
      <c r="I7" s="38">
        <f ca="1">OFFSET(I$1,Display!$C$1-1,0)</f>
        <v>184.24299999999997</v>
      </c>
      <c r="J7" s="141">
        <f ca="1">OFFSET(J$1,Display!$C$1-1,0)</f>
        <v>180.78399999999999</v>
      </c>
      <c r="K7" s="7">
        <f ca="1">OFFSET(K$1,Display!$C$1-1,0)</f>
        <v>176.16938409195529</v>
      </c>
      <c r="L7" s="7">
        <f ca="1">OFFSET(L$1,Display!$C$1-1,0)</f>
        <v>179.19034393514471</v>
      </c>
      <c r="M7" s="7">
        <f ca="1">OFFSET(M$1,Display!$C$1-1,0)</f>
        <v>181.45153853457296</v>
      </c>
      <c r="N7" s="7">
        <f ca="1">OFFSET(N$1,Display!$C$1-1,0)</f>
        <v>182.83041791706142</v>
      </c>
      <c r="O7" s="7">
        <f ca="1">OFFSET(O$1,Display!$C$1-1,0)</f>
        <v>183.05591797610089</v>
      </c>
      <c r="P7" s="7">
        <f ca="1">OFFSET(P$1,Display!$C$1-1,0)</f>
        <v>182.48334049030481</v>
      </c>
      <c r="Q7" s="7">
        <f ca="1">OFFSET(Q$1,Display!$C$1-1,0)</f>
        <v>181.07792711933689</v>
      </c>
      <c r="R7" s="7">
        <f ca="1">OFFSET(R$1,Display!$C$1-1,0)</f>
        <v>178.79416134844527</v>
      </c>
      <c r="S7" s="7">
        <f ca="1">OFFSET(S$1,Display!$C$1-1,0)</f>
        <v>175.57671697684253</v>
      </c>
      <c r="T7" s="134">
        <f ca="1">OFFSET(T$1,Display!$C$1-1,0)</f>
        <v>171.31557638873258</v>
      </c>
    </row>
    <row r="8" spans="1:20" ht="15">
      <c r="A8" s="13" t="s">
        <v>622</v>
      </c>
      <c r="D8" s="149">
        <f t="shared" ref="D8:F8" ca="1" si="0">D$7/D$13</f>
        <v>0.18608848679015405</v>
      </c>
      <c r="E8" s="149">
        <f t="shared" ca="1" si="0"/>
        <v>0.26338484672344509</v>
      </c>
      <c r="F8" s="57">
        <f t="shared" ca="1" si="0"/>
        <v>0.3398784087272988</v>
      </c>
      <c r="G8" s="57">
        <f ca="1">G$7/G$13</f>
        <v>0.4383545585031251</v>
      </c>
      <c r="H8" s="57">
        <f t="shared" ref="H8:P8" ca="1" si="1">H$7/H$13</f>
        <v>0.48019651471573443</v>
      </c>
      <c r="I8" s="57">
        <f t="shared" ca="1" si="1"/>
        <v>0.46897638356471216</v>
      </c>
      <c r="J8" s="151">
        <f t="shared" ca="1" si="1"/>
        <v>0.43626535389367505</v>
      </c>
      <c r="K8" s="56">
        <f t="shared" ca="1" si="1"/>
        <v>0.4069735419056702</v>
      </c>
      <c r="L8" s="56">
        <f t="shared" ca="1" si="1"/>
        <v>0.39700474637491273</v>
      </c>
      <c r="M8" s="56">
        <f t="shared" ca="1" si="1"/>
        <v>0.38603273657684145</v>
      </c>
      <c r="N8" s="56">
        <f t="shared" ca="1" si="1"/>
        <v>0.37342115168908491</v>
      </c>
      <c r="O8" s="56">
        <f t="shared" ca="1" si="1"/>
        <v>0.35921470473017009</v>
      </c>
      <c r="P8" s="56">
        <f t="shared" ca="1" si="1"/>
        <v>0.34429981070044874</v>
      </c>
      <c r="Q8" s="56">
        <f ca="1">Q$7/Q$13</f>
        <v>0.32872726085327159</v>
      </c>
      <c r="R8" s="56">
        <f ca="1">R$7/R$13</f>
        <v>0.31255428992963902</v>
      </c>
      <c r="S8" s="56">
        <f ca="1">S$7/S$13</f>
        <v>0.2957901812041987</v>
      </c>
      <c r="T8" s="150">
        <f ca="1">T$7/T$13</f>
        <v>0.27821471976219714</v>
      </c>
    </row>
    <row r="9" spans="1:20" ht="16.5">
      <c r="A9" s="54" t="s">
        <v>108</v>
      </c>
      <c r="D9" s="167"/>
      <c r="E9" s="167"/>
      <c r="F9" s="167"/>
      <c r="G9" s="167"/>
      <c r="H9" s="167"/>
      <c r="I9" s="167"/>
      <c r="J9" s="167"/>
      <c r="K9" s="167"/>
      <c r="L9" s="167"/>
      <c r="M9" s="167"/>
      <c r="N9" s="167"/>
      <c r="O9" s="167"/>
      <c r="P9" s="167"/>
      <c r="Q9" s="167"/>
      <c r="R9" s="167"/>
      <c r="S9" s="167"/>
    </row>
    <row r="10" spans="1:20">
      <c r="A10" s="18" t="s">
        <v>260</v>
      </c>
      <c r="D10" s="167"/>
      <c r="E10" s="167"/>
      <c r="F10" s="167"/>
      <c r="G10" s="167"/>
      <c r="H10" s="167"/>
      <c r="I10" s="167"/>
      <c r="J10" s="167"/>
      <c r="K10" s="167"/>
      <c r="L10" s="167"/>
      <c r="M10" s="167"/>
      <c r="N10" s="167"/>
      <c r="O10" s="167"/>
      <c r="P10" s="167"/>
      <c r="Q10" s="167"/>
      <c r="R10" s="167"/>
      <c r="S10" s="167"/>
    </row>
    <row r="11" spans="1:20" ht="15">
      <c r="A11" s="2" t="s">
        <v>261</v>
      </c>
      <c r="B11" s="4" t="s">
        <v>1242</v>
      </c>
      <c r="D11" s="14">
        <f>'Economic Forecasts'!Q$6</f>
        <v>254.50700000000001</v>
      </c>
      <c r="E11" s="175">
        <f>'Economic Forecasts'!R$6</f>
        <v>250.06200000000001</v>
      </c>
      <c r="F11" s="15">
        <f>'Economic Forecasts'!S$6</f>
        <v>257.32</v>
      </c>
      <c r="G11" s="15">
        <f>'Economic Forecasts'!T$6</f>
        <v>265.46899999999999</v>
      </c>
      <c r="H11" s="15">
        <f>'Economic Forecasts'!U$6</f>
        <v>277.05099999999999</v>
      </c>
      <c r="I11" s="15">
        <f>'Economic Forecasts'!V$6</f>
        <v>286.12200000000001</v>
      </c>
      <c r="J11" s="176">
        <f>'Economic Forecasts'!W$6</f>
        <v>294.47899999999998</v>
      </c>
      <c r="K11" s="6">
        <f t="shared" ref="K11:T11" ca="1" si="2">J$11*(1+K$26)*K$17*(1-K$24)*K$25/(J$17*(1-J$24)*J$25)</f>
        <v>301.35334870314432</v>
      </c>
      <c r="L11" s="6">
        <f t="shared" ca="1" si="2"/>
        <v>307.94104456260879</v>
      </c>
      <c r="M11" s="6">
        <f t="shared" ca="1" si="2"/>
        <v>314.40179885869492</v>
      </c>
      <c r="N11" s="6">
        <f t="shared" ca="1" si="2"/>
        <v>321.06862559658231</v>
      </c>
      <c r="O11" s="6">
        <f t="shared" ca="1" si="2"/>
        <v>327.62559779360816</v>
      </c>
      <c r="P11" s="6">
        <f t="shared" ca="1" si="2"/>
        <v>334.06765303666953</v>
      </c>
      <c r="Q11" s="6">
        <f t="shared" ca="1" si="2"/>
        <v>340.39063971593856</v>
      </c>
      <c r="R11" s="104">
        <f t="shared" ca="1" si="2"/>
        <v>346.55766780417497</v>
      </c>
      <c r="S11" s="104">
        <f t="shared" ca="1" si="2"/>
        <v>352.55805605312759</v>
      </c>
      <c r="T11" s="171">
        <f t="shared" ca="1" si="2"/>
        <v>358.56182390816963</v>
      </c>
    </row>
    <row r="12" spans="1:20">
      <c r="A12" s="4" t="s">
        <v>109</v>
      </c>
      <c r="B12" s="4"/>
      <c r="D12" s="17"/>
      <c r="E12" s="178">
        <f t="shared" ref="E12:T12" si="3">E$11/D$11-1</f>
        <v>-1.7465138483420906E-2</v>
      </c>
      <c r="F12" s="177">
        <f t="shared" si="3"/>
        <v>2.9024801849141246E-2</v>
      </c>
      <c r="G12" s="177">
        <f t="shared" si="3"/>
        <v>3.1668739312917804E-2</v>
      </c>
      <c r="H12" s="177">
        <f t="shared" si="3"/>
        <v>4.3628446259261988E-2</v>
      </c>
      <c r="I12" s="177">
        <f t="shared" si="3"/>
        <v>3.2741264243767443E-2</v>
      </c>
      <c r="J12" s="177">
        <f t="shared" si="3"/>
        <v>2.9207820440231735E-2</v>
      </c>
      <c r="K12" s="173">
        <f t="shared" ca="1" si="3"/>
        <v>2.3344105023259232E-2</v>
      </c>
      <c r="L12" s="173">
        <f t="shared" ca="1" si="3"/>
        <v>2.1860370517912786E-2</v>
      </c>
      <c r="M12" s="173">
        <f t="shared" ca="1" si="3"/>
        <v>2.0980490941903573E-2</v>
      </c>
      <c r="N12" s="173">
        <f t="shared" ca="1" si="3"/>
        <v>2.1204798325227481E-2</v>
      </c>
      <c r="O12" s="173">
        <f t="shared" ca="1" si="3"/>
        <v>2.0422338635057491E-2</v>
      </c>
      <c r="P12" s="173">
        <f t="shared" ca="1" si="3"/>
        <v>1.9662856890442448E-2</v>
      </c>
      <c r="Q12" s="173">
        <f t="shared" ca="1" si="3"/>
        <v>1.8927264049042769E-2</v>
      </c>
      <c r="R12" s="173">
        <f t="shared" ca="1" si="3"/>
        <v>1.8117501977677364E-2</v>
      </c>
      <c r="S12" s="173">
        <f t="shared" ca="1" si="3"/>
        <v>1.7314256201490741E-2</v>
      </c>
      <c r="T12" s="173">
        <f t="shared" ca="1" si="3"/>
        <v>1.7029160877087834E-2</v>
      </c>
    </row>
    <row r="13" spans="1:20" ht="15">
      <c r="A13" s="2" t="s">
        <v>111</v>
      </c>
      <c r="B13" s="4" t="str">
        <f>$B$11</f>
        <v>From Economic Forecasts</v>
      </c>
      <c r="D13" s="14">
        <f>'Economic Forecasts'!Q$7</f>
        <v>310.26100000000002</v>
      </c>
      <c r="E13" s="175">
        <f>'Economic Forecasts'!R$7</f>
        <v>316.55200000000002</v>
      </c>
      <c r="F13" s="15">
        <f>'Economic Forecasts'!S$7</f>
        <v>334.399</v>
      </c>
      <c r="G13" s="15">
        <f>'Economic Forecasts'!T$7</f>
        <v>349.74200000000002</v>
      </c>
      <c r="H13" s="15">
        <f>'Economic Forecasts'!U$7</f>
        <v>371.67700000000002</v>
      </c>
      <c r="I13" s="15">
        <f>'Economic Forecasts'!V$7</f>
        <v>392.86200000000002</v>
      </c>
      <c r="J13" s="176">
        <f>'Economic Forecasts'!W$7</f>
        <v>414.39</v>
      </c>
      <c r="K13" s="6">
        <f t="shared" ref="K13:T13" ca="1" si="4">J$13*(1+K$30)*K$11/J$11</f>
        <v>432.87674984234837</v>
      </c>
      <c r="L13" s="6">
        <f t="shared" ca="1" si="4"/>
        <v>451.35567161689733</v>
      </c>
      <c r="M13" s="6">
        <f t="shared" ca="1" si="4"/>
        <v>470.0418419007691</v>
      </c>
      <c r="N13" s="6">
        <f t="shared" ca="1" si="4"/>
        <v>489.60916404994731</v>
      </c>
      <c r="O13" s="6">
        <f t="shared" ca="1" si="4"/>
        <v>509.60029076094276</v>
      </c>
      <c r="P13" s="6">
        <f t="shared" ca="1" si="4"/>
        <v>530.01289811649315</v>
      </c>
      <c r="Q13" s="6">
        <f t="shared" ca="1" si="4"/>
        <v>550.84548403231327</v>
      </c>
      <c r="R13" s="104">
        <f t="shared" ca="1" si="4"/>
        <v>572.04193674223666</v>
      </c>
      <c r="S13" s="104">
        <f t="shared" ca="1" si="4"/>
        <v>593.58534574084854</v>
      </c>
      <c r="T13" s="171">
        <f t="shared" ca="1" si="4"/>
        <v>615.76747820950618</v>
      </c>
    </row>
    <row r="14" spans="1:20">
      <c r="A14" s="4" t="str">
        <f>$A$12</f>
        <v>Annual percentage growth</v>
      </c>
      <c r="D14" s="17"/>
      <c r="E14" s="178">
        <f t="shared" ref="E14:T14" si="5">E$13/D$13-1</f>
        <v>2.027647690170542E-2</v>
      </c>
      <c r="F14" s="177">
        <f t="shared" si="5"/>
        <v>5.637936263236365E-2</v>
      </c>
      <c r="G14" s="177">
        <f t="shared" si="5"/>
        <v>4.5882314241370459E-2</v>
      </c>
      <c r="H14" s="177">
        <f t="shared" si="5"/>
        <v>6.2717660446843571E-2</v>
      </c>
      <c r="I14" s="177">
        <f t="shared" si="5"/>
        <v>5.6998415290695936E-2</v>
      </c>
      <c r="J14" s="177">
        <f t="shared" si="5"/>
        <v>5.4797867953632506E-2</v>
      </c>
      <c r="K14" s="173">
        <f t="shared" ca="1" si="5"/>
        <v>4.4611959367620857E-2</v>
      </c>
      <c r="L14" s="173">
        <f t="shared" ca="1" si="5"/>
        <v>4.2688644703784417E-2</v>
      </c>
      <c r="M14" s="173">
        <f t="shared" ca="1" si="5"/>
        <v>4.1400100760741632E-2</v>
      </c>
      <c r="N14" s="173">
        <f t="shared" ca="1" si="5"/>
        <v>4.1628894291732221E-2</v>
      </c>
      <c r="O14" s="173">
        <f t="shared" ca="1" si="5"/>
        <v>4.083078540775853E-2</v>
      </c>
      <c r="P14" s="173">
        <f t="shared" ca="1" si="5"/>
        <v>4.0056114028251377E-2</v>
      </c>
      <c r="Q14" s="173">
        <f t="shared" ca="1" si="5"/>
        <v>3.9305809330023589E-2</v>
      </c>
      <c r="R14" s="173">
        <f t="shared" ca="1" si="5"/>
        <v>3.847985201723092E-2</v>
      </c>
      <c r="S14" s="173">
        <f t="shared" ca="1" si="5"/>
        <v>3.7660541325520658E-2</v>
      </c>
      <c r="T14" s="173">
        <f t="shared" ca="1" si="5"/>
        <v>3.7369744094629453E-2</v>
      </c>
    </row>
    <row r="15" spans="1:20">
      <c r="A15" s="4" t="s">
        <v>263</v>
      </c>
      <c r="D15" s="14">
        <f t="shared" ref="D15:T15" si="6">1/D$13</f>
        <v>3.2230928154038051E-3</v>
      </c>
      <c r="E15" s="175">
        <f t="shared" si="6"/>
        <v>3.1590386413606611E-3</v>
      </c>
      <c r="F15" s="15">
        <f t="shared" si="6"/>
        <v>2.990439564711617E-3</v>
      </c>
      <c r="G15" s="15">
        <f t="shared" si="6"/>
        <v>2.8592505332502242E-3</v>
      </c>
      <c r="H15" s="15">
        <f t="shared" si="6"/>
        <v>2.6905081562754755E-3</v>
      </c>
      <c r="I15" s="15">
        <f t="shared" si="6"/>
        <v>2.5454230747692574E-3</v>
      </c>
      <c r="J15" s="176">
        <f t="shared" si="6"/>
        <v>2.4131856463717755E-3</v>
      </c>
      <c r="K15" s="6">
        <f t="shared" ca="1" si="6"/>
        <v>2.3101263820803383E-3</v>
      </c>
      <c r="L15" s="6">
        <f t="shared" ca="1" si="6"/>
        <v>2.2155476553948838E-3</v>
      </c>
      <c r="M15" s="6">
        <f t="shared" ca="1" si="6"/>
        <v>2.1274701757532273E-3</v>
      </c>
      <c r="N15" s="6">
        <f t="shared" ca="1" si="6"/>
        <v>2.0424454308171107E-3</v>
      </c>
      <c r="O15" s="6">
        <f t="shared" ca="1" si="6"/>
        <v>1.9623222712584899E-3</v>
      </c>
      <c r="P15" s="6">
        <f t="shared" ca="1" si="6"/>
        <v>1.8867465368365562E-3</v>
      </c>
      <c r="Q15" s="6">
        <f t="shared" ca="1" si="6"/>
        <v>1.8153911196290007E-3</v>
      </c>
      <c r="R15" s="104">
        <f t="shared" ca="1" si="6"/>
        <v>1.7481235828529862E-3</v>
      </c>
      <c r="S15" s="104">
        <f t="shared" ca="1" si="6"/>
        <v>1.684677708395764E-3</v>
      </c>
      <c r="T15" s="171">
        <f t="shared" ca="1" si="6"/>
        <v>1.6239896314559246E-3</v>
      </c>
    </row>
    <row r="16" spans="1:20">
      <c r="A16" s="18" t="s">
        <v>262</v>
      </c>
      <c r="D16" s="17"/>
      <c r="E16" s="178"/>
      <c r="F16" s="16"/>
      <c r="G16" s="16"/>
      <c r="H16" s="16"/>
      <c r="I16" s="16"/>
      <c r="J16" s="177"/>
      <c r="K16" s="10"/>
      <c r="L16" s="10"/>
      <c r="M16" s="10"/>
      <c r="N16" s="10"/>
      <c r="O16" s="10"/>
      <c r="P16" s="10"/>
      <c r="Q16" s="10"/>
      <c r="R16" s="10"/>
      <c r="S16" s="10"/>
      <c r="T16" s="173"/>
    </row>
    <row r="17" spans="1:20" ht="15">
      <c r="A17" s="2" t="s">
        <v>1104</v>
      </c>
      <c r="B17" s="4" t="str">
        <f>$B$11</f>
        <v>From Economic Forecasts</v>
      </c>
      <c r="D17" s="14">
        <f>'Economic Forecasts'!Q$8</f>
        <v>2.802</v>
      </c>
      <c r="E17" s="175">
        <f>'Economic Forecasts'!R$8</f>
        <v>2.85</v>
      </c>
      <c r="F17" s="15">
        <f>'Economic Forecasts'!S$8</f>
        <v>2.8835700000000002</v>
      </c>
      <c r="G17" s="15">
        <f>'Economic Forecasts'!T$8</f>
        <v>2.93729</v>
      </c>
      <c r="H17" s="15">
        <f>'Economic Forecasts'!U$8</f>
        <v>2.9861500000000003</v>
      </c>
      <c r="I17" s="15">
        <f>'Economic Forecasts'!V$8</f>
        <v>3.0346799999999998</v>
      </c>
      <c r="J17" s="176">
        <f>'Economic Forecasts'!W$8</f>
        <v>3.0835300000000001</v>
      </c>
      <c r="K17" s="104">
        <f>'Labour Force Treasury'!K$4</f>
        <v>3.1249453198696657</v>
      </c>
      <c r="L17" s="104">
        <f>'Labour Force Treasury'!L$4</f>
        <v>3.1645204057272722</v>
      </c>
      <c r="M17" s="104">
        <f>'Labour Force Treasury'!M$4</f>
        <v>3.2021599836832335</v>
      </c>
      <c r="N17" s="104">
        <f>'Labour Force Treasury'!N$4</f>
        <v>3.2376842973686641</v>
      </c>
      <c r="O17" s="104">
        <f>'Labour Force Treasury'!O$4</f>
        <v>3.2710944381019158</v>
      </c>
      <c r="P17" s="104">
        <f>'Labour Force Treasury'!P$4</f>
        <v>3.3023896038746892</v>
      </c>
      <c r="Q17" s="104">
        <f>'Labour Force Treasury'!Q$4</f>
        <v>3.3315790137624153</v>
      </c>
      <c r="R17" s="104">
        <f>'Labour Force Treasury'!R$4</f>
        <v>3.3583553496366774</v>
      </c>
      <c r="S17" s="104">
        <f>'Labour Force Treasury'!S$4</f>
        <v>3.3826760144316173</v>
      </c>
      <c r="T17" s="171">
        <f>'Labour Force Treasury'!T$4</f>
        <v>3.4062179687885537</v>
      </c>
    </row>
    <row r="18" spans="1:20">
      <c r="A18" s="4" t="str">
        <f>$A$12</f>
        <v>Annual percentage growth</v>
      </c>
      <c r="D18" s="17"/>
      <c r="E18" s="178">
        <f t="shared" ref="E18:T18" si="7">E$17/D$17-1</f>
        <v>1.7130620985010614E-2</v>
      </c>
      <c r="F18" s="177">
        <f t="shared" si="7"/>
        <v>1.1778947368421111E-2</v>
      </c>
      <c r="G18" s="177">
        <f t="shared" si="7"/>
        <v>1.8629684731079843E-2</v>
      </c>
      <c r="H18" s="177">
        <f t="shared" si="7"/>
        <v>1.6634380670618176E-2</v>
      </c>
      <c r="I18" s="177">
        <f t="shared" si="7"/>
        <v>1.6251695326758409E-2</v>
      </c>
      <c r="J18" s="177">
        <f t="shared" si="7"/>
        <v>1.6097249133351976E-2</v>
      </c>
      <c r="K18" s="173">
        <f t="shared" si="7"/>
        <v>1.3431138944542731E-2</v>
      </c>
      <c r="L18" s="173">
        <f t="shared" si="7"/>
        <v>1.2664249068926825E-2</v>
      </c>
      <c r="M18" s="173">
        <f t="shared" si="7"/>
        <v>1.1894244033895163E-2</v>
      </c>
      <c r="N18" s="173">
        <f t="shared" si="7"/>
        <v>1.1093859727948185E-2</v>
      </c>
      <c r="O18" s="173">
        <f t="shared" si="7"/>
        <v>1.0319147163423192E-2</v>
      </c>
      <c r="P18" s="173">
        <f t="shared" si="7"/>
        <v>9.5671850400420588E-3</v>
      </c>
      <c r="Q18" s="173">
        <f t="shared" si="7"/>
        <v>8.8388752960819605E-3</v>
      </c>
      <c r="R18" s="173">
        <f t="shared" si="7"/>
        <v>8.0371306709676738E-3</v>
      </c>
      <c r="S18" s="173">
        <f t="shared" si="7"/>
        <v>7.241837823257935E-3</v>
      </c>
      <c r="T18" s="173">
        <f t="shared" si="7"/>
        <v>6.9595652248393147E-3</v>
      </c>
    </row>
    <row r="19" spans="1:20" ht="15">
      <c r="A19" s="2" t="s">
        <v>1105</v>
      </c>
      <c r="B19" s="4" t="str">
        <f>$B$11</f>
        <v>From Economic Forecasts</v>
      </c>
      <c r="D19" s="14">
        <f>'Economic Forecasts'!Q$9</f>
        <v>3.97031</v>
      </c>
      <c r="E19" s="175">
        <f>'Economic Forecasts'!R$9</f>
        <v>4.0742199999999995</v>
      </c>
      <c r="F19" s="15">
        <f>'Economic Forecasts'!S$9</f>
        <v>4.1135099999999998</v>
      </c>
      <c r="G19" s="15">
        <f>'Economic Forecasts'!T$9</f>
        <v>4.1584200000000004</v>
      </c>
      <c r="H19" s="15">
        <f>'Economic Forecasts'!U$9</f>
        <v>4.2111499999999999</v>
      </c>
      <c r="I19" s="15">
        <f>'Economic Forecasts'!V$9</f>
        <v>4.2705500000000001</v>
      </c>
      <c r="J19" s="176">
        <f>'Economic Forecasts'!W$9</f>
        <v>4.3366699999999998</v>
      </c>
      <c r="K19" s="104">
        <f>'Population Treasury'!V$6</f>
        <v>4.402999469356315</v>
      </c>
      <c r="L19" s="104">
        <f>'Population Treasury'!W$6</f>
        <v>4.4667865050430899</v>
      </c>
      <c r="M19" s="104">
        <f>'Population Treasury'!X$6</f>
        <v>4.5277211070603256</v>
      </c>
      <c r="N19" s="104">
        <f>'Population Treasury'!Y$6</f>
        <v>4.5847732754080246</v>
      </c>
      <c r="O19" s="104">
        <f>'Population Treasury'!Z$6</f>
        <v>4.639263010086184</v>
      </c>
      <c r="P19" s="104">
        <f>'Population Treasury'!AA$6</f>
        <v>4.6906703110947978</v>
      </c>
      <c r="Q19" s="104">
        <f>'Population Treasury'!AB$6</f>
        <v>4.7394051784338771</v>
      </c>
      <c r="R19" s="104">
        <f>'Population Treasury'!AC$6</f>
        <v>4.7840576121034202</v>
      </c>
      <c r="S19" s="104">
        <f>'Population Treasury'!AD$6</f>
        <v>4.8257276121034201</v>
      </c>
      <c r="T19" s="171">
        <f>'Population Treasury'!AE$6</f>
        <v>4.8659376121034201</v>
      </c>
    </row>
    <row r="20" spans="1:20">
      <c r="A20" s="4" t="str">
        <f>$A$12</f>
        <v>Annual percentage growth</v>
      </c>
      <c r="D20" s="17"/>
      <c r="E20" s="178">
        <f t="shared" ref="E20:T20" si="8">E$19/D$19-1</f>
        <v>2.6171759887766877E-2</v>
      </c>
      <c r="F20" s="16">
        <f t="shared" si="8"/>
        <v>9.6435636759919507E-3</v>
      </c>
      <c r="G20" s="16">
        <f t="shared" si="8"/>
        <v>1.0917683438231851E-2</v>
      </c>
      <c r="H20" s="16">
        <f t="shared" si="8"/>
        <v>1.2680296843512462E-2</v>
      </c>
      <c r="I20" s="16">
        <f t="shared" si="8"/>
        <v>1.4105410636049642E-2</v>
      </c>
      <c r="J20" s="177">
        <f t="shared" si="8"/>
        <v>1.5482783248059295E-2</v>
      </c>
      <c r="K20" s="10">
        <f t="shared" si="8"/>
        <v>1.5295023452629675E-2</v>
      </c>
      <c r="L20" s="10">
        <f t="shared" si="8"/>
        <v>1.4487177691188791E-2</v>
      </c>
      <c r="M20" s="10">
        <f t="shared" si="8"/>
        <v>1.3641709078425768E-2</v>
      </c>
      <c r="N20" s="10">
        <f t="shared" si="8"/>
        <v>1.2600636611370453E-2</v>
      </c>
      <c r="O20" s="10">
        <f t="shared" si="8"/>
        <v>1.1884935503884808E-2</v>
      </c>
      <c r="P20" s="10">
        <f t="shared" si="8"/>
        <v>1.1080919727303629E-2</v>
      </c>
      <c r="Q20" s="10">
        <f t="shared" si="8"/>
        <v>1.038974477140453E-2</v>
      </c>
      <c r="R20" s="10">
        <f t="shared" si="8"/>
        <v>9.421526961385096E-3</v>
      </c>
      <c r="S20" s="10">
        <f t="shared" si="8"/>
        <v>8.7101793871748878E-3</v>
      </c>
      <c r="T20" s="173">
        <f t="shared" si="8"/>
        <v>8.3324222235729994E-3</v>
      </c>
    </row>
    <row r="21" spans="1:20" ht="15">
      <c r="A21" s="2" t="s">
        <v>265</v>
      </c>
      <c r="D21" s="17">
        <f t="shared" ref="D21:T21" si="9">D$17/D$19</f>
        <v>0.70573834284980264</v>
      </c>
      <c r="E21" s="178">
        <f t="shared" si="9"/>
        <v>0.69952039899661789</v>
      </c>
      <c r="F21" s="16">
        <f t="shared" si="9"/>
        <v>0.70099987601829106</v>
      </c>
      <c r="G21" s="16">
        <f t="shared" si="9"/>
        <v>0.70634760317620626</v>
      </c>
      <c r="H21" s="16">
        <f t="shared" si="9"/>
        <v>0.70910558873466878</v>
      </c>
      <c r="I21" s="16">
        <f t="shared" si="9"/>
        <v>0.71060636217817374</v>
      </c>
      <c r="J21" s="177">
        <f t="shared" si="9"/>
        <v>0.71103634816575856</v>
      </c>
      <c r="K21" s="10">
        <f t="shared" si="9"/>
        <v>0.70973102350305506</v>
      </c>
      <c r="L21" s="10">
        <f t="shared" si="9"/>
        <v>0.7084557101966853</v>
      </c>
      <c r="M21" s="10">
        <f t="shared" si="9"/>
        <v>0.70723436977819343</v>
      </c>
      <c r="N21" s="10">
        <f t="shared" si="9"/>
        <v>0.70618198608316674</v>
      </c>
      <c r="O21" s="10">
        <f t="shared" si="9"/>
        <v>0.7050892417589294</v>
      </c>
      <c r="P21" s="10">
        <f t="shared" si="9"/>
        <v>0.70403362096534017</v>
      </c>
      <c r="Q21" s="10">
        <f t="shared" si="9"/>
        <v>0.70295298425262009</v>
      </c>
      <c r="R21" s="10">
        <f t="shared" si="9"/>
        <v>0.70198890187697793</v>
      </c>
      <c r="S21" s="10">
        <f t="shared" si="9"/>
        <v>0.70096704296933765</v>
      </c>
      <c r="T21" s="173">
        <f t="shared" si="9"/>
        <v>0.70001266771608539</v>
      </c>
    </row>
    <row r="22" spans="1:20" ht="15">
      <c r="A22" s="2" t="s">
        <v>778</v>
      </c>
      <c r="B22" s="4" t="str">
        <f>$B$11</f>
        <v>From Economic Forecasts</v>
      </c>
      <c r="D22" s="14">
        <f>'Economic Forecasts'!Q$10</f>
        <v>4.9814499999999997</v>
      </c>
      <c r="E22" s="175">
        <f>'Economic Forecasts'!R$10</f>
        <v>5.0958000000000006</v>
      </c>
      <c r="F22" s="15">
        <f>'Economic Forecasts'!S$10</f>
        <v>5.1295999999999999</v>
      </c>
      <c r="G22" s="15">
        <f>'Economic Forecasts'!T$10</f>
        <v>5.1731000000000007</v>
      </c>
      <c r="H22" s="15">
        <f>'Economic Forecasts'!U$10</f>
        <v>5.2261000000000006</v>
      </c>
      <c r="I22" s="15">
        <f>'Economic Forecasts'!V$10</f>
        <v>5.2871000000000006</v>
      </c>
      <c r="J22" s="176">
        <f>'Economic Forecasts'!W$10</f>
        <v>5.3561000000000005</v>
      </c>
      <c r="K22" s="131">
        <f>'Population Treasury'!V$4</f>
        <v>5.4197200000000008</v>
      </c>
      <c r="L22" s="131">
        <f>'Population Treasury'!W$4</f>
        <v>5.4807999999999995</v>
      </c>
      <c r="M22" s="131">
        <f>'Population Treasury'!X$4</f>
        <v>5.539089999999999</v>
      </c>
      <c r="N22" s="131">
        <f>'Population Treasury'!Y$4</f>
        <v>5.5945100000000032</v>
      </c>
      <c r="O22" s="131">
        <f>'Population Treasury'!Z$4</f>
        <v>5.6471200000000019</v>
      </c>
      <c r="P22" s="131">
        <f>'Population Treasury'!AA$4</f>
        <v>5.69693</v>
      </c>
      <c r="Q22" s="131">
        <f>'Population Treasury'!AB$4</f>
        <v>5.7437300000000011</v>
      </c>
      <c r="R22" s="131">
        <f>'Population Treasury'!AC$4</f>
        <v>5.7876000000000047</v>
      </c>
      <c r="S22" s="131">
        <f>'Population Treasury'!AD$4</f>
        <v>5.828720000000005</v>
      </c>
      <c r="T22" s="171">
        <f>'Population Treasury'!AE$4</f>
        <v>5.8690200000000043</v>
      </c>
    </row>
    <row r="23" spans="1:20">
      <c r="A23" s="4" t="str">
        <f>$A$12</f>
        <v>Annual percentage growth</v>
      </c>
      <c r="D23" s="17"/>
      <c r="E23" s="178">
        <f t="shared" ref="E23:T23" si="10">E$22/D$22-1</f>
        <v>2.295516365716832E-2</v>
      </c>
      <c r="F23" s="16">
        <f t="shared" si="10"/>
        <v>6.6329133796458883E-3</v>
      </c>
      <c r="G23" s="16">
        <f t="shared" si="10"/>
        <v>8.4801933873988045E-3</v>
      </c>
      <c r="H23" s="16">
        <f t="shared" si="10"/>
        <v>1.0245307455877484E-2</v>
      </c>
      <c r="I23" s="16">
        <f t="shared" si="10"/>
        <v>1.1672183846462847E-2</v>
      </c>
      <c r="J23" s="177">
        <f t="shared" si="10"/>
        <v>1.305063267197526E-2</v>
      </c>
      <c r="K23" s="10">
        <f t="shared" si="10"/>
        <v>1.187804559287553E-2</v>
      </c>
      <c r="L23" s="10">
        <f t="shared" si="10"/>
        <v>1.1269954905419155E-2</v>
      </c>
      <c r="M23" s="10">
        <f t="shared" si="10"/>
        <v>1.0635308714056269E-2</v>
      </c>
      <c r="N23" s="10">
        <f t="shared" si="10"/>
        <v>1.0005253570533057E-2</v>
      </c>
      <c r="O23" s="10">
        <f t="shared" si="10"/>
        <v>9.4038620004250895E-3</v>
      </c>
      <c r="P23" s="10">
        <f t="shared" si="10"/>
        <v>8.8204252787258408E-3</v>
      </c>
      <c r="Q23" s="10">
        <f t="shared" si="10"/>
        <v>8.2149508594981935E-3</v>
      </c>
      <c r="R23" s="10">
        <f t="shared" si="10"/>
        <v>7.6378938425036846E-3</v>
      </c>
      <c r="S23" s="10">
        <f t="shared" si="10"/>
        <v>7.1048448406938469E-3</v>
      </c>
      <c r="T23" s="173">
        <f t="shared" si="10"/>
        <v>6.9140394460531773E-3</v>
      </c>
    </row>
    <row r="24" spans="1:20" ht="15">
      <c r="A24" s="2" t="s">
        <v>96</v>
      </c>
      <c r="B24" s="4" t="str">
        <f>$B$11</f>
        <v>From Economic Forecasts</v>
      </c>
      <c r="D24" s="17">
        <f>'Economic Forecasts'!Q$11</f>
        <v>4.1299999999999996E-2</v>
      </c>
      <c r="E24" s="178">
        <f>'Economic Forecasts'!R$11</f>
        <v>4.1299999999999996E-2</v>
      </c>
      <c r="F24" s="177">
        <f>'Economic Forecasts'!S$11</f>
        <v>5.1299999999999998E-2</v>
      </c>
      <c r="G24" s="177">
        <f>'Economic Forecasts'!T$11</f>
        <v>5.1399999999999994E-2</v>
      </c>
      <c r="H24" s="177">
        <f>'Economic Forecasts'!U$11</f>
        <v>4.5199999999999997E-2</v>
      </c>
      <c r="I24" s="177">
        <f>'Economic Forecasts'!V$11</f>
        <v>4.2699999999999995E-2</v>
      </c>
      <c r="J24" s="177">
        <f>'Economic Forecasts'!W$11</f>
        <v>4.1299999999999996E-2</v>
      </c>
      <c r="K24" s="173">
        <f ca="1">SUM(J$24,MIN(OFFSET(Assumptions!$B$18,0,$C$1),ABS(OFFSET(Assumptions!$B$12,0,$C$1)-J$24))*SIGN(OFFSET(Assumptions!$B$12,0,$C$1)-J$24))</f>
        <v>4.1699999999999994E-2</v>
      </c>
      <c r="L24" s="173">
        <f ca="1">SUM(K$24,MIN(OFFSET(Assumptions!$B$18,0,$C$1),ABS(OFFSET(Assumptions!$B$12,0,$C$1)-K$24))*SIGN(OFFSET(Assumptions!$B$12,0,$C$1)-K$24))</f>
        <v>4.2099999999999992E-2</v>
      </c>
      <c r="M24" s="173">
        <f ca="1">SUM(L$24,MIN(OFFSET(Assumptions!$B$18,0,$C$1),ABS(OFFSET(Assumptions!$B$12,0,$C$1)-L$24))*SIGN(OFFSET(Assumptions!$B$12,0,$C$1)-L$24))</f>
        <v>4.2499999999999989E-2</v>
      </c>
      <c r="N24" s="173">
        <f ca="1">SUM(M$24,MIN(OFFSET(Assumptions!$B$18,0,$C$1),ABS(OFFSET(Assumptions!$B$12,0,$C$1)-M$24))*SIGN(OFFSET(Assumptions!$B$12,0,$C$1)-M$24))</f>
        <v>4.2500000000000003E-2</v>
      </c>
      <c r="O24" s="173">
        <f ca="1">SUM(N$24,MIN(OFFSET(Assumptions!$B$18,0,$C$1),ABS(OFFSET(Assumptions!$B$12,0,$C$1)-N$24))*SIGN(OFFSET(Assumptions!$B$12,0,$C$1)-N$24))</f>
        <v>4.2500000000000003E-2</v>
      </c>
      <c r="P24" s="173">
        <f ca="1">SUM(O$24,MIN(OFFSET(Assumptions!$B$18,0,$C$1),ABS(OFFSET(Assumptions!$B$12,0,$C$1)-O$24))*SIGN(OFFSET(Assumptions!$B$12,0,$C$1)-O$24))</f>
        <v>4.2500000000000003E-2</v>
      </c>
      <c r="Q24" s="173">
        <f ca="1">SUM(P$24,MIN(OFFSET(Assumptions!$B$18,0,$C$1),ABS(OFFSET(Assumptions!$B$12,0,$C$1)-P$24))*SIGN(OFFSET(Assumptions!$B$12,0,$C$1)-P$24))</f>
        <v>4.2500000000000003E-2</v>
      </c>
      <c r="R24" s="173">
        <f ca="1">SUM(Q$24,MIN(OFFSET(Assumptions!$B$18,0,$C$1),ABS(OFFSET(Assumptions!$B$12,0,$C$1)-Q$24))*SIGN(OFFSET(Assumptions!$B$12,0,$C$1)-Q$24))</f>
        <v>4.2500000000000003E-2</v>
      </c>
      <c r="S24" s="173">
        <f ca="1">SUM(R$24,MIN(OFFSET(Assumptions!$B$18,0,$C$1),ABS(OFFSET(Assumptions!$B$12,0,$C$1)-R$24))*SIGN(OFFSET(Assumptions!$B$12,0,$C$1)-R$24))</f>
        <v>4.2500000000000003E-2</v>
      </c>
      <c r="T24" s="173">
        <f ca="1">SUM(S$24,MIN(OFFSET(Assumptions!$B$18,0,$C$1),ABS(OFFSET(Assumptions!$B$12,0,$C$1)-S$24))*SIGN(OFFSET(Assumptions!$B$12,0,$C$1)-S$24))</f>
        <v>4.2500000000000003E-2</v>
      </c>
    </row>
    <row r="25" spans="1:20" ht="15">
      <c r="A25" s="2" t="s">
        <v>97</v>
      </c>
      <c r="B25" s="4" t="str">
        <f>$B$11</f>
        <v>From Economic Forecasts</v>
      </c>
      <c r="D25" s="20">
        <f>'Economic Forecasts'!Q$12</f>
        <v>34.119999999999997</v>
      </c>
      <c r="E25" s="179">
        <f>'Economic Forecasts'!R$12</f>
        <v>33.18</v>
      </c>
      <c r="F25" s="180">
        <f>'Economic Forecasts'!S$12</f>
        <v>34.17</v>
      </c>
      <c r="G25" s="180">
        <f>'Economic Forecasts'!T$12</f>
        <v>33.9</v>
      </c>
      <c r="H25" s="180">
        <f>'Economic Forecasts'!U$12</f>
        <v>33.86</v>
      </c>
      <c r="I25" s="180">
        <f>'Economic Forecasts'!V$12</f>
        <v>33.83</v>
      </c>
      <c r="J25" s="180">
        <f>'Economic Forecasts'!W$12</f>
        <v>33.799999999999997</v>
      </c>
      <c r="K25" s="172">
        <f ca="1">SUM(J$25,MIN(OFFSET(Assumptions!$B$19,0,$C$1),ABS(OFFSET(Assumptions!$B$13,0,$C$1)-J$25))*SIGN(OFFSET(Assumptions!$B$13,0,$C$1)-J$25))</f>
        <v>33.76</v>
      </c>
      <c r="L25" s="172">
        <f ca="1">SUM(K$25,MIN(OFFSET(Assumptions!$B$19,0,$C$1),ABS(OFFSET(Assumptions!$B$13,0,$C$1)-K$25))*SIGN(OFFSET(Assumptions!$B$13,0,$C$1)-K$25))</f>
        <v>33.72</v>
      </c>
      <c r="M25" s="172">
        <f ca="1">SUM(L$25,MIN(OFFSET(Assumptions!$B$19,0,$C$1),ABS(OFFSET(Assumptions!$B$13,0,$C$1)-L$25))*SIGN(OFFSET(Assumptions!$B$13,0,$C$1)-L$25))</f>
        <v>33.700000000000003</v>
      </c>
      <c r="N25" s="172">
        <f ca="1">SUM(M$25,MIN(OFFSET(Assumptions!$B$19,0,$C$1),ABS(OFFSET(Assumptions!$B$13,0,$C$1)-M$25))*SIGN(OFFSET(Assumptions!$B$13,0,$C$1)-M$25))</f>
        <v>33.700000000000003</v>
      </c>
      <c r="O25" s="172">
        <f ca="1">SUM(N$25,MIN(OFFSET(Assumptions!$B$19,0,$C$1),ABS(OFFSET(Assumptions!$B$13,0,$C$1)-N$25))*SIGN(OFFSET(Assumptions!$B$13,0,$C$1)-N$25))</f>
        <v>33.700000000000003</v>
      </c>
      <c r="P25" s="172">
        <f ca="1">SUM(O$25,MIN(OFFSET(Assumptions!$B$19,0,$C$1),ABS(OFFSET(Assumptions!$B$13,0,$C$1)-O$25))*SIGN(OFFSET(Assumptions!$B$13,0,$C$1)-O$25))</f>
        <v>33.700000000000003</v>
      </c>
      <c r="Q25" s="172">
        <f ca="1">SUM(P$25,MIN(OFFSET(Assumptions!$B$19,0,$C$1),ABS(OFFSET(Assumptions!$B$13,0,$C$1)-P$25))*SIGN(OFFSET(Assumptions!$B$13,0,$C$1)-P$25))</f>
        <v>33.700000000000003</v>
      </c>
      <c r="R25" s="172">
        <f ca="1">SUM(Q$25,MIN(OFFSET(Assumptions!$B$19,0,$C$1),ABS(OFFSET(Assumptions!$B$13,0,$C$1)-Q$25))*SIGN(OFFSET(Assumptions!$B$13,0,$C$1)-Q$25))</f>
        <v>33.700000000000003</v>
      </c>
      <c r="S25" s="172">
        <f ca="1">SUM(R$25,MIN(OFFSET(Assumptions!$B$19,0,$C$1),ABS(OFFSET(Assumptions!$B$13,0,$C$1)-R$25))*SIGN(OFFSET(Assumptions!$B$13,0,$C$1)-R$25))</f>
        <v>33.700000000000003</v>
      </c>
      <c r="T25" s="172">
        <f ca="1">SUM(S$25,MIN(OFFSET(Assumptions!$B$19,0,$C$1),ABS(OFFSET(Assumptions!$B$13,0,$C$1)-S$25))*SIGN(OFFSET(Assumptions!$B$13,0,$C$1)-S$25))</f>
        <v>33.700000000000003</v>
      </c>
    </row>
    <row r="26" spans="1:20" ht="15">
      <c r="A26" s="2" t="s">
        <v>91</v>
      </c>
      <c r="B26" s="4" t="str">
        <f t="shared" ref="B26:B31" si="11">$B$11</f>
        <v>From Economic Forecasts</v>
      </c>
      <c r="D26" s="17">
        <f>'Economic Forecasts'!Q$13</f>
        <v>3.8999999999999998E-3</v>
      </c>
      <c r="E26" s="178">
        <f>'Economic Forecasts'!R$13</f>
        <v>-6.4000000000000003E-3</v>
      </c>
      <c r="F26" s="177">
        <f>'Economic Forecasts'!S$13</f>
        <v>-2.2000000000000001E-3</v>
      </c>
      <c r="G26" s="177">
        <f>'Economic Forecasts'!T$13</f>
        <v>2.5499999999999998E-2</v>
      </c>
      <c r="H26" s="177">
        <f>'Economic Forecasts'!U$13</f>
        <v>2.0299999999999999E-2</v>
      </c>
      <c r="I26" s="177">
        <f>'Economic Forecasts'!V$13</f>
        <v>1.4500000000000001E-2</v>
      </c>
      <c r="J26" s="177">
        <f>'Economic Forecasts'!W$13</f>
        <v>1.21E-2</v>
      </c>
      <c r="K26" s="173">
        <f ca="1">SUM(J$26,MIN(OFFSET(Assumptions!$B$20,0,$C$1),ABS(OFFSET(Assumptions!$B$14,0,$C$1)-J$26))*SIGN(OFFSET(Assumptions!$B$14,0,$C$1)-J$26))</f>
        <v>1.14E-2</v>
      </c>
      <c r="L26" s="173">
        <f ca="1">SUM(K$26,MIN(OFFSET(Assumptions!$B$20,0,$C$1),ABS(OFFSET(Assumptions!$B$14,0,$C$1)-K$26))*SIGN(OFFSET(Assumptions!$B$14,0,$C$1)-K$26))</f>
        <v>1.0700000000000001E-2</v>
      </c>
      <c r="M26" s="173">
        <f ca="1">SUM(L$26,MIN(OFFSET(Assumptions!$B$20,0,$C$1),ABS(OFFSET(Assumptions!$B$14,0,$C$1)-L$26))*SIGN(OFFSET(Assumptions!$B$14,0,$C$1)-L$26))</f>
        <v>1.0000000000000002E-2</v>
      </c>
      <c r="N26" s="173">
        <f ca="1">SUM(M$26,MIN(OFFSET(Assumptions!$B$20,0,$C$1),ABS(OFFSET(Assumptions!$B$14,0,$C$1)-M$26))*SIGN(OFFSET(Assumptions!$B$14,0,$C$1)-M$26))</f>
        <v>0.01</v>
      </c>
      <c r="O26" s="173">
        <f ca="1">SUM(N$26,MIN(OFFSET(Assumptions!$B$20,0,$C$1),ABS(OFFSET(Assumptions!$B$14,0,$C$1)-N$26))*SIGN(OFFSET(Assumptions!$B$14,0,$C$1)-N$26))</f>
        <v>0.01</v>
      </c>
      <c r="P26" s="173">
        <f ca="1">SUM(O$26,MIN(OFFSET(Assumptions!$B$20,0,$C$1),ABS(OFFSET(Assumptions!$B$14,0,$C$1)-O$26))*SIGN(OFFSET(Assumptions!$B$14,0,$C$1)-O$26))</f>
        <v>0.01</v>
      </c>
      <c r="Q26" s="173">
        <f ca="1">SUM(P$26,MIN(OFFSET(Assumptions!$B$20,0,$C$1),ABS(OFFSET(Assumptions!$B$14,0,$C$1)-P$26))*SIGN(OFFSET(Assumptions!$B$14,0,$C$1)-P$26))</f>
        <v>0.01</v>
      </c>
      <c r="R26" s="173">
        <f ca="1">SUM(Q$26,MIN(OFFSET(Assumptions!$B$20,0,$C$1),ABS(OFFSET(Assumptions!$B$14,0,$C$1)-Q$26))*SIGN(OFFSET(Assumptions!$B$14,0,$C$1)-Q$26))</f>
        <v>0.01</v>
      </c>
      <c r="S26" s="173">
        <f ca="1">SUM(R$26,MIN(OFFSET(Assumptions!$B$20,0,$C$1),ABS(OFFSET(Assumptions!$B$14,0,$C$1)-R$26))*SIGN(OFFSET(Assumptions!$B$14,0,$C$1)-R$26))</f>
        <v>0.01</v>
      </c>
      <c r="T26" s="173">
        <f ca="1">SUM(S$26,MIN(OFFSET(Assumptions!$B$20,0,$C$1),ABS(OFFSET(Assumptions!$B$14,0,$C$1)-S$26))*SIGN(OFFSET(Assumptions!$B$14,0,$C$1)-S$26))</f>
        <v>0.01</v>
      </c>
    </row>
    <row r="27" spans="1:20" ht="15">
      <c r="A27" s="2" t="s">
        <v>93</v>
      </c>
      <c r="B27" s="4" t="str">
        <f t="shared" si="11"/>
        <v>From Economic Forecasts</v>
      </c>
      <c r="D27" s="17">
        <f>'Economic Forecasts'!Q$15</f>
        <v>3.4599999999999999E-2</v>
      </c>
      <c r="E27" s="178">
        <f>'Economic Forecasts'!R$15</f>
        <v>3.5700000000000003E-2</v>
      </c>
      <c r="F27" s="177">
        <f>'Economic Forecasts'!S$15</f>
        <v>3.7499999999999999E-2</v>
      </c>
      <c r="G27" s="177">
        <f>'Economic Forecasts'!T$15</f>
        <v>3.0499999999999999E-2</v>
      </c>
      <c r="H27" s="177">
        <f>'Economic Forecasts'!U$15</f>
        <v>2.4299999999999999E-2</v>
      </c>
      <c r="I27" s="177">
        <f>'Economic Forecasts'!V$15</f>
        <v>2.6499999999999999E-2</v>
      </c>
      <c r="J27" s="177">
        <f>'Economic Forecasts'!W$15</f>
        <v>3.0300000000000001E-2</v>
      </c>
      <c r="K27" s="173">
        <f t="shared" ref="K27:T27" ca="1" si="12">(1+K$26)*(1+K$30)-1</f>
        <v>3.2419623583406887E-2</v>
      </c>
      <c r="L27" s="173">
        <f t="shared" ca="1" si="12"/>
        <v>3.1300795692850825E-2</v>
      </c>
      <c r="M27" s="173">
        <f t="shared" ca="1" si="12"/>
        <v>3.0200000000000005E-2</v>
      </c>
      <c r="N27" s="173">
        <f t="shared" ca="1" si="12"/>
        <v>3.0200000000000005E-2</v>
      </c>
      <c r="O27" s="173">
        <f t="shared" ca="1" si="12"/>
        <v>3.0200000000000005E-2</v>
      </c>
      <c r="P27" s="173">
        <f t="shared" ca="1" si="12"/>
        <v>3.0200000000000005E-2</v>
      </c>
      <c r="Q27" s="173">
        <f t="shared" ca="1" si="12"/>
        <v>3.0200000000000005E-2</v>
      </c>
      <c r="R27" s="173">
        <f t="shared" ca="1" si="12"/>
        <v>3.0200000000000005E-2</v>
      </c>
      <c r="S27" s="173">
        <f t="shared" ca="1" si="12"/>
        <v>3.0200000000000005E-2</v>
      </c>
      <c r="T27" s="173">
        <f t="shared" ca="1" si="12"/>
        <v>3.0200000000000005E-2</v>
      </c>
    </row>
    <row r="28" spans="1:20">
      <c r="A28" s="18" t="s">
        <v>264</v>
      </c>
      <c r="B28" s="4"/>
      <c r="D28" s="17"/>
      <c r="E28" s="178"/>
      <c r="F28" s="16"/>
      <c r="G28" s="16"/>
      <c r="H28" s="16"/>
      <c r="I28" s="16"/>
      <c r="J28" s="177"/>
      <c r="K28" s="10"/>
      <c r="L28" s="10"/>
      <c r="M28" s="10"/>
      <c r="N28" s="10"/>
      <c r="O28" s="10"/>
      <c r="P28" s="10"/>
      <c r="Q28" s="10"/>
      <c r="R28" s="10"/>
      <c r="S28" s="10"/>
      <c r="T28" s="173"/>
    </row>
    <row r="29" spans="1:20" ht="15">
      <c r="A29" s="2" t="s">
        <v>266</v>
      </c>
      <c r="B29" s="4" t="str">
        <f t="shared" si="11"/>
        <v>From Economic Forecasts</v>
      </c>
      <c r="D29" s="22">
        <f>'Economic Forecasts'!Q$14</f>
        <v>1032</v>
      </c>
      <c r="E29" s="181">
        <f>'Economic Forecasts'!R$14</f>
        <v>1047</v>
      </c>
      <c r="F29" s="23">
        <f>'Economic Forecasts'!S$14</f>
        <v>1072</v>
      </c>
      <c r="G29" s="23">
        <f>'Economic Forecasts'!T$14</f>
        <v>1090</v>
      </c>
      <c r="H29" s="23">
        <f>'Economic Forecasts'!U$14</f>
        <v>1110</v>
      </c>
      <c r="I29" s="23">
        <f>'Economic Forecasts'!V$14</f>
        <v>1133</v>
      </c>
      <c r="J29" s="182">
        <f>'Economic Forecasts'!W$14</f>
        <v>1157</v>
      </c>
      <c r="K29" s="3">
        <f ca="1">J$29*(1+J$30+MIN(OFFSET(Assumptions!$B$21,0,$C$1),ABS(OFFSET(Assumptions!$B$15,0,$C$1)-J$30))*SIGN(OFFSET(Assumptions!$B$15,0,$C$1)-J$30))</f>
        <v>1181.0455848190645</v>
      </c>
      <c r="L29" s="3">
        <f ca="1">K$29*(1+K$30+MIN(OFFSET(Assumptions!$B$21,0,$C$1),ABS(OFFSET(Assumptions!$B$15,0,$C$1)-K$30))*SIGN(OFFSET(Assumptions!$B$15,0,$C$1)-K$30))</f>
        <v>1205.1184835989211</v>
      </c>
      <c r="M29" s="3">
        <f ca="1">L$29*(1+L$30+MIN(OFFSET(Assumptions!$B$21,0,$C$1),ABS(OFFSET(Assumptions!$B$15,0,$C$1)-L$30))*SIGN(OFFSET(Assumptions!$B$15,0,$C$1)-L$30))</f>
        <v>1229.2208532708996</v>
      </c>
      <c r="N29" s="3">
        <f ca="1">M$29*(1+M$30+MIN(OFFSET(Assumptions!$B$21,0,$C$1),ABS(OFFSET(Assumptions!$B$15,0,$C$1)-M$30))*SIGN(OFFSET(Assumptions!$B$15,0,$C$1)-M$30))</f>
        <v>1253.8052703363176</v>
      </c>
      <c r="O29" s="3">
        <f ca="1">N$29*(1+N$30+MIN(OFFSET(Assumptions!$B$21,0,$C$1),ABS(OFFSET(Assumptions!$B$15,0,$C$1)-N$30))*SIGN(OFFSET(Assumptions!$B$15,0,$C$1)-N$30))</f>
        <v>1278.8813757430439</v>
      </c>
      <c r="P29" s="3">
        <f ca="1">O$29*(1+O$30+MIN(OFFSET(Assumptions!$B$21,0,$C$1),ABS(OFFSET(Assumptions!$B$15,0,$C$1)-O$30))*SIGN(OFFSET(Assumptions!$B$15,0,$C$1)-O$30))</f>
        <v>1304.4590032579049</v>
      </c>
      <c r="Q29" s="3">
        <f ca="1">P$29*(1+P$30+MIN(OFFSET(Assumptions!$B$21,0,$C$1),ABS(OFFSET(Assumptions!$B$15,0,$C$1)-P$30))*SIGN(OFFSET(Assumptions!$B$15,0,$C$1)-P$30))</f>
        <v>1330.5481833230631</v>
      </c>
      <c r="R29" s="3">
        <f ca="1">Q$29*(1+Q$30+MIN(OFFSET(Assumptions!$B$21,0,$C$1),ABS(OFFSET(Assumptions!$B$15,0,$C$1)-Q$30))*SIGN(OFFSET(Assumptions!$B$15,0,$C$1)-Q$30))</f>
        <v>1357.1591469895243</v>
      </c>
      <c r="S29" s="3">
        <f ca="1">R$29*(1+R$30+MIN(OFFSET(Assumptions!$B$21,0,$C$1),ABS(OFFSET(Assumptions!$B$15,0,$C$1)-R$30))*SIGN(OFFSET(Assumptions!$B$15,0,$C$1)-R$30))</f>
        <v>1384.3023299293147</v>
      </c>
      <c r="T29" s="169">
        <f ca="1">S$29*(1+S$30+MIN(OFFSET(Assumptions!$B$21,0,$C$1),ABS(OFFSET(Assumptions!$B$15,0,$C$1)-S$30))*SIGN(OFFSET(Assumptions!$B$15,0,$C$1)-S$30))</f>
        <v>1411.988376527901</v>
      </c>
    </row>
    <row r="30" spans="1:20">
      <c r="A30" s="4" t="str">
        <f>$A$12</f>
        <v>Annual percentage growth</v>
      </c>
      <c r="D30" s="17"/>
      <c r="E30" s="178">
        <f t="shared" ref="E30:T30" si="13">E$29/D$29-1</f>
        <v>1.4534883720930258E-2</v>
      </c>
      <c r="F30" s="177">
        <f t="shared" si="13"/>
        <v>2.387774594078329E-2</v>
      </c>
      <c r="G30" s="177">
        <f t="shared" si="13"/>
        <v>1.6791044776119479E-2</v>
      </c>
      <c r="H30" s="177">
        <f t="shared" si="13"/>
        <v>1.8348623853210899E-2</v>
      </c>
      <c r="I30" s="177">
        <f t="shared" si="13"/>
        <v>2.0720720720720731E-2</v>
      </c>
      <c r="J30" s="177">
        <f t="shared" si="13"/>
        <v>2.118270079435125E-2</v>
      </c>
      <c r="K30" s="10">
        <f t="shared" ca="1" si="13"/>
        <v>2.0782700794351294E-2</v>
      </c>
      <c r="L30" s="10">
        <f t="shared" ca="1" si="13"/>
        <v>2.0382700794351338E-2</v>
      </c>
      <c r="M30" s="10">
        <f t="shared" ca="1" si="13"/>
        <v>2.0000000000000018E-2</v>
      </c>
      <c r="N30" s="10">
        <f t="shared" ca="1" si="13"/>
        <v>2.0000000000000018E-2</v>
      </c>
      <c r="O30" s="10">
        <f t="shared" ca="1" si="13"/>
        <v>2.0000000000000018E-2</v>
      </c>
      <c r="P30" s="10">
        <f t="shared" ca="1" si="13"/>
        <v>2.0000000000000018E-2</v>
      </c>
      <c r="Q30" s="10">
        <f t="shared" ca="1" si="13"/>
        <v>2.0000000000000018E-2</v>
      </c>
      <c r="R30" s="10">
        <f t="shared" ca="1" si="13"/>
        <v>2.0000000000000018E-2</v>
      </c>
      <c r="S30" s="10">
        <f t="shared" ca="1" si="13"/>
        <v>2.0000000000000018E-2</v>
      </c>
      <c r="T30" s="173">
        <f t="shared" ca="1" si="13"/>
        <v>2.0000000000000018E-2</v>
      </c>
    </row>
    <row r="31" spans="1:20" ht="15">
      <c r="A31" s="2" t="s">
        <v>94</v>
      </c>
      <c r="B31" s="4" t="str">
        <f t="shared" si="11"/>
        <v>From Economic Forecasts</v>
      </c>
      <c r="D31" s="17">
        <f>'Economic Forecasts'!Q$16</f>
        <v>2.3099999999999999E-2</v>
      </c>
      <c r="E31" s="178">
        <f>'Economic Forecasts'!R$16</f>
        <v>1.18E-2</v>
      </c>
      <c r="F31" s="177">
        <f>'Economic Forecasts'!S$16</f>
        <v>1.1599999999999999E-2</v>
      </c>
      <c r="G31" s="177">
        <f>'Economic Forecasts'!T$16</f>
        <v>2.06E-2</v>
      </c>
      <c r="H31" s="177">
        <f>'Economic Forecasts'!U$16</f>
        <v>2.35E-2</v>
      </c>
      <c r="I31" s="177">
        <f>'Economic Forecasts'!V$16</f>
        <v>2.58E-2</v>
      </c>
      <c r="J31" s="177">
        <f>'Economic Forecasts'!W$16</f>
        <v>2.7999999999999997E-2</v>
      </c>
      <c r="K31" s="173">
        <f ca="1">J$31*(1+OFFSET(Assumptions!$B$22,0,$C$1)*(1-J$31/OFFSET(Assumptions!$B$16,0,$C$1)))</f>
        <v>2.9749999999999999E-2</v>
      </c>
      <c r="L31" s="173">
        <f ca="1">K$31*(1+OFFSET(Assumptions!$B$22,0,$C$1)*(1-K$31/OFFSET(Assumptions!$B$16,0,$C$1)))</f>
        <v>3.14466796875E-2</v>
      </c>
      <c r="M31" s="173">
        <f ca="1">L$31*(1+OFFSET(Assumptions!$B$22,0,$C$1)*(1-L$31/OFFSET(Assumptions!$B$16,0,$C$1)))</f>
        <v>3.3073388942599292E-2</v>
      </c>
      <c r="N31" s="173">
        <f ca="1">M$31*(1+OFFSET(Assumptions!$B$22,0,$C$1)*(1-M$31/OFFSET(Assumptions!$B$16,0,$C$1)))</f>
        <v>3.4616118983525283E-2</v>
      </c>
      <c r="O31" s="173">
        <f ca="1">N$31*(1+OFFSET(Assumptions!$B$22,0,$C$1)*(1-N$31/OFFSET(Assumptions!$B$16,0,$C$1)))</f>
        <v>3.6063925288924145E-2</v>
      </c>
      <c r="P31" s="173">
        <f ca="1">O$31*(1+OFFSET(Assumptions!$B$22,0,$C$1)*(1-O$31/OFFSET(Assumptions!$B$16,0,$C$1)))</f>
        <v>3.7409118122121818E-2</v>
      </c>
      <c r="Q31" s="173">
        <f ca="1">P$31*(1+OFFSET(Assumptions!$B$22,0,$C$1)*(1-P$31/OFFSET(Assumptions!$B$16,0,$C$1)))</f>
        <v>3.864722921958115E-2</v>
      </c>
      <c r="R31" s="173">
        <f ca="1">Q$31*(1+OFFSET(Assumptions!$B$22,0,$C$1)*(1-Q$31/OFFSET(Assumptions!$B$16,0,$C$1)))</f>
        <v>3.9776787582671926E-2</v>
      </c>
      <c r="S31" s="173">
        <f ca="1">R$31*(1+OFFSET(Assumptions!$B$22,0,$C$1)*(1-R$31/OFFSET(Assumptions!$B$16,0,$C$1)))</f>
        <v>4.0798953125082082E-2</v>
      </c>
      <c r="T31" s="173">
        <f ca="1">S$31*(1+OFFSET(Assumptions!$B$22,0,$C$1)*(1-S$31/OFFSET(Assumptions!$B$16,0,$C$1)))</f>
        <v>4.1717063043523628E-2</v>
      </c>
    </row>
    <row r="32" spans="1:20" ht="15">
      <c r="A32" s="2"/>
      <c r="B32" s="4"/>
      <c r="D32" s="39"/>
      <c r="E32" s="15"/>
      <c r="F32" s="15"/>
      <c r="G32" s="15"/>
      <c r="J32" s="167"/>
      <c r="K32" s="167"/>
      <c r="L32" s="167"/>
      <c r="M32" s="167"/>
      <c r="N32" s="167"/>
      <c r="O32" s="167"/>
      <c r="P32" s="167"/>
      <c r="Q32" s="167"/>
      <c r="R32" s="167"/>
      <c r="S32" s="167"/>
    </row>
    <row r="33" spans="1:20" ht="16.5">
      <c r="A33" s="54" t="s">
        <v>259</v>
      </c>
      <c r="D33" s="25"/>
      <c r="J33" s="167"/>
      <c r="K33" s="167"/>
      <c r="L33" s="167"/>
      <c r="M33" s="167"/>
      <c r="N33" s="167"/>
      <c r="O33" s="167"/>
      <c r="P33" s="167"/>
      <c r="Q33" s="167"/>
      <c r="R33" s="167"/>
      <c r="S33" s="167"/>
    </row>
    <row r="34" spans="1:20">
      <c r="A34" s="18" t="s">
        <v>125</v>
      </c>
      <c r="D34" s="104"/>
      <c r="J34" s="167"/>
    </row>
    <row r="35" spans="1:20">
      <c r="A35" s="1" t="s">
        <v>557</v>
      </c>
      <c r="B35" s="4"/>
      <c r="D35" s="175">
        <f t="shared" ref="D35:T35" ca="1" si="14">SUM(D$133,D$143,D$148,D$158,D$166,D$172)</f>
        <v>119.142</v>
      </c>
      <c r="E35" s="175">
        <f t="shared" ca="1" si="14"/>
        <v>116.003</v>
      </c>
      <c r="F35" s="176">
        <f t="shared" ca="1" si="14"/>
        <v>121.18700000000001</v>
      </c>
      <c r="G35" s="176">
        <f t="shared" ca="1" si="14"/>
        <v>123.869</v>
      </c>
      <c r="H35" s="176">
        <f t="shared" ca="1" si="14"/>
        <v>134.12899999999999</v>
      </c>
      <c r="I35" s="176">
        <f t="shared" ca="1" si="14"/>
        <v>141.27100000000002</v>
      </c>
      <c r="J35" s="176">
        <f t="shared" ca="1" si="14"/>
        <v>148.38399999999996</v>
      </c>
      <c r="K35" s="171">
        <f t="shared" ca="1" si="14"/>
        <v>155.7193686454184</v>
      </c>
      <c r="L35" s="171">
        <f t="shared" ca="1" si="14"/>
        <v>162.63608382100662</v>
      </c>
      <c r="M35" s="171">
        <f t="shared" ca="1" si="14"/>
        <v>169.51278283307073</v>
      </c>
      <c r="N35" s="171">
        <f t="shared" ca="1" si="14"/>
        <v>176.87544628526175</v>
      </c>
      <c r="O35" s="171">
        <f t="shared" ca="1" si="14"/>
        <v>184.17138204727183</v>
      </c>
      <c r="P35" s="171">
        <f t="shared" ca="1" si="14"/>
        <v>191.61684771613037</v>
      </c>
      <c r="Q35" s="171">
        <f t="shared" ca="1" si="14"/>
        <v>199.26666954800857</v>
      </c>
      <c r="R35" s="171">
        <f t="shared" ca="1" si="14"/>
        <v>207.08443846818437</v>
      </c>
      <c r="S35" s="171">
        <f t="shared" ca="1" si="14"/>
        <v>215.04387296114683</v>
      </c>
      <c r="T35" s="171">
        <f t="shared" ca="1" si="14"/>
        <v>223.23726350533278</v>
      </c>
    </row>
    <row r="36" spans="1:20">
      <c r="A36" s="1" t="s">
        <v>558</v>
      </c>
      <c r="B36" s="4"/>
      <c r="D36" s="175">
        <f t="shared" ref="D36:J36" si="15">SUM(D$186,D$209,D$215,D$226,D$233,D$240,D$245,D$248)</f>
        <v>111.376</v>
      </c>
      <c r="E36" s="175">
        <f t="shared" si="15"/>
        <v>138.91599999999997</v>
      </c>
      <c r="F36" s="176">
        <f t="shared" si="15"/>
        <v>136.202</v>
      </c>
      <c r="G36" s="176">
        <f t="shared" si="15"/>
        <v>142</v>
      </c>
      <c r="H36" s="176">
        <f t="shared" si="15"/>
        <v>143.26300000000001</v>
      </c>
      <c r="I36" s="176">
        <f t="shared" si="15"/>
        <v>146.58800000000002</v>
      </c>
      <c r="J36" s="176">
        <f t="shared" si="15"/>
        <v>150.38300000000001</v>
      </c>
      <c r="K36" s="171">
        <f t="shared" ref="K36:T36" ca="1" si="16">SUM(K$186,K$209,K$215,K$226,K$233,K$240,K$245,K$248)</f>
        <v>155.57943627544159</v>
      </c>
      <c r="L36" s="171">
        <f t="shared" ca="1" si="16"/>
        <v>162.00027054932016</v>
      </c>
      <c r="M36" s="171">
        <f t="shared" ca="1" si="16"/>
        <v>168.82253127385044</v>
      </c>
      <c r="N36" s="171">
        <f t="shared" ca="1" si="16"/>
        <v>175.95060305527764</v>
      </c>
      <c r="O36" s="171">
        <f t="shared" ca="1" si="16"/>
        <v>182.79303832073839</v>
      </c>
      <c r="P36" s="171">
        <f t="shared" ca="1" si="16"/>
        <v>190.17839901885273</v>
      </c>
      <c r="Q36" s="171">
        <f t="shared" ca="1" si="16"/>
        <v>197.73957357938374</v>
      </c>
      <c r="R36" s="171">
        <f t="shared" ca="1" si="16"/>
        <v>205.50078229266566</v>
      </c>
      <c r="S36" s="171">
        <f t="shared" ca="1" si="16"/>
        <v>213.44889141422271</v>
      </c>
      <c r="T36" s="171">
        <f t="shared" ca="1" si="16"/>
        <v>221.56653670510499</v>
      </c>
    </row>
    <row r="37" spans="1:20" s="167" customFormat="1">
      <c r="A37" s="167" t="s">
        <v>559</v>
      </c>
      <c r="B37" s="4"/>
      <c r="D37" s="175">
        <f t="shared" ref="D37:T37" si="17">D$337</f>
        <v>-7.1309999999999993</v>
      </c>
      <c r="E37" s="175">
        <f t="shared" si="17"/>
        <v>-8.7219999999999995</v>
      </c>
      <c r="F37" s="176">
        <f t="shared" si="17"/>
        <v>17.042999999999999</v>
      </c>
      <c r="G37" s="176">
        <f t="shared" si="17"/>
        <v>2.843</v>
      </c>
      <c r="H37" s="176">
        <f t="shared" si="17"/>
        <v>4.2480000000000002</v>
      </c>
      <c r="I37" s="176">
        <f t="shared" si="17"/>
        <v>4.7210000000000001</v>
      </c>
      <c r="J37" s="176">
        <f t="shared" si="17"/>
        <v>5.2530000000000001</v>
      </c>
      <c r="K37" s="171">
        <f t="shared" ca="1" si="17"/>
        <v>5.6878700557069681</v>
      </c>
      <c r="L37" s="171">
        <f t="shared" ca="1" si="17"/>
        <v>6.1355795077483597</v>
      </c>
      <c r="M37" s="171">
        <f t="shared" ca="1" si="17"/>
        <v>6.5930686222761299</v>
      </c>
      <c r="N37" s="171">
        <f t="shared" ca="1" si="17"/>
        <v>7.0596492862455316</v>
      </c>
      <c r="O37" s="171">
        <f t="shared" ca="1" si="17"/>
        <v>7.5364758370894833</v>
      </c>
      <c r="P37" s="171">
        <f t="shared" ca="1" si="17"/>
        <v>8.0204895573862665</v>
      </c>
      <c r="Q37" s="171">
        <f t="shared" ca="1" si="17"/>
        <v>8.5175927981823083</v>
      </c>
      <c r="R37" s="171">
        <f t="shared" ca="1" si="17"/>
        <v>9.0391359368261721</v>
      </c>
      <c r="S37" s="171">
        <f t="shared" ca="1" si="17"/>
        <v>9.5789026902946421</v>
      </c>
      <c r="T37" s="171">
        <f t="shared" ca="1" si="17"/>
        <v>10.123426542552092</v>
      </c>
    </row>
    <row r="38" spans="1:20" s="167" customFormat="1">
      <c r="A38" s="167" t="s">
        <v>245</v>
      </c>
      <c r="B38" s="4"/>
      <c r="D38" s="175">
        <f>D$341</f>
        <v>0.20599999999999999</v>
      </c>
      <c r="E38" s="175">
        <f t="shared" ref="E38:T38" si="18">E$341</f>
        <v>1.1930000000000001</v>
      </c>
      <c r="F38" s="176">
        <f t="shared" si="18"/>
        <v>-0.53500000000000003</v>
      </c>
      <c r="G38" s="176">
        <f t="shared" si="18"/>
        <v>-9.8000000000000004E-2</v>
      </c>
      <c r="H38" s="176">
        <f t="shared" si="18"/>
        <v>-1E-3</v>
      </c>
      <c r="I38" s="176">
        <f t="shared" si="18"/>
        <v>5.8999999999999997E-2</v>
      </c>
      <c r="J38" s="176">
        <f t="shared" si="18"/>
        <v>0.13800000000000001</v>
      </c>
      <c r="K38" s="171">
        <f t="shared" ca="1" si="18"/>
        <v>6.9333735184609654E-2</v>
      </c>
      <c r="L38" s="171">
        <f t="shared" ca="1" si="18"/>
        <v>7.2293498371891723E-2</v>
      </c>
      <c r="M38" s="171">
        <f t="shared" ca="1" si="18"/>
        <v>7.5286456488834558E-2</v>
      </c>
      <c r="N38" s="171">
        <f t="shared" ca="1" si="18"/>
        <v>7.8420548427607345E-2</v>
      </c>
      <c r="O38" s="171">
        <f t="shared" ca="1" si="18"/>
        <v>8.1622521012013727E-2</v>
      </c>
      <c r="P38" s="171">
        <f t="shared" ca="1" si="18"/>
        <v>8.4892002020944296E-2</v>
      </c>
      <c r="Q38" s="171">
        <f t="shared" ca="1" si="18"/>
        <v>8.8228750866023525E-2</v>
      </c>
      <c r="R38" s="171">
        <f t="shared" ca="1" si="18"/>
        <v>9.1623780143013256E-2</v>
      </c>
      <c r="S38" s="171">
        <f t="shared" ca="1" si="18"/>
        <v>9.5074381301489624E-2</v>
      </c>
      <c r="T38" s="171">
        <f t="shared" ca="1" si="18"/>
        <v>9.8627286600681527E-2</v>
      </c>
    </row>
    <row r="39" spans="1:20" s="167" customFormat="1">
      <c r="A39" s="167" t="s">
        <v>1232</v>
      </c>
      <c r="B39" s="4" t="s">
        <v>1243</v>
      </c>
      <c r="D39" s="175">
        <f>'Fiscal Forecasts'!D$29</f>
        <v>0.45200000000000001</v>
      </c>
      <c r="E39" s="175">
        <f>'Fiscal Forecasts'!E$29</f>
        <v>-0.40200000000000002</v>
      </c>
      <c r="F39" s="176">
        <f>'Fiscal Forecasts'!F$29</f>
        <v>0.219</v>
      </c>
      <c r="G39" s="176">
        <f>'Fiscal Forecasts'!G$29</f>
        <v>0.26200000000000001</v>
      </c>
      <c r="H39" s="176">
        <f>'Fiscal Forecasts'!H$29</f>
        <v>0.35799999999999998</v>
      </c>
      <c r="I39" s="176">
        <f>'Fiscal Forecasts'!I$29</f>
        <v>0.34399999999999997</v>
      </c>
      <c r="J39" s="176">
        <f>'Fiscal Forecasts'!J$29</f>
        <v>0.34699999999999998</v>
      </c>
      <c r="K39" s="171">
        <f ca="1">J$39*K$57/J$57</f>
        <v>0.37410554029231968</v>
      </c>
      <c r="L39" s="171">
        <f t="shared" ref="L39:T39" ca="1" si="19">K$39*L$57/K$57</f>
        <v>0.39418271204546662</v>
      </c>
      <c r="M39" s="171">
        <f t="shared" ca="1" si="19"/>
        <v>0.4137097771658681</v>
      </c>
      <c r="N39" s="171">
        <f t="shared" ca="1" si="19"/>
        <v>0.43315965830375713</v>
      </c>
      <c r="O39" s="171">
        <f t="shared" ca="1" si="19"/>
        <v>0.45200518497780778</v>
      </c>
      <c r="P39" s="171">
        <f t="shared" ca="1" si="19"/>
        <v>0.47011075620863974</v>
      </c>
      <c r="Q39" s="171">
        <f t="shared" ca="1" si="19"/>
        <v>0.4885888399561697</v>
      </c>
      <c r="R39" s="171">
        <f t="shared" ca="1" si="19"/>
        <v>0.50738966621495363</v>
      </c>
      <c r="S39" s="171">
        <f t="shared" ca="1" si="19"/>
        <v>0.52649823570758403</v>
      </c>
      <c r="T39" s="171">
        <f t="shared" ca="1" si="19"/>
        <v>0.54617334004225027</v>
      </c>
    </row>
    <row r="40" spans="1:20" s="167" customFormat="1" ht="15">
      <c r="A40" s="168" t="s">
        <v>564</v>
      </c>
      <c r="B40" s="4"/>
      <c r="D40" s="138">
        <f ca="1">SUM(D$35,-D$36,D$37,D$38,-D$39)</f>
        <v>0.38899999999999174</v>
      </c>
      <c r="E40" s="138">
        <f t="shared" ref="E40:T40" ca="1" si="20">SUM(E$35,-E$36,E$37,E$38,-E$39)</f>
        <v>-30.039999999999967</v>
      </c>
      <c r="F40" s="137">
        <f t="shared" ca="1" si="20"/>
        <v>1.2740000000000127</v>
      </c>
      <c r="G40" s="137">
        <f t="shared" ca="1" si="20"/>
        <v>-15.648000000000001</v>
      </c>
      <c r="H40" s="137">
        <f t="shared" ca="1" si="20"/>
        <v>-5.2450000000000143</v>
      </c>
      <c r="I40" s="137">
        <f t="shared" ca="1" si="20"/>
        <v>-0.88100000000000722</v>
      </c>
      <c r="J40" s="137">
        <f t="shared" ca="1" si="20"/>
        <v>3.044999999999948</v>
      </c>
      <c r="K40" s="140">
        <f t="shared" ca="1" si="20"/>
        <v>5.5230306205760629</v>
      </c>
      <c r="L40" s="140">
        <f t="shared" ca="1" si="20"/>
        <v>6.4495035657612432</v>
      </c>
      <c r="M40" s="140">
        <f t="shared" ca="1" si="20"/>
        <v>6.944896860819382</v>
      </c>
      <c r="N40" s="140">
        <f t="shared" ca="1" si="20"/>
        <v>7.6297534063534878</v>
      </c>
      <c r="O40" s="140">
        <f t="shared" ca="1" si="20"/>
        <v>8.5444368996571338</v>
      </c>
      <c r="P40" s="140">
        <f t="shared" ca="1" si="20"/>
        <v>9.0737195004762086</v>
      </c>
      <c r="Q40" s="140">
        <f t="shared" ca="1" si="20"/>
        <v>9.644328677716981</v>
      </c>
      <c r="R40" s="140">
        <f t="shared" ca="1" si="20"/>
        <v>10.207026226272944</v>
      </c>
      <c r="S40" s="140">
        <f t="shared" ca="1" si="20"/>
        <v>10.742460382812666</v>
      </c>
      <c r="T40" s="140">
        <f t="shared" ca="1" si="20"/>
        <v>11.346607289338307</v>
      </c>
    </row>
    <row r="41" spans="1:20">
      <c r="A41" s="1" t="s">
        <v>1221</v>
      </c>
      <c r="B41" s="4" t="str">
        <f>$B$39</f>
        <v>From Fiscal Forecasts</v>
      </c>
      <c r="D41" s="14">
        <f>'Fiscal Forecasts'!D$33</f>
        <v>0.115</v>
      </c>
      <c r="E41" s="175">
        <f>'Fiscal Forecasts'!E$33</f>
        <v>-0.54600000000000004</v>
      </c>
      <c r="F41" s="176">
        <f>'Fiscal Forecasts'!F$33</f>
        <v>0.107</v>
      </c>
      <c r="G41" s="176">
        <f>'Fiscal Forecasts'!G$33</f>
        <v>-1.6E-2</v>
      </c>
      <c r="H41" s="176">
        <f>'Fiscal Forecasts'!H$33</f>
        <v>6.0000000000000001E-3</v>
      </c>
      <c r="I41" s="176">
        <f>'Fiscal Forecasts'!I$33</f>
        <v>1.0999999999999999E-2</v>
      </c>
      <c r="J41" s="176">
        <f>'Fiscal Forecasts'!J$33</f>
        <v>0.01</v>
      </c>
      <c r="K41" s="6">
        <f ca="1">IF(K$6=OFFSET(Assumptions!$B$8,0,$C$1),AVERAGE(H$41/H$39,I$41/I$39,J$41/J$39),J$41/J$39)*K$39</f>
        <v>9.6712473021660968E-3</v>
      </c>
      <c r="L41" s="171">
        <f ca="1">IF(L$6=OFFSET(Assumptions!$B$8,0,$C$1),AVERAGE(I$41/I$39,J$41/J$39,K$41/K$39),K$41/K$39)*L$39</f>
        <v>1.0190275416534639E-2</v>
      </c>
      <c r="M41" s="171">
        <f ca="1">IF(M$6=OFFSET(Assumptions!$B$8,0,$C$1),AVERAGE(J$41/J$39,K$41/K$39,L$41/L$39),L$41/L$39)*M$39</f>
        <v>1.0695082364107079E-2</v>
      </c>
      <c r="N41" s="171">
        <f ca="1">IF(N$6=OFFSET(Assumptions!$B$8,0,$C$1),AVERAGE(K$41/K$39,L$41/L$39,M$41/M$39),M$41/M$39)*N$39</f>
        <v>1.1197893978004267E-2</v>
      </c>
      <c r="O41" s="171">
        <f ca="1">IF(O$6=OFFSET(Assumptions!$B$8,0,$C$1),AVERAGE(L$41/L$39,M$41/M$39,N$41/N$39),N$41/N$39)*O$39</f>
        <v>1.1685082028900003E-2</v>
      </c>
      <c r="P41" s="171">
        <f ca="1">IF(P$6=OFFSET(Assumptions!$B$8,0,$C$1),AVERAGE(M$41/M$39,N$41/N$39,O$41/O$39),O$41/O$39)*P$39</f>
        <v>1.2153141007079094E-2</v>
      </c>
      <c r="Q41" s="171">
        <f ca="1">IF(Q$6=OFFSET(Assumptions!$B$8,0,$C$1),AVERAGE(N$41/N$39,O$41/O$39,P$41/P$39),P$41/P$39)*Q$39</f>
        <v>1.2630830050264235E-2</v>
      </c>
      <c r="R41" s="171">
        <f ca="1">IF(R$6=OFFSET(Assumptions!$B$8,0,$C$1),AVERAGE(O$41/O$39,P$41/P$39,Q$41/Q$39),Q$41/Q$39)*R$39</f>
        <v>1.3116862521453195E-2</v>
      </c>
      <c r="S41" s="171">
        <f ca="1">IF(S$6=OFFSET(Assumptions!$B$8,0,$C$1),AVERAGE(P$41/P$39,Q$41/Q$39,R$41/R$39),R$41/R$39)*S$39</f>
        <v>1.3610850664503557E-2</v>
      </c>
      <c r="T41" s="171">
        <f ca="1">IF(T$6=OFFSET(Assumptions!$B$8,0,$C$1),AVERAGE(Q$41/Q$39,R$41/R$39,S$41/S$39),S$41/S$39)*T$39</f>
        <v>1.4119484670746271E-2</v>
      </c>
    </row>
    <row r="42" spans="1:20" ht="15">
      <c r="A42" s="2" t="s">
        <v>563</v>
      </c>
      <c r="B42" s="4"/>
      <c r="D42" s="138">
        <f ca="1">SUM(D$35,-D$36,-D$39,D$41)</f>
        <v>7.4289999999999914</v>
      </c>
      <c r="E42" s="138">
        <f t="shared" ref="E42:T42" ca="1" si="21">SUM(E$35,-E$36,-E$39,E$41)</f>
        <v>-23.056999999999967</v>
      </c>
      <c r="F42" s="137">
        <f t="shared" ca="1" si="21"/>
        <v>-15.126999999999986</v>
      </c>
      <c r="G42" s="137">
        <f t="shared" ca="1" si="21"/>
        <v>-18.408999999999999</v>
      </c>
      <c r="H42" s="137">
        <f t="shared" ca="1" si="21"/>
        <v>-9.4860000000000149</v>
      </c>
      <c r="I42" s="137">
        <f t="shared" ca="1" si="21"/>
        <v>-5.6500000000000075</v>
      </c>
      <c r="J42" s="137">
        <f t="shared" ca="1" si="21"/>
        <v>-2.3360000000000523</v>
      </c>
      <c r="K42" s="140">
        <f t="shared" ca="1" si="21"/>
        <v>-0.2245019230133489</v>
      </c>
      <c r="L42" s="140">
        <f t="shared" ca="1" si="21"/>
        <v>0.25182083505752684</v>
      </c>
      <c r="M42" s="140">
        <f t="shared" ca="1" si="21"/>
        <v>0.28723686441852503</v>
      </c>
      <c r="N42" s="140">
        <f t="shared" ca="1" si="21"/>
        <v>0.50288146565835279</v>
      </c>
      <c r="O42" s="140">
        <f t="shared" ca="1" si="21"/>
        <v>0.93802362358453639</v>
      </c>
      <c r="P42" s="140">
        <f t="shared" ca="1" si="21"/>
        <v>0.98049108207607516</v>
      </c>
      <c r="Q42" s="140">
        <f t="shared" ca="1" si="21"/>
        <v>1.0511379587189149</v>
      </c>
      <c r="R42" s="140">
        <f t="shared" ca="1" si="21"/>
        <v>1.0893833718252115</v>
      </c>
      <c r="S42" s="140">
        <f t="shared" ca="1" si="21"/>
        <v>1.0820941618810369</v>
      </c>
      <c r="T42" s="140">
        <f t="shared" ca="1" si="21"/>
        <v>1.1386729448562787</v>
      </c>
    </row>
    <row r="43" spans="1:20" s="167" customFormat="1" ht="15">
      <c r="A43" s="26" t="s">
        <v>1233</v>
      </c>
      <c r="B43" s="4" t="s">
        <v>634</v>
      </c>
      <c r="D43" s="170" t="str">
        <f ca="1">IF(ROUND('Fiscal Forecasts'!D$34-D$42,3)=0,"OK","ERROR")</f>
        <v>OK</v>
      </c>
      <c r="E43" s="170" t="str">
        <f ca="1">IF(ROUND('Fiscal Forecasts'!E$34-E$42,3)=0,"OK","ERROR")</f>
        <v>OK</v>
      </c>
      <c r="F43" s="170" t="str">
        <f ca="1">IF(ROUND('Fiscal Forecasts'!F$34-F$42,3)=0,"OK","ERROR")</f>
        <v>OK</v>
      </c>
      <c r="G43" s="170" t="str">
        <f ca="1">IF(ROUND('Fiscal Forecasts'!G$34-G$42,3)=0,"OK","ERROR")</f>
        <v>OK</v>
      </c>
      <c r="H43" s="170" t="str">
        <f ca="1">IF(ROUND('Fiscal Forecasts'!H$34-H$42,3)=0,"OK","ERROR")</f>
        <v>OK</v>
      </c>
      <c r="I43" s="170" t="str">
        <f ca="1">IF(ROUND('Fiscal Forecasts'!I$34-I$42,3)=0,"OK","ERROR")</f>
        <v>OK</v>
      </c>
      <c r="J43" s="170" t="str">
        <f ca="1">IF(ROUND('Fiscal Forecasts'!J$34-J$42,3)=0,"OK","ERROR")</f>
        <v>OK</v>
      </c>
      <c r="K43" s="146"/>
      <c r="L43" s="146"/>
      <c r="M43" s="146"/>
      <c r="N43" s="146"/>
      <c r="O43" s="146"/>
      <c r="P43" s="146"/>
      <c r="Q43" s="146"/>
      <c r="R43" s="146"/>
      <c r="S43" s="146"/>
      <c r="T43" s="146"/>
    </row>
    <row r="44" spans="1:20" s="167" customFormat="1" ht="15">
      <c r="A44" s="26" t="s">
        <v>565</v>
      </c>
      <c r="D44" s="170" t="str">
        <f t="shared" ref="D44:T44" si="22">IF(ROUND(D$36-SUM(D$192,D$233,D$245,D$248,D$253,D$259,D$268,D$276,D$280,D$284,D$291,D$298,D$302,D$306,D$310,D$316,D$320),3)=0,"OK","ERROR")</f>
        <v>OK</v>
      </c>
      <c r="E44" s="170" t="str">
        <f t="shared" si="22"/>
        <v>OK</v>
      </c>
      <c r="F44" s="170" t="str">
        <f t="shared" si="22"/>
        <v>OK</v>
      </c>
      <c r="G44" s="170" t="str">
        <f t="shared" si="22"/>
        <v>OK</v>
      </c>
      <c r="H44" s="170" t="str">
        <f t="shared" si="22"/>
        <v>OK</v>
      </c>
      <c r="I44" s="170" t="str">
        <f t="shared" si="22"/>
        <v>OK</v>
      </c>
      <c r="J44" s="170" t="str">
        <f t="shared" si="22"/>
        <v>OK</v>
      </c>
      <c r="K44" s="170" t="str">
        <f t="shared" ca="1" si="22"/>
        <v>OK</v>
      </c>
      <c r="L44" s="170" t="str">
        <f t="shared" ca="1" si="22"/>
        <v>OK</v>
      </c>
      <c r="M44" s="170" t="str">
        <f t="shared" ca="1" si="22"/>
        <v>OK</v>
      </c>
      <c r="N44" s="170" t="str">
        <f t="shared" ca="1" si="22"/>
        <v>OK</v>
      </c>
      <c r="O44" s="170" t="str">
        <f t="shared" ca="1" si="22"/>
        <v>OK</v>
      </c>
      <c r="P44" s="170" t="str">
        <f t="shared" ca="1" si="22"/>
        <v>OK</v>
      </c>
      <c r="Q44" s="170" t="str">
        <f t="shared" ca="1" si="22"/>
        <v>OK</v>
      </c>
      <c r="R44" s="170" t="str">
        <f t="shared" ca="1" si="22"/>
        <v>OK</v>
      </c>
      <c r="S44" s="170" t="str">
        <f t="shared" ca="1" si="22"/>
        <v>OK</v>
      </c>
      <c r="T44" s="170" t="str">
        <f t="shared" ca="1" si="22"/>
        <v>OK</v>
      </c>
    </row>
    <row r="45" spans="1:20" ht="15">
      <c r="A45" s="1" t="s">
        <v>561</v>
      </c>
      <c r="D45" s="142">
        <f t="shared" ref="D45:T45" ca="1" si="23">SUM(D$135,D$140,D$147,D$154,D$163,D$171)</f>
        <v>93.474000000000004</v>
      </c>
      <c r="E45" s="142">
        <f t="shared" ca="1" si="23"/>
        <v>91.923000000000002</v>
      </c>
      <c r="F45" s="141">
        <f t="shared" ca="1" si="23"/>
        <v>97.942000000000007</v>
      </c>
      <c r="G45" s="141">
        <f t="shared" ca="1" si="23"/>
        <v>99.778000000000006</v>
      </c>
      <c r="H45" s="141">
        <f t="shared" ca="1" si="23"/>
        <v>108.93700000000001</v>
      </c>
      <c r="I45" s="141">
        <f t="shared" ca="1" si="23"/>
        <v>114.88300000000002</v>
      </c>
      <c r="J45" s="141">
        <f t="shared" ca="1" si="23"/>
        <v>121.343</v>
      </c>
      <c r="K45" s="134">
        <f t="shared" ca="1" si="23"/>
        <v>126.79500888525972</v>
      </c>
      <c r="L45" s="134">
        <f t="shared" ca="1" si="23"/>
        <v>132.43200089421401</v>
      </c>
      <c r="M45" s="134">
        <f t="shared" ca="1" si="23"/>
        <v>138.01176263418395</v>
      </c>
      <c r="N45" s="134">
        <f t="shared" ca="1" si="23"/>
        <v>144.02942759532118</v>
      </c>
      <c r="O45" s="134">
        <f t="shared" ca="1" si="23"/>
        <v>149.94531595735938</v>
      </c>
      <c r="P45" s="134">
        <f t="shared" ca="1" si="23"/>
        <v>155.98305093461477</v>
      </c>
      <c r="Q45" s="134">
        <f t="shared" ca="1" si="23"/>
        <v>162.19882671441556</v>
      </c>
      <c r="R45" s="134">
        <f t="shared" ca="1" si="23"/>
        <v>168.54332381214937</v>
      </c>
      <c r="S45" s="134">
        <f t="shared" ca="1" si="23"/>
        <v>174.99772783592115</v>
      </c>
      <c r="T45" s="134">
        <f t="shared" ca="1" si="23"/>
        <v>181.64484783663247</v>
      </c>
    </row>
    <row r="46" spans="1:20" ht="15">
      <c r="A46" s="1" t="s">
        <v>562</v>
      </c>
      <c r="D46" s="142">
        <f t="shared" ref="D46:T46" si="24">SUM(D$187,D$205,D$212,D$222,D$229,D$237,D$245,D$248)</f>
        <v>86.959000000000003</v>
      </c>
      <c r="E46" s="142">
        <f t="shared" si="24"/>
        <v>108.83199999999999</v>
      </c>
      <c r="F46" s="141">
        <f t="shared" si="24"/>
        <v>110.745</v>
      </c>
      <c r="G46" s="141">
        <f t="shared" si="24"/>
        <v>114.71699999999998</v>
      </c>
      <c r="H46" s="141">
        <f t="shared" si="24"/>
        <v>115.43599999999999</v>
      </c>
      <c r="I46" s="141">
        <f t="shared" si="24"/>
        <v>117.803</v>
      </c>
      <c r="J46" s="141">
        <f t="shared" si="24"/>
        <v>121.145</v>
      </c>
      <c r="K46" s="134">
        <f t="shared" ca="1" si="24"/>
        <v>124.35789502951371</v>
      </c>
      <c r="L46" s="134">
        <f t="shared" ca="1" si="24"/>
        <v>129.14521062492744</v>
      </c>
      <c r="M46" s="134">
        <f t="shared" ca="1" si="24"/>
        <v>134.25044096537923</v>
      </c>
      <c r="N46" s="134">
        <f t="shared" ca="1" si="24"/>
        <v>139.56377524408558</v>
      </c>
      <c r="O46" s="134">
        <f t="shared" ca="1" si="24"/>
        <v>144.52138722004506</v>
      </c>
      <c r="P46" s="134">
        <f t="shared" ca="1" si="24"/>
        <v>149.92751791926608</v>
      </c>
      <c r="Q46" s="134">
        <f t="shared" ca="1" si="24"/>
        <v>155.42308572740987</v>
      </c>
      <c r="R46" s="134">
        <f t="shared" ca="1" si="24"/>
        <v>161.02346545829258</v>
      </c>
      <c r="S46" s="134">
        <f t="shared" ca="1" si="24"/>
        <v>166.71912063187068</v>
      </c>
      <c r="T46" s="134">
        <f t="shared" ca="1" si="24"/>
        <v>172.48219203518784</v>
      </c>
    </row>
    <row r="47" spans="1:20" ht="15">
      <c r="A47" s="1" t="s">
        <v>246</v>
      </c>
      <c r="D47" s="142">
        <f t="shared" ref="D47:T47" ca="1" si="25">SUM(D$45,-D$46,D$333,D$340)</f>
        <v>9.7070000000000007</v>
      </c>
      <c r="E47" s="142">
        <f t="shared" ca="1" si="25"/>
        <v>-20.882999999999992</v>
      </c>
      <c r="F47" s="141">
        <f t="shared" ca="1" si="25"/>
        <v>-8.5649999999999977</v>
      </c>
      <c r="G47" s="141">
        <f t="shared" ca="1" si="25"/>
        <v>-12.118999999999978</v>
      </c>
      <c r="H47" s="141">
        <f t="shared" ca="1" si="25"/>
        <v>-2.4939999999999811</v>
      </c>
      <c r="I47" s="141">
        <f t="shared" ca="1" si="25"/>
        <v>1.4190000000000271</v>
      </c>
      <c r="J47" s="141">
        <f t="shared" ca="1" si="25"/>
        <v>4.9000000000000075</v>
      </c>
      <c r="K47" s="134">
        <f t="shared" ca="1" si="25"/>
        <v>7.5596261369850239</v>
      </c>
      <c r="L47" s="134">
        <f t="shared" ca="1" si="25"/>
        <v>8.8140244396119058</v>
      </c>
      <c r="M47" s="134">
        <f t="shared" ca="1" si="25"/>
        <v>9.6998979279303867</v>
      </c>
      <c r="N47" s="134">
        <f t="shared" ca="1" si="25"/>
        <v>10.823422616557879</v>
      </c>
      <c r="O47" s="134">
        <f t="shared" ca="1" si="25"/>
        <v>12.211239063285003</v>
      </c>
      <c r="P47" s="134">
        <f t="shared" ca="1" si="25"/>
        <v>13.284890900396606</v>
      </c>
      <c r="Q47" s="134">
        <f t="shared" ca="1" si="25"/>
        <v>14.46076986731496</v>
      </c>
      <c r="R47" s="134">
        <f t="shared" ca="1" si="25"/>
        <v>15.673637294424069</v>
      </c>
      <c r="S47" s="134">
        <f t="shared" ca="1" si="25"/>
        <v>16.912803079410686</v>
      </c>
      <c r="T47" s="134">
        <f t="shared" ca="1" si="25"/>
        <v>18.289002389920689</v>
      </c>
    </row>
    <row r="48" spans="1:20" ht="15">
      <c r="A48" s="1" t="s">
        <v>566</v>
      </c>
      <c r="B48" s="4"/>
      <c r="D48" s="142">
        <f t="shared" ref="D48:T48" ca="1" si="26">SUM(D$45-D$154)-SUM(D$46-D$229)</f>
        <v>9.144999999999996</v>
      </c>
      <c r="E48" s="142">
        <f t="shared" ca="1" si="26"/>
        <v>-14.530999999999992</v>
      </c>
      <c r="F48" s="141">
        <f t="shared" ca="1" si="26"/>
        <v>-11.551000000000002</v>
      </c>
      <c r="G48" s="141">
        <f t="shared" ca="1" si="26"/>
        <v>-13.927999999999983</v>
      </c>
      <c r="H48" s="141">
        <f t="shared" ca="1" si="26"/>
        <v>-5.4359999999999786</v>
      </c>
      <c r="I48" s="141">
        <f t="shared" ca="1" si="26"/>
        <v>-1.4289999999999736</v>
      </c>
      <c r="J48" s="141">
        <f t="shared" ca="1" si="26"/>
        <v>2.119000000000014</v>
      </c>
      <c r="K48" s="134">
        <f t="shared" ca="1" si="26"/>
        <v>4.9713516917306748</v>
      </c>
      <c r="L48" s="134">
        <f t="shared" ca="1" si="26"/>
        <v>6.2587568441237806</v>
      </c>
      <c r="M48" s="134">
        <f t="shared" ca="1" si="26"/>
        <v>7.2458274737974762</v>
      </c>
      <c r="N48" s="134">
        <f t="shared" ca="1" si="26"/>
        <v>8.4656697369949825</v>
      </c>
      <c r="O48" s="134">
        <f t="shared" ca="1" si="26"/>
        <v>9.9281432659883535</v>
      </c>
      <c r="P48" s="134">
        <f t="shared" ca="1" si="26"/>
        <v>11.044612983222436</v>
      </c>
      <c r="Q48" s="134">
        <f t="shared" ca="1" si="26"/>
        <v>12.227484629298999</v>
      </c>
      <c r="R48" s="134">
        <f t="shared" ca="1" si="26"/>
        <v>13.406391221943466</v>
      </c>
      <c r="S48" s="134">
        <f t="shared" ca="1" si="26"/>
        <v>14.563022928283516</v>
      </c>
      <c r="T48" s="134">
        <f t="shared" ca="1" si="26"/>
        <v>15.799369516504186</v>
      </c>
    </row>
    <row r="49" spans="1:20" ht="15">
      <c r="A49" s="1" t="s">
        <v>567</v>
      </c>
      <c r="B49" s="4"/>
      <c r="D49" s="142">
        <f t="shared" ref="D49:T49" si="27">D$492</f>
        <v>-0.7100000000000124</v>
      </c>
      <c r="E49" s="142">
        <f t="shared" si="27"/>
        <v>-23.692000000000007</v>
      </c>
      <c r="F49" s="141">
        <f t="shared" si="27"/>
        <v>-25.27699999999999</v>
      </c>
      <c r="G49" s="141">
        <f t="shared" si="27"/>
        <v>-39.231999999999985</v>
      </c>
      <c r="H49" s="141">
        <f t="shared" si="27"/>
        <v>-25.653999999999993</v>
      </c>
      <c r="I49" s="141">
        <f t="shared" si="27"/>
        <v>-5.9989999999999952</v>
      </c>
      <c r="J49" s="141">
        <f t="shared" si="27"/>
        <v>3.2839999999999776</v>
      </c>
      <c r="K49" s="134">
        <f t="shared" ca="1" si="27"/>
        <v>4.0842281472244162</v>
      </c>
      <c r="L49" s="134">
        <f t="shared" ca="1" si="27"/>
        <v>-3.5339960021853365</v>
      </c>
      <c r="M49" s="134">
        <f t="shared" ca="1" si="27"/>
        <v>-2.7580125040784935</v>
      </c>
      <c r="N49" s="134">
        <f t="shared" ca="1" si="27"/>
        <v>-1.8708409601679019</v>
      </c>
      <c r="O49" s="134">
        <f t="shared" ca="1" si="27"/>
        <v>-0.69905003646084651</v>
      </c>
      <c r="P49" s="134">
        <f t="shared" ca="1" si="27"/>
        <v>0.12127512769590254</v>
      </c>
      <c r="Q49" s="134">
        <f t="shared" ca="1" si="27"/>
        <v>0.94482570642452401</v>
      </c>
      <c r="R49" s="134">
        <f t="shared" ca="1" si="27"/>
        <v>1.8151333750039349</v>
      </c>
      <c r="S49" s="134">
        <f t="shared" ca="1" si="27"/>
        <v>2.7411411187532213</v>
      </c>
      <c r="T49" s="134">
        <f t="shared" ca="1" si="27"/>
        <v>3.7707157973703644</v>
      </c>
    </row>
    <row r="50" spans="1:20" s="167" customFormat="1" ht="15">
      <c r="A50" s="26" t="s">
        <v>1234</v>
      </c>
      <c r="B50" s="4" t="str">
        <f>$B$43</f>
        <v>History &amp; Forecast only</v>
      </c>
      <c r="D50" s="170" t="str">
        <f ca="1">IF(ROUND('Fiscal Forecasts'!D$169-D$47,3)=0,"OK","ERROR")</f>
        <v>OK</v>
      </c>
      <c r="E50" s="170" t="str">
        <f ca="1">IF(ROUND('Fiscal Forecasts'!E$169-E$47,3)=0,"OK","ERROR")</f>
        <v>OK</v>
      </c>
      <c r="F50" s="170" t="str">
        <f ca="1">IF(ROUND('Fiscal Forecasts'!F$169-F$47,3)=0,"OK","ERROR")</f>
        <v>OK</v>
      </c>
      <c r="G50" s="170" t="str">
        <f ca="1">IF(ROUND('Fiscal Forecasts'!G$169-G$47,3)=0,"OK","ERROR")</f>
        <v>OK</v>
      </c>
      <c r="H50" s="170" t="str">
        <f ca="1">IF(ROUND('Fiscal Forecasts'!H$169-H$47,3)=0,"OK","ERROR")</f>
        <v>OK</v>
      </c>
      <c r="I50" s="170" t="str">
        <f ca="1">IF(ROUND('Fiscal Forecasts'!I$169-I$47,3)=0,"OK","ERROR")</f>
        <v>OK</v>
      </c>
      <c r="J50" s="170" t="str">
        <f ca="1">IF(ROUND('Fiscal Forecasts'!J$169-J$47,3)=0,"OK","ERROR")</f>
        <v>OK</v>
      </c>
      <c r="K50" s="170"/>
      <c r="L50" s="170"/>
      <c r="M50" s="170"/>
      <c r="N50" s="170"/>
      <c r="O50" s="170"/>
      <c r="P50" s="170"/>
      <c r="Q50" s="170"/>
      <c r="R50" s="170"/>
      <c r="S50" s="170"/>
      <c r="T50" s="170"/>
    </row>
    <row r="51" spans="1:20" ht="15">
      <c r="A51" s="26" t="s">
        <v>568</v>
      </c>
      <c r="B51" s="167"/>
      <c r="C51" s="167"/>
      <c r="D51" s="164" t="str">
        <f>IF(ROUND(D$46-SUM(D$189,D$229,D$245,D$248,D$252,D$256,D$265,D$275,D$279,D$283,D$287,D$297,D$301,D$305,D$309,D$315,D$319)-0.001,3)=0,"OK","ERROR")</f>
        <v>OK</v>
      </c>
      <c r="E51" s="170" t="str">
        <f>IF(ROUND(E$46-SUM(E$189,E$229,E$245,E$248,E$252,E$256,E$265,E$275,E$279,E$283,E$287,E$297,E$301,E$305,E$309,E$315,E$319),3)=0,"OK","ERROR")</f>
        <v>OK</v>
      </c>
      <c r="F51" s="170" t="str">
        <f>IF(ROUND(F$46-SUM(F$189,F$229,F$245,F$248,F$252,F$256,F$265,F$275,F$279,F$283,F$287,F$297,F$301,F$305,F$309,F$315,F$319),3)=0,"OK","ERROR")</f>
        <v>OK</v>
      </c>
      <c r="G51" s="170" t="str">
        <f t="shared" ref="G51:T51" si="28">IF(ROUND(G$46-SUM(G$189,G$229,G$245,G$248,G$252,G$256,G$265,G$275,G$279,G$283,G$287,G$297,G$301,G$305,G$309,G$315,G$319),3)=0,"OK","ERROR")</f>
        <v>OK</v>
      </c>
      <c r="H51" s="170" t="str">
        <f t="shared" si="28"/>
        <v>OK</v>
      </c>
      <c r="I51" s="170" t="str">
        <f t="shared" si="28"/>
        <v>OK</v>
      </c>
      <c r="J51" s="170" t="str">
        <f t="shared" si="28"/>
        <v>OK</v>
      </c>
      <c r="K51" s="170" t="str">
        <f t="shared" ca="1" si="28"/>
        <v>OK</v>
      </c>
      <c r="L51" s="170" t="str">
        <f t="shared" ca="1" si="28"/>
        <v>OK</v>
      </c>
      <c r="M51" s="170" t="str">
        <f t="shared" ca="1" si="28"/>
        <v>OK</v>
      </c>
      <c r="N51" s="170" t="str">
        <f t="shared" ca="1" si="28"/>
        <v>OK</v>
      </c>
      <c r="O51" s="170" t="str">
        <f t="shared" ca="1" si="28"/>
        <v>OK</v>
      </c>
      <c r="P51" s="170" t="str">
        <f t="shared" ca="1" si="28"/>
        <v>OK</v>
      </c>
      <c r="Q51" s="170" t="str">
        <f t="shared" ca="1" si="28"/>
        <v>OK</v>
      </c>
      <c r="R51" s="170" t="str">
        <f t="shared" ca="1" si="28"/>
        <v>OK</v>
      </c>
      <c r="S51" s="170" t="str">
        <f t="shared" ca="1" si="28"/>
        <v>OK</v>
      </c>
      <c r="T51" s="170" t="str">
        <f t="shared" ca="1" si="28"/>
        <v>OK</v>
      </c>
    </row>
    <row r="52" spans="1:20" s="167" customFormat="1" ht="15">
      <c r="A52" s="26"/>
      <c r="D52" s="170"/>
      <c r="E52" s="170"/>
      <c r="F52" s="170"/>
      <c r="G52" s="170"/>
      <c r="H52" s="170"/>
      <c r="I52" s="170"/>
      <c r="J52" s="170"/>
      <c r="K52" s="170"/>
      <c r="L52" s="170"/>
      <c r="M52" s="170"/>
      <c r="N52" s="170"/>
      <c r="O52" s="170"/>
      <c r="P52" s="170"/>
      <c r="Q52" s="170"/>
      <c r="R52" s="170"/>
      <c r="S52" s="170"/>
      <c r="T52" s="170"/>
    </row>
    <row r="53" spans="1:20">
      <c r="A53" s="18" t="s">
        <v>197</v>
      </c>
      <c r="J53" s="167"/>
    </row>
    <row r="54" spans="1:20">
      <c r="A54" s="1" t="s">
        <v>569</v>
      </c>
      <c r="D54" s="175">
        <f t="shared" ref="D54:T54" ca="1" si="29">SUM(D$347,D$354,D$363,D$372,D$388,D$398,D$411,D$415,D$421,D$430,D$436,D$442,D$443)</f>
        <v>364.65199999999999</v>
      </c>
      <c r="E54" s="175">
        <f t="shared" ca="1" si="29"/>
        <v>393.4</v>
      </c>
      <c r="F54" s="176">
        <f t="shared" ca="1" si="29"/>
        <v>406.952</v>
      </c>
      <c r="G54" s="176">
        <f t="shared" ca="1" si="29"/>
        <v>434.23899999999998</v>
      </c>
      <c r="H54" s="176">
        <f t="shared" ca="1" si="29"/>
        <v>460.14299999999997</v>
      </c>
      <c r="I54" s="176">
        <f t="shared" ca="1" si="29"/>
        <v>470.37099999999998</v>
      </c>
      <c r="J54" s="176">
        <f t="shared" ca="1" si="29"/>
        <v>475.05299999999988</v>
      </c>
      <c r="K54" s="171">
        <f t="shared" ca="1" si="29"/>
        <v>489.21320605440525</v>
      </c>
      <c r="L54" s="171">
        <f t="shared" ca="1" si="29"/>
        <v>513.11440071681875</v>
      </c>
      <c r="M54" s="171">
        <f t="shared" ca="1" si="29"/>
        <v>537.086109226914</v>
      </c>
      <c r="N54" s="171">
        <f t="shared" ca="1" si="29"/>
        <v>561.07973415323397</v>
      </c>
      <c r="O54" s="171">
        <f t="shared" ca="1" si="29"/>
        <v>584.96940473094719</v>
      </c>
      <c r="P54" s="171">
        <f t="shared" ca="1" si="29"/>
        <v>608.76744458672135</v>
      </c>
      <c r="Q54" s="171">
        <f t="shared" ca="1" si="29"/>
        <v>632.71955714387832</v>
      </c>
      <c r="R54" s="171">
        <f t="shared" ca="1" si="29"/>
        <v>656.83689635206281</v>
      </c>
      <c r="S54" s="171">
        <f t="shared" ca="1" si="29"/>
        <v>681.12438355975905</v>
      </c>
      <c r="T54" s="171">
        <f t="shared" ca="1" si="29"/>
        <v>705.68088770290728</v>
      </c>
    </row>
    <row r="55" spans="1:20">
      <c r="A55" s="1" t="s">
        <v>573</v>
      </c>
      <c r="D55" s="14">
        <f t="shared" ref="D55:T55" si="30">SUM(D$69,D$446,D$453,D$457,D$463,D$468,D$474)</f>
        <v>221.31299999999999</v>
      </c>
      <c r="E55" s="175">
        <f t="shared" si="30"/>
        <v>277.45699999999999</v>
      </c>
      <c r="F55" s="15">
        <f t="shared" si="30"/>
        <v>289.68899999999996</v>
      </c>
      <c r="G55" s="15">
        <f t="shared" si="30"/>
        <v>332.05199999999996</v>
      </c>
      <c r="H55" s="15">
        <f t="shared" si="30"/>
        <v>362.99799999999999</v>
      </c>
      <c r="I55" s="15">
        <f t="shared" si="30"/>
        <v>373.93199999999996</v>
      </c>
      <c r="J55" s="176">
        <f t="shared" si="30"/>
        <v>375.41000000000008</v>
      </c>
      <c r="K55" s="6">
        <f t="shared" ca="1" si="30"/>
        <v>384.0471754338293</v>
      </c>
      <c r="L55" s="6">
        <f t="shared" ca="1" si="30"/>
        <v>401.49886653048151</v>
      </c>
      <c r="M55" s="6">
        <f t="shared" ca="1" si="30"/>
        <v>418.52567817975751</v>
      </c>
      <c r="N55" s="6">
        <f t="shared" ca="1" si="30"/>
        <v>434.88954969972389</v>
      </c>
      <c r="O55" s="6">
        <f t="shared" ca="1" si="30"/>
        <v>450.2347833777801</v>
      </c>
      <c r="P55" s="6">
        <f t="shared" ca="1" si="30"/>
        <v>464.95910373307805</v>
      </c>
      <c r="Q55" s="6">
        <f t="shared" ca="1" si="30"/>
        <v>479.26688761251819</v>
      </c>
      <c r="R55" s="104">
        <f t="shared" ca="1" si="30"/>
        <v>493.17720059442951</v>
      </c>
      <c r="S55" s="104">
        <f t="shared" ca="1" si="30"/>
        <v>506.72222741931307</v>
      </c>
      <c r="T55" s="171">
        <f t="shared" ca="1" si="30"/>
        <v>519.93212427312324</v>
      </c>
    </row>
    <row r="56" spans="1:20" ht="15">
      <c r="A56" s="2" t="s">
        <v>574</v>
      </c>
      <c r="B56" s="4"/>
      <c r="D56" s="34">
        <f t="shared" ref="D56:T56" ca="1" si="31">SUM(D$54,-D$55)</f>
        <v>143.339</v>
      </c>
      <c r="E56" s="138">
        <f t="shared" ca="1" si="31"/>
        <v>115.94299999999998</v>
      </c>
      <c r="F56" s="33">
        <f t="shared" ca="1" si="31"/>
        <v>117.26300000000003</v>
      </c>
      <c r="G56" s="33">
        <f t="shared" ca="1" si="31"/>
        <v>102.18700000000001</v>
      </c>
      <c r="H56" s="33">
        <f t="shared" ca="1" si="31"/>
        <v>97.144999999999982</v>
      </c>
      <c r="I56" s="33">
        <f t="shared" ca="1" si="31"/>
        <v>96.439000000000021</v>
      </c>
      <c r="J56" s="137">
        <f t="shared" ca="1" si="31"/>
        <v>99.642999999999802</v>
      </c>
      <c r="K56" s="37">
        <f t="shared" ca="1" si="31"/>
        <v>105.16603062057595</v>
      </c>
      <c r="L56" s="37">
        <f t="shared" ca="1" si="31"/>
        <v>111.61553418633724</v>
      </c>
      <c r="M56" s="37">
        <f t="shared" ca="1" si="31"/>
        <v>118.5604310471565</v>
      </c>
      <c r="N56" s="37">
        <f t="shared" ca="1" si="31"/>
        <v>126.19018445351008</v>
      </c>
      <c r="O56" s="37">
        <f t="shared" ca="1" si="31"/>
        <v>134.73462135316709</v>
      </c>
      <c r="P56" s="37">
        <f t="shared" ca="1" si="31"/>
        <v>143.8083408536433</v>
      </c>
      <c r="Q56" s="37">
        <f t="shared" ca="1" si="31"/>
        <v>153.45266953136013</v>
      </c>
      <c r="R56" s="37">
        <f t="shared" ca="1" si="31"/>
        <v>163.6596957576333</v>
      </c>
      <c r="S56" s="37">
        <f t="shared" ca="1" si="31"/>
        <v>174.40215614044598</v>
      </c>
      <c r="T56" s="140">
        <f t="shared" ca="1" si="31"/>
        <v>185.74876342978405</v>
      </c>
    </row>
    <row r="57" spans="1:20">
      <c r="A57" s="1" t="s">
        <v>268</v>
      </c>
      <c r="B57" s="4" t="str">
        <f>$B$39</f>
        <v>From Fiscal Forecasts</v>
      </c>
      <c r="D57" s="14">
        <f>'Fiscal Forecasts'!D$140</f>
        <v>6.39</v>
      </c>
      <c r="E57" s="175">
        <f>'Fiscal Forecasts'!E$140</f>
        <v>5.6230000000000002</v>
      </c>
      <c r="F57" s="15">
        <f>'Fiscal Forecasts'!F$140</f>
        <v>5.2729999999999997</v>
      </c>
      <c r="G57" s="15">
        <f>'Fiscal Forecasts'!G$140</f>
        <v>5.6360000000000001</v>
      </c>
      <c r="H57" s="15">
        <f>'Fiscal Forecasts'!H$140</f>
        <v>5.6369999999999996</v>
      </c>
      <c r="I57" s="15">
        <f>'Fiscal Forecasts'!I$140</f>
        <v>5.6219999999999999</v>
      </c>
      <c r="J57" s="176">
        <f>'Fiscal Forecasts'!J$140</f>
        <v>5.6050000000000004</v>
      </c>
      <c r="K57" s="6">
        <f ca="1">IF(K$6=OFFSET(Assumptions!$B$8,0,$C$1),AVERAGE(H$57/SUM(H$361,H$370),I$57/SUM(I$361,I$370),J$57/SUM(J$361,J$370)),J$57/SUM(J$361,J$370))*SUM(K$361,K$370)</f>
        <v>6.042828683972485</v>
      </c>
      <c r="L57" s="171">
        <f ca="1">IF(L$6=OFFSET(Assumptions!$B$8,0,$C$1),AVERAGE(I$57/SUM(I$361,I$370),J$57/SUM(J$361,J$370),K$57/SUM(K$361,K$370)),K$57/SUM(K$361,K$370))*SUM(L$361,L$370)</f>
        <v>6.3671299741061693</v>
      </c>
      <c r="M57" s="171">
        <f ca="1">IF(M$6=OFFSET(Assumptions!$B$8,0,$C$1),AVERAGE(J$57/SUM(J$361,J$370),K$57/SUM(K$361,K$370),L$57/SUM(L$361,L$370)),L$57/SUM(L$361,L$370))*SUM(M$361,M$370)</f>
        <v>6.6825455360653923</v>
      </c>
      <c r="N57" s="171">
        <f ca="1">IF(N$6=OFFSET(Assumptions!$B$8,0,$C$1),AVERAGE(K$57/SUM(K$361,K$370),L$57/SUM(L$361,L$370),M$57/SUM(M$361,M$370)),M$57/SUM(M$361,M$370))*SUM(N$361,N$370)</f>
        <v>6.9967143653964241</v>
      </c>
      <c r="O57" s="171">
        <f ca="1">IF(O$6=OFFSET(Assumptions!$B$8,0,$C$1),AVERAGE(L$57/SUM(L$361,L$370),M$57/SUM(M$361,M$370),N$57/SUM(N$361,N$370)),N$57/SUM(N$361,N$370))*SUM(O$361,O$370)</f>
        <v>7.3011212155637262</v>
      </c>
      <c r="P57" s="171">
        <f ca="1">IF(P$6=OFFSET(Assumptions!$B$8,0,$C$1),AVERAGE(M$57/SUM(M$361,M$370),N$57/SUM(N$361,N$370),O$57/SUM(O$361,O$370)),O$57/SUM(O$361,O$370))*SUM(P$361,P$370)</f>
        <v>7.5935757595084326</v>
      </c>
      <c r="Q57" s="171">
        <f ca="1">IF(Q$6=OFFSET(Assumptions!$B$8,0,$C$1),AVERAGE(N$57/SUM(N$361,N$370),O$57/SUM(O$361,O$370),P$57/SUM(P$361,P$370)),P$57/SUM(P$361,P$370))*SUM(Q$361,Q$370)</f>
        <v>7.8920474004447598</v>
      </c>
      <c r="R57" s="171">
        <f ca="1">IF(R$6=OFFSET(Assumptions!$B$8,0,$C$1),AVERAGE(O$57/SUM(O$361,O$370),P$57/SUM(P$361,P$370),Q$57/SUM(Q$361,Q$370)),Q$57/SUM(Q$361,Q$370))*SUM(R$361,R$370)</f>
        <v>8.1957322165268458</v>
      </c>
      <c r="S57" s="171">
        <f ca="1">IF(S$6=OFFSET(Assumptions!$B$8,0,$C$1),AVERAGE(P$57/SUM(P$361,P$370),Q$57/SUM(Q$361,Q$370),R$57/SUM(R$361,R$370)),R$57/SUM(R$361,R$370))*SUM(S$361,S$370)</f>
        <v>8.5043879283602557</v>
      </c>
      <c r="T57" s="171">
        <f ca="1">IF(T$6=OFFSET(Assumptions!$B$8,0,$C$1),AVERAGE(Q$57/SUM(Q$361,Q$370),R$57/SUM(R$361,R$370),S$57/SUM(S$361,S$370)),S$57/SUM(S$361,S$370))*SUM(T$361,T$370)</f>
        <v>8.8221947289245328</v>
      </c>
    </row>
    <row r="58" spans="1:20" ht="15">
      <c r="A58" s="2" t="s">
        <v>570</v>
      </c>
      <c r="D58" s="34">
        <f t="shared" ref="D58:T58" ca="1" si="32">SUM(D$56,-D$57)</f>
        <v>136.94900000000001</v>
      </c>
      <c r="E58" s="138">
        <f t="shared" ca="1" si="32"/>
        <v>110.31999999999998</v>
      </c>
      <c r="F58" s="33">
        <f t="shared" ca="1" si="32"/>
        <v>111.99000000000004</v>
      </c>
      <c r="G58" s="33">
        <f t="shared" ca="1" si="32"/>
        <v>96.551000000000016</v>
      </c>
      <c r="H58" s="33">
        <f t="shared" ca="1" si="32"/>
        <v>91.507999999999981</v>
      </c>
      <c r="I58" s="33">
        <f t="shared" ca="1" si="32"/>
        <v>90.817000000000021</v>
      </c>
      <c r="J58" s="137">
        <f t="shared" ca="1" si="32"/>
        <v>94.037999999999798</v>
      </c>
      <c r="K58" s="37">
        <f t="shared" ca="1" si="32"/>
        <v>99.123201936603465</v>
      </c>
      <c r="L58" s="37">
        <f t="shared" ca="1" si="32"/>
        <v>105.24840421223108</v>
      </c>
      <c r="M58" s="37">
        <f t="shared" ca="1" si="32"/>
        <v>111.87788551109111</v>
      </c>
      <c r="N58" s="37">
        <f t="shared" ca="1" si="32"/>
        <v>119.19347008811366</v>
      </c>
      <c r="O58" s="37">
        <f t="shared" ca="1" si="32"/>
        <v>127.43350013760336</v>
      </c>
      <c r="P58" s="37">
        <f t="shared" ca="1" si="32"/>
        <v>136.21476509413486</v>
      </c>
      <c r="Q58" s="37">
        <f t="shared" ca="1" si="32"/>
        <v>145.56062213091536</v>
      </c>
      <c r="R58" s="37">
        <f t="shared" ca="1" si="32"/>
        <v>155.46396354110647</v>
      </c>
      <c r="S58" s="37">
        <f t="shared" ca="1" si="32"/>
        <v>165.89776821208574</v>
      </c>
      <c r="T58" s="140">
        <f t="shared" ca="1" si="32"/>
        <v>176.92656870085952</v>
      </c>
    </row>
    <row r="59" spans="1:20" ht="15">
      <c r="A59" s="26" t="s">
        <v>571</v>
      </c>
      <c r="B59" s="4" t="str">
        <f>$B$43</f>
        <v>History &amp; Forecast only</v>
      </c>
      <c r="D59" s="5" t="str">
        <f ca="1">IF(ROUND('Fiscal Forecasts'!D$138-D$56,3)=0,"OK","ERROR")</f>
        <v>OK</v>
      </c>
      <c r="E59" s="170" t="str">
        <f ca="1">IF(ROUND('Fiscal Forecasts'!E$138-E$56,3)=0,"OK","ERROR")</f>
        <v>OK</v>
      </c>
      <c r="F59" s="5" t="str">
        <f ca="1">IF(ROUND('Fiscal Forecasts'!F$138-F$56,3)=0,"OK","ERROR")</f>
        <v>OK</v>
      </c>
      <c r="G59" s="5" t="str">
        <f ca="1">IF(ROUND('Fiscal Forecasts'!G$138-G$56,3)=0,"OK","ERROR")</f>
        <v>OK</v>
      </c>
      <c r="H59" s="5" t="str">
        <f ca="1">IF(ROUND('Fiscal Forecasts'!H$138-H$56,3)=0,"OK","ERROR")</f>
        <v>OK</v>
      </c>
      <c r="I59" s="5" t="str">
        <f ca="1">IF(ROUND('Fiscal Forecasts'!I$138-I$56,3)=0,"OK","ERROR")</f>
        <v>OK</v>
      </c>
      <c r="J59" s="170" t="str">
        <f ca="1">IF(ROUND('Fiscal Forecasts'!J$138-J$56,3)=0,"OK","ERROR")</f>
        <v>OK</v>
      </c>
      <c r="K59" s="52"/>
      <c r="L59" s="52"/>
      <c r="M59" s="52"/>
      <c r="N59" s="52"/>
      <c r="O59" s="52"/>
      <c r="P59" s="52"/>
      <c r="Q59" s="52"/>
      <c r="R59" s="52"/>
      <c r="S59" s="52"/>
      <c r="T59" s="148"/>
    </row>
    <row r="60" spans="1:20" ht="15">
      <c r="A60" s="26" t="s">
        <v>572</v>
      </c>
      <c r="B60" s="4" t="s">
        <v>269</v>
      </c>
      <c r="J60" s="167"/>
      <c r="K60" s="5" t="str">
        <f ca="1">IF(ROUND(K$40-(K$56-J$56),3)=0,"OK","ERROR")</f>
        <v>OK</v>
      </c>
      <c r="L60" s="170" t="str">
        <f t="shared" ref="L60:T60" ca="1" si="33">IF(ROUND(L$40-(L$56-K$56),3)=0,"OK","ERROR")</f>
        <v>OK</v>
      </c>
      <c r="M60" s="170" t="str">
        <f t="shared" ca="1" si="33"/>
        <v>OK</v>
      </c>
      <c r="N60" s="170" t="str">
        <f t="shared" ca="1" si="33"/>
        <v>OK</v>
      </c>
      <c r="O60" s="170" t="str">
        <f t="shared" ca="1" si="33"/>
        <v>OK</v>
      </c>
      <c r="P60" s="170" t="str">
        <f t="shared" ca="1" si="33"/>
        <v>OK</v>
      </c>
      <c r="Q60" s="170" t="str">
        <f t="shared" ca="1" si="33"/>
        <v>OK</v>
      </c>
      <c r="R60" s="170" t="str">
        <f t="shared" ca="1" si="33"/>
        <v>OK</v>
      </c>
      <c r="S60" s="170" t="str">
        <f t="shared" ca="1" si="33"/>
        <v>OK</v>
      </c>
      <c r="T60" s="170" t="str">
        <f t="shared" ca="1" si="33"/>
        <v>OK</v>
      </c>
    </row>
    <row r="61" spans="1:20">
      <c r="A61" s="1" t="s">
        <v>249</v>
      </c>
      <c r="D61" s="175">
        <f t="shared" ref="D61:T61" ca="1" si="34">SUM(D$346,D$353,D$359,D$368,D$388,D$395,D$410,D$414,D$418,D$429,D$433,D$442,D$443)</f>
        <v>201.42400000000004</v>
      </c>
      <c r="E61" s="175">
        <f t="shared" ca="1" si="34"/>
        <v>219.821</v>
      </c>
      <c r="F61" s="176">
        <f t="shared" ca="1" si="34"/>
        <v>225.428</v>
      </c>
      <c r="G61" s="176">
        <f t="shared" ca="1" si="34"/>
        <v>249.19499999999999</v>
      </c>
      <c r="H61" s="176">
        <f t="shared" ca="1" si="34"/>
        <v>270.38199999999995</v>
      </c>
      <c r="I61" s="176">
        <f t="shared" ca="1" si="34"/>
        <v>276.101</v>
      </c>
      <c r="J61" s="176">
        <f t="shared" ca="1" si="34"/>
        <v>276.44699999999995</v>
      </c>
      <c r="K61" s="171">
        <f t="shared" ca="1" si="34"/>
        <v>281.33927992768753</v>
      </c>
      <c r="L61" s="171">
        <f t="shared" ca="1" si="34"/>
        <v>295.14381335498382</v>
      </c>
      <c r="M61" s="171">
        <f t="shared" ca="1" si="34"/>
        <v>309.38749300482726</v>
      </c>
      <c r="N61" s="171">
        <f t="shared" ca="1" si="34"/>
        <v>323.92160743104893</v>
      </c>
      <c r="O61" s="171">
        <f t="shared" ca="1" si="34"/>
        <v>338.67212338942699</v>
      </c>
      <c r="P61" s="171">
        <f t="shared" ca="1" si="34"/>
        <v>353.6751592515169</v>
      </c>
      <c r="Q61" s="171">
        <f t="shared" ca="1" si="34"/>
        <v>369.08589060846271</v>
      </c>
      <c r="R61" s="171">
        <f t="shared" ca="1" si="34"/>
        <v>384.87129441714831</v>
      </c>
      <c r="S61" s="171">
        <f t="shared" ca="1" si="34"/>
        <v>401.00434545889499</v>
      </c>
      <c r="T61" s="171">
        <f t="shared" ca="1" si="34"/>
        <v>417.54755204119743</v>
      </c>
    </row>
    <row r="62" spans="1:20">
      <c r="A62" s="1" t="s">
        <v>575</v>
      </c>
      <c r="B62" s="4" t="str">
        <f>$B$39</f>
        <v>From Fiscal Forecasts</v>
      </c>
      <c r="D62" s="14">
        <f>'Fiscal Forecasts'!D$183</f>
        <v>91.51</v>
      </c>
      <c r="E62" s="175">
        <f>'Fiscal Forecasts'!E$183</f>
        <v>126.34099999999999</v>
      </c>
      <c r="F62" s="15">
        <f>'Fiscal Forecasts'!F$183</f>
        <v>139.892</v>
      </c>
      <c r="G62" s="15">
        <f>'Fiscal Forecasts'!G$183</f>
        <v>177.60499999999999</v>
      </c>
      <c r="H62" s="15">
        <f>'Fiscal Forecasts'!H$183</f>
        <v>201.661</v>
      </c>
      <c r="I62" s="15">
        <f>'Fiscal Forecasts'!I$183</f>
        <v>206.39699999999999</v>
      </c>
      <c r="J62" s="176">
        <f>'Fiscal Forecasts'!J$183</f>
        <v>203.441</v>
      </c>
      <c r="K62" s="6">
        <f t="shared" ref="K62:T62" ca="1" si="35">K$70</f>
        <v>200.14628837659674</v>
      </c>
      <c r="L62" s="6">
        <f t="shared" ca="1" si="35"/>
        <v>204.48213734536185</v>
      </c>
      <c r="M62" s="6">
        <f t="shared" ca="1" si="35"/>
        <v>208.20053415976614</v>
      </c>
      <c r="N62" s="6">
        <f t="shared" ca="1" si="35"/>
        <v>211.00723409335455</v>
      </c>
      <c r="O62" s="6">
        <f t="shared" ca="1" si="35"/>
        <v>212.59916221859336</v>
      </c>
      <c r="P62" s="6">
        <f t="shared" ca="1" si="35"/>
        <v>213.32051313848291</v>
      </c>
      <c r="Q62" s="6">
        <f t="shared" ca="1" si="35"/>
        <v>213.2385982612642</v>
      </c>
      <c r="R62" s="104">
        <f t="shared" ca="1" si="35"/>
        <v>212.30422721386449</v>
      </c>
      <c r="S62" s="104">
        <f t="shared" ca="1" si="35"/>
        <v>210.46030992364814</v>
      </c>
      <c r="T62" s="171">
        <f t="shared" ca="1" si="35"/>
        <v>207.61225515311884</v>
      </c>
    </row>
    <row r="63" spans="1:20">
      <c r="A63" s="1" t="s">
        <v>941</v>
      </c>
      <c r="D63" s="14">
        <f t="shared" ref="D63:T63" si="36">SUM(D$446,D$452,D$456,D$460,D$466,D$473)</f>
        <v>41.370000000000005</v>
      </c>
      <c r="E63" s="175">
        <f t="shared" si="36"/>
        <v>46.363999999999997</v>
      </c>
      <c r="F63" s="15">
        <f t="shared" si="36"/>
        <v>46.317000000000007</v>
      </c>
      <c r="G63" s="15">
        <f t="shared" si="36"/>
        <v>44.274999999999999</v>
      </c>
      <c r="H63" s="15">
        <f t="shared" si="36"/>
        <v>43.686</v>
      </c>
      <c r="I63" s="15">
        <f t="shared" si="36"/>
        <v>43.045999999999999</v>
      </c>
      <c r="J63" s="176">
        <f t="shared" si="36"/>
        <v>41.255000000000003</v>
      </c>
      <c r="K63" s="6">
        <f t="shared" ca="1" si="36"/>
        <v>41.882365414105799</v>
      </c>
      <c r="L63" s="6">
        <f t="shared" ca="1" si="36"/>
        <v>42.537025433025057</v>
      </c>
      <c r="M63" s="6">
        <f t="shared" ca="1" si="36"/>
        <v>43.36241034053387</v>
      </c>
      <c r="N63" s="6">
        <f t="shared" ca="1" si="36"/>
        <v>44.266402216609208</v>
      </c>
      <c r="O63" s="6">
        <f t="shared" ca="1" si="36"/>
        <v>45.213750986463467</v>
      </c>
      <c r="P63" s="6">
        <f t="shared" ca="1" si="36"/>
        <v>46.210545028267212</v>
      </c>
      <c r="Q63" s="6">
        <f t="shared" ca="1" si="36"/>
        <v>47.2424213951168</v>
      </c>
      <c r="R63" s="104">
        <f t="shared" ca="1" si="36"/>
        <v>48.288558956778019</v>
      </c>
      <c r="S63" s="104">
        <f t="shared" ca="1" si="36"/>
        <v>49.352724209330368</v>
      </c>
      <c r="T63" s="171">
        <f t="shared" ca="1" si="36"/>
        <v>50.454983172241342</v>
      </c>
    </row>
    <row r="64" spans="1:20" ht="15">
      <c r="A64" s="2" t="s">
        <v>306</v>
      </c>
      <c r="B64" s="4"/>
      <c r="D64" s="34">
        <f t="shared" ref="D64:T64" ca="1" si="37">SUM(D$61,-D$62,-D$63)</f>
        <v>68.544000000000025</v>
      </c>
      <c r="E64" s="138">
        <f t="shared" ca="1" si="37"/>
        <v>47.116000000000007</v>
      </c>
      <c r="F64" s="33">
        <f t="shared" ca="1" si="37"/>
        <v>39.218999999999994</v>
      </c>
      <c r="G64" s="33">
        <f t="shared" ca="1" si="37"/>
        <v>27.315000000000005</v>
      </c>
      <c r="H64" s="33">
        <f t="shared" ca="1" si="37"/>
        <v>25.034999999999947</v>
      </c>
      <c r="I64" s="33">
        <f t="shared" ca="1" si="37"/>
        <v>26.658000000000008</v>
      </c>
      <c r="J64" s="137">
        <f t="shared" ca="1" si="37"/>
        <v>31.750999999999941</v>
      </c>
      <c r="K64" s="37">
        <f t="shared" ca="1" si="37"/>
        <v>39.310626136984986</v>
      </c>
      <c r="L64" s="37">
        <f t="shared" ca="1" si="37"/>
        <v>48.124650576596913</v>
      </c>
      <c r="M64" s="37">
        <f t="shared" ca="1" si="37"/>
        <v>57.824548504527257</v>
      </c>
      <c r="N64" s="37">
        <f t="shared" ca="1" si="37"/>
        <v>68.647971121085163</v>
      </c>
      <c r="O64" s="37">
        <f t="shared" ca="1" si="37"/>
        <v>80.859210184370156</v>
      </c>
      <c r="P64" s="37">
        <f t="shared" ca="1" si="37"/>
        <v>94.144101084766788</v>
      </c>
      <c r="Q64" s="37">
        <f t="shared" ca="1" si="37"/>
        <v>108.60487095208171</v>
      </c>
      <c r="R64" s="37">
        <f t="shared" ca="1" si="37"/>
        <v>124.27850824650579</v>
      </c>
      <c r="S64" s="37">
        <f t="shared" ca="1" si="37"/>
        <v>141.19131132591647</v>
      </c>
      <c r="T64" s="140">
        <f t="shared" ca="1" si="37"/>
        <v>159.48031371583727</v>
      </c>
    </row>
    <row r="65" spans="1:20" ht="15">
      <c r="A65" s="26" t="s">
        <v>307</v>
      </c>
      <c r="B65" s="4" t="str">
        <f>$B$43</f>
        <v>History &amp; Forecast only</v>
      </c>
      <c r="D65" s="5" t="str">
        <f ca="1">IF(ROUND('Fiscal Forecasts'!D$191-D$64,3)=0,"OK","ERROR")</f>
        <v>OK</v>
      </c>
      <c r="E65" s="170" t="str">
        <f ca="1">IF(ROUND('Fiscal Forecasts'!E$191-E$64,3)=0,"OK","ERROR")</f>
        <v>OK</v>
      </c>
      <c r="F65" s="5" t="str">
        <f ca="1">IF(ROUND('Fiscal Forecasts'!F$191-F$64,3)=0,"OK","ERROR")</f>
        <v>OK</v>
      </c>
      <c r="G65" s="5" t="str">
        <f ca="1">IF(ROUND('Fiscal Forecasts'!G$191-G$64,3)=0,"OK","ERROR")</f>
        <v>OK</v>
      </c>
      <c r="H65" s="5" t="str">
        <f ca="1">IF(ROUND('Fiscal Forecasts'!H$191-H$64,3)=0,"OK","ERROR")</f>
        <v>OK</v>
      </c>
      <c r="I65" s="5" t="str">
        <f ca="1">IF(ROUND('Fiscal Forecasts'!I$191-I$64,3)=0,"OK","ERROR")</f>
        <v>OK</v>
      </c>
      <c r="J65" s="170" t="str">
        <f ca="1">IF(ROUND('Fiscal Forecasts'!J$191-J$64,3)=0,"OK","ERROR")</f>
        <v>OK</v>
      </c>
    </row>
    <row r="66" spans="1:20" ht="15">
      <c r="A66" s="26" t="s">
        <v>308</v>
      </c>
      <c r="B66" s="4" t="str">
        <f>$B$60</f>
        <v>Projected Years only</v>
      </c>
      <c r="H66" s="5"/>
      <c r="I66" s="5"/>
      <c r="J66" s="170"/>
      <c r="K66" s="5" t="str">
        <f t="shared" ref="K66:T66" ca="1" si="38">IF(ROUND(K$47-(K$64-J$64)-(J$70-J$62),3)=0,"OK","ERROR")</f>
        <v>OK</v>
      </c>
      <c r="L66" s="5" t="str">
        <f t="shared" ca="1" si="38"/>
        <v>OK</v>
      </c>
      <c r="M66" s="5" t="str">
        <f t="shared" ca="1" si="38"/>
        <v>OK</v>
      </c>
      <c r="N66" s="5" t="str">
        <f t="shared" ca="1" si="38"/>
        <v>OK</v>
      </c>
      <c r="O66" s="5" t="str">
        <f t="shared" ca="1" si="38"/>
        <v>OK</v>
      </c>
      <c r="P66" s="5" t="str">
        <f t="shared" ca="1" si="38"/>
        <v>OK</v>
      </c>
      <c r="Q66" s="5" t="str">
        <f t="shared" ca="1" si="38"/>
        <v>OK</v>
      </c>
      <c r="R66" s="5" t="str">
        <f t="shared" ca="1" si="38"/>
        <v>OK</v>
      </c>
      <c r="S66" s="5" t="str">
        <f t="shared" ca="1" si="38"/>
        <v>OK</v>
      </c>
      <c r="T66" s="170" t="str">
        <f t="shared" ca="1" si="38"/>
        <v>OK</v>
      </c>
    </row>
    <row r="67" spans="1:20" ht="15">
      <c r="A67" s="26"/>
      <c r="B67" s="4"/>
      <c r="E67" s="167"/>
      <c r="F67" s="167"/>
      <c r="H67" s="5"/>
      <c r="I67" s="5"/>
      <c r="J67" s="170"/>
      <c r="K67" s="5"/>
      <c r="L67" s="5"/>
      <c r="M67" s="5"/>
      <c r="N67" s="5"/>
      <c r="O67" s="5"/>
      <c r="P67" s="5"/>
      <c r="Q67" s="5"/>
      <c r="R67" s="5"/>
      <c r="S67" s="5"/>
      <c r="T67" s="170"/>
    </row>
    <row r="68" spans="1:20">
      <c r="A68" s="18" t="s">
        <v>222</v>
      </c>
      <c r="J68" s="167"/>
    </row>
    <row r="69" spans="1:20">
      <c r="A69" s="1" t="s">
        <v>267</v>
      </c>
      <c r="B69" s="4" t="str">
        <f>$B$39</f>
        <v>From Fiscal Forecasts</v>
      </c>
      <c r="D69" s="175">
        <f>'Fiscal Forecasts'!D$133</f>
        <v>110.248</v>
      </c>
      <c r="E69" s="175">
        <f>'Fiscal Forecasts'!E$133</f>
        <v>152.71700000000001</v>
      </c>
      <c r="F69" s="176">
        <f>'Fiscal Forecasts'!F$133</f>
        <v>173.227</v>
      </c>
      <c r="G69" s="176">
        <f>'Fiscal Forecasts'!G$133</f>
        <v>215.23400000000001</v>
      </c>
      <c r="H69" s="176">
        <f>'Fiscal Forecasts'!H$133</f>
        <v>245.21799999999999</v>
      </c>
      <c r="I69" s="176">
        <f>'Fiscal Forecasts'!I$133</f>
        <v>254.45699999999999</v>
      </c>
      <c r="J69" s="176">
        <f>'Fiscal Forecasts'!J$133</f>
        <v>255.084</v>
      </c>
      <c r="K69" s="171">
        <f t="shared" ref="K69" ca="1" si="39">SUM(J$69,K$102)</f>
        <v>260.48782800258169</v>
      </c>
      <c r="L69" s="171">
        <f t="shared" ref="L69" ca="1" si="40">SUM(K$69,L$102)</f>
        <v>274.55557957596204</v>
      </c>
      <c r="M69" s="171">
        <f t="shared" ref="M69" ca="1" si="41">SUM(L$69,M$102)</f>
        <v>287.90948961620717</v>
      </c>
      <c r="N69" s="171">
        <f t="shared" ref="N69" ca="1" si="42">SUM(M$69,N$102)</f>
        <v>300.3909372710259</v>
      </c>
      <c r="O69" s="171">
        <f t="shared" ref="O69" ca="1" si="43">SUM(N$69,O$102)</f>
        <v>311.65499896092649</v>
      </c>
      <c r="P69" s="171">
        <f t="shared" ref="P69" ca="1" si="44">SUM(O$69,P$102)</f>
        <v>322.09316423575603</v>
      </c>
      <c r="Q69" s="171">
        <f t="shared" ref="Q69" ca="1" si="45">SUM(P$69,Q$102)</f>
        <v>331.91443712668382</v>
      </c>
      <c r="R69" s="171">
        <f t="shared" ref="R69" ca="1" si="46">SUM(Q$69,R$102)</f>
        <v>341.15948123673655</v>
      </c>
      <c r="S69" s="171">
        <f t="shared" ref="S69:T69" ca="1" si="47">SUM(R$69,S$102)</f>
        <v>349.85348265038317</v>
      </c>
      <c r="T69" s="171">
        <f t="shared" ca="1" si="47"/>
        <v>357.98879902173337</v>
      </c>
    </row>
    <row r="70" spans="1:20">
      <c r="A70" s="1" t="s">
        <v>309</v>
      </c>
      <c r="B70" s="4" t="str">
        <f>$B$39</f>
        <v>From Fiscal Forecasts</v>
      </c>
      <c r="C70" s="167"/>
      <c r="D70" s="175">
        <f>'Fiscal Forecasts'!D$142</f>
        <v>91.832999999999998</v>
      </c>
      <c r="E70" s="175">
        <f>'Fiscal Forecasts'!E$142</f>
        <v>126.82</v>
      </c>
      <c r="F70" s="176">
        <f>'Fiscal Forecasts'!F$142</f>
        <v>139.892</v>
      </c>
      <c r="G70" s="176">
        <f>'Fiscal Forecasts'!G$142</f>
        <v>177.60499999999999</v>
      </c>
      <c r="H70" s="176">
        <f>'Fiscal Forecasts'!H$142</f>
        <v>201.661</v>
      </c>
      <c r="I70" s="176">
        <f>'Fiscal Forecasts'!I$142</f>
        <v>206.39699999999999</v>
      </c>
      <c r="J70" s="176">
        <f>'Fiscal Forecasts'!J$142</f>
        <v>203.441</v>
      </c>
      <c r="K70" s="171">
        <f t="shared" ref="K70:T70" ca="1" si="48">SUM(J$70,K$506)</f>
        <v>200.14628837659674</v>
      </c>
      <c r="L70" s="171">
        <f t="shared" ca="1" si="48"/>
        <v>204.48213734536185</v>
      </c>
      <c r="M70" s="171">
        <f t="shared" ca="1" si="48"/>
        <v>208.20053415976614</v>
      </c>
      <c r="N70" s="171">
        <f t="shared" ca="1" si="48"/>
        <v>211.00723409335455</v>
      </c>
      <c r="O70" s="171">
        <f t="shared" ca="1" si="48"/>
        <v>212.59916221859336</v>
      </c>
      <c r="P70" s="171">
        <f t="shared" ca="1" si="48"/>
        <v>213.32051313848291</v>
      </c>
      <c r="Q70" s="171">
        <f t="shared" ca="1" si="48"/>
        <v>213.2385982612642</v>
      </c>
      <c r="R70" s="171">
        <f t="shared" ca="1" si="48"/>
        <v>212.30422721386449</v>
      </c>
      <c r="S70" s="171">
        <f t="shared" ca="1" si="48"/>
        <v>210.46030992364814</v>
      </c>
      <c r="T70" s="171">
        <f t="shared" ca="1" si="48"/>
        <v>207.61225515311884</v>
      </c>
    </row>
    <row r="71" spans="1:20">
      <c r="A71" s="1" t="s">
        <v>599</v>
      </c>
      <c r="B71" s="4" t="str">
        <f>$B$39</f>
        <v>From Fiscal Forecasts</v>
      </c>
      <c r="D71" s="14">
        <f>'Fiscal Forecasts'!D$143</f>
        <v>0.90300000000000002</v>
      </c>
      <c r="E71" s="175">
        <f>'Fiscal Forecasts'!E$143</f>
        <v>2.6749999999999998</v>
      </c>
      <c r="F71" s="15">
        <f>'Fiscal Forecasts'!F$143</f>
        <v>2.9729999999999999</v>
      </c>
      <c r="G71" s="176">
        <f>'Fiscal Forecasts'!G$143</f>
        <v>3.11</v>
      </c>
      <c r="H71" s="176">
        <f>'Fiscal Forecasts'!H$143</f>
        <v>3.2320000000000002</v>
      </c>
      <c r="I71" s="176">
        <f>'Fiscal Forecasts'!I$143</f>
        <v>3.4359999999999999</v>
      </c>
      <c r="J71" s="176">
        <f>'Fiscal Forecasts'!J$143</f>
        <v>3.6059999999999999</v>
      </c>
      <c r="K71" s="131">
        <f t="shared" ref="K71:T71" ca="1" si="49">K$385-K$449</f>
        <v>3.6250232569831904</v>
      </c>
      <c r="L71" s="171">
        <f t="shared" ca="1" si="49"/>
        <v>3.6949339606895135</v>
      </c>
      <c r="M71" s="171">
        <f t="shared" ca="1" si="49"/>
        <v>3.964205317669018</v>
      </c>
      <c r="N71" s="171">
        <f t="shared" ca="1" si="49"/>
        <v>4.2394868760633555</v>
      </c>
      <c r="O71" s="171">
        <f t="shared" ca="1" si="49"/>
        <v>4.5223528823208987</v>
      </c>
      <c r="P71" s="171">
        <f t="shared" ca="1" si="49"/>
        <v>4.8140416105949697</v>
      </c>
      <c r="Q71" s="171">
        <f t="shared" ca="1" si="49"/>
        <v>5.1146798776106834</v>
      </c>
      <c r="R71" s="171">
        <f t="shared" ca="1" si="49"/>
        <v>5.4233488595923971</v>
      </c>
      <c r="S71" s="171">
        <f t="shared" ca="1" si="49"/>
        <v>5.7391149744826695</v>
      </c>
      <c r="T71" s="171">
        <f t="shared" ca="1" si="49"/>
        <v>6.0630791084660247</v>
      </c>
    </row>
    <row r="72" spans="1:20" ht="15">
      <c r="A72" s="2" t="s">
        <v>310</v>
      </c>
      <c r="D72" s="34">
        <f t="shared" ref="D72:T72" si="50">SUM(D$70,-D$71)</f>
        <v>90.929999999999993</v>
      </c>
      <c r="E72" s="138">
        <f t="shared" si="50"/>
        <v>124.145</v>
      </c>
      <c r="F72" s="33">
        <f t="shared" si="50"/>
        <v>136.91899999999998</v>
      </c>
      <c r="G72" s="137">
        <f t="shared" si="50"/>
        <v>174.49499999999998</v>
      </c>
      <c r="H72" s="137">
        <f t="shared" si="50"/>
        <v>198.429</v>
      </c>
      <c r="I72" s="137">
        <f t="shared" si="50"/>
        <v>202.96099999999998</v>
      </c>
      <c r="J72" s="137">
        <f t="shared" si="50"/>
        <v>199.83500000000001</v>
      </c>
      <c r="K72" s="37">
        <f t="shared" ca="1" si="50"/>
        <v>196.52126511961356</v>
      </c>
      <c r="L72" s="140">
        <f t="shared" ca="1" si="50"/>
        <v>200.78720338467232</v>
      </c>
      <c r="M72" s="140">
        <f t="shared" ca="1" si="50"/>
        <v>204.23632884209712</v>
      </c>
      <c r="N72" s="140">
        <f t="shared" ca="1" si="50"/>
        <v>206.7677472172912</v>
      </c>
      <c r="O72" s="140">
        <f t="shared" ca="1" si="50"/>
        <v>208.07680933627248</v>
      </c>
      <c r="P72" s="140">
        <f t="shared" ca="1" si="50"/>
        <v>208.50647152788792</v>
      </c>
      <c r="Q72" s="140">
        <f t="shared" ca="1" si="50"/>
        <v>208.12391838365352</v>
      </c>
      <c r="R72" s="140">
        <f t="shared" ca="1" si="50"/>
        <v>206.88087835427208</v>
      </c>
      <c r="S72" s="140">
        <f t="shared" ca="1" si="50"/>
        <v>204.72119494916547</v>
      </c>
      <c r="T72" s="140">
        <f t="shared" ca="1" si="50"/>
        <v>201.54917604465282</v>
      </c>
    </row>
    <row r="73" spans="1:20">
      <c r="A73" s="1" t="s">
        <v>311</v>
      </c>
      <c r="B73" s="4" t="str">
        <f>$B$39</f>
        <v>From Fiscal Forecasts</v>
      </c>
      <c r="D73" s="175">
        <f>'Fiscal Forecasts'!D$145</f>
        <v>90.715000000000003</v>
      </c>
      <c r="E73" s="175">
        <f>'Fiscal Forecasts'!E$145</f>
        <v>102.169</v>
      </c>
      <c r="F73" s="176">
        <f>'Fiscal Forecasts'!F$145</f>
        <v>102.036</v>
      </c>
      <c r="G73" s="176">
        <f>'Fiscal Forecasts'!G$145</f>
        <v>117.33499999999999</v>
      </c>
      <c r="H73" s="176">
        <f>'Fiscal Forecasts'!H$145</f>
        <v>130.53399999999999</v>
      </c>
      <c r="I73" s="176">
        <f>'Fiscal Forecasts'!I$145</f>
        <v>128.352</v>
      </c>
      <c r="J73" s="176">
        <f>'Fiscal Forecasts'!J$145</f>
        <v>121.937</v>
      </c>
      <c r="K73" s="171">
        <f ca="1">SUM(K$346,K$359,K$368,K$388,K$395)</f>
        <v>120.39910506523725</v>
      </c>
      <c r="L73" s="171">
        <f t="shared" ref="L73:T73" ca="1" si="51">SUM(L$346,L$359,L$368,L$388,L$395)</f>
        <v>128.30580085265512</v>
      </c>
      <c r="M73" s="171">
        <f t="shared" ca="1" si="51"/>
        <v>136.463695323064</v>
      </c>
      <c r="N73" s="171">
        <f t="shared" ca="1" si="51"/>
        <v>144.74831959473858</v>
      </c>
      <c r="O73" s="171">
        <f t="shared" ca="1" si="51"/>
        <v>153.15681900339024</v>
      </c>
      <c r="P73" s="171">
        <f t="shared" ca="1" si="51"/>
        <v>161.69466573613795</v>
      </c>
      <c r="Q73" s="171">
        <f t="shared" ca="1" si="51"/>
        <v>170.50057684068992</v>
      </c>
      <c r="R73" s="171">
        <f t="shared" ca="1" si="51"/>
        <v>179.54227888853691</v>
      </c>
      <c r="S73" s="171">
        <f t="shared" ca="1" si="51"/>
        <v>188.7915620279453</v>
      </c>
      <c r="T73" s="171">
        <f t="shared" ca="1" si="51"/>
        <v>198.28982266350508</v>
      </c>
    </row>
    <row r="74" spans="1:20" ht="15">
      <c r="A74" s="2" t="s">
        <v>227</v>
      </c>
      <c r="D74" s="34">
        <f t="shared" ref="D74:T74" si="52">SUM(D$72,-D$73)</f>
        <v>0.2149999999999892</v>
      </c>
      <c r="E74" s="138">
        <f t="shared" si="52"/>
        <v>21.975999999999999</v>
      </c>
      <c r="F74" s="33">
        <f t="shared" si="52"/>
        <v>34.882999999999981</v>
      </c>
      <c r="G74" s="137">
        <f t="shared" si="52"/>
        <v>57.159999999999982</v>
      </c>
      <c r="H74" s="137">
        <f t="shared" si="52"/>
        <v>67.89500000000001</v>
      </c>
      <c r="I74" s="137">
        <f t="shared" si="52"/>
        <v>74.60899999999998</v>
      </c>
      <c r="J74" s="137">
        <f t="shared" si="52"/>
        <v>77.89800000000001</v>
      </c>
      <c r="K74" s="37">
        <f t="shared" ca="1" si="52"/>
        <v>76.122160054376309</v>
      </c>
      <c r="L74" s="140">
        <f t="shared" ca="1" si="52"/>
        <v>72.481402532017199</v>
      </c>
      <c r="M74" s="140">
        <f t="shared" ca="1" si="52"/>
        <v>67.772633519033121</v>
      </c>
      <c r="N74" s="140">
        <f t="shared" ca="1" si="52"/>
        <v>62.019427622552627</v>
      </c>
      <c r="O74" s="140">
        <f t="shared" ca="1" si="52"/>
        <v>54.919990332882236</v>
      </c>
      <c r="P74" s="140">
        <f t="shared" ca="1" si="52"/>
        <v>46.811805791749975</v>
      </c>
      <c r="Q74" s="140">
        <f t="shared" ca="1" si="52"/>
        <v>37.623341542963601</v>
      </c>
      <c r="R74" s="140">
        <f t="shared" ca="1" si="52"/>
        <v>27.338599465735172</v>
      </c>
      <c r="S74" s="140">
        <f t="shared" ca="1" si="52"/>
        <v>15.929632921220161</v>
      </c>
      <c r="T74" s="140">
        <f t="shared" ca="1" si="52"/>
        <v>3.2593533811477471</v>
      </c>
    </row>
    <row r="75" spans="1:20">
      <c r="A75" s="1" t="s">
        <v>1235</v>
      </c>
      <c r="B75" s="4" t="str">
        <f>$B$39</f>
        <v>From Fiscal Forecasts</v>
      </c>
      <c r="D75" s="175">
        <f>'Fiscal Forecasts'!D$147</f>
        <v>43.676000000000002</v>
      </c>
      <c r="E75" s="175">
        <f>'Fiscal Forecasts'!E$147</f>
        <v>46.843000000000004</v>
      </c>
      <c r="F75" s="176">
        <f>'Fiscal Forecasts'!F$147</f>
        <v>58.363</v>
      </c>
      <c r="G75" s="176">
        <f>'Fiscal Forecasts'!G$147</f>
        <v>61.895000000000003</v>
      </c>
      <c r="H75" s="176">
        <f>'Fiscal Forecasts'!H$147</f>
        <v>66.974000000000004</v>
      </c>
      <c r="I75" s="176">
        <f>'Fiscal Forecasts'!I$147</f>
        <v>72.721000000000004</v>
      </c>
      <c r="J75" s="176">
        <f>'Fiscal Forecasts'!J$147</f>
        <v>79.034999999999997</v>
      </c>
      <c r="K75" s="131">
        <f ca="1">SUM(K$344,K$357,K$366,K$388,K$391)</f>
        <v>85.260418694368852</v>
      </c>
      <c r="L75" s="171">
        <f t="shared" ref="L75:T75" ca="1" si="53">SUM(L$344,L$357,L$366,L$388,L$391)</f>
        <v>91.6425520723445</v>
      </c>
      <c r="M75" s="171">
        <f t="shared" ca="1" si="53"/>
        <v>98.323046214550331</v>
      </c>
      <c r="N75" s="171">
        <f t="shared" ca="1" si="53"/>
        <v>105.15265059185747</v>
      </c>
      <c r="O75" s="171">
        <f t="shared" ca="1" si="53"/>
        <v>112.17042150900897</v>
      </c>
      <c r="P75" s="171">
        <f t="shared" ca="1" si="53"/>
        <v>119.4070799580941</v>
      </c>
      <c r="Q75" s="171">
        <f t="shared" ca="1" si="53"/>
        <v>126.86577220167466</v>
      </c>
      <c r="R75" s="171">
        <f t="shared" ca="1" si="53"/>
        <v>134.52370265941116</v>
      </c>
      <c r="S75" s="171">
        <f t="shared" ca="1" si="53"/>
        <v>142.35770960502242</v>
      </c>
      <c r="T75" s="171">
        <f t="shared" ca="1" si="53"/>
        <v>150.39510550051426</v>
      </c>
    </row>
    <row r="76" spans="1:20" s="167" customFormat="1">
      <c r="A76" s="167" t="s">
        <v>1226</v>
      </c>
      <c r="B76" s="4" t="str">
        <f>$B$39</f>
        <v>From Fiscal Forecasts</v>
      </c>
      <c r="D76" s="175">
        <f>'Fiscal Forecasts'!D$148</f>
        <v>0</v>
      </c>
      <c r="E76" s="175">
        <f>'Fiscal Forecasts'!E$148</f>
        <v>0</v>
      </c>
      <c r="F76" s="176">
        <f>'Fiscal Forecasts'!F$148</f>
        <v>4.54</v>
      </c>
      <c r="G76" s="176">
        <f>'Fiscal Forecasts'!G$148</f>
        <v>18.72</v>
      </c>
      <c r="H76" s="176">
        <f>'Fiscal Forecasts'!H$148</f>
        <v>28</v>
      </c>
      <c r="I76" s="176">
        <f>'Fiscal Forecasts'!I$148</f>
        <v>21.76</v>
      </c>
      <c r="J76" s="176">
        <f>'Fiscal Forecasts'!J$148</f>
        <v>9.2799999999999994</v>
      </c>
      <c r="K76" s="171">
        <f ca="1">IF(K$6=OFFSET(Assumptions!$B$8,0,$C$1),0,J$76)</f>
        <v>0</v>
      </c>
      <c r="L76" s="171">
        <f ca="1">IF(L$6=OFFSET(Assumptions!$B$8,0,$C$1),0,K$76)</f>
        <v>0</v>
      </c>
      <c r="M76" s="171">
        <f ca="1">IF(M$6=OFFSET(Assumptions!$B$8,0,$C$1),0,L$76)</f>
        <v>0</v>
      </c>
      <c r="N76" s="171">
        <f ca="1">IF(N$6=OFFSET(Assumptions!$B$8,0,$C$1),0,M$76)</f>
        <v>0</v>
      </c>
      <c r="O76" s="171">
        <f ca="1">IF(O$6=OFFSET(Assumptions!$B$8,0,$C$1),0,N$76)</f>
        <v>0</v>
      </c>
      <c r="P76" s="171">
        <f ca="1">IF(P$6=OFFSET(Assumptions!$B$8,0,$C$1),0,O$76)</f>
        <v>0</v>
      </c>
      <c r="Q76" s="171">
        <f ca="1">IF(Q$6=OFFSET(Assumptions!$B$8,0,$C$1),0,P$76)</f>
        <v>0</v>
      </c>
      <c r="R76" s="171">
        <f ca="1">IF(R$6=OFFSET(Assumptions!$B$8,0,$C$1),0,Q$76)</f>
        <v>0</v>
      </c>
      <c r="S76" s="171">
        <f ca="1">IF(S$6=OFFSET(Assumptions!$B$8,0,$C$1),0,R$76)</f>
        <v>0</v>
      </c>
      <c r="T76" s="171">
        <f ca="1">IF(T$6=OFFSET(Assumptions!$B$8,0,$C$1),0,S$76)</f>
        <v>0</v>
      </c>
    </row>
    <row r="77" spans="1:20">
      <c r="A77" s="1" t="s">
        <v>1236</v>
      </c>
      <c r="B77" s="4" t="str">
        <f>$B$39</f>
        <v>From Fiscal Forecasts</v>
      </c>
      <c r="D77" s="14">
        <f>'Fiscal Forecasts'!D$149</f>
        <v>13.845000000000001</v>
      </c>
      <c r="E77" s="175">
        <f>'Fiscal Forecasts'!E$149</f>
        <v>14.555999999999999</v>
      </c>
      <c r="F77" s="176">
        <f>'Fiscal Forecasts'!F$149</f>
        <v>15.869</v>
      </c>
      <c r="G77" s="176">
        <f>'Fiscal Forecasts'!G$149</f>
        <v>15.536</v>
      </c>
      <c r="H77" s="176">
        <f>'Fiscal Forecasts'!H$149</f>
        <v>15.609</v>
      </c>
      <c r="I77" s="176">
        <f>'Fiscal Forecasts'!I$149</f>
        <v>15.153</v>
      </c>
      <c r="J77" s="176">
        <f>'Fiscal Forecasts'!J$149</f>
        <v>14.571</v>
      </c>
      <c r="K77" s="131">
        <f ca="1">SUM(K$392:K$394)</f>
        <v>14.786805343210105</v>
      </c>
      <c r="L77" s="171">
        <f t="shared" ref="L77:T77" ca="1" si="54">SUM(L$392:L$394)</f>
        <v>15.066389330782997</v>
      </c>
      <c r="M77" s="171">
        <f t="shared" ca="1" si="54"/>
        <v>15.355858800989525</v>
      </c>
      <c r="N77" s="171">
        <f t="shared" ca="1" si="54"/>
        <v>15.658339702651345</v>
      </c>
      <c r="O77" s="171">
        <f t="shared" ca="1" si="54"/>
        <v>15.965506134209676</v>
      </c>
      <c r="P77" s="171">
        <f t="shared" ca="1" si="54"/>
        <v>16.264454740460735</v>
      </c>
      <c r="Q77" s="171">
        <f t="shared" ca="1" si="54"/>
        <v>16.588813374698649</v>
      </c>
      <c r="R77" s="171">
        <f t="shared" ca="1" si="54"/>
        <v>16.93185922329894</v>
      </c>
      <c r="S77" s="171">
        <f t="shared" ca="1" si="54"/>
        <v>17.289374450599936</v>
      </c>
      <c r="T77" s="171">
        <f t="shared" ca="1" si="54"/>
        <v>17.661117507070568</v>
      </c>
    </row>
    <row r="78" spans="1:20" ht="15">
      <c r="A78" s="2" t="s">
        <v>312</v>
      </c>
      <c r="D78" s="34">
        <f t="shared" ref="D78:J78" si="55">SUM(D$74:D$77)</f>
        <v>57.73599999999999</v>
      </c>
      <c r="E78" s="138">
        <f t="shared" si="55"/>
        <v>83.375</v>
      </c>
      <c r="F78" s="33">
        <f t="shared" si="55"/>
        <v>113.65499999999999</v>
      </c>
      <c r="G78" s="137">
        <f t="shared" si="55"/>
        <v>153.31099999999998</v>
      </c>
      <c r="H78" s="137">
        <f t="shared" si="55"/>
        <v>178.47800000000004</v>
      </c>
      <c r="I78" s="137">
        <f t="shared" si="55"/>
        <v>184.24299999999997</v>
      </c>
      <c r="J78" s="137">
        <f t="shared" si="55"/>
        <v>180.78399999999999</v>
      </c>
      <c r="K78" s="37">
        <f t="shared" ref="K78:T78" ca="1" si="56">SUM(K$74:K$77)</f>
        <v>176.16938409195529</v>
      </c>
      <c r="L78" s="140">
        <f t="shared" ca="1" si="56"/>
        <v>179.19034393514471</v>
      </c>
      <c r="M78" s="140">
        <f t="shared" ca="1" si="56"/>
        <v>181.45153853457296</v>
      </c>
      <c r="N78" s="140">
        <f t="shared" ca="1" si="56"/>
        <v>182.83041791706142</v>
      </c>
      <c r="O78" s="140">
        <f t="shared" ca="1" si="56"/>
        <v>183.05591797610089</v>
      </c>
      <c r="P78" s="140">
        <f t="shared" ca="1" si="56"/>
        <v>182.48334049030481</v>
      </c>
      <c r="Q78" s="140">
        <f t="shared" ca="1" si="56"/>
        <v>181.07792711933689</v>
      </c>
      <c r="R78" s="140">
        <f t="shared" ca="1" si="56"/>
        <v>178.79416134844527</v>
      </c>
      <c r="S78" s="140">
        <f t="shared" ca="1" si="56"/>
        <v>175.57671697684253</v>
      </c>
      <c r="T78" s="140">
        <f t="shared" ca="1" si="56"/>
        <v>171.31557638873258</v>
      </c>
    </row>
    <row r="79" spans="1:20" ht="15">
      <c r="A79" s="26" t="s">
        <v>939</v>
      </c>
      <c r="B79" s="4" t="str">
        <f>$B$43</f>
        <v>History &amp; Forecast only</v>
      </c>
      <c r="D79" s="5" t="str">
        <f>IF(ROUND('Fiscal Forecasts'!D$151-D$78,3)=0,"OK","ERROR")</f>
        <v>OK</v>
      </c>
      <c r="E79" s="170" t="str">
        <f>IF(ROUND('Fiscal Forecasts'!E$151-E$78,3)=0,"OK","ERROR")</f>
        <v>OK</v>
      </c>
      <c r="F79" s="5" t="str">
        <f>IF(ROUND('Fiscal Forecasts'!F$151-F$78,3)=0,"OK","ERROR")</f>
        <v>OK</v>
      </c>
      <c r="G79" s="170" t="str">
        <f>IF(ROUND('Fiscal Forecasts'!G$151-G$78,3)=0,"OK","ERROR")</f>
        <v>OK</v>
      </c>
      <c r="H79" s="170" t="str">
        <f>IF(ROUND('Fiscal Forecasts'!H$151-H$78,3)=0,"OK","ERROR")</f>
        <v>OK</v>
      </c>
      <c r="I79" s="170" t="str">
        <f>IF(ROUND('Fiscal Forecasts'!I$151-I$78,3)=0,"OK","ERROR")</f>
        <v>OK</v>
      </c>
      <c r="J79" s="170" t="str">
        <f>IF(ROUND('Fiscal Forecasts'!J$151-J$78,3)=0,"OK","ERROR")</f>
        <v>OK</v>
      </c>
    </row>
    <row r="80" spans="1:20" ht="15">
      <c r="A80" s="26"/>
      <c r="B80" s="4"/>
      <c r="D80" s="5"/>
      <c r="E80" s="5"/>
      <c r="F80" s="5"/>
      <c r="G80" s="5"/>
      <c r="J80" s="167"/>
    </row>
    <row r="81" spans="1:20">
      <c r="A81" s="18" t="s">
        <v>161</v>
      </c>
      <c r="J81" s="167"/>
    </row>
    <row r="82" spans="1:20">
      <c r="A82" s="1" t="s">
        <v>162</v>
      </c>
      <c r="B82" s="4" t="str">
        <f>$B$39</f>
        <v>From Fiscal Forecasts</v>
      </c>
      <c r="D82" s="14">
        <f>'Fiscal Forecasts'!D$71</f>
        <v>83.016999999999996</v>
      </c>
      <c r="E82" s="175">
        <f>'Fiscal Forecasts'!E$71</f>
        <v>83.156000000000006</v>
      </c>
      <c r="F82" s="15">
        <f>'Fiscal Forecasts'!F$71</f>
        <v>89.620999999999995</v>
      </c>
      <c r="G82" s="15">
        <f>'Fiscal Forecasts'!G$71</f>
        <v>92.581999999999994</v>
      </c>
      <c r="H82" s="15">
        <f>'Fiscal Forecasts'!H$71</f>
        <v>99.69</v>
      </c>
      <c r="I82" s="15">
        <f>'Fiscal Forecasts'!I$71</f>
        <v>105.599</v>
      </c>
      <c r="J82" s="176">
        <f>'Fiscal Forecasts'!J$71</f>
        <v>111.56699999999999</v>
      </c>
      <c r="K82" s="6">
        <f t="shared" ref="K82:T82" ca="1" si="57">SUM(K$477-K$376,K$134)</f>
        <v>116.75745776528265</v>
      </c>
      <c r="L82" s="6">
        <f t="shared" ca="1" si="57"/>
        <v>122.00277067741081</v>
      </c>
      <c r="M82" s="6">
        <f t="shared" ca="1" si="57"/>
        <v>127.14616744118723</v>
      </c>
      <c r="N82" s="6">
        <f t="shared" ca="1" si="57"/>
        <v>132.66470001226759</v>
      </c>
      <c r="O82" s="6">
        <f t="shared" ca="1" si="57"/>
        <v>138.11612175562436</v>
      </c>
      <c r="P82" s="6">
        <f t="shared" ca="1" si="57"/>
        <v>143.65789083065499</v>
      </c>
      <c r="Q82" s="6">
        <f t="shared" ca="1" si="57"/>
        <v>149.31345817432236</v>
      </c>
      <c r="R82" s="104">
        <f t="shared" ca="1" si="57"/>
        <v>155.06929670912916</v>
      </c>
      <c r="S82" s="104">
        <f t="shared" ca="1" si="57"/>
        <v>160.91988717508931</v>
      </c>
      <c r="T82" s="171">
        <f t="shared" ca="1" si="57"/>
        <v>166.93732802192429</v>
      </c>
    </row>
    <row r="83" spans="1:20">
      <c r="A83" s="1" t="s">
        <v>163</v>
      </c>
      <c r="B83" s="4" t="str">
        <f>$B$39</f>
        <v>From Fiscal Forecasts</v>
      </c>
      <c r="D83" s="14">
        <f>'Fiscal Forecasts'!D$72</f>
        <v>5.1870000000000003</v>
      </c>
      <c r="E83" s="175">
        <f>'Fiscal Forecasts'!E$72</f>
        <v>5.2939999999999996</v>
      </c>
      <c r="F83" s="15">
        <f>'Fiscal Forecasts'!F$72</f>
        <v>6.4729999999999999</v>
      </c>
      <c r="G83" s="15">
        <f>'Fiscal Forecasts'!G$72</f>
        <v>6.008</v>
      </c>
      <c r="H83" s="15">
        <f>'Fiscal Forecasts'!H$72</f>
        <v>6.4690000000000003</v>
      </c>
      <c r="I83" s="15">
        <f>'Fiscal Forecasts'!I$72</f>
        <v>6.9779999999999998</v>
      </c>
      <c r="J83" s="176">
        <f>'Fiscal Forecasts'!J$72</f>
        <v>7.3769999999999998</v>
      </c>
      <c r="K83" s="131">
        <f ca="1">SUM(K$139,K$141,K$142,K$144)</f>
        <v>7.8209146879908928</v>
      </c>
      <c r="L83" s="171">
        <f t="shared" ref="L83:T83" ca="1" si="58">SUM(L$139,L$141,L$142,L$144)</f>
        <v>8.1682906148038121</v>
      </c>
      <c r="M83" s="171">
        <f t="shared" ca="1" si="58"/>
        <v>8.5197794298057232</v>
      </c>
      <c r="N83" s="171">
        <f t="shared" ca="1" si="58"/>
        <v>8.8752865890897503</v>
      </c>
      <c r="O83" s="171">
        <f t="shared" ca="1" si="58"/>
        <v>9.2454501912996747</v>
      </c>
      <c r="P83" s="171">
        <f t="shared" ca="1" si="58"/>
        <v>9.6279353501928302</v>
      </c>
      <c r="Q83" s="171">
        <f t="shared" ca="1" si="58"/>
        <v>10.016949149950683</v>
      </c>
      <c r="R83" s="171">
        <f t="shared" ca="1" si="58"/>
        <v>10.416961450835474</v>
      </c>
      <c r="S83" s="171">
        <f t="shared" ca="1" si="58"/>
        <v>10.825858613567783</v>
      </c>
      <c r="T83" s="171">
        <f t="shared" ca="1" si="58"/>
        <v>11.25158131156595</v>
      </c>
    </row>
    <row r="84" spans="1:20">
      <c r="A84" s="1" t="s">
        <v>130</v>
      </c>
      <c r="B84" s="4" t="str">
        <f>$B$39</f>
        <v>From Fiscal Forecasts</v>
      </c>
      <c r="D84" s="14">
        <f>'Fiscal Forecasts'!D$73</f>
        <v>19.763999999999999</v>
      </c>
      <c r="E84" s="175">
        <f>'Fiscal Forecasts'!E$73</f>
        <v>18.289000000000001</v>
      </c>
      <c r="F84" s="15">
        <f>'Fiscal Forecasts'!F$73</f>
        <v>16.829999999999998</v>
      </c>
      <c r="G84" s="15">
        <f>'Fiscal Forecasts'!G$73</f>
        <v>17.995000000000001</v>
      </c>
      <c r="H84" s="15">
        <f>'Fiscal Forecasts'!H$73</f>
        <v>18.751999999999999</v>
      </c>
      <c r="I84" s="15">
        <f>'Fiscal Forecasts'!I$73</f>
        <v>19.164999999999999</v>
      </c>
      <c r="J84" s="176">
        <f>'Fiscal Forecasts'!J$73</f>
        <v>19.477</v>
      </c>
      <c r="K84" s="6">
        <f t="shared" ref="K84:T84" ca="1" si="59">K$148</f>
        <v>21.243525563685779</v>
      </c>
      <c r="L84" s="6">
        <f t="shared" ca="1" si="59"/>
        <v>22.150382878729722</v>
      </c>
      <c r="M84" s="6">
        <f t="shared" ca="1" si="59"/>
        <v>23.067410961798139</v>
      </c>
      <c r="N84" s="6">
        <f t="shared" ca="1" si="59"/>
        <v>24.027681774310778</v>
      </c>
      <c r="O84" s="6">
        <f t="shared" ca="1" si="59"/>
        <v>25.008750892683572</v>
      </c>
      <c r="P84" s="6">
        <f t="shared" ca="1" si="59"/>
        <v>26.010504270145038</v>
      </c>
      <c r="Q84" s="6">
        <f t="shared" ca="1" si="59"/>
        <v>27.032868191565125</v>
      </c>
      <c r="R84" s="104">
        <f t="shared" ca="1" si="59"/>
        <v>28.073088959177863</v>
      </c>
      <c r="S84" s="104">
        <f t="shared" ca="1" si="59"/>
        <v>29.130336686059998</v>
      </c>
      <c r="T84" s="171">
        <f t="shared" ca="1" si="59"/>
        <v>30.218929913408456</v>
      </c>
    </row>
    <row r="85" spans="1:20">
      <c r="A85" s="1" t="s">
        <v>959</v>
      </c>
      <c r="B85" s="4" t="str">
        <f>$B$39</f>
        <v>From Fiscal Forecasts</v>
      </c>
      <c r="D85" s="14">
        <f>'Fiscal Forecasts'!D$74</f>
        <v>2.528</v>
      </c>
      <c r="E85" s="175">
        <f>'Fiscal Forecasts'!E$74</f>
        <v>2.3069999999999999</v>
      </c>
      <c r="F85" s="15">
        <f>'Fiscal Forecasts'!F$74</f>
        <v>1.9590000000000001</v>
      </c>
      <c r="G85" s="15">
        <f>'Fiscal Forecasts'!G$74</f>
        <v>1.7370000000000001</v>
      </c>
      <c r="H85" s="15">
        <f>'Fiscal Forecasts'!H$74</f>
        <v>1.925</v>
      </c>
      <c r="I85" s="15">
        <f>'Fiscal Forecasts'!I$74</f>
        <v>2.1030000000000002</v>
      </c>
      <c r="J85" s="176">
        <f>'Fiscal Forecasts'!J$74</f>
        <v>2.294</v>
      </c>
      <c r="K85" s="131">
        <f t="shared" ref="K85:T85" ca="1" si="60">SUM(K$152,K$153,K$155,K$156,K$157,K$332)</f>
        <v>2.350052866149472</v>
      </c>
      <c r="L85" s="131">
        <f t="shared" ca="1" si="60"/>
        <v>2.5045832380320623</v>
      </c>
      <c r="M85" s="131">
        <f t="shared" ca="1" si="60"/>
        <v>2.6654011739298475</v>
      </c>
      <c r="N85" s="131">
        <f t="shared" ca="1" si="60"/>
        <v>2.8318212677016383</v>
      </c>
      <c r="O85" s="131">
        <f t="shared" ca="1" si="60"/>
        <v>3.0008419840926002</v>
      </c>
      <c r="P85" s="131">
        <f t="shared" ca="1" si="60"/>
        <v>3.1658073372282542</v>
      </c>
      <c r="Q85" s="131">
        <f t="shared" ca="1" si="60"/>
        <v>3.3329878065508005</v>
      </c>
      <c r="R85" s="131">
        <f t="shared" ca="1" si="60"/>
        <v>3.5172725485044753</v>
      </c>
      <c r="S85" s="131">
        <f t="shared" ca="1" si="60"/>
        <v>3.7127275878137511</v>
      </c>
      <c r="T85" s="171">
        <f t="shared" ca="1" si="60"/>
        <v>3.9039335295166135</v>
      </c>
    </row>
    <row r="86" spans="1:20">
      <c r="A86" s="1" t="s">
        <v>164</v>
      </c>
      <c r="B86" s="4" t="str">
        <f>$B$39</f>
        <v>From Fiscal Forecasts</v>
      </c>
      <c r="D86" s="14">
        <f>'Fiscal Forecasts'!D$75</f>
        <v>4.5629999999999997</v>
      </c>
      <c r="E86" s="175">
        <f>'Fiscal Forecasts'!E$75</f>
        <v>4.5439999999999996</v>
      </c>
      <c r="F86" s="15">
        <f>'Fiscal Forecasts'!F$75</f>
        <v>4.2640000000000002</v>
      </c>
      <c r="G86" s="15">
        <f>'Fiscal Forecasts'!G$75</f>
        <v>4.2569999999999997</v>
      </c>
      <c r="H86" s="15">
        <f>'Fiscal Forecasts'!H$75</f>
        <v>4.4580000000000002</v>
      </c>
      <c r="I86" s="15">
        <f>'Fiscal Forecasts'!I$75</f>
        <v>4.7329999999999997</v>
      </c>
      <c r="J86" s="176">
        <f>'Fiscal Forecasts'!J$75</f>
        <v>4.8869999999999996</v>
      </c>
      <c r="K86" s="6">
        <f t="shared" ref="K86:T86" ca="1" si="61">SUM(K$166,K$172)</f>
        <v>4.8656239566691841</v>
      </c>
      <c r="L86" s="6">
        <f t="shared" ca="1" si="61"/>
        <v>5.1590499531094975</v>
      </c>
      <c r="M86" s="6">
        <f t="shared" ca="1" si="61"/>
        <v>5.4597907423462395</v>
      </c>
      <c r="N86" s="6">
        <f t="shared" ca="1" si="61"/>
        <v>5.7744929906495592</v>
      </c>
      <c r="O86" s="6">
        <f t="shared" ca="1" si="61"/>
        <v>6.0994845908493041</v>
      </c>
      <c r="P86" s="6">
        <f t="shared" ca="1" si="61"/>
        <v>6.435559990483716</v>
      </c>
      <c r="Q86" s="6">
        <f t="shared" ca="1" si="61"/>
        <v>6.7823682084270516</v>
      </c>
      <c r="R86" s="104">
        <f t="shared" ca="1" si="61"/>
        <v>7.1374425411137032</v>
      </c>
      <c r="S86" s="104">
        <f t="shared" ca="1" si="61"/>
        <v>7.5017488202128764</v>
      </c>
      <c r="T86" s="171">
        <f t="shared" ca="1" si="61"/>
        <v>7.8818562814605064</v>
      </c>
    </row>
    <row r="87" spans="1:20" ht="15">
      <c r="A87" s="2" t="s">
        <v>165</v>
      </c>
      <c r="D87" s="34">
        <f t="shared" ref="D87:T87" si="62">SUM(D$82:D$86)</f>
        <v>115.059</v>
      </c>
      <c r="E87" s="138">
        <f t="shared" si="62"/>
        <v>113.59</v>
      </c>
      <c r="F87" s="33">
        <f t="shared" si="62"/>
        <v>119.14699999999999</v>
      </c>
      <c r="G87" s="33">
        <f t="shared" si="62"/>
        <v>122.57899999999999</v>
      </c>
      <c r="H87" s="33">
        <f t="shared" si="62"/>
        <v>131.29399999999998</v>
      </c>
      <c r="I87" s="33">
        <f t="shared" si="62"/>
        <v>138.578</v>
      </c>
      <c r="J87" s="137">
        <f t="shared" si="62"/>
        <v>145.602</v>
      </c>
      <c r="K87" s="37">
        <f t="shared" ca="1" si="62"/>
        <v>153.03757483977799</v>
      </c>
      <c r="L87" s="37">
        <f t="shared" ca="1" si="62"/>
        <v>159.98507736208592</v>
      </c>
      <c r="M87" s="37">
        <f t="shared" ca="1" si="62"/>
        <v>166.85854974906718</v>
      </c>
      <c r="N87" s="37">
        <f t="shared" ca="1" si="62"/>
        <v>174.1739826340193</v>
      </c>
      <c r="O87" s="37">
        <f t="shared" ca="1" si="62"/>
        <v>181.47064941454951</v>
      </c>
      <c r="P87" s="37">
        <f t="shared" ca="1" si="62"/>
        <v>188.89769777870484</v>
      </c>
      <c r="Q87" s="37">
        <f t="shared" ca="1" si="62"/>
        <v>196.47863153081599</v>
      </c>
      <c r="R87" s="37">
        <f t="shared" ca="1" si="62"/>
        <v>204.21406220876068</v>
      </c>
      <c r="S87" s="37">
        <f t="shared" ca="1" si="62"/>
        <v>212.09055888274372</v>
      </c>
      <c r="T87" s="140">
        <f t="shared" ca="1" si="62"/>
        <v>220.19362905787582</v>
      </c>
    </row>
    <row r="88" spans="1:20">
      <c r="A88" s="1" t="s">
        <v>133</v>
      </c>
      <c r="B88" s="4" t="str">
        <f>$B$39</f>
        <v>From Fiscal Forecasts</v>
      </c>
      <c r="D88" s="14">
        <f>'Fiscal Forecasts'!D$77</f>
        <v>27.981999999999999</v>
      </c>
      <c r="E88" s="175">
        <f>'Fiscal Forecasts'!E$77</f>
        <v>42.945</v>
      </c>
      <c r="F88" s="15">
        <f>'Fiscal Forecasts'!F$77</f>
        <v>35.884999999999998</v>
      </c>
      <c r="G88" s="15">
        <f>'Fiscal Forecasts'!G$77</f>
        <v>37.271000000000001</v>
      </c>
      <c r="H88" s="15">
        <f>'Fiscal Forecasts'!H$77</f>
        <v>38.731999999999999</v>
      </c>
      <c r="I88" s="15">
        <f>'Fiscal Forecasts'!I$77</f>
        <v>39.683</v>
      </c>
      <c r="J88" s="176">
        <f>'Fiscal Forecasts'!J$77</f>
        <v>41.777999999999999</v>
      </c>
      <c r="K88" s="6">
        <f t="shared" ref="K88:T88" ca="1" si="63">K$186</f>
        <v>42.175333230244597</v>
      </c>
      <c r="L88" s="6">
        <f t="shared" ca="1" si="63"/>
        <v>44.330846203359151</v>
      </c>
      <c r="M88" s="6">
        <f t="shared" ca="1" si="63"/>
        <v>46.642671488490933</v>
      </c>
      <c r="N88" s="6">
        <f t="shared" ca="1" si="63"/>
        <v>48.969856019680442</v>
      </c>
      <c r="O88" s="6">
        <f t="shared" ca="1" si="63"/>
        <v>50.907964033873846</v>
      </c>
      <c r="P88" s="6">
        <f t="shared" ca="1" si="63"/>
        <v>53.267414745211589</v>
      </c>
      <c r="Q88" s="6">
        <f t="shared" ca="1" si="63"/>
        <v>55.689250032708017</v>
      </c>
      <c r="R88" s="104">
        <f t="shared" ca="1" si="63"/>
        <v>58.194547289277729</v>
      </c>
      <c r="S88" s="104">
        <f t="shared" ca="1" si="63"/>
        <v>60.781270845664963</v>
      </c>
      <c r="T88" s="171">
        <f t="shared" ca="1" si="63"/>
        <v>63.42724092894592</v>
      </c>
    </row>
    <row r="89" spans="1:20">
      <c r="A89" s="1" t="s">
        <v>166</v>
      </c>
      <c r="B89" s="4" t="str">
        <f>$B$39</f>
        <v>From Fiscal Forecasts</v>
      </c>
      <c r="D89" s="14">
        <f>'Fiscal Forecasts'!D$78</f>
        <v>72.078999999999994</v>
      </c>
      <c r="E89" s="175">
        <f>'Fiscal Forecasts'!E$78</f>
        <v>77.191999999999993</v>
      </c>
      <c r="F89" s="15">
        <f>'Fiscal Forecasts'!F$78</f>
        <v>88.736999999999995</v>
      </c>
      <c r="G89" s="15">
        <f>'Fiscal Forecasts'!G$78</f>
        <v>91.242000000000004</v>
      </c>
      <c r="H89" s="15">
        <f>'Fiscal Forecasts'!H$78</f>
        <v>86.757999999999996</v>
      </c>
      <c r="I89" s="15">
        <f>'Fiscal Forecasts'!I$78</f>
        <v>85.671000000000006</v>
      </c>
      <c r="J89" s="176">
        <f>'Fiscal Forecasts'!J$78</f>
        <v>84.69</v>
      </c>
      <c r="K89" s="6">
        <f t="shared" ref="K89:T89" ca="1" si="64">SUM(K$209,K$226,K$240)-SUM(K$219,K$263,K$273,K$313,K$463-J$463,K$468-J$468)</f>
        <v>86.779104104634769</v>
      </c>
      <c r="L89" s="6">
        <f t="shared" ca="1" si="64"/>
        <v>87.589584363059345</v>
      </c>
      <c r="M89" s="6">
        <f t="shared" ca="1" si="64"/>
        <v>88.508680296251583</v>
      </c>
      <c r="N89" s="6">
        <f t="shared" ca="1" si="64"/>
        <v>89.641695654296683</v>
      </c>
      <c r="O89" s="6">
        <f t="shared" ca="1" si="64"/>
        <v>90.787067009657477</v>
      </c>
      <c r="P89" s="6">
        <f t="shared" ca="1" si="64"/>
        <v>91.99633064928841</v>
      </c>
      <c r="Q89" s="6">
        <f t="shared" ca="1" si="64"/>
        <v>93.23753492185206</v>
      </c>
      <c r="R89" s="104">
        <f t="shared" ca="1" si="64"/>
        <v>94.53215181945481</v>
      </c>
      <c r="S89" s="104">
        <f t="shared" ca="1" si="64"/>
        <v>95.859094067249202</v>
      </c>
      <c r="T89" s="171">
        <f t="shared" ca="1" si="64"/>
        <v>97.216704214148578</v>
      </c>
    </row>
    <row r="90" spans="1:20">
      <c r="A90" s="1" t="s">
        <v>167</v>
      </c>
      <c r="B90" s="4" t="str">
        <f>$B$39</f>
        <v>From Fiscal Forecasts</v>
      </c>
      <c r="D90" s="175">
        <f>'Fiscal Forecasts'!D$79</f>
        <v>4.0250000000000004</v>
      </c>
      <c r="E90" s="175">
        <f>'Fiscal Forecasts'!E$79</f>
        <v>3.8490000000000002</v>
      </c>
      <c r="F90" s="176">
        <f>'Fiscal Forecasts'!F$79</f>
        <v>3.7930000000000001</v>
      </c>
      <c r="G90" s="176">
        <f>'Fiscal Forecasts'!G$79</f>
        <v>2.9620000000000002</v>
      </c>
      <c r="H90" s="176">
        <f>'Fiscal Forecasts'!H$79</f>
        <v>3.2679999999999998</v>
      </c>
      <c r="I90" s="176">
        <f>'Fiscal Forecasts'!I$79</f>
        <v>3.5209999999999999</v>
      </c>
      <c r="J90" s="176">
        <f>'Fiscal Forecasts'!J$79</f>
        <v>4.0019999999999998</v>
      </c>
      <c r="K90" s="171">
        <f t="shared" ref="K90:T90" ca="1" si="65">(2*J$69-SUM(K$87,K$100,K$101)+SUM(K$88,K$89,K$91,K$103,K$347-J$347))/(2/K$234-1)</f>
        <v>4.2133804932667962</v>
      </c>
      <c r="L90" s="171">
        <f t="shared" ca="1" si="65"/>
        <v>5.0413113168819548</v>
      </c>
      <c r="M90" s="171">
        <f t="shared" ca="1" si="65"/>
        <v>6.002766331212845</v>
      </c>
      <c r="N90" s="171">
        <f t="shared" ca="1" si="65"/>
        <v>7.0138631919249299</v>
      </c>
      <c r="O90" s="171">
        <f t="shared" ca="1" si="65"/>
        <v>8.0620204475280275</v>
      </c>
      <c r="P90" s="171">
        <f t="shared" ca="1" si="65"/>
        <v>9.140072752649834</v>
      </c>
      <c r="Q90" s="171">
        <f t="shared" ca="1" si="65"/>
        <v>10.249768882285348</v>
      </c>
      <c r="R90" s="171">
        <f t="shared" ca="1" si="65"/>
        <v>11.389923315893837</v>
      </c>
      <c r="S90" s="171">
        <f t="shared" ca="1" si="65"/>
        <v>12.557258485914957</v>
      </c>
      <c r="T90" s="171">
        <f t="shared" ca="1" si="65"/>
        <v>13.747887863138621</v>
      </c>
    </row>
    <row r="91" spans="1:20">
      <c r="A91" s="1" t="s">
        <v>592</v>
      </c>
      <c r="B91" s="4"/>
      <c r="D91" s="14">
        <f t="shared" ref="D91:T91" si="66">SUM(D$245,D$248)</f>
        <v>0</v>
      </c>
      <c r="E91" s="175">
        <f t="shared" si="66"/>
        <v>0</v>
      </c>
      <c r="F91" s="15">
        <f t="shared" si="66"/>
        <v>-1.5249999999999999</v>
      </c>
      <c r="G91" s="15">
        <f t="shared" si="66"/>
        <v>1.4460000000000002</v>
      </c>
      <c r="H91" s="15">
        <f t="shared" si="66"/>
        <v>4.4509999999999996</v>
      </c>
      <c r="I91" s="15">
        <f t="shared" si="66"/>
        <v>7.1840000000000002</v>
      </c>
      <c r="J91" s="176">
        <f t="shared" si="66"/>
        <v>9.8580000000000005</v>
      </c>
      <c r="K91" s="6">
        <f t="shared" ca="1" si="66"/>
        <v>10.702</v>
      </c>
      <c r="L91" s="6">
        <f t="shared" ca="1" si="66"/>
        <v>12.72772</v>
      </c>
      <c r="M91" s="6">
        <f t="shared" ca="1" si="66"/>
        <v>14.793954400000001</v>
      </c>
      <c r="N91" s="6">
        <f t="shared" ca="1" si="66"/>
        <v>16.901513487999999</v>
      </c>
      <c r="O91" s="6">
        <f t="shared" ca="1" si="66"/>
        <v>19.051223757759999</v>
      </c>
      <c r="P91" s="6">
        <f t="shared" ca="1" si="66"/>
        <v>21.243928232915202</v>
      </c>
      <c r="Q91" s="6">
        <f t="shared" ca="1" si="66"/>
        <v>23.480486797573505</v>
      </c>
      <c r="R91" s="104">
        <f t="shared" ca="1" si="66"/>
        <v>25.761776533524976</v>
      </c>
      <c r="S91" s="104">
        <f t="shared" ca="1" si="66"/>
        <v>28.088692064195477</v>
      </c>
      <c r="T91" s="171">
        <f t="shared" ca="1" si="66"/>
        <v>30.462145905479389</v>
      </c>
    </row>
    <row r="92" spans="1:20" ht="15">
      <c r="A92" s="2" t="s">
        <v>594</v>
      </c>
      <c r="D92" s="34">
        <f t="shared" ref="D92:T92" si="67">SUM(D$88:D$91)</f>
        <v>104.086</v>
      </c>
      <c r="E92" s="138">
        <f t="shared" si="67"/>
        <v>123.986</v>
      </c>
      <c r="F92" s="33">
        <f t="shared" si="67"/>
        <v>126.88999999999999</v>
      </c>
      <c r="G92" s="33">
        <f t="shared" si="67"/>
        <v>132.92099999999999</v>
      </c>
      <c r="H92" s="33">
        <f t="shared" si="67"/>
        <v>133.20899999999997</v>
      </c>
      <c r="I92" s="33">
        <f t="shared" si="67"/>
        <v>136.059</v>
      </c>
      <c r="J92" s="137">
        <f t="shared" si="67"/>
        <v>140.328</v>
      </c>
      <c r="K92" s="37">
        <f t="shared" ca="1" si="67"/>
        <v>143.86981782814615</v>
      </c>
      <c r="L92" s="37">
        <f t="shared" ca="1" si="67"/>
        <v>149.68946188330045</v>
      </c>
      <c r="M92" s="37">
        <f t="shared" ca="1" si="67"/>
        <v>155.94807251595537</v>
      </c>
      <c r="N92" s="37">
        <f t="shared" ca="1" si="67"/>
        <v>162.52692835390206</v>
      </c>
      <c r="O92" s="37">
        <f t="shared" ca="1" si="67"/>
        <v>168.80827524881934</v>
      </c>
      <c r="P92" s="37">
        <f t="shared" ca="1" si="67"/>
        <v>175.64774638006506</v>
      </c>
      <c r="Q92" s="37">
        <f t="shared" ca="1" si="67"/>
        <v>182.65704063441893</v>
      </c>
      <c r="R92" s="37">
        <f t="shared" ca="1" si="67"/>
        <v>189.87839895815134</v>
      </c>
      <c r="S92" s="37">
        <f t="shared" ca="1" si="67"/>
        <v>197.28631546302458</v>
      </c>
      <c r="T92" s="140">
        <f t="shared" ca="1" si="67"/>
        <v>204.85397891171252</v>
      </c>
    </row>
    <row r="93" spans="1:20" ht="15">
      <c r="A93" s="2" t="s">
        <v>313</v>
      </c>
      <c r="D93" s="35">
        <f t="shared" ref="D93:T93" si="68">SUM(D$87,-D$92)</f>
        <v>10.972999999999999</v>
      </c>
      <c r="E93" s="35">
        <f t="shared" si="68"/>
        <v>-10.396000000000001</v>
      </c>
      <c r="F93" s="36">
        <f t="shared" si="68"/>
        <v>-7.742999999999995</v>
      </c>
      <c r="G93" s="36">
        <f t="shared" si="68"/>
        <v>-10.341999999999999</v>
      </c>
      <c r="H93" s="36">
        <f t="shared" si="68"/>
        <v>-1.914999999999992</v>
      </c>
      <c r="I93" s="36">
        <f t="shared" si="68"/>
        <v>2.5190000000000055</v>
      </c>
      <c r="J93" s="139">
        <f t="shared" si="68"/>
        <v>5.2740000000000009</v>
      </c>
      <c r="K93" s="27">
        <f t="shared" ca="1" si="68"/>
        <v>9.167757011631835</v>
      </c>
      <c r="L93" s="27">
        <f t="shared" ca="1" si="68"/>
        <v>10.295615478785464</v>
      </c>
      <c r="M93" s="27">
        <f t="shared" ca="1" si="68"/>
        <v>10.910477233111806</v>
      </c>
      <c r="N93" s="27">
        <f t="shared" ca="1" si="68"/>
        <v>11.647054280117231</v>
      </c>
      <c r="O93" s="27">
        <f t="shared" ca="1" si="68"/>
        <v>12.662374165730171</v>
      </c>
      <c r="P93" s="27">
        <f t="shared" ca="1" si="68"/>
        <v>13.24995139863978</v>
      </c>
      <c r="Q93" s="27">
        <f t="shared" ca="1" si="68"/>
        <v>13.821590896397055</v>
      </c>
      <c r="R93" s="27">
        <f t="shared" ca="1" si="68"/>
        <v>14.335663250609343</v>
      </c>
      <c r="S93" s="27">
        <f t="shared" ca="1" si="68"/>
        <v>14.804243419719143</v>
      </c>
      <c r="T93" s="136">
        <f t="shared" ca="1" si="68"/>
        <v>15.339650146163308</v>
      </c>
    </row>
    <row r="94" spans="1:20">
      <c r="A94" s="1" t="s">
        <v>600</v>
      </c>
      <c r="B94" s="4" t="str">
        <f>$B$39</f>
        <v>From Fiscal Forecasts</v>
      </c>
      <c r="D94" s="14">
        <f>-'Fiscal Forecasts'!D$82</f>
        <v>8.4640000000000004</v>
      </c>
      <c r="E94" s="175">
        <f>-'Fiscal Forecasts'!E$82</f>
        <v>9.0709999999999997</v>
      </c>
      <c r="F94" s="15">
        <f>-'Fiscal Forecasts'!F$82</f>
        <v>11.311999999999999</v>
      </c>
      <c r="G94" s="176">
        <f>-'Fiscal Forecasts'!G$82</f>
        <v>16.039000000000001</v>
      </c>
      <c r="H94" s="176">
        <f>-'Fiscal Forecasts'!H$82</f>
        <v>13.211</v>
      </c>
      <c r="I94" s="176">
        <f>-'Fiscal Forecasts'!I$82</f>
        <v>11.756</v>
      </c>
      <c r="J94" s="176">
        <f>-'Fiscal Forecasts'!J$82</f>
        <v>10.333</v>
      </c>
      <c r="K94" s="6">
        <f t="shared" ref="K94:T94" ca="1" si="69">SUM(K$421-J$421,K$215,K$41)</f>
        <v>12.980772512635033</v>
      </c>
      <c r="L94" s="171">
        <f t="shared" ca="1" si="69"/>
        <v>12.844511036604006</v>
      </c>
      <c r="M94" s="171">
        <f t="shared" ca="1" si="69"/>
        <v>12.712503338890729</v>
      </c>
      <c r="N94" s="171">
        <f t="shared" ca="1" si="69"/>
        <v>12.600586569878667</v>
      </c>
      <c r="O94" s="171">
        <f t="shared" ca="1" si="69"/>
        <v>12.498419307713046</v>
      </c>
      <c r="P94" s="171">
        <f t="shared" ca="1" si="69"/>
        <v>12.405709253458758</v>
      </c>
      <c r="Q94" s="171">
        <f t="shared" ca="1" si="69"/>
        <v>12.322208945154038</v>
      </c>
      <c r="R94" s="171">
        <f t="shared" ca="1" si="69"/>
        <v>12.248502059453775</v>
      </c>
      <c r="S94" s="171">
        <f t="shared" ca="1" si="69"/>
        <v>12.184431635595262</v>
      </c>
      <c r="T94" s="171">
        <f t="shared" ca="1" si="69"/>
        <v>12.125735611803782</v>
      </c>
    </row>
    <row r="95" spans="1:20">
      <c r="A95" s="1" t="s">
        <v>601</v>
      </c>
      <c r="B95" s="4" t="str">
        <f>$B$39</f>
        <v>From Fiscal Forecasts</v>
      </c>
      <c r="D95" s="14">
        <f>-'Fiscal Forecasts'!D$83</f>
        <v>-3.8039999999999998</v>
      </c>
      <c r="E95" s="175">
        <f>-'Fiscal Forecasts'!E$83</f>
        <v>14.148999999999999</v>
      </c>
      <c r="F95" s="15">
        <f>-'Fiscal Forecasts'!F$83</f>
        <v>-11.558999999999999</v>
      </c>
      <c r="G95" s="176">
        <f>-'Fiscal Forecasts'!G$83</f>
        <v>4.7489999999999997</v>
      </c>
      <c r="H95" s="176">
        <f>-'Fiscal Forecasts'!H$83</f>
        <v>-8.1319999999999997</v>
      </c>
      <c r="I95" s="176">
        <f>-'Fiscal Forecasts'!I$83</f>
        <v>1.079</v>
      </c>
      <c r="J95" s="176">
        <f>-'Fiscal Forecasts'!J$83</f>
        <v>1.2609999999999999</v>
      </c>
      <c r="K95" s="131">
        <f t="shared" ref="K95:T95" ca="1" si="70">SUM(K$363-J$363,K$372-J$372,K$388-J$388)-SUM(K$331,K$334,K$335,K$336)</f>
        <v>3.1780624318883879</v>
      </c>
      <c r="L95" s="131">
        <f t="shared" ca="1" si="70"/>
        <v>2.7344828352677473</v>
      </c>
      <c r="M95" s="131">
        <f t="shared" ca="1" si="70"/>
        <v>2.6863537175127457</v>
      </c>
      <c r="N95" s="131">
        <f t="shared" ca="1" si="70"/>
        <v>2.534664819263142</v>
      </c>
      <c r="O95" s="131">
        <f t="shared" ca="1" si="70"/>
        <v>2.3897355283304851</v>
      </c>
      <c r="P95" s="131">
        <f t="shared" ca="1" si="70"/>
        <v>2.2341260532854825</v>
      </c>
      <c r="Q95" s="131">
        <f t="shared" ca="1" si="70"/>
        <v>1.9278297097755139</v>
      </c>
      <c r="R95" s="131">
        <f t="shared" ca="1" si="70"/>
        <v>1.2481544874245643</v>
      </c>
      <c r="S95" s="131">
        <f t="shared" ca="1" si="70"/>
        <v>0.99990782976329484</v>
      </c>
      <c r="T95" s="171">
        <f t="shared" ca="1" si="70"/>
        <v>0.76429600655893637</v>
      </c>
    </row>
    <row r="96" spans="1:20">
      <c r="A96" s="1" t="s">
        <v>602</v>
      </c>
      <c r="B96" s="4" t="str">
        <f>$B$39</f>
        <v>From Fiscal Forecasts</v>
      </c>
      <c r="D96" s="14">
        <f>-'Fiscal Forecasts'!D$84</f>
        <v>0.79100000000000004</v>
      </c>
      <c r="E96" s="175">
        <f>-'Fiscal Forecasts'!E$84</f>
        <v>0.85499999999999998</v>
      </c>
      <c r="F96" s="15">
        <f>-'Fiscal Forecasts'!F$84</f>
        <v>0.94399999999999995</v>
      </c>
      <c r="G96" s="176">
        <f>-'Fiscal Forecasts'!G$84</f>
        <v>0.95099999999999996</v>
      </c>
      <c r="H96" s="176">
        <f>-'Fiscal Forecasts'!H$84</f>
        <v>0.76800000000000002</v>
      </c>
      <c r="I96" s="176">
        <f>-'Fiscal Forecasts'!I$84</f>
        <v>0.66</v>
      </c>
      <c r="J96" s="176">
        <f>-'Fiscal Forecasts'!J$84</f>
        <v>0.63700000000000001</v>
      </c>
      <c r="K96" s="6">
        <f t="shared" ref="K96:T96" ca="1" si="71">SUM(K$436-J$436,K$219)</f>
        <v>1.2324841831850573</v>
      </c>
      <c r="L96" s="6">
        <f t="shared" ca="1" si="71"/>
        <v>1.2774523726123015</v>
      </c>
      <c r="M96" s="6">
        <f t="shared" ca="1" si="71"/>
        <v>1.3184012300181063</v>
      </c>
      <c r="N96" s="6">
        <f t="shared" ca="1" si="71"/>
        <v>1.3613511158407228</v>
      </c>
      <c r="O96" s="6">
        <f t="shared" ca="1" si="71"/>
        <v>1.3922642471967031</v>
      </c>
      <c r="P96" s="6">
        <f t="shared" ca="1" si="71"/>
        <v>1.4151855868880294</v>
      </c>
      <c r="Q96" s="6">
        <f t="shared" ca="1" si="71"/>
        <v>1.4665921568657179</v>
      </c>
      <c r="R96" s="104">
        <f t="shared" ca="1" si="71"/>
        <v>1.5181966067163448</v>
      </c>
      <c r="S96" s="104">
        <f t="shared" ca="1" si="71"/>
        <v>1.5703934681751168</v>
      </c>
      <c r="T96" s="171">
        <f t="shared" ca="1" si="71"/>
        <v>1.6272433866270333</v>
      </c>
    </row>
    <row r="97" spans="1:20">
      <c r="A97" s="1" t="s">
        <v>603</v>
      </c>
      <c r="B97" s="4" t="str">
        <f>$B$39</f>
        <v>From Fiscal Forecasts</v>
      </c>
      <c r="D97" s="14">
        <f>-'Fiscal Forecasts'!D$85</f>
        <v>1.9019999999999999</v>
      </c>
      <c r="E97" s="175">
        <f>-'Fiscal Forecasts'!E$85</f>
        <v>1.29</v>
      </c>
      <c r="F97" s="15">
        <f>-'Fiscal Forecasts'!F$85</f>
        <v>6.87</v>
      </c>
      <c r="G97" s="176">
        <f>-'Fiscal Forecasts'!G$85</f>
        <v>16.195</v>
      </c>
      <c r="H97" s="176">
        <f>-'Fiscal Forecasts'!H$85</f>
        <v>11.561</v>
      </c>
      <c r="I97" s="176">
        <f>-'Fiscal Forecasts'!I$85</f>
        <v>-4.07</v>
      </c>
      <c r="J97" s="176">
        <f>-'Fiscal Forecasts'!J$85</f>
        <v>-10.673</v>
      </c>
      <c r="K97" s="6">
        <f t="shared" ref="K97:T97" ca="1" si="72">SUM(K$398-J$398,-K$151,K$263)</f>
        <v>-8.8593648343284563</v>
      </c>
      <c r="L97" s="6">
        <f t="shared" ca="1" si="72"/>
        <v>1.9583158618833993</v>
      </c>
      <c r="M97" s="6">
        <f t="shared" ca="1" si="72"/>
        <v>1.9530877427853377</v>
      </c>
      <c r="N97" s="6">
        <f t="shared" ca="1" si="72"/>
        <v>1.9840651642110498</v>
      </c>
      <c r="O97" s="6">
        <f t="shared" ca="1" si="72"/>
        <v>1.9722622828404623</v>
      </c>
      <c r="P97" s="6">
        <f t="shared" ca="1" si="72"/>
        <v>1.9445445945666819</v>
      </c>
      <c r="Q97" s="6">
        <f t="shared" ca="1" si="72"/>
        <v>2.113856489592159</v>
      </c>
      <c r="R97" s="104">
        <f t="shared" ca="1" si="72"/>
        <v>2.6306411086643942</v>
      </c>
      <c r="S97" s="104">
        <f t="shared" ca="1" si="72"/>
        <v>2.6848666315306597</v>
      </c>
      <c r="T97" s="171">
        <f t="shared" ca="1" si="72"/>
        <v>2.7608353802073555</v>
      </c>
    </row>
    <row r="98" spans="1:20">
      <c r="A98" s="1" t="s">
        <v>604</v>
      </c>
      <c r="B98" s="4" t="str">
        <f>$B$39</f>
        <v>From Fiscal Forecasts</v>
      </c>
      <c r="D98" s="14">
        <f>-'Fiscal Forecasts'!D$86</f>
        <v>-0.13600000000000001</v>
      </c>
      <c r="E98" s="175">
        <f>-'Fiscal Forecasts'!E$86</f>
        <v>0.28599999999999998</v>
      </c>
      <c r="F98" s="15">
        <f>-'Fiscal Forecasts'!F$86</f>
        <v>0.40100000000000002</v>
      </c>
      <c r="G98" s="176">
        <f>-'Fiscal Forecasts'!G$86</f>
        <v>0.67400000000000004</v>
      </c>
      <c r="H98" s="176">
        <f>-'Fiscal Forecasts'!H$86</f>
        <v>0.45</v>
      </c>
      <c r="I98" s="176">
        <f>-'Fiscal Forecasts'!I$86</f>
        <v>0.192</v>
      </c>
      <c r="J98" s="176">
        <f>-'Fiscal Forecasts'!J$86</f>
        <v>0.1</v>
      </c>
      <c r="K98" s="6">
        <f t="shared" ref="K98:T98" ca="1" si="73">SUM(K$430-J$430,-K$341)</f>
        <v>0.84616051979607831</v>
      </c>
      <c r="L98" s="6">
        <f t="shared" ca="1" si="73"/>
        <v>0.81620048150529789</v>
      </c>
      <c r="M98" s="6">
        <f t="shared" ca="1" si="73"/>
        <v>0.78903114591883916</v>
      </c>
      <c r="N98" s="6">
        <f t="shared" ca="1" si="73"/>
        <v>0.78270555283044396</v>
      </c>
      <c r="O98" s="6">
        <f t="shared" ca="1" si="73"/>
        <v>0.75298926666339272</v>
      </c>
      <c r="P98" s="6">
        <f t="shared" ca="1" si="73"/>
        <v>0.71723343289640606</v>
      </c>
      <c r="Q98" s="6">
        <f t="shared" ca="1" si="73"/>
        <v>0.73039998906496262</v>
      </c>
      <c r="R98" s="104">
        <f t="shared" ca="1" si="73"/>
        <v>0.7413033198841783</v>
      </c>
      <c r="S98" s="104">
        <f t="shared" ca="1" si="73"/>
        <v>0.75148657054649415</v>
      </c>
      <c r="T98" s="171">
        <f t="shared" ca="1" si="73"/>
        <v>0.77303268039408468</v>
      </c>
    </row>
    <row r="99" spans="1:20">
      <c r="A99" s="1" t="s">
        <v>590</v>
      </c>
      <c r="B99" s="4"/>
      <c r="D99" s="14">
        <f>SUM(D$442-C$442,D$443-C$443)</f>
        <v>0</v>
      </c>
      <c r="E99" s="175">
        <f t="shared" ref="E99:T99" si="74">SUM(E$442-D$442,E$443-D$443)</f>
        <v>0</v>
      </c>
      <c r="F99" s="15">
        <f t="shared" si="74"/>
        <v>-0.8</v>
      </c>
      <c r="G99" s="176">
        <f t="shared" ref="G99" si="75">SUM(G$442-F$442,G$443-F$443)</f>
        <v>-0.3919999999999999</v>
      </c>
      <c r="H99" s="176">
        <f t="shared" ref="H99" si="76">SUM(H$442-G$442,H$443-G$443)</f>
        <v>1.4950000000000001</v>
      </c>
      <c r="I99" s="176">
        <f t="shared" ref="I99:J99" si="77">SUM(I$442-H$442,I$443-H$443)</f>
        <v>2.3530000000000006</v>
      </c>
      <c r="J99" s="176">
        <f t="shared" si="77"/>
        <v>2.8100000000000005</v>
      </c>
      <c r="K99" s="6">
        <f t="shared" ca="1" si="74"/>
        <v>4.4014999999999969</v>
      </c>
      <c r="L99" s="6">
        <f t="shared" ca="1" si="74"/>
        <v>3.947910000000002</v>
      </c>
      <c r="M99" s="6">
        <f t="shared" ca="1" si="74"/>
        <v>4.0268682</v>
      </c>
      <c r="N99" s="6">
        <f t="shared" ca="1" si="74"/>
        <v>4.1074055639999987</v>
      </c>
      <c r="O99" s="6">
        <f t="shared" ca="1" si="74"/>
        <v>4.1895536752800027</v>
      </c>
      <c r="P99" s="6">
        <f t="shared" ca="1" si="74"/>
        <v>4.2733447487856013</v>
      </c>
      <c r="Q99" s="6">
        <f t="shared" ca="1" si="74"/>
        <v>4.3588116437613129</v>
      </c>
      <c r="R99" s="104">
        <f t="shared" ca="1" si="74"/>
        <v>4.445987876636539</v>
      </c>
      <c r="S99" s="104">
        <f t="shared" ca="1" si="74"/>
        <v>4.5349076341692713</v>
      </c>
      <c r="T99" s="171">
        <f t="shared" ca="1" si="74"/>
        <v>4.6256057868526543</v>
      </c>
    </row>
    <row r="100" spans="1:20" ht="15">
      <c r="A100" s="2" t="s">
        <v>595</v>
      </c>
      <c r="D100" s="34">
        <f t="shared" ref="D100:T100" si="78">-SUM(D$94:D$99)</f>
        <v>-7.2170000000000005</v>
      </c>
      <c r="E100" s="138">
        <f t="shared" si="78"/>
        <v>-25.651</v>
      </c>
      <c r="F100" s="33">
        <f t="shared" si="78"/>
        <v>-7.1680000000000001</v>
      </c>
      <c r="G100" s="137">
        <f t="shared" si="78"/>
        <v>-38.215999999999994</v>
      </c>
      <c r="H100" s="137">
        <f t="shared" si="78"/>
        <v>-19.353000000000002</v>
      </c>
      <c r="I100" s="137">
        <f t="shared" si="78"/>
        <v>-11.970000000000002</v>
      </c>
      <c r="J100" s="137">
        <f t="shared" si="78"/>
        <v>-4.468</v>
      </c>
      <c r="K100" s="37">
        <f t="shared" ca="1" si="78"/>
        <v>-13.779614813176096</v>
      </c>
      <c r="L100" s="37">
        <f t="shared" ca="1" si="78"/>
        <v>-23.578872587872752</v>
      </c>
      <c r="M100" s="37">
        <f t="shared" ca="1" si="78"/>
        <v>-23.486245375125758</v>
      </c>
      <c r="N100" s="37">
        <f t="shared" ca="1" si="78"/>
        <v>-23.370778786024026</v>
      </c>
      <c r="O100" s="37">
        <f t="shared" ca="1" si="78"/>
        <v>-23.195224308024088</v>
      </c>
      <c r="P100" s="37">
        <f t="shared" ca="1" si="78"/>
        <v>-22.990143669880961</v>
      </c>
      <c r="Q100" s="37">
        <f t="shared" ca="1" si="78"/>
        <v>-22.919698934213706</v>
      </c>
      <c r="R100" s="37">
        <f t="shared" ca="1" si="78"/>
        <v>-22.832785458779796</v>
      </c>
      <c r="S100" s="37">
        <f t="shared" ca="1" si="78"/>
        <v>-22.7259937697801</v>
      </c>
      <c r="T100" s="140">
        <f t="shared" ca="1" si="78"/>
        <v>-22.676748852443843</v>
      </c>
    </row>
    <row r="101" spans="1:20">
      <c r="A101" s="1" t="s">
        <v>175</v>
      </c>
      <c r="B101" s="4" t="str">
        <f>$B$39</f>
        <v>From Fiscal Forecasts</v>
      </c>
      <c r="D101" s="14">
        <f>'Fiscal Forecasts'!D$89</f>
        <v>0.437</v>
      </c>
      <c r="E101" s="175">
        <f>'Fiscal Forecasts'!E$89</f>
        <v>1.2090000000000001</v>
      </c>
      <c r="F101" s="15">
        <f>'Fiscal Forecasts'!F$89</f>
        <v>0.39700000000000002</v>
      </c>
      <c r="G101" s="176">
        <f>'Fiscal Forecasts'!G$89</f>
        <v>8.4000000000000005E-2</v>
      </c>
      <c r="H101" s="176">
        <f>'Fiscal Forecasts'!H$89</f>
        <v>8.5000000000000006E-2</v>
      </c>
      <c r="I101" s="176">
        <f>'Fiscal Forecasts'!I$89</f>
        <v>8.5999999999999993E-2</v>
      </c>
      <c r="J101" s="176">
        <f>'Fiscal Forecasts'!J$89</f>
        <v>8.6999999999999994E-2</v>
      </c>
      <c r="K101" s="6">
        <f t="shared" ref="K101:T101" ca="1" si="79">K$446-J$446</f>
        <v>0.53038776082030736</v>
      </c>
      <c r="L101" s="6">
        <f t="shared" ca="1" si="79"/>
        <v>0.51303615899590937</v>
      </c>
      <c r="M101" s="6">
        <f t="shared" ca="1" si="79"/>
        <v>0.4968179046502037</v>
      </c>
      <c r="N101" s="6">
        <f t="shared" ca="1" si="79"/>
        <v>0.49196157767946858</v>
      </c>
      <c r="O101" s="6">
        <f t="shared" ca="1" si="79"/>
        <v>0.47354997742143112</v>
      </c>
      <c r="P101" s="6">
        <f t="shared" ca="1" si="79"/>
        <v>0.4513023581001363</v>
      </c>
      <c r="Q101" s="6">
        <f t="shared" ca="1" si="79"/>
        <v>0.4605876645433451</v>
      </c>
      <c r="R101" s="104">
        <f t="shared" ca="1" si="79"/>
        <v>0.468632395887699</v>
      </c>
      <c r="S101" s="104">
        <f t="shared" ca="1" si="79"/>
        <v>0.47630325284954544</v>
      </c>
      <c r="T101" s="171">
        <f t="shared" ca="1" si="79"/>
        <v>0.49042479073956891</v>
      </c>
    </row>
    <row r="102" spans="1:20">
      <c r="A102" s="1" t="s">
        <v>315</v>
      </c>
      <c r="B102" s="4" t="str">
        <f>$B$39</f>
        <v>From Fiscal Forecasts</v>
      </c>
      <c r="D102" s="14">
        <f>SUM('Fiscal Forecasts'!D$90:D$92)</f>
        <v>-2.5789999999999997</v>
      </c>
      <c r="E102" s="175">
        <f>SUM('Fiscal Forecasts'!E$90:E$92)</f>
        <v>36.155999999999999</v>
      </c>
      <c r="F102" s="15">
        <f>SUM('Fiscal Forecasts'!F$90:F$92)</f>
        <v>8.8780000000000001</v>
      </c>
      <c r="G102" s="176">
        <f>SUM('Fiscal Forecasts'!G$90:G$92)</f>
        <v>46.211999999999996</v>
      </c>
      <c r="H102" s="176">
        <f>SUM('Fiscal Forecasts'!H$90:H$92)</f>
        <v>20.794</v>
      </c>
      <c r="I102" s="176">
        <f>SUM('Fiscal Forecasts'!I$90:I$92)</f>
        <v>8.8020000000000032</v>
      </c>
      <c r="J102" s="176">
        <f>SUM('Fiscal Forecasts'!J$90:J$92)</f>
        <v>-0.92899999999999849</v>
      </c>
      <c r="K102" s="6">
        <f t="shared" ref="K102:T102" ca="1" si="80">SUM(K$347-J$347,K$103)-SUM(K$93,K$100,K$101)</f>
        <v>5.4038280025816992</v>
      </c>
      <c r="L102" s="6">
        <f t="shared" ca="1" si="80"/>
        <v>14.067751573380338</v>
      </c>
      <c r="M102" s="6">
        <f t="shared" ca="1" si="80"/>
        <v>13.353910040245117</v>
      </c>
      <c r="N102" s="6">
        <f t="shared" ca="1" si="80"/>
        <v>12.481447654818709</v>
      </c>
      <c r="O102" s="6">
        <f t="shared" ca="1" si="80"/>
        <v>11.264061689900595</v>
      </c>
      <c r="P102" s="6">
        <f t="shared" ca="1" si="80"/>
        <v>10.438165274829515</v>
      </c>
      <c r="Q102" s="6">
        <f t="shared" ca="1" si="80"/>
        <v>9.821272890927764</v>
      </c>
      <c r="R102" s="104">
        <f t="shared" ca="1" si="80"/>
        <v>9.2450441100527154</v>
      </c>
      <c r="S102" s="104">
        <f t="shared" ca="1" si="80"/>
        <v>8.6940014136466459</v>
      </c>
      <c r="T102" s="171">
        <f t="shared" ca="1" si="80"/>
        <v>8.1353163713502052</v>
      </c>
    </row>
    <row r="103" spans="1:20">
      <c r="A103" s="1" t="s">
        <v>942</v>
      </c>
      <c r="B103" s="4" t="str">
        <f>$B$39</f>
        <v>From Fiscal Forecasts</v>
      </c>
      <c r="D103" s="14">
        <f>-'Fiscal Forecasts'!D$93</f>
        <v>0.504</v>
      </c>
      <c r="E103" s="175">
        <f>-'Fiscal Forecasts'!E$93</f>
        <v>0.47899999999999998</v>
      </c>
      <c r="F103" s="15">
        <f>-'Fiscal Forecasts'!F$93</f>
        <v>0.23899999999999999</v>
      </c>
      <c r="G103" s="176">
        <f>-'Fiscal Forecasts'!G$93</f>
        <v>0.26700000000000002</v>
      </c>
      <c r="H103" s="176">
        <f>-'Fiscal Forecasts'!H$93</f>
        <v>0.20599999999999999</v>
      </c>
      <c r="I103" s="176">
        <f>-'Fiscal Forecasts'!I$93</f>
        <v>0.214</v>
      </c>
      <c r="J103" s="176">
        <f>-'Fiscal Forecasts'!J$93</f>
        <v>0.223</v>
      </c>
      <c r="K103" s="6">
        <f ca="1">K$39-K$41</f>
        <v>0.36443429299015356</v>
      </c>
      <c r="L103" s="171">
        <f t="shared" ref="L103:T103" ca="1" si="81">L$39-L$41</f>
        <v>0.38399243662893201</v>
      </c>
      <c r="M103" s="171">
        <f t="shared" ca="1" si="81"/>
        <v>0.403014694801761</v>
      </c>
      <c r="N103" s="171">
        <f t="shared" ca="1" si="81"/>
        <v>0.42196176432575289</v>
      </c>
      <c r="O103" s="171">
        <f t="shared" ca="1" si="81"/>
        <v>0.44032010294890778</v>
      </c>
      <c r="P103" s="171">
        <f t="shared" ca="1" si="81"/>
        <v>0.45795761520156064</v>
      </c>
      <c r="Q103" s="171">
        <f t="shared" ca="1" si="81"/>
        <v>0.47595800990590548</v>
      </c>
      <c r="R103" s="171">
        <f t="shared" ca="1" si="81"/>
        <v>0.49427280369350041</v>
      </c>
      <c r="S103" s="171">
        <f t="shared" ca="1" si="81"/>
        <v>0.51288738504308051</v>
      </c>
      <c r="T103" s="171">
        <f t="shared" ca="1" si="81"/>
        <v>0.53205385537150396</v>
      </c>
    </row>
    <row r="104" spans="1:20" ht="15">
      <c r="A104" s="2" t="s">
        <v>317</v>
      </c>
      <c r="D104" s="34">
        <f t="shared" ref="D104:T104" si="82">SUM(D$101,D$102,-D$103)</f>
        <v>-2.6459999999999999</v>
      </c>
      <c r="E104" s="138">
        <f t="shared" si="82"/>
        <v>36.886000000000003</v>
      </c>
      <c r="F104" s="33">
        <f t="shared" si="82"/>
        <v>9.0359999999999996</v>
      </c>
      <c r="G104" s="137">
        <f t="shared" si="82"/>
        <v>46.028999999999996</v>
      </c>
      <c r="H104" s="137">
        <f t="shared" si="82"/>
        <v>20.673000000000002</v>
      </c>
      <c r="I104" s="137">
        <f t="shared" si="82"/>
        <v>8.674000000000003</v>
      </c>
      <c r="J104" s="137">
        <f t="shared" si="82"/>
        <v>-1.0649999999999986</v>
      </c>
      <c r="K104" s="37">
        <f t="shared" ca="1" si="82"/>
        <v>5.5697814704118533</v>
      </c>
      <c r="L104" s="37">
        <f t="shared" ca="1" si="82"/>
        <v>14.196795295747316</v>
      </c>
      <c r="M104" s="37">
        <f t="shared" ca="1" si="82"/>
        <v>13.447713250093559</v>
      </c>
      <c r="N104" s="37">
        <f t="shared" ca="1" si="82"/>
        <v>12.551447468172425</v>
      </c>
      <c r="O104" s="37">
        <f t="shared" ca="1" si="82"/>
        <v>11.297291564373118</v>
      </c>
      <c r="P104" s="37">
        <f t="shared" ca="1" si="82"/>
        <v>10.43151001772809</v>
      </c>
      <c r="Q104" s="37">
        <f t="shared" ca="1" si="82"/>
        <v>9.8059025455652034</v>
      </c>
      <c r="R104" s="37">
        <f t="shared" ca="1" si="82"/>
        <v>9.2194037022469146</v>
      </c>
      <c r="S104" s="37">
        <f t="shared" ca="1" si="82"/>
        <v>8.6574172814531103</v>
      </c>
      <c r="T104" s="140">
        <f t="shared" ca="1" si="82"/>
        <v>8.0936873067182695</v>
      </c>
    </row>
    <row r="105" spans="1:20" ht="15">
      <c r="A105" s="2" t="s">
        <v>181</v>
      </c>
      <c r="D105" s="35">
        <f t="shared" ref="D105:T105" si="83">SUM(D$93,D$100,D$104)</f>
        <v>1.1099999999999985</v>
      </c>
      <c r="E105" s="35">
        <f t="shared" si="83"/>
        <v>0.83900000000000574</v>
      </c>
      <c r="F105" s="36">
        <f t="shared" si="83"/>
        <v>-5.8749999999999947</v>
      </c>
      <c r="G105" s="139">
        <f t="shared" si="83"/>
        <v>-2.5289999999999964</v>
      </c>
      <c r="H105" s="139">
        <f t="shared" si="83"/>
        <v>-0.59499999999999176</v>
      </c>
      <c r="I105" s="139">
        <f t="shared" si="83"/>
        <v>-0.77699999999999392</v>
      </c>
      <c r="J105" s="139">
        <f t="shared" si="83"/>
        <v>-0.25899999999999768</v>
      </c>
      <c r="K105" s="27">
        <f t="shared" ca="1" si="83"/>
        <v>0.9579236688675925</v>
      </c>
      <c r="L105" s="27">
        <f t="shared" ca="1" si="83"/>
        <v>0.91353818666002873</v>
      </c>
      <c r="M105" s="27">
        <f t="shared" ca="1" si="83"/>
        <v>0.8719451080796059</v>
      </c>
      <c r="N105" s="27">
        <f t="shared" ca="1" si="83"/>
        <v>0.82772296226563036</v>
      </c>
      <c r="O105" s="27">
        <f t="shared" ca="1" si="83"/>
        <v>0.76444142207920152</v>
      </c>
      <c r="P105" s="27">
        <f t="shared" ca="1" si="83"/>
        <v>0.69131774648690936</v>
      </c>
      <c r="Q105" s="27">
        <f t="shared" ca="1" si="83"/>
        <v>0.70779450774855235</v>
      </c>
      <c r="R105" s="27">
        <f t="shared" ca="1" si="83"/>
        <v>0.72228149407646214</v>
      </c>
      <c r="S105" s="27">
        <f t="shared" ca="1" si="83"/>
        <v>0.73566693139215289</v>
      </c>
      <c r="T105" s="136">
        <f t="shared" ca="1" si="83"/>
        <v>0.75658860043773402</v>
      </c>
    </row>
    <row r="106" spans="1:20">
      <c r="A106" s="18" t="s">
        <v>316</v>
      </c>
      <c r="J106" s="167"/>
    </row>
    <row r="107" spans="1:20" ht="15">
      <c r="A107" s="2" t="s">
        <v>1237</v>
      </c>
      <c r="D107" s="34">
        <f t="shared" ref="D107:T107" si="84">SUM(D$337,D$341,-D$39)</f>
        <v>-7.3769999999999989</v>
      </c>
      <c r="E107" s="138">
        <f t="shared" si="84"/>
        <v>-7.1269999999999998</v>
      </c>
      <c r="F107" s="137">
        <f t="shared" si="84"/>
        <v>16.288999999999998</v>
      </c>
      <c r="G107" s="137">
        <f t="shared" si="84"/>
        <v>2.4830000000000001</v>
      </c>
      <c r="H107" s="137">
        <f t="shared" si="84"/>
        <v>3.8889999999999998</v>
      </c>
      <c r="I107" s="137">
        <f t="shared" si="84"/>
        <v>4.4359999999999999</v>
      </c>
      <c r="J107" s="137">
        <f t="shared" si="84"/>
        <v>5.0440000000000005</v>
      </c>
      <c r="K107" s="140">
        <f t="shared" ca="1" si="84"/>
        <v>5.3830982505992582</v>
      </c>
      <c r="L107" s="140">
        <f t="shared" ca="1" si="84"/>
        <v>5.8136902940747843</v>
      </c>
      <c r="M107" s="140">
        <f t="shared" ca="1" si="84"/>
        <v>6.2546453015990959</v>
      </c>
      <c r="N107" s="140">
        <f t="shared" ca="1" si="84"/>
        <v>6.7049101763693821</v>
      </c>
      <c r="O107" s="140">
        <f t="shared" ca="1" si="84"/>
        <v>7.1660931731236888</v>
      </c>
      <c r="P107" s="140">
        <f t="shared" ca="1" si="84"/>
        <v>7.6352708031985719</v>
      </c>
      <c r="Q107" s="140">
        <f t="shared" ca="1" si="84"/>
        <v>8.1172327090921605</v>
      </c>
      <c r="R107" s="140">
        <f t="shared" ca="1" si="84"/>
        <v>8.6233700507542324</v>
      </c>
      <c r="S107" s="140">
        <f t="shared" ca="1" si="84"/>
        <v>9.147478835888549</v>
      </c>
      <c r="T107" s="140">
        <f t="shared" ca="1" si="84"/>
        <v>9.6758804891105239</v>
      </c>
    </row>
    <row r="108" spans="1:20">
      <c r="A108" s="1" t="s">
        <v>989</v>
      </c>
      <c r="D108" s="53">
        <f t="shared" ref="D108:T108" si="85">D$215</f>
        <v>4.5540000000000003</v>
      </c>
      <c r="E108" s="53">
        <f t="shared" si="85"/>
        <v>5.2940000000000005</v>
      </c>
      <c r="F108" s="43">
        <f t="shared" si="85"/>
        <v>5.6340000000000003</v>
      </c>
      <c r="G108" s="143">
        <f t="shared" si="85"/>
        <v>5.7560000000000002</v>
      </c>
      <c r="H108" s="143">
        <f t="shared" si="85"/>
        <v>5.9440000000000008</v>
      </c>
      <c r="I108" s="143">
        <f t="shared" si="85"/>
        <v>6.1120000000000001</v>
      </c>
      <c r="J108" s="143">
        <f t="shared" si="85"/>
        <v>6.2799999999999994</v>
      </c>
      <c r="K108" s="44">
        <f t="shared" ca="1" si="85"/>
        <v>6.6638399999999987</v>
      </c>
      <c r="L108" s="44">
        <f t="shared" ca="1" si="85"/>
        <v>6.9851028379599853</v>
      </c>
      <c r="M108" s="44">
        <f t="shared" ca="1" si="85"/>
        <v>7.27901667565681</v>
      </c>
      <c r="N108" s="44">
        <f t="shared" ca="1" si="85"/>
        <v>7.5625064690829031</v>
      </c>
      <c r="O108" s="44">
        <f t="shared" ca="1" si="85"/>
        <v>7.8365351022074368</v>
      </c>
      <c r="P108" s="44">
        <f t="shared" ca="1" si="85"/>
        <v>8.1017276861701379</v>
      </c>
      <c r="Q108" s="44">
        <f t="shared" ca="1" si="85"/>
        <v>8.358682881422153</v>
      </c>
      <c r="R108" s="44">
        <f t="shared" ca="1" si="85"/>
        <v>8.6079740877454416</v>
      </c>
      <c r="S108" s="44">
        <f t="shared" ca="1" si="85"/>
        <v>8.8501760573201445</v>
      </c>
      <c r="T108" s="144">
        <f t="shared" ca="1" si="85"/>
        <v>9.0858426281735394</v>
      </c>
    </row>
    <row r="109" spans="1:20">
      <c r="A109" s="1" t="s">
        <v>972</v>
      </c>
      <c r="B109" s="4"/>
      <c r="D109" s="53">
        <f t="shared" ref="D109:T109" si="86">D$219</f>
        <v>0.93400000000000005</v>
      </c>
      <c r="E109" s="53">
        <f t="shared" si="86"/>
        <v>2.375</v>
      </c>
      <c r="F109" s="43">
        <f t="shared" si="86"/>
        <v>0.78600000000000003</v>
      </c>
      <c r="G109" s="143">
        <f t="shared" si="86"/>
        <v>0.83099999999999996</v>
      </c>
      <c r="H109" s="143">
        <f t="shared" si="86"/>
        <v>0.88500000000000001</v>
      </c>
      <c r="I109" s="143">
        <f t="shared" si="86"/>
        <v>0.88</v>
      </c>
      <c r="J109" s="143">
        <f t="shared" si="86"/>
        <v>0.874</v>
      </c>
      <c r="K109" s="44">
        <f t="shared" ca="1" si="86"/>
        <v>0.92230475595219064</v>
      </c>
      <c r="L109" s="44">
        <f t="shared" ca="1" si="86"/>
        <v>0.98235705877497304</v>
      </c>
      <c r="M109" s="44">
        <f t="shared" ca="1" si="86"/>
        <v>1.0391791389091523</v>
      </c>
      <c r="N109" s="44">
        <f t="shared" ca="1" si="86"/>
        <v>1.0936555543829609</v>
      </c>
      <c r="O109" s="44">
        <f t="shared" ca="1" si="86"/>
        <v>1.1441476281155794</v>
      </c>
      <c r="P109" s="44">
        <f t="shared" ca="1" si="86"/>
        <v>1.1899777359725303</v>
      </c>
      <c r="Q109" s="44">
        <f t="shared" ca="1" si="86"/>
        <v>1.2367507739696399</v>
      </c>
      <c r="R109" s="44">
        <f t="shared" ca="1" si="86"/>
        <v>1.2843407607341875</v>
      </c>
      <c r="S109" s="44">
        <f t="shared" ca="1" si="86"/>
        <v>1.3327097290298682</v>
      </c>
      <c r="T109" s="144">
        <f t="shared" ca="1" si="86"/>
        <v>1.3825127505561372</v>
      </c>
    </row>
    <row r="110" spans="1:20">
      <c r="A110" s="1" t="s">
        <v>990</v>
      </c>
      <c r="B110" s="4" t="str">
        <f>$B$39</f>
        <v>From Fiscal Forecasts</v>
      </c>
      <c r="D110" s="14">
        <f>-'Fiscal Forecasts'!D$101</f>
        <v>0.76300000000000001</v>
      </c>
      <c r="E110" s="175">
        <f>-'Fiscal Forecasts'!E$101</f>
        <v>1.2789999999999999</v>
      </c>
      <c r="F110" s="43">
        <f>-'Fiscal Forecasts'!F$101</f>
        <v>0.93400000000000005</v>
      </c>
      <c r="G110" s="143">
        <f>-'Fiscal Forecasts'!G$101</f>
        <v>0.746</v>
      </c>
      <c r="H110" s="143">
        <f>-'Fiscal Forecasts'!H$101</f>
        <v>0.68700000000000006</v>
      </c>
      <c r="I110" s="143">
        <f>-'Fiscal Forecasts'!I$101</f>
        <v>0.61199999999999999</v>
      </c>
      <c r="J110" s="143">
        <f>-'Fiscal Forecasts'!J$101</f>
        <v>0.628</v>
      </c>
      <c r="K110" s="6">
        <f t="shared" ref="K110:T110" si="87">K$263</f>
        <v>0.61699999999999999</v>
      </c>
      <c r="L110" s="6">
        <f t="shared" si="87"/>
        <v>0.65100000000000002</v>
      </c>
      <c r="M110" s="6">
        <f t="shared" si="87"/>
        <v>0.68600000000000005</v>
      </c>
      <c r="N110" s="6">
        <f t="shared" si="87"/>
        <v>0.72</v>
      </c>
      <c r="O110" s="6">
        <f t="shared" si="87"/>
        <v>0.753</v>
      </c>
      <c r="P110" s="6">
        <f t="shared" si="87"/>
        <v>0.78400000000000003</v>
      </c>
      <c r="Q110" s="6">
        <f t="shared" si="87"/>
        <v>0.81299999999999994</v>
      </c>
      <c r="R110" s="104">
        <f t="shared" si="87"/>
        <v>0.84</v>
      </c>
      <c r="S110" s="104">
        <f t="shared" si="87"/>
        <v>0.86499999999999999</v>
      </c>
      <c r="T110" s="171">
        <f t="shared" si="87"/>
        <v>0.88800000000000001</v>
      </c>
    </row>
    <row r="111" spans="1:20">
      <c r="A111" s="1" t="s">
        <v>991</v>
      </c>
      <c r="B111" s="4" t="str">
        <f>$B$39</f>
        <v>From Fiscal Forecasts</v>
      </c>
      <c r="D111" s="14">
        <f>-'Fiscal Forecasts'!D$102</f>
        <v>4.1000000000000002E-2</v>
      </c>
      <c r="E111" s="175">
        <f>-'Fiscal Forecasts'!E$102</f>
        <v>5.2999999999999999E-2</v>
      </c>
      <c r="F111" s="43">
        <f>-'Fiscal Forecasts'!F$102</f>
        <v>5.0999999999999997E-2</v>
      </c>
      <c r="G111" s="143">
        <f>-'Fiscal Forecasts'!G$102</f>
        <v>0.1</v>
      </c>
      <c r="H111" s="143">
        <f>-'Fiscal Forecasts'!H$102</f>
        <v>8.5000000000000006E-2</v>
      </c>
      <c r="I111" s="143">
        <f>-'Fiscal Forecasts'!I$102</f>
        <v>6.4000000000000001E-2</v>
      </c>
      <c r="J111" s="143">
        <f>-'Fiscal Forecasts'!J$102</f>
        <v>3.7999999999999999E-2</v>
      </c>
      <c r="K111" s="6">
        <f ca="1">IF(K$6&lt;OFFSET(Assumptions!$B$8,0,$C$1),J$111,0)</f>
        <v>0</v>
      </c>
      <c r="L111" s="6">
        <f ca="1">IF(L$6&lt;OFFSET(Assumptions!$B$8,0,$C$1),K$111,0)</f>
        <v>0</v>
      </c>
      <c r="M111" s="6">
        <f ca="1">IF(M$6&lt;OFFSET(Assumptions!$B$8,0,$C$1),L$111,0)</f>
        <v>0</v>
      </c>
      <c r="N111" s="6">
        <f ca="1">IF(N$6&lt;OFFSET(Assumptions!$B$8,0,$C$1),M$111,0)</f>
        <v>0</v>
      </c>
      <c r="O111" s="6">
        <f ca="1">IF(O$6&lt;OFFSET(Assumptions!$B$8,0,$C$1),N$111,0)</f>
        <v>0</v>
      </c>
      <c r="P111" s="6">
        <f ca="1">IF(P$6&lt;OFFSET(Assumptions!$B$8,0,$C$1),O$111,0)</f>
        <v>0</v>
      </c>
      <c r="Q111" s="6">
        <f ca="1">IF(Q$6&lt;OFFSET(Assumptions!$B$8,0,$C$1),P$111,0)</f>
        <v>0</v>
      </c>
      <c r="R111" s="104">
        <f ca="1">IF(R$6&lt;OFFSET(Assumptions!$B$8,0,$C$1),Q$111,0)</f>
        <v>0</v>
      </c>
      <c r="S111" s="104">
        <f ca="1">IF(S$6&lt;OFFSET(Assumptions!$B$8,0,$C$1),R$111,0)</f>
        <v>0</v>
      </c>
      <c r="T111" s="171">
        <f ca="1">IF(T$6&lt;OFFSET(Assumptions!$B$8,0,$C$1),S$111,0)</f>
        <v>0</v>
      </c>
    </row>
    <row r="112" spans="1:20">
      <c r="A112" s="1" t="s">
        <v>606</v>
      </c>
      <c r="B112" s="4" t="str">
        <f>$B$39</f>
        <v>From Fiscal Forecasts</v>
      </c>
      <c r="D112" s="14">
        <f>-'Fiscal Forecasts'!D$103</f>
        <v>1.768</v>
      </c>
      <c r="E112" s="175">
        <f>-'Fiscal Forecasts'!E$103</f>
        <v>2.351</v>
      </c>
      <c r="F112" s="15">
        <f>-'Fiscal Forecasts'!F$103</f>
        <v>1.3080000000000001</v>
      </c>
      <c r="G112" s="176">
        <f>-'Fiscal Forecasts'!G$103</f>
        <v>1.4450000000000001</v>
      </c>
      <c r="H112" s="176">
        <f>-'Fiscal Forecasts'!H$103</f>
        <v>1.7270000000000001</v>
      </c>
      <c r="I112" s="176">
        <f>-'Fiscal Forecasts'!I$103</f>
        <v>1.931</v>
      </c>
      <c r="J112" s="176">
        <f>-'Fiscal Forecasts'!J$103</f>
        <v>2.1819999999999999</v>
      </c>
      <c r="K112" s="44">
        <f t="shared" ref="K112:S112" ca="1" si="88">K$463-J$463</f>
        <v>2.1441675150554715</v>
      </c>
      <c r="L112" s="44">
        <f t="shared" ca="1" si="88"/>
        <v>2.2611247294174319</v>
      </c>
      <c r="M112" s="44">
        <f t="shared" ca="1" si="88"/>
        <v>2.3801085276767964</v>
      </c>
      <c r="N112" s="44">
        <f t="shared" ca="1" si="88"/>
        <v>2.5066430914050244</v>
      </c>
      <c r="O112" s="44">
        <f t="shared" ca="1" si="88"/>
        <v>2.6576544014077967</v>
      </c>
      <c r="P112" s="44">
        <f t="shared" ca="1" si="88"/>
        <v>2.8089607746240404</v>
      </c>
      <c r="Q112" s="44">
        <f t="shared" ca="1" si="88"/>
        <v>2.9708326780781249</v>
      </c>
      <c r="R112" s="44">
        <f t="shared" ca="1" si="88"/>
        <v>3.1319184609580617</v>
      </c>
      <c r="S112" s="44">
        <f t="shared" ca="1" si="88"/>
        <v>3.295904321195124</v>
      </c>
      <c r="T112" s="144">
        <f t="shared" ref="T112" ca="1" si="89">T$463-S$463</f>
        <v>3.4715910237644749</v>
      </c>
    </row>
    <row r="113" spans="1:20">
      <c r="A113" s="1" t="s">
        <v>607</v>
      </c>
      <c r="B113" s="4" t="str">
        <f>$B$39</f>
        <v>From Fiscal Forecasts</v>
      </c>
      <c r="D113" s="14">
        <f>-'Fiscal Forecasts'!D$104</f>
        <v>-2.5139999999999998</v>
      </c>
      <c r="E113" s="175">
        <f>-'Fiscal Forecasts'!E$104</f>
        <v>0.35100000000000003</v>
      </c>
      <c r="F113" s="15">
        <f>-'Fiscal Forecasts'!F$104</f>
        <v>0</v>
      </c>
      <c r="G113" s="176">
        <f>-'Fiscal Forecasts'!G$104</f>
        <v>0</v>
      </c>
      <c r="H113" s="176">
        <f>-'Fiscal Forecasts'!H$104</f>
        <v>0</v>
      </c>
      <c r="I113" s="176">
        <f>-'Fiscal Forecasts'!I$104</f>
        <v>0</v>
      </c>
      <c r="J113" s="176">
        <f>-'Fiscal Forecasts'!J$104</f>
        <v>0</v>
      </c>
      <c r="K113" s="144">
        <f ca="1">IF(K$6=OFFSET(Assumptions!$B$8,0,$C$1),0,J$113)</f>
        <v>0</v>
      </c>
      <c r="L113" s="144">
        <f ca="1">IF(L$6=OFFSET(Assumptions!$B$8,0,$C$1),0,K$113)</f>
        <v>0</v>
      </c>
      <c r="M113" s="144">
        <f ca="1">IF(M$6=OFFSET(Assumptions!$B$8,0,$C$1),0,L$113)</f>
        <v>0</v>
      </c>
      <c r="N113" s="144">
        <f ca="1">IF(N$6=OFFSET(Assumptions!$B$8,0,$C$1),0,M$113)</f>
        <v>0</v>
      </c>
      <c r="O113" s="144">
        <f ca="1">IF(O$6=OFFSET(Assumptions!$B$8,0,$C$1),0,N$113)</f>
        <v>0</v>
      </c>
      <c r="P113" s="144">
        <f ca="1">IF(P$6=OFFSET(Assumptions!$B$8,0,$C$1),0,O$113)</f>
        <v>0</v>
      </c>
      <c r="Q113" s="144">
        <f ca="1">IF(Q$6=OFFSET(Assumptions!$B$8,0,$C$1),0,P$113)</f>
        <v>0</v>
      </c>
      <c r="R113" s="144">
        <f ca="1">IF(R$6=OFFSET(Assumptions!$B$8,0,$C$1),0,Q$113)</f>
        <v>0</v>
      </c>
      <c r="S113" s="144">
        <f ca="1">IF(S$6=OFFSET(Assumptions!$B$8,0,$C$1),0,R$113)</f>
        <v>0</v>
      </c>
      <c r="T113" s="144">
        <f ca="1">IF(T$6=OFFSET(Assumptions!$B$8,0,$C$1),0,S$113)</f>
        <v>0</v>
      </c>
    </row>
    <row r="114" spans="1:20" ht="15">
      <c r="A114" s="2" t="s">
        <v>597</v>
      </c>
      <c r="D114" s="34">
        <f t="shared" ref="D114:T114" si="90">-SUM(D$108:D$113)</f>
        <v>-5.5460000000000012</v>
      </c>
      <c r="E114" s="138">
        <f t="shared" si="90"/>
        <v>-11.703000000000001</v>
      </c>
      <c r="F114" s="33">
        <f t="shared" si="90"/>
        <v>-8.713000000000001</v>
      </c>
      <c r="G114" s="137">
        <f t="shared" si="90"/>
        <v>-8.8780000000000001</v>
      </c>
      <c r="H114" s="137">
        <f t="shared" si="90"/>
        <v>-9.3280000000000012</v>
      </c>
      <c r="I114" s="137">
        <f t="shared" si="90"/>
        <v>-9.5990000000000002</v>
      </c>
      <c r="J114" s="137">
        <f t="shared" si="90"/>
        <v>-10.001999999999999</v>
      </c>
      <c r="K114" s="37">
        <f t="shared" ca="1" si="90"/>
        <v>-10.347312271007659</v>
      </c>
      <c r="L114" s="37">
        <f t="shared" ca="1" si="90"/>
        <v>-10.87958462615239</v>
      </c>
      <c r="M114" s="37">
        <f t="shared" ca="1" si="90"/>
        <v>-11.384304342242759</v>
      </c>
      <c r="N114" s="37">
        <f t="shared" ca="1" si="90"/>
        <v>-11.882805114870889</v>
      </c>
      <c r="O114" s="37">
        <f t="shared" ca="1" si="90"/>
        <v>-12.391337131730813</v>
      </c>
      <c r="P114" s="37">
        <f t="shared" ca="1" si="90"/>
        <v>-12.884666196766709</v>
      </c>
      <c r="Q114" s="37">
        <f t="shared" ca="1" si="90"/>
        <v>-13.379266333469918</v>
      </c>
      <c r="R114" s="37">
        <f t="shared" ca="1" si="90"/>
        <v>-13.86423330943769</v>
      </c>
      <c r="S114" s="37">
        <f t="shared" ca="1" si="90"/>
        <v>-14.343790107545138</v>
      </c>
      <c r="T114" s="140">
        <f t="shared" ca="1" si="90"/>
        <v>-14.827946402494151</v>
      </c>
    </row>
    <row r="115" spans="1:20">
      <c r="A115" s="1" t="s">
        <v>187</v>
      </c>
      <c r="B115" s="4" t="str">
        <f t="shared" ref="B115:B121" si="91">$B$39</f>
        <v>From Fiscal Forecasts</v>
      </c>
      <c r="D115" s="14">
        <f>'Fiscal Forecasts'!D$106</f>
        <v>4.1879999999999997</v>
      </c>
      <c r="E115" s="175">
        <f>'Fiscal Forecasts'!E$106</f>
        <v>0.63100000000000001</v>
      </c>
      <c r="F115" s="15">
        <f>'Fiscal Forecasts'!F$106</f>
        <v>0.67500000000000004</v>
      </c>
      <c r="G115" s="176">
        <f>'Fiscal Forecasts'!G$106</f>
        <v>-0.55000000000000004</v>
      </c>
      <c r="H115" s="176">
        <f>'Fiscal Forecasts'!H$106</f>
        <v>1.177</v>
      </c>
      <c r="I115" s="176">
        <f>'Fiscal Forecasts'!I$106</f>
        <v>0.76400000000000001</v>
      </c>
      <c r="J115" s="176">
        <f>'Fiscal Forecasts'!J$106</f>
        <v>0.89200000000000002</v>
      </c>
      <c r="K115" s="44">
        <f t="shared" ref="K115:S115" ca="1" si="92">K$354-J$354</f>
        <v>1.5064164627433385</v>
      </c>
      <c r="L115" s="44">
        <f t="shared" ca="1" si="92"/>
        <v>1.4389836615512124</v>
      </c>
      <c r="M115" s="44">
        <f t="shared" ca="1" si="92"/>
        <v>1.5523162836470732</v>
      </c>
      <c r="N115" s="44">
        <f t="shared" ca="1" si="92"/>
        <v>1.6183495103604031</v>
      </c>
      <c r="O115" s="44">
        <f t="shared" ca="1" si="92"/>
        <v>1.6149866504058465</v>
      </c>
      <c r="P115" s="44">
        <f t="shared" ca="1" si="92"/>
        <v>1.6417141040752483</v>
      </c>
      <c r="Q115" s="44">
        <f t="shared" ca="1" si="92"/>
        <v>1.667952843690081</v>
      </c>
      <c r="R115" s="44">
        <f t="shared" ca="1" si="92"/>
        <v>1.6915503950815065</v>
      </c>
      <c r="S115" s="44">
        <f t="shared" ca="1" si="92"/>
        <v>1.7143969949669469</v>
      </c>
      <c r="T115" s="144">
        <f t="shared" ref="T115" ca="1" si="93">T$354-S$354</f>
        <v>1.7574396955733249</v>
      </c>
    </row>
    <row r="116" spans="1:20">
      <c r="A116" s="1" t="s">
        <v>188</v>
      </c>
      <c r="B116" s="4" t="str">
        <f t="shared" si="91"/>
        <v>From Fiscal Forecasts</v>
      </c>
      <c r="D116" s="14">
        <f>'Fiscal Forecasts'!D$107</f>
        <v>3.6999999999999998E-2</v>
      </c>
      <c r="E116" s="175">
        <f>'Fiscal Forecasts'!E$107</f>
        <v>2.1000000000000001E-2</v>
      </c>
      <c r="F116" s="15">
        <f>'Fiscal Forecasts'!F$107</f>
        <v>1.391</v>
      </c>
      <c r="G116" s="176">
        <f>'Fiscal Forecasts'!G$107</f>
        <v>0.98299999999999998</v>
      </c>
      <c r="H116" s="176">
        <f>'Fiscal Forecasts'!H$107</f>
        <v>0.91700000000000004</v>
      </c>
      <c r="I116" s="176">
        <f>'Fiscal Forecasts'!I$107</f>
        <v>0.57999999999999996</v>
      </c>
      <c r="J116" s="176">
        <f>'Fiscal Forecasts'!J$107</f>
        <v>0.49199999999999999</v>
      </c>
      <c r="K116" s="44">
        <f t="shared" ref="K116:T116" ca="1" si="94">K$151-K$332</f>
        <v>0.15490348712912463</v>
      </c>
      <c r="L116" s="44">
        <f t="shared" ca="1" si="94"/>
        <v>0.1734597480762769</v>
      </c>
      <c r="M116" s="44">
        <f t="shared" ca="1" si="94"/>
        <v>0.19096617071003849</v>
      </c>
      <c r="N116" s="44">
        <f t="shared" ca="1" si="94"/>
        <v>0.20726069737913699</v>
      </c>
      <c r="O116" s="44">
        <f t="shared" ca="1" si="94"/>
        <v>0.22145330917976536</v>
      </c>
      <c r="P116" s="44">
        <f t="shared" ca="1" si="94"/>
        <v>0.23454456495848519</v>
      </c>
      <c r="Q116" s="44">
        <f t="shared" ca="1" si="94"/>
        <v>0.2475348259306682</v>
      </c>
      <c r="R116" s="44">
        <f t="shared" ca="1" si="94"/>
        <v>0.2594375856350436</v>
      </c>
      <c r="S116" s="44">
        <f t="shared" ca="1" si="94"/>
        <v>0.27125691064401369</v>
      </c>
      <c r="T116" s="144">
        <f t="shared" ca="1" si="94"/>
        <v>0.28192263792350369</v>
      </c>
    </row>
    <row r="117" spans="1:20">
      <c r="A117" s="1" t="s">
        <v>189</v>
      </c>
      <c r="B117" s="4" t="str">
        <f t="shared" si="91"/>
        <v>From Fiscal Forecasts</v>
      </c>
      <c r="D117" s="14">
        <f>'Fiscal Forecasts'!D$108</f>
        <v>0.17499999999999999</v>
      </c>
      <c r="E117" s="175">
        <f>'Fiscal Forecasts'!E$108</f>
        <v>0.254</v>
      </c>
      <c r="F117" s="15">
        <f>'Fiscal Forecasts'!F$108</f>
        <v>0.30199999999999999</v>
      </c>
      <c r="G117" s="176">
        <f>'Fiscal Forecasts'!G$108</f>
        <v>0.42399999999999999</v>
      </c>
      <c r="H117" s="176">
        <f>'Fiscal Forecasts'!H$108</f>
        <v>0.41799999999999998</v>
      </c>
      <c r="I117" s="176">
        <f>'Fiscal Forecasts'!I$108</f>
        <v>0.251</v>
      </c>
      <c r="J117" s="176">
        <f>'Fiscal Forecasts'!J$108</f>
        <v>0.245</v>
      </c>
      <c r="K117" s="44">
        <f t="shared" ref="K117:S117" ca="1" si="95">K$411-J$411</f>
        <v>0.11231365332165</v>
      </c>
      <c r="L117" s="44">
        <f t="shared" ca="1" si="95"/>
        <v>0.11239534657104011</v>
      </c>
      <c r="M117" s="44">
        <f t="shared" ca="1" si="95"/>
        <v>0.11221610138812865</v>
      </c>
      <c r="N117" s="44">
        <f t="shared" ca="1" si="95"/>
        <v>0.11326783256461415</v>
      </c>
      <c r="O117" s="44">
        <f t="shared" ca="1" si="95"/>
        <v>0.11431937057242614</v>
      </c>
      <c r="P117" s="44">
        <f t="shared" ca="1" si="95"/>
        <v>0.11533526316621412</v>
      </c>
      <c r="Q117" s="44">
        <f t="shared" ca="1" si="95"/>
        <v>0.11615194382766347</v>
      </c>
      <c r="R117" s="44">
        <f t="shared" ca="1" si="95"/>
        <v>0.11697083950857312</v>
      </c>
      <c r="S117" s="44">
        <f t="shared" ca="1" si="95"/>
        <v>0.11786946210971116</v>
      </c>
      <c r="T117" s="144">
        <f t="shared" ref="T117" ca="1" si="96">T$411-S$411</f>
        <v>0.12021617769501614</v>
      </c>
    </row>
    <row r="118" spans="1:20">
      <c r="A118" s="1" t="s">
        <v>190</v>
      </c>
      <c r="B118" s="4" t="str">
        <f t="shared" si="91"/>
        <v>From Fiscal Forecasts</v>
      </c>
      <c r="D118" s="14">
        <f>'Fiscal Forecasts'!D$109</f>
        <v>3.5999999999999997E-2</v>
      </c>
      <c r="E118" s="175">
        <f>'Fiscal Forecasts'!E$109</f>
        <v>0.108</v>
      </c>
      <c r="F118" s="15">
        <f>'Fiscal Forecasts'!F$109</f>
        <v>0.06</v>
      </c>
      <c r="G118" s="176">
        <f>'Fiscal Forecasts'!G$109</f>
        <v>1.2E-2</v>
      </c>
      <c r="H118" s="176">
        <f>'Fiscal Forecasts'!H$109</f>
        <v>5.0000000000000001E-3</v>
      </c>
      <c r="I118" s="176">
        <f>'Fiscal Forecasts'!I$109</f>
        <v>4.0000000000000001E-3</v>
      </c>
      <c r="J118" s="176">
        <f>'Fiscal Forecasts'!J$109</f>
        <v>2E-3</v>
      </c>
      <c r="K118" s="44">
        <f t="shared" ref="K118:S118" ca="1" si="97">K$415-J$415</f>
        <v>0.10464618153028082</v>
      </c>
      <c r="L118" s="44">
        <f t="shared" ca="1" si="97"/>
        <v>0.10472229771342123</v>
      </c>
      <c r="M118" s="44">
        <f t="shared" ca="1" si="97"/>
        <v>0.1045552893097712</v>
      </c>
      <c r="N118" s="44">
        <f t="shared" ca="1" si="97"/>
        <v>0.10553522049676944</v>
      </c>
      <c r="O118" s="44">
        <f t="shared" ca="1" si="97"/>
        <v>0.1065149717024072</v>
      </c>
      <c r="P118" s="44">
        <f t="shared" ca="1" si="97"/>
        <v>0.10746151094889012</v>
      </c>
      <c r="Q118" s="44">
        <f t="shared" ca="1" si="97"/>
        <v>0.10822243814004473</v>
      </c>
      <c r="R118" s="44">
        <f t="shared" ca="1" si="97"/>
        <v>0.1089854291348562</v>
      </c>
      <c r="S118" s="44">
        <f t="shared" ca="1" si="97"/>
        <v>0.10982270422176477</v>
      </c>
      <c r="T118" s="144">
        <f t="shared" ref="T118" ca="1" si="98">T$415-S$415</f>
        <v>0.11200921332263469</v>
      </c>
    </row>
    <row r="119" spans="1:20">
      <c r="A119" s="1" t="s">
        <v>608</v>
      </c>
      <c r="B119" s="4" t="str">
        <f t="shared" si="91"/>
        <v>From Fiscal Forecasts</v>
      </c>
      <c r="D119" s="14">
        <f>-'Fiscal Forecasts'!D$110</f>
        <v>9.7000000000000003E-2</v>
      </c>
      <c r="E119" s="175">
        <f>-'Fiscal Forecasts'!E$110</f>
        <v>6.8000000000000005E-2</v>
      </c>
      <c r="F119" s="15">
        <f>-'Fiscal Forecasts'!F$110</f>
        <v>-0.254</v>
      </c>
      <c r="G119" s="176">
        <f>-'Fiscal Forecasts'!G$110</f>
        <v>0.34</v>
      </c>
      <c r="H119" s="176">
        <f>-'Fiscal Forecasts'!H$110</f>
        <v>0.14299999999999999</v>
      </c>
      <c r="I119" s="176">
        <f>-'Fiscal Forecasts'!I$110</f>
        <v>0.13100000000000001</v>
      </c>
      <c r="J119" s="176">
        <f>-'Fiscal Forecasts'!J$110</f>
        <v>0.254</v>
      </c>
      <c r="K119" s="44">
        <f t="shared" ref="K119:S119" ca="1" si="99">K$457-J$457</f>
        <v>0.21695983485193082</v>
      </c>
      <c r="L119" s="44">
        <f t="shared" ca="1" si="99"/>
        <v>0.21711764428446134</v>
      </c>
      <c r="M119" s="44">
        <f t="shared" ca="1" si="99"/>
        <v>0.21677139069789986</v>
      </c>
      <c r="N119" s="44">
        <f t="shared" ca="1" si="99"/>
        <v>0.21880305306138359</v>
      </c>
      <c r="O119" s="44">
        <f t="shared" ca="1" si="99"/>
        <v>0.22083434227483334</v>
      </c>
      <c r="P119" s="44">
        <f t="shared" ca="1" si="99"/>
        <v>0.22279677411510423</v>
      </c>
      <c r="Q119" s="44">
        <f t="shared" ca="1" si="99"/>
        <v>0.2243743819677082</v>
      </c>
      <c r="R119" s="44">
        <f t="shared" ca="1" si="99"/>
        <v>0.22595626864342933</v>
      </c>
      <c r="S119" s="44">
        <f t="shared" ca="1" si="99"/>
        <v>0.22769216633147593</v>
      </c>
      <c r="T119" s="144">
        <f t="shared" ref="T119" ca="1" si="100">T$457-S$457</f>
        <v>0.23222539101765083</v>
      </c>
    </row>
    <row r="120" spans="1:20">
      <c r="A120" s="1" t="s">
        <v>609</v>
      </c>
      <c r="B120" s="4" t="str">
        <f t="shared" si="91"/>
        <v>From Fiscal Forecasts</v>
      </c>
      <c r="D120" s="14">
        <f>-'Fiscal Forecasts'!D$111</f>
        <v>2.5710000000000002</v>
      </c>
      <c r="E120" s="175">
        <f>-'Fiscal Forecasts'!E$111</f>
        <v>0.95599999999999996</v>
      </c>
      <c r="F120" s="15">
        <f>-'Fiscal Forecasts'!F$111</f>
        <v>1.919</v>
      </c>
      <c r="G120" s="176">
        <f>-'Fiscal Forecasts'!G$111</f>
        <v>0.191</v>
      </c>
      <c r="H120" s="176">
        <f>-'Fiscal Forecasts'!H$111</f>
        <v>1.036</v>
      </c>
      <c r="I120" s="176">
        <f>-'Fiscal Forecasts'!I$111</f>
        <v>0.48899999999999999</v>
      </c>
      <c r="J120" s="176">
        <f>-'Fiscal Forecasts'!J$111</f>
        <v>-0.56899999999999995</v>
      </c>
      <c r="K120" s="44">
        <f t="shared" ref="K120:S120" ca="1" si="101">SUM(K$453-J$453,K$474-J$474)</f>
        <v>0.68190435653787773</v>
      </c>
      <c r="L120" s="44">
        <f t="shared" ca="1" si="101"/>
        <v>0.7197245223399964</v>
      </c>
      <c r="M120" s="44">
        <f t="shared" ca="1" si="101"/>
        <v>0.90276306564571485</v>
      </c>
      <c r="N120" s="44">
        <f t="shared" ca="1" si="101"/>
        <v>0.99675201093577215</v>
      </c>
      <c r="O120" s="44">
        <f t="shared" ca="1" si="101"/>
        <v>1.0667095551955939</v>
      </c>
      <c r="P120" s="44">
        <f t="shared" ca="1" si="101"/>
        <v>1.1476799660254038</v>
      </c>
      <c r="Q120" s="44">
        <f t="shared" ca="1" si="101"/>
        <v>1.1788053084453445</v>
      </c>
      <c r="R120" s="44">
        <f t="shared" ca="1" si="101"/>
        <v>1.1938592951438238</v>
      </c>
      <c r="S120" s="44">
        <f t="shared" ca="1" si="101"/>
        <v>1.2085593877192551</v>
      </c>
      <c r="T120" s="144">
        <f t="shared" ref="T120" ca="1" si="102">SUM(T$453-S$453,T$474-S$474)</f>
        <v>1.2366049097546146</v>
      </c>
    </row>
    <row r="121" spans="1:20" s="167" customFormat="1">
      <c r="A121" s="167" t="s">
        <v>605</v>
      </c>
      <c r="B121" s="4" t="str">
        <f t="shared" si="91"/>
        <v>From Fiscal Forecasts</v>
      </c>
      <c r="D121" s="175">
        <f>-'Fiscal Forecasts'!D$112</f>
        <v>-0.57099999999999995</v>
      </c>
      <c r="E121" s="175">
        <f>-'Fiscal Forecasts'!E$112</f>
        <v>0.80400000000000005</v>
      </c>
      <c r="F121" s="176">
        <f>-'Fiscal Forecasts'!F$112</f>
        <v>-0.67800000000000005</v>
      </c>
      <c r="G121" s="176">
        <f>-'Fiscal Forecasts'!G$112</f>
        <v>-0.751</v>
      </c>
      <c r="H121" s="176">
        <f>-'Fiscal Forecasts'!H$112</f>
        <v>-0.77100000000000002</v>
      </c>
      <c r="I121" s="176">
        <f>-'Fiscal Forecasts'!I$112</f>
        <v>-0.78400000000000003</v>
      </c>
      <c r="J121" s="176">
        <f>-'Fiscal Forecasts'!J$112</f>
        <v>-0.78300000000000003</v>
      </c>
      <c r="K121" s="144">
        <f t="shared" ref="K121" ca="1" si="103">K$468-J$468</f>
        <v>-0.34007203601800917</v>
      </c>
      <c r="L121" s="144">
        <f t="shared" ref="L121" ca="1" si="104">L$468-K$468</f>
        <v>-0.32706353176588365</v>
      </c>
      <c r="M121" s="144">
        <f t="shared" ref="M121" ca="1" si="105">M$468-L$468</f>
        <v>-0.32355927963981834</v>
      </c>
      <c r="N121" s="144">
        <f t="shared" ref="N121" ca="1" si="106">N$468-M$468</f>
        <v>-0.33173586793396836</v>
      </c>
      <c r="O121" s="144">
        <f t="shared" ref="O121" ca="1" si="107">O$468-N$468</f>
        <v>-0.3375762881440707</v>
      </c>
      <c r="P121" s="144">
        <f t="shared" ref="P121" ca="1" si="108">P$468-O$468</f>
        <v>-0.34458479239619866</v>
      </c>
      <c r="Q121" s="144">
        <f t="shared" ref="Q121" ca="1" si="109">Q$468-P$468</f>
        <v>-0.34808904452226042</v>
      </c>
      <c r="R121" s="144">
        <f t="shared" ref="R121" ca="1" si="110">R$468-Q$468</f>
        <v>-0.35509754877438748</v>
      </c>
      <c r="S121" s="144">
        <f t="shared" ref="S121:T121" ca="1" si="111">S$468-R$468</f>
        <v>-0.35743371685842895</v>
      </c>
      <c r="T121" s="144">
        <f t="shared" ca="1" si="111"/>
        <v>-0.35626563281640866</v>
      </c>
    </row>
    <row r="122" spans="1:20" ht="15">
      <c r="A122" s="2" t="s">
        <v>193</v>
      </c>
      <c r="D122" s="138">
        <f t="shared" ref="D122:T122" si="112">SUM(D$115:D$118)-SUM(D$119:D$121)</f>
        <v>2.3389999999999986</v>
      </c>
      <c r="E122" s="138">
        <f t="shared" si="112"/>
        <v>-0.81400000000000006</v>
      </c>
      <c r="F122" s="137">
        <f t="shared" si="112"/>
        <v>1.4409999999999998</v>
      </c>
      <c r="G122" s="137">
        <f t="shared" si="112"/>
        <v>1.089</v>
      </c>
      <c r="H122" s="137">
        <f t="shared" si="112"/>
        <v>2.1090000000000004</v>
      </c>
      <c r="I122" s="137">
        <f t="shared" si="112"/>
        <v>1.7629999999999999</v>
      </c>
      <c r="J122" s="137">
        <f t="shared" si="112"/>
        <v>2.7290000000000001</v>
      </c>
      <c r="K122" s="140">
        <f t="shared" ca="1" si="112"/>
        <v>1.3194876293525946</v>
      </c>
      <c r="L122" s="140">
        <f t="shared" ca="1" si="112"/>
        <v>1.2197824190533766</v>
      </c>
      <c r="M122" s="140">
        <f t="shared" ca="1" si="112"/>
        <v>1.1640786683512152</v>
      </c>
      <c r="N122" s="140">
        <f t="shared" ca="1" si="112"/>
        <v>1.1605940647377362</v>
      </c>
      <c r="O122" s="140">
        <f t="shared" ca="1" si="112"/>
        <v>1.1073066925340886</v>
      </c>
      <c r="P122" s="140">
        <f t="shared" ca="1" si="112"/>
        <v>1.0731634954045282</v>
      </c>
      <c r="Q122" s="140">
        <f t="shared" ca="1" si="112"/>
        <v>1.0847714056976652</v>
      </c>
      <c r="R122" s="140">
        <f t="shared" ca="1" si="112"/>
        <v>1.1122262343471139</v>
      </c>
      <c r="S122" s="140">
        <f t="shared" ca="1" si="112"/>
        <v>1.1345282347501344</v>
      </c>
      <c r="T122" s="140">
        <f t="shared" ca="1" si="112"/>
        <v>1.1590230565586226</v>
      </c>
    </row>
    <row r="123" spans="1:20" ht="15">
      <c r="A123" s="2" t="s">
        <v>953</v>
      </c>
      <c r="D123" s="35">
        <f t="shared" ref="D123:T123" si="113">SUM(D$93,D$107,D$114,D$122)</f>
        <v>0.38899999999999757</v>
      </c>
      <c r="E123" s="35">
        <f t="shared" si="113"/>
        <v>-30.04</v>
      </c>
      <c r="F123" s="36">
        <f t="shared" si="113"/>
        <v>1.2740000000000018</v>
      </c>
      <c r="G123" s="139">
        <f t="shared" si="113"/>
        <v>-15.647999999999998</v>
      </c>
      <c r="H123" s="139">
        <f t="shared" si="113"/>
        <v>-5.2449999999999939</v>
      </c>
      <c r="I123" s="139">
        <f t="shared" si="113"/>
        <v>-0.8809999999999949</v>
      </c>
      <c r="J123" s="139">
        <f t="shared" si="113"/>
        <v>3.0450000000000026</v>
      </c>
      <c r="K123" s="27">
        <f t="shared" ca="1" si="113"/>
        <v>5.5230306205760273</v>
      </c>
      <c r="L123" s="27">
        <f t="shared" ca="1" si="113"/>
        <v>6.4495035657612361</v>
      </c>
      <c r="M123" s="27">
        <f t="shared" ca="1" si="113"/>
        <v>6.9448968608193598</v>
      </c>
      <c r="N123" s="27">
        <f t="shared" ca="1" si="113"/>
        <v>7.6297534063534602</v>
      </c>
      <c r="O123" s="27">
        <f t="shared" ca="1" si="113"/>
        <v>8.5444368996571338</v>
      </c>
      <c r="P123" s="27">
        <f t="shared" ca="1" si="113"/>
        <v>9.073719500476173</v>
      </c>
      <c r="Q123" s="27">
        <f t="shared" ca="1" si="113"/>
        <v>9.6443286777169632</v>
      </c>
      <c r="R123" s="27">
        <f t="shared" ca="1" si="113"/>
        <v>10.207026226272999</v>
      </c>
      <c r="S123" s="27">
        <f t="shared" ca="1" si="113"/>
        <v>10.742460382812688</v>
      </c>
      <c r="T123" s="136">
        <f t="shared" ca="1" si="113"/>
        <v>11.346607289338305</v>
      </c>
    </row>
    <row r="124" spans="1:20" ht="15">
      <c r="A124" s="26" t="s">
        <v>1238</v>
      </c>
      <c r="D124" s="5" t="str">
        <f t="shared" ref="D124:T124" ca="1" si="114">IF(ROUND(D$40-D$123,3)=0,"OK","ERROR")</f>
        <v>OK</v>
      </c>
      <c r="E124" s="170" t="str">
        <f t="shared" ca="1" si="114"/>
        <v>OK</v>
      </c>
      <c r="F124" s="170" t="str">
        <f t="shared" ca="1" si="114"/>
        <v>OK</v>
      </c>
      <c r="G124" s="170" t="str">
        <f t="shared" ca="1" si="114"/>
        <v>OK</v>
      </c>
      <c r="H124" s="170" t="str">
        <f t="shared" ca="1" si="114"/>
        <v>OK</v>
      </c>
      <c r="I124" s="170" t="str">
        <f t="shared" ca="1" si="114"/>
        <v>OK</v>
      </c>
      <c r="J124" s="170" t="str">
        <f t="shared" ca="1" si="114"/>
        <v>OK</v>
      </c>
      <c r="K124" s="170" t="str">
        <f t="shared" ca="1" si="114"/>
        <v>OK</v>
      </c>
      <c r="L124" s="170" t="str">
        <f t="shared" ca="1" si="114"/>
        <v>OK</v>
      </c>
      <c r="M124" s="170" t="str">
        <f t="shared" ca="1" si="114"/>
        <v>OK</v>
      </c>
      <c r="N124" s="170" t="str">
        <f t="shared" ca="1" si="114"/>
        <v>OK</v>
      </c>
      <c r="O124" s="170" t="str">
        <f t="shared" ca="1" si="114"/>
        <v>OK</v>
      </c>
      <c r="P124" s="170" t="str">
        <f t="shared" ca="1" si="114"/>
        <v>OK</v>
      </c>
      <c r="Q124" s="170" t="str">
        <f t="shared" ca="1" si="114"/>
        <v>OK</v>
      </c>
      <c r="R124" s="170" t="str">
        <f t="shared" ca="1" si="114"/>
        <v>OK</v>
      </c>
      <c r="S124" s="170" t="str">
        <f t="shared" ca="1" si="114"/>
        <v>OK</v>
      </c>
      <c r="T124" s="170" t="str">
        <f t="shared" ca="1" si="114"/>
        <v>OK</v>
      </c>
    </row>
    <row r="125" spans="1:20" ht="15">
      <c r="A125" s="26"/>
      <c r="J125" s="167"/>
    </row>
    <row r="126" spans="1:20">
      <c r="A126" s="18" t="s">
        <v>232</v>
      </c>
      <c r="J126" s="167"/>
    </row>
    <row r="127" spans="1:20">
      <c r="A127" s="18" t="s">
        <v>233</v>
      </c>
      <c r="J127" s="167"/>
    </row>
    <row r="128" spans="1:20">
      <c r="A128" s="1" t="s">
        <v>376</v>
      </c>
      <c r="B128" s="4" t="str">
        <f>$B$39</f>
        <v>From Fiscal Forecasts</v>
      </c>
      <c r="D128" s="14">
        <f>'Fiscal Forecasts'!D$211</f>
        <v>32.878999999999998</v>
      </c>
      <c r="E128" s="175">
        <f>'Fiscal Forecasts'!E$211</f>
        <v>34.963000000000001</v>
      </c>
      <c r="F128" s="176">
        <f>'Fiscal Forecasts'!F$211</f>
        <v>37.090000000000003</v>
      </c>
      <c r="G128" s="176">
        <f>'Fiscal Forecasts'!G$211</f>
        <v>39.448999999999998</v>
      </c>
      <c r="H128" s="176">
        <f>'Fiscal Forecasts'!H$211</f>
        <v>41.776000000000003</v>
      </c>
      <c r="I128" s="176">
        <f>'Fiscal Forecasts'!I$211</f>
        <v>44.014000000000003</v>
      </c>
      <c r="J128" s="176">
        <f>'Fiscal Forecasts'!J$211</f>
        <v>46.517000000000003</v>
      </c>
      <c r="K128" s="131">
        <f ca="1">IF(OFFSET(Assumptions!$B$28,0,$C$1)="Yes",J$128*(1+K$18)*(1+OFFSET(Assumptions!$B$29,0,$C$1)*K$27),(J$128/J$13+MIN(ABS(OFFSET(Assumptions!$B$31,0,$C$1)-J$128/J$13),OFFSET(Assumptions!$B$30,0,$C$1))*SIGN(OFFSET(Assumptions!$B$31,0,$C$1)-J$128/J$13))*K$13)</f>
        <v>48.808652888824795</v>
      </c>
      <c r="L128" s="131">
        <f ca="1">IF(OFFSET(Assumptions!$B$28,0,$C$1)="Yes",K$128*(1+L$18)*(1+OFFSET(Assumptions!$B$29,0,$C$1)*L$27),(K$128/K$13+MIN(ABS(OFFSET(Assumptions!$B$31,0,$C$1)-K$128/K$13),OFFSET(Assumptions!$B$30,0,$C$1))*SIGN(OFFSET(Assumptions!$B$31,0,$C$1)-K$128/K$13))*L$13)</f>
        <v>51.003190892709398</v>
      </c>
      <c r="M128" s="131">
        <f ca="1">IF(OFFSET(Assumptions!$B$28,0,$C$1)="Yes",L$128*(1+M$18)*(1+OFFSET(Assumptions!$B$29,0,$C$1)*M$27),(L$128/L$13+MIN(ABS(OFFSET(Assumptions!$B$31,0,$C$1)-L$128/L$13),OFFSET(Assumptions!$B$30,0,$C$1))*SIGN(OFFSET(Assumptions!$B$31,0,$C$1)-L$128/L$13))*M$13)</f>
        <v>53.114728134786908</v>
      </c>
      <c r="N128" s="131">
        <f ca="1">IF(OFFSET(Assumptions!$B$28,0,$C$1)="Yes",M$128*(1+N$18)*(1+OFFSET(Assumptions!$B$29,0,$C$1)*N$27),(M$128/M$13+MIN(ABS(OFFSET(Assumptions!$B$31,0,$C$1)-M$128/M$13),OFFSET(Assumptions!$B$30,0,$C$1))*SIGN(OFFSET(Assumptions!$B$31,0,$C$1)-M$128/M$13))*N$13)</f>
        <v>55.325835537644046</v>
      </c>
      <c r="O128" s="131">
        <f ca="1">IF(OFFSET(Assumptions!$B$28,0,$C$1)="Yes",N$128*(1+O$18)*(1+OFFSET(Assumptions!$B$29,0,$C$1)*O$27),(N$128/N$13+MIN(ABS(OFFSET(Assumptions!$B$31,0,$C$1)-N$128/N$13),OFFSET(Assumptions!$B$30,0,$C$1))*SIGN(OFFSET(Assumptions!$B$31,0,$C$1)-N$128/N$13))*O$13)</f>
        <v>57.584832855986534</v>
      </c>
      <c r="P128" s="131">
        <f ca="1">IF(OFFSET(Assumptions!$B$28,0,$C$1)="Yes",O$128*(1+P$18)*(1+OFFSET(Assumptions!$B$29,0,$C$1)*P$27),(O$128/O$13+MIN(ABS(OFFSET(Assumptions!$B$31,0,$C$1)-O$128/O$13),OFFSET(Assumptions!$B$30,0,$C$1))*SIGN(OFFSET(Assumptions!$B$31,0,$C$1)-O$128/O$13))*P$13)</f>
        <v>59.891457487163727</v>
      </c>
      <c r="Q128" s="131">
        <f ca="1">IF(OFFSET(Assumptions!$B$28,0,$C$1)="Yes",P$128*(1+Q$18)*(1+OFFSET(Assumptions!$B$29,0,$C$1)*Q$27),(P$128/P$13+MIN(ABS(OFFSET(Assumptions!$B$31,0,$C$1)-P$128/P$13),OFFSET(Assumptions!$B$30,0,$C$1))*SIGN(OFFSET(Assumptions!$B$31,0,$C$1)-P$128/P$13))*Q$13)</f>
        <v>62.245539695651402</v>
      </c>
      <c r="R128" s="131">
        <f ca="1">IF(OFFSET(Assumptions!$B$28,0,$C$1)="Yes",Q$128*(1+R$18)*(1+OFFSET(Assumptions!$B$29,0,$C$1)*R$27),(Q$128/Q$13+MIN(ABS(OFFSET(Assumptions!$B$31,0,$C$1)-Q$128/Q$13),OFFSET(Assumptions!$B$30,0,$C$1))*SIGN(OFFSET(Assumptions!$B$31,0,$C$1)-Q$128/Q$13))*R$13)</f>
        <v>64.64073885187274</v>
      </c>
      <c r="S128" s="131">
        <f ca="1">IF(OFFSET(Assumptions!$B$28,0,$C$1)="Yes",R$128*(1+S$18)*(1+OFFSET(Assumptions!$B$29,0,$C$1)*S$27),(R$128/R$13+MIN(ABS(OFFSET(Assumptions!$B$31,0,$C$1)-R$128/R$13),OFFSET(Assumptions!$B$30,0,$C$1))*SIGN(OFFSET(Assumptions!$B$31,0,$C$1)-R$128/R$13))*S$13)</f>
        <v>67.075144068715886</v>
      </c>
      <c r="T128" s="171">
        <f ca="1">IF(OFFSET(Assumptions!$B$28,0,$C$1)="Yes",S$128*(1+T$18)*(1+OFFSET(Assumptions!$B$29,0,$C$1)*T$27),(S$128/S$13+MIN(ABS(OFFSET(Assumptions!$B$31,0,$C$1)-S$128/S$13),OFFSET(Assumptions!$B$30,0,$C$1))*SIGN(OFFSET(Assumptions!$B$31,0,$C$1)-S$128/S$13))*T$13)</f>
        <v>69.581725037674204</v>
      </c>
    </row>
    <row r="129" spans="1:20">
      <c r="A129" s="1" t="s">
        <v>377</v>
      </c>
      <c r="B129" s="4" t="str">
        <f>$B$39</f>
        <v>From Fiscal Forecasts</v>
      </c>
      <c r="D129" s="14">
        <f>'Fiscal Forecasts'!D$212</f>
        <v>15.199</v>
      </c>
      <c r="E129" s="175">
        <f>'Fiscal Forecasts'!E$212</f>
        <v>12.103999999999999</v>
      </c>
      <c r="F129" s="176">
        <f>'Fiscal Forecasts'!F$212</f>
        <v>13.351000000000001</v>
      </c>
      <c r="G129" s="176">
        <f>'Fiscal Forecasts'!G$212</f>
        <v>13.092000000000001</v>
      </c>
      <c r="H129" s="176">
        <f>'Fiscal Forecasts'!H$212</f>
        <v>16.545000000000002</v>
      </c>
      <c r="I129" s="176">
        <f>'Fiscal Forecasts'!I$212</f>
        <v>17.152999999999999</v>
      </c>
      <c r="J129" s="176">
        <f>'Fiscal Forecasts'!J$212</f>
        <v>18.356999999999999</v>
      </c>
      <c r="K129" s="131">
        <f ca="1">(J$129/J$13+MIN(ABS(OFFSET(Assumptions!$B$32,0,$C$1)-J$129/J$13),OFFSET(Assumptions!$B$30,0,$C$1))*SIGN(OFFSET(Assumptions!$B$32,0,$C$1)-J$129/J$13))*K$13</f>
        <v>19.392380113032587</v>
      </c>
      <c r="L129" s="131">
        <f ca="1">(K$129/K$13+MIN(ABS(OFFSET(Assumptions!$B$32,0,$C$1)-K$129/K$13),OFFSET(Assumptions!$B$30,0,$C$1))*SIGN(OFFSET(Assumptions!$B$32,0,$C$1)-K$129/K$13))*L$13</f>
        <v>20.311005222760379</v>
      </c>
      <c r="M129" s="131">
        <f ca="1">(L$129/L$13+MIN(ABS(OFFSET(Assumptions!$B$32,0,$C$1)-L$129/L$13),OFFSET(Assumptions!$B$30,0,$C$1))*SIGN(OFFSET(Assumptions!$B$32,0,$C$1)-L$129/L$13))*M$13</f>
        <v>21.151882885534608</v>
      </c>
      <c r="N129" s="131">
        <f ca="1">(M$129/M$13+MIN(ABS(OFFSET(Assumptions!$B$32,0,$C$1)-M$129/M$13),OFFSET(Assumptions!$B$30,0,$C$1))*SIGN(OFFSET(Assumptions!$B$32,0,$C$1)-M$129/M$13))*N$13</f>
        <v>22.032412382247628</v>
      </c>
      <c r="O129" s="131">
        <f ca="1">(N$129/N$13+MIN(ABS(OFFSET(Assumptions!$B$32,0,$C$1)-N$129/N$13),OFFSET(Assumptions!$B$30,0,$C$1))*SIGN(OFFSET(Assumptions!$B$32,0,$C$1)-N$129/N$13))*O$13</f>
        <v>22.932013084242424</v>
      </c>
      <c r="P129" s="131">
        <f ca="1">(O$129/O$13+MIN(ABS(OFFSET(Assumptions!$B$32,0,$C$1)-O$129/O$13),OFFSET(Assumptions!$B$30,0,$C$1))*SIGN(OFFSET(Assumptions!$B$32,0,$C$1)-O$129/O$13))*P$13</f>
        <v>23.850580415242192</v>
      </c>
      <c r="Q129" s="131">
        <f ca="1">(P$129/P$13+MIN(ABS(OFFSET(Assumptions!$B$32,0,$C$1)-P$129/P$13),OFFSET(Assumptions!$B$30,0,$C$1))*SIGN(OFFSET(Assumptions!$B$32,0,$C$1)-P$129/P$13))*Q$13</f>
        <v>24.788046781454096</v>
      </c>
      <c r="R129" s="131">
        <f ca="1">(Q$129/Q$13+MIN(ABS(OFFSET(Assumptions!$B$32,0,$C$1)-Q$129/Q$13),OFFSET(Assumptions!$B$30,0,$C$1))*SIGN(OFFSET(Assumptions!$B$32,0,$C$1)-Q$129/Q$13))*R$13</f>
        <v>25.741887153400647</v>
      </c>
      <c r="S129" s="131">
        <f ca="1">(R$129/R$13+MIN(ABS(OFFSET(Assumptions!$B$32,0,$C$1)-R$129/R$13),OFFSET(Assumptions!$B$30,0,$C$1))*SIGN(OFFSET(Assumptions!$B$32,0,$C$1)-R$129/R$13))*S$13</f>
        <v>26.711340558338183</v>
      </c>
      <c r="T129" s="171">
        <f ca="1">(S$129/S$13+MIN(ABS(OFFSET(Assumptions!$B$32,0,$C$1)-S$129/S$13),OFFSET(Assumptions!$B$30,0,$C$1))*SIGN(OFFSET(Assumptions!$B$32,0,$C$1)-S$129/S$13))*T$13</f>
        <v>27.709536519427775</v>
      </c>
    </row>
    <row r="130" spans="1:20">
      <c r="A130" s="1" t="s">
        <v>378</v>
      </c>
      <c r="B130" s="4" t="str">
        <f>$B$39</f>
        <v>From Fiscal Forecasts</v>
      </c>
      <c r="D130" s="14">
        <f>'Fiscal Forecasts'!D$213</f>
        <v>21.861999999999998</v>
      </c>
      <c r="E130" s="175">
        <f>'Fiscal Forecasts'!E$213</f>
        <v>21.748999999999999</v>
      </c>
      <c r="F130" s="176">
        <f>'Fiscal Forecasts'!F$213</f>
        <v>24.524000000000001</v>
      </c>
      <c r="G130" s="176">
        <f>'Fiscal Forecasts'!G$213</f>
        <v>25.047999999999998</v>
      </c>
      <c r="H130" s="176">
        <f>'Fiscal Forecasts'!H$213</f>
        <v>26.51</v>
      </c>
      <c r="I130" s="176">
        <f>'Fiscal Forecasts'!I$213</f>
        <v>28.173999999999999</v>
      </c>
      <c r="J130" s="176">
        <f>'Fiscal Forecasts'!J$213</f>
        <v>29.72</v>
      </c>
      <c r="K130" s="131">
        <f ca="1">(J$130/J$13+MIN(ABS(OFFSET(Assumptions!$B$33,0,$C$1)-J$130/J$13),OFFSET(Assumptions!$B$30,0,$C$1))*SIGN(OFFSET(Assumptions!$B$33,0,$C$1)-J$130/J$13))*K$13</f>
        <v>31.167125988649079</v>
      </c>
      <c r="L130" s="131">
        <f ca="1">(K$130/K$13+MIN(ABS(OFFSET(Assumptions!$B$33,0,$C$1)-K$130/K$13),OFFSET(Assumptions!$B$30,0,$C$1))*SIGN(OFFSET(Assumptions!$B$33,0,$C$1)-K$130/K$13))*L$13</f>
        <v>32.497608356416606</v>
      </c>
      <c r="M130" s="131">
        <f ca="1">(L$130/L$13+MIN(ABS(OFFSET(Assumptions!$B$33,0,$C$1)-L$130/L$13),OFFSET(Assumptions!$B$30,0,$C$1))*SIGN(OFFSET(Assumptions!$B$33,0,$C$1)-L$130/L$13))*M$13</f>
        <v>33.843012616855376</v>
      </c>
      <c r="N130" s="131">
        <f ca="1">(M$130/M$13+MIN(ABS(OFFSET(Assumptions!$B$33,0,$C$1)-M$130/M$13),OFFSET(Assumptions!$B$30,0,$C$1))*SIGN(OFFSET(Assumptions!$B$33,0,$C$1)-M$130/M$13))*N$13</f>
        <v>35.251859811596205</v>
      </c>
      <c r="O130" s="131">
        <f ca="1">(N$130/N$13+MIN(ABS(OFFSET(Assumptions!$B$33,0,$C$1)-N$130/N$13),OFFSET(Assumptions!$B$30,0,$C$1))*SIGN(OFFSET(Assumptions!$B$33,0,$C$1)-N$130/N$13))*O$13</f>
        <v>36.691220934787879</v>
      </c>
      <c r="P130" s="131">
        <f ca="1">(O$130/O$13+MIN(ABS(OFFSET(Assumptions!$B$33,0,$C$1)-O$130/O$13),OFFSET(Assumptions!$B$30,0,$C$1))*SIGN(OFFSET(Assumptions!$B$33,0,$C$1)-O$130/O$13))*P$13</f>
        <v>38.160928664387505</v>
      </c>
      <c r="Q130" s="131">
        <f ca="1">(P$130/P$13+MIN(ABS(OFFSET(Assumptions!$B$33,0,$C$1)-P$130/P$13),OFFSET(Assumptions!$B$30,0,$C$1))*SIGN(OFFSET(Assumptions!$B$33,0,$C$1)-P$130/P$13))*Q$13</f>
        <v>39.66087485032655</v>
      </c>
      <c r="R130" s="131">
        <f ca="1">(Q$130/Q$13+MIN(ABS(OFFSET(Assumptions!$B$33,0,$C$1)-Q$130/Q$13),OFFSET(Assumptions!$B$30,0,$C$1))*SIGN(OFFSET(Assumptions!$B$33,0,$C$1)-Q$130/Q$13))*R$13</f>
        <v>41.187019445441038</v>
      </c>
      <c r="S130" s="131">
        <f ca="1">(R$130/R$13+MIN(ABS(OFFSET(Assumptions!$B$33,0,$C$1)-R$130/R$13),OFFSET(Assumptions!$B$30,0,$C$1))*SIGN(OFFSET(Assumptions!$B$33,0,$C$1)-R$130/R$13))*S$13</f>
        <v>42.738144893341094</v>
      </c>
      <c r="T130" s="171">
        <f ca="1">(S$130/S$13+MIN(ABS(OFFSET(Assumptions!$B$33,0,$C$1)-S$130/S$13),OFFSET(Assumptions!$B$30,0,$C$1))*SIGN(OFFSET(Assumptions!$B$33,0,$C$1)-S$130/S$13))*T$13</f>
        <v>44.335258431084441</v>
      </c>
    </row>
    <row r="131" spans="1:20">
      <c r="A131" s="1" t="s">
        <v>382</v>
      </c>
      <c r="B131" s="4" t="str">
        <f>$B$39</f>
        <v>From Fiscal Forecasts</v>
      </c>
      <c r="D131" s="14">
        <f>'Fiscal Forecasts'!D$214</f>
        <v>3.8820000000000001</v>
      </c>
      <c r="E131" s="175">
        <f>'Fiscal Forecasts'!E$214</f>
        <v>3.819</v>
      </c>
      <c r="F131" s="176">
        <f>'Fiscal Forecasts'!F$214</f>
        <v>4.2569999999999997</v>
      </c>
      <c r="G131" s="176">
        <f>'Fiscal Forecasts'!G$214</f>
        <v>4.4029999999999996</v>
      </c>
      <c r="H131" s="176">
        <f>'Fiscal Forecasts'!H$214</f>
        <v>4.5110000000000001</v>
      </c>
      <c r="I131" s="176">
        <f>'Fiscal Forecasts'!I$214</f>
        <v>4.6109999999999998</v>
      </c>
      <c r="J131" s="176">
        <f>'Fiscal Forecasts'!J$214</f>
        <v>4.7050000000000001</v>
      </c>
      <c r="K131" s="131">
        <f ca="1">(J$131/J$13+MIN(ABS(OFFSET(Assumptions!$B$34,0,$C$1)-J$131/J$13),OFFSET(Assumptions!$B$30,0,$C$1))*SIGN(OFFSET(Assumptions!$B$34,0,$C$1)-J$131/J$13))*K$13</f>
        <v>4.6984608939034818</v>
      </c>
      <c r="L131" s="131">
        <f ca="1">(K$131/K$13+MIN(ABS(OFFSET(Assumptions!$B$34,0,$C$1)-K$131/K$13),OFFSET(Assumptions!$B$30,0,$C$1))*SIGN(OFFSET(Assumptions!$B$34,0,$C$1)-K$131/K$13))*L$13</f>
        <v>4.673353985849503</v>
      </c>
      <c r="M131" s="131">
        <f ca="1">(L$131/L$13+MIN(ABS(OFFSET(Assumptions!$B$34,0,$C$1)-L$131/L$13),OFFSET(Assumptions!$B$30,0,$C$1))*SIGN(OFFSET(Assumptions!$B$34,0,$C$1)-L$131/L$13))*M$13</f>
        <v>4.7004184190076908</v>
      </c>
      <c r="N131" s="131">
        <f ca="1">(M$131/M$13+MIN(ABS(OFFSET(Assumptions!$B$34,0,$C$1)-M$131/M$13),OFFSET(Assumptions!$B$30,0,$C$1))*SIGN(OFFSET(Assumptions!$B$34,0,$C$1)-M$131/M$13))*N$13</f>
        <v>4.8960916404994732</v>
      </c>
      <c r="O131" s="131">
        <f ca="1">(N$131/N$13+MIN(ABS(OFFSET(Assumptions!$B$34,0,$C$1)-N$131/N$13),OFFSET(Assumptions!$B$30,0,$C$1))*SIGN(OFFSET(Assumptions!$B$34,0,$C$1)-N$131/N$13))*O$13</f>
        <v>5.096002907609428</v>
      </c>
      <c r="P131" s="131">
        <f ca="1">(O$131/O$13+MIN(ABS(OFFSET(Assumptions!$B$34,0,$C$1)-O$131/O$13),OFFSET(Assumptions!$B$30,0,$C$1))*SIGN(OFFSET(Assumptions!$B$34,0,$C$1)-O$131/O$13))*P$13</f>
        <v>5.3001289811649315</v>
      </c>
      <c r="Q131" s="131">
        <f ca="1">(P$131/P$13+MIN(ABS(OFFSET(Assumptions!$B$34,0,$C$1)-P$131/P$13),OFFSET(Assumptions!$B$30,0,$C$1))*SIGN(OFFSET(Assumptions!$B$34,0,$C$1)-P$131/P$13))*Q$13</f>
        <v>5.5084548403231324</v>
      </c>
      <c r="R131" s="131">
        <f ca="1">(Q$131/Q$13+MIN(ABS(OFFSET(Assumptions!$B$34,0,$C$1)-Q$131/Q$13),OFFSET(Assumptions!$B$30,0,$C$1))*SIGN(OFFSET(Assumptions!$B$34,0,$C$1)-Q$131/Q$13))*R$13</f>
        <v>5.7204193674223669</v>
      </c>
      <c r="S131" s="131">
        <f ca="1">(R$131/R$13+MIN(ABS(OFFSET(Assumptions!$B$34,0,$C$1)-R$131/R$13),OFFSET(Assumptions!$B$30,0,$C$1))*SIGN(OFFSET(Assumptions!$B$34,0,$C$1)-R$131/R$13))*S$13</f>
        <v>5.9358534574084851</v>
      </c>
      <c r="T131" s="171">
        <f ca="1">(S$131/S$13+MIN(ABS(OFFSET(Assumptions!$B$34,0,$C$1)-S$131/S$13),OFFSET(Assumptions!$B$30,0,$C$1))*SIGN(OFFSET(Assumptions!$B$34,0,$C$1)-S$131/S$13))*T$13</f>
        <v>6.1576747820950617</v>
      </c>
    </row>
    <row r="132" spans="1:20">
      <c r="A132" s="1" t="s">
        <v>238</v>
      </c>
      <c r="B132" s="4" t="str">
        <f>$B$39</f>
        <v>From Fiscal Forecasts</v>
      </c>
      <c r="D132" s="14">
        <f>'Fiscal Forecasts'!D$215</f>
        <v>11.901</v>
      </c>
      <c r="E132" s="175">
        <f>'Fiscal Forecasts'!E$215</f>
        <v>11.885999999999999</v>
      </c>
      <c r="F132" s="176">
        <f>'Fiscal Forecasts'!F$215</f>
        <v>11.717000000000001</v>
      </c>
      <c r="G132" s="176">
        <f>'Fiscal Forecasts'!G$215</f>
        <v>10.682000000000002</v>
      </c>
      <c r="H132" s="176">
        <f>'Fiscal Forecasts'!H$215</f>
        <v>11.760999999999999</v>
      </c>
      <c r="I132" s="176">
        <f>'Fiscal Forecasts'!I$215</f>
        <v>12.515999999999998</v>
      </c>
      <c r="J132" s="176">
        <f>'Fiscal Forecasts'!J$215</f>
        <v>13.255999999999998</v>
      </c>
      <c r="K132" s="131">
        <f ca="1">(J$132/J$13+MIN(ABS(OFFSET(Assumptions!$B$35,0,$C$1)-J$132/J$13),OFFSET(Assumptions!$B$30,0,$C$1))*SIGN(OFFSET(Assumptions!$B$35,0,$C$1)-J$132/J$13))*K$13</f>
        <v>14.063814508298355</v>
      </c>
      <c r="L132" s="131">
        <f ca="1">(K$132/K$13+MIN(ABS(OFFSET(Assumptions!$B$35,0,$C$1)-K$132/K$13),OFFSET(Assumptions!$B$30,0,$C$1))*SIGN(OFFSET(Assumptions!$B$35,0,$C$1)-K$132/K$13))*L$13</f>
        <v>14.889857524831481</v>
      </c>
      <c r="M132" s="131">
        <f ca="1">(L$132/L$13+MIN(ABS(OFFSET(Assumptions!$B$35,0,$C$1)-L$132/L$13),OFFSET(Assumptions!$B$30,0,$C$1))*SIGN(OFFSET(Assumptions!$B$35,0,$C$1)-L$132/L$13))*M$13</f>
        <v>15.741320047622976</v>
      </c>
      <c r="N132" s="131">
        <f ca="1">(M$132/M$13+MIN(ABS(OFFSET(Assumptions!$B$35,0,$C$1)-M$132/M$13),OFFSET(Assumptions!$B$30,0,$C$1))*SIGN(OFFSET(Assumptions!$B$35,0,$C$1)-M$132/M$13))*N$13</f>
        <v>16.641418377922772</v>
      </c>
      <c r="O132" s="131">
        <f ca="1">(N$132/N$13+MIN(ABS(OFFSET(Assumptions!$B$35,0,$C$1)-N$132/N$13),OFFSET(Assumptions!$B$30,0,$C$1))*SIGN(OFFSET(Assumptions!$B$35,0,$C$1)-N$132/N$13))*O$13</f>
        <v>17.326409885872057</v>
      </c>
      <c r="P132" s="131">
        <f ca="1">(O$132/O$13+MIN(ABS(OFFSET(Assumptions!$B$35,0,$C$1)-O$132/O$13),OFFSET(Assumptions!$B$30,0,$C$1))*SIGN(OFFSET(Assumptions!$B$35,0,$C$1)-O$132/O$13))*P$13</f>
        <v>18.020438535960768</v>
      </c>
      <c r="Q132" s="131">
        <f ca="1">(P$132/P$13+MIN(ABS(OFFSET(Assumptions!$B$35,0,$C$1)-P$132/P$13),OFFSET(Assumptions!$B$30,0,$C$1))*SIGN(OFFSET(Assumptions!$B$35,0,$C$1)-P$132/P$13))*Q$13</f>
        <v>18.728746457098651</v>
      </c>
      <c r="R132" s="131">
        <f ca="1">(Q$132/Q$13+MIN(ABS(OFFSET(Assumptions!$B$35,0,$C$1)-Q$132/Q$13),OFFSET(Assumptions!$B$30,0,$C$1))*SIGN(OFFSET(Assumptions!$B$35,0,$C$1)-Q$132/Q$13))*R$13</f>
        <v>19.449425849236047</v>
      </c>
      <c r="S132" s="131">
        <f ca="1">(R$132/R$13+MIN(ABS(OFFSET(Assumptions!$B$35,0,$C$1)-R$132/R$13),OFFSET(Assumptions!$B$30,0,$C$1))*SIGN(OFFSET(Assumptions!$B$35,0,$C$1)-R$132/R$13))*S$13</f>
        <v>20.18190175518885</v>
      </c>
      <c r="T132" s="171">
        <f ca="1">(S$132/S$13+MIN(ABS(OFFSET(Assumptions!$B$35,0,$C$1)-S$132/S$13),OFFSET(Assumptions!$B$30,0,$C$1))*SIGN(OFFSET(Assumptions!$B$35,0,$C$1)-S$132/S$13))*T$13</f>
        <v>20.936094259123212</v>
      </c>
    </row>
    <row r="133" spans="1:20" ht="15">
      <c r="A133" s="2" t="s">
        <v>379</v>
      </c>
      <c r="D133" s="34">
        <f t="shared" ref="D133:T133" si="115">SUM(D$128:D$132)</f>
        <v>85.722999999999999</v>
      </c>
      <c r="E133" s="138">
        <f t="shared" si="115"/>
        <v>84.521000000000001</v>
      </c>
      <c r="F133" s="137">
        <f t="shared" si="115"/>
        <v>90.939000000000007</v>
      </c>
      <c r="G133" s="137">
        <f t="shared" si="115"/>
        <v>92.674000000000007</v>
      </c>
      <c r="H133" s="137">
        <f t="shared" si="115"/>
        <v>101.10299999999999</v>
      </c>
      <c r="I133" s="137">
        <f t="shared" si="115"/>
        <v>106.46800000000002</v>
      </c>
      <c r="J133" s="137">
        <f t="shared" si="115"/>
        <v>112.55499999999999</v>
      </c>
      <c r="K133" s="37">
        <f t="shared" ca="1" si="115"/>
        <v>118.1304343927083</v>
      </c>
      <c r="L133" s="37">
        <f t="shared" ca="1" si="115"/>
        <v>123.37501598256736</v>
      </c>
      <c r="M133" s="37">
        <f t="shared" ca="1" si="115"/>
        <v>128.55136210380755</v>
      </c>
      <c r="N133" s="37">
        <f t="shared" ca="1" si="115"/>
        <v>134.14761774991013</v>
      </c>
      <c r="O133" s="37">
        <f t="shared" ca="1" si="115"/>
        <v>139.63047966849834</v>
      </c>
      <c r="P133" s="37">
        <f t="shared" ca="1" si="115"/>
        <v>145.22353408391913</v>
      </c>
      <c r="Q133" s="37">
        <f t="shared" ca="1" si="115"/>
        <v>150.93166262485383</v>
      </c>
      <c r="R133" s="37">
        <f t="shared" ca="1" si="115"/>
        <v>156.73949066737282</v>
      </c>
      <c r="S133" s="37">
        <f t="shared" ca="1" si="115"/>
        <v>162.6423847329925</v>
      </c>
      <c r="T133" s="140">
        <f t="shared" ca="1" si="115"/>
        <v>168.72028902940471</v>
      </c>
    </row>
    <row r="134" spans="1:20">
      <c r="A134" s="1" t="s">
        <v>380</v>
      </c>
      <c r="B134" s="4" t="str">
        <f>$B$39</f>
        <v>From Fiscal Forecasts</v>
      </c>
      <c r="D134" s="14">
        <f>D$133-'Fiscal Forecasts'!D$154</f>
        <v>-0.74500000000000455</v>
      </c>
      <c r="E134" s="175">
        <f>E$133-'Fiscal Forecasts'!E$154</f>
        <v>-0.58100000000000307</v>
      </c>
      <c r="F134" s="176">
        <f>F$133-'Fiscal Forecasts'!F$154</f>
        <v>-0.6039999999999992</v>
      </c>
      <c r="G134" s="176">
        <f>G$133-'Fiscal Forecasts'!G$154</f>
        <v>-0.51399999999999579</v>
      </c>
      <c r="H134" s="176">
        <f>H$133-'Fiscal Forecasts'!H$154</f>
        <v>-0.59000000000000341</v>
      </c>
      <c r="I134" s="176">
        <f>I$133-'Fiscal Forecasts'!I$154</f>
        <v>-0.63999999999998636</v>
      </c>
      <c r="J134" s="176">
        <f>J$133-'Fiscal Forecasts'!J$154</f>
        <v>-0.69000000000001194</v>
      </c>
      <c r="K134" s="131">
        <f ca="1">(J$134/J$13-MIN(ABS(OFFSET(Assumptions!$B$36,0,$C$1)+J$134/J$13),OFFSET(Assumptions!$B$30,0,$C$1))*SIGN(OFFSET(Assumptions!$B$36,0,$C$1)+J$134/J$13))*K$13</f>
        <v>-0.86575349968469673</v>
      </c>
      <c r="L134" s="131">
        <f ca="1">(K$134/K$13-MIN(ABS(OFFSET(Assumptions!$B$36,0,$C$1)+K$134/K$13),OFFSET(Assumptions!$B$30,0,$C$1))*SIGN(OFFSET(Assumptions!$B$36,0,$C$1)+K$134/K$13))*L$13</f>
        <v>-0.90271134323379465</v>
      </c>
      <c r="M134" s="131">
        <f ca="1">(L$134/L$13-MIN(ABS(OFFSET(Assumptions!$B$36,0,$C$1)+L$134/L$13),OFFSET(Assumptions!$B$30,0,$C$1))*SIGN(OFFSET(Assumptions!$B$36,0,$C$1)+L$134/L$13))*M$13</f>
        <v>-0.94008368380153817</v>
      </c>
      <c r="N134" s="131">
        <f ca="1">(M$134/M$13-MIN(ABS(OFFSET(Assumptions!$B$36,0,$C$1)+M$134/M$13),OFFSET(Assumptions!$B$30,0,$C$1))*SIGN(OFFSET(Assumptions!$B$36,0,$C$1)+M$134/M$13))*N$13</f>
        <v>-0.97921832809989462</v>
      </c>
      <c r="O134" s="131">
        <f ca="1">(N$134/N$13-MIN(ABS(OFFSET(Assumptions!$B$36,0,$C$1)+N$134/N$13),OFFSET(Assumptions!$B$30,0,$C$1))*SIGN(OFFSET(Assumptions!$B$36,0,$C$1)+N$134/N$13))*O$13</f>
        <v>-1.0192005815218856</v>
      </c>
      <c r="P134" s="131">
        <f ca="1">(O$134/O$13-MIN(ABS(OFFSET(Assumptions!$B$36,0,$C$1)+O$134/O$13),OFFSET(Assumptions!$B$30,0,$C$1))*SIGN(OFFSET(Assumptions!$B$36,0,$C$1)+O$134/O$13))*P$13</f>
        <v>-1.0600257962329862</v>
      </c>
      <c r="Q134" s="131">
        <f ca="1">(P$134/P$13-MIN(ABS(OFFSET(Assumptions!$B$36,0,$C$1)+P$134/P$13),OFFSET(Assumptions!$B$30,0,$C$1))*SIGN(OFFSET(Assumptions!$B$36,0,$C$1)+P$134/P$13))*Q$13</f>
        <v>-1.1016909680646265</v>
      </c>
      <c r="R134" s="131">
        <f ca="1">(Q$134/Q$13-MIN(ABS(OFFSET(Assumptions!$B$36,0,$C$1)+Q$134/Q$13),OFFSET(Assumptions!$B$30,0,$C$1))*SIGN(OFFSET(Assumptions!$B$36,0,$C$1)+Q$134/Q$13))*R$13</f>
        <v>-1.1440838734844734</v>
      </c>
      <c r="S134" s="131">
        <f ca="1">(R$134/R$13-MIN(ABS(OFFSET(Assumptions!$B$36,0,$C$1)+R$134/R$13),OFFSET(Assumptions!$B$30,0,$C$1))*SIGN(OFFSET(Assumptions!$B$36,0,$C$1)+R$134/R$13))*S$13</f>
        <v>-1.1871706914816971</v>
      </c>
      <c r="T134" s="171">
        <f ca="1">(S$134/S$13-MIN(ABS(OFFSET(Assumptions!$B$36,0,$C$1)+S$134/S$13),OFFSET(Assumptions!$B$30,0,$C$1))*SIGN(OFFSET(Assumptions!$B$36,0,$C$1)+S$134/S$13))*T$13</f>
        <v>-1.2315349564190123</v>
      </c>
    </row>
    <row r="135" spans="1:20" ht="15">
      <c r="A135" s="2" t="s">
        <v>381</v>
      </c>
      <c r="D135" s="34">
        <f t="shared" ref="D135:T135" si="116">SUM(D$133,-D$134)</f>
        <v>86.468000000000004</v>
      </c>
      <c r="E135" s="138">
        <f t="shared" si="116"/>
        <v>85.102000000000004</v>
      </c>
      <c r="F135" s="137">
        <f t="shared" si="116"/>
        <v>91.543000000000006</v>
      </c>
      <c r="G135" s="137">
        <f t="shared" si="116"/>
        <v>93.188000000000002</v>
      </c>
      <c r="H135" s="137">
        <f t="shared" si="116"/>
        <v>101.693</v>
      </c>
      <c r="I135" s="137">
        <f t="shared" si="116"/>
        <v>107.108</v>
      </c>
      <c r="J135" s="137">
        <f t="shared" si="116"/>
        <v>113.245</v>
      </c>
      <c r="K135" s="37">
        <f t="shared" ca="1" si="116"/>
        <v>118.996187892393</v>
      </c>
      <c r="L135" s="37">
        <f t="shared" ca="1" si="116"/>
        <v>124.27772732580115</v>
      </c>
      <c r="M135" s="37">
        <f t="shared" ca="1" si="116"/>
        <v>129.49144578760908</v>
      </c>
      <c r="N135" s="37">
        <f t="shared" ca="1" si="116"/>
        <v>135.12683607801003</v>
      </c>
      <c r="O135" s="37">
        <f t="shared" ca="1" si="116"/>
        <v>140.64968025002023</v>
      </c>
      <c r="P135" s="37">
        <f t="shared" ca="1" si="116"/>
        <v>146.28355988015213</v>
      </c>
      <c r="Q135" s="37">
        <f t="shared" ca="1" si="116"/>
        <v>152.03335359291844</v>
      </c>
      <c r="R135" s="37">
        <f t="shared" ca="1" si="116"/>
        <v>157.8835745408573</v>
      </c>
      <c r="S135" s="37">
        <f t="shared" ca="1" si="116"/>
        <v>163.82955542447419</v>
      </c>
      <c r="T135" s="140">
        <f t="shared" ca="1" si="116"/>
        <v>169.95182398582372</v>
      </c>
    </row>
    <row r="136" spans="1:20" ht="15">
      <c r="A136" s="2"/>
      <c r="D136" s="47"/>
      <c r="E136" s="47"/>
      <c r="F136" s="47"/>
      <c r="G136" s="47"/>
      <c r="H136" s="48"/>
      <c r="I136" s="48"/>
      <c r="J136" s="146"/>
      <c r="K136" s="48"/>
      <c r="L136" s="48"/>
      <c r="M136" s="48"/>
      <c r="N136" s="48"/>
      <c r="O136" s="48"/>
      <c r="P136" s="48"/>
      <c r="Q136" s="48"/>
      <c r="R136" s="48"/>
      <c r="S136" s="48"/>
      <c r="T136" s="146"/>
    </row>
    <row r="137" spans="1:20">
      <c r="A137" s="18" t="s">
        <v>253</v>
      </c>
      <c r="J137" s="167"/>
    </row>
    <row r="138" spans="1:20">
      <c r="A138" s="1" t="s">
        <v>1315</v>
      </c>
      <c r="B138" s="4" t="str">
        <f>$B$39</f>
        <v>From Fiscal Forecasts</v>
      </c>
      <c r="D138" s="14">
        <f>'Fiscal Forecasts'!D$362</f>
        <v>0.42499999999999999</v>
      </c>
      <c r="E138" s="175">
        <f>'Fiscal Forecasts'!E$362</f>
        <v>0.82699999999999996</v>
      </c>
      <c r="F138" s="15">
        <f>'Fiscal Forecasts'!F$362</f>
        <v>0.34200000000000003</v>
      </c>
      <c r="G138" s="15">
        <f>'Fiscal Forecasts'!G$362</f>
        <v>1.4670000000000001</v>
      </c>
      <c r="H138" s="15">
        <f>'Fiscal Forecasts'!H$362</f>
        <v>1.5269999999999999</v>
      </c>
      <c r="I138" s="15">
        <f>'Fiscal Forecasts'!I$362</f>
        <v>1.726</v>
      </c>
      <c r="J138" s="176">
        <f>'Fiscal Forecasts'!J$362</f>
        <v>1.8069999999999999</v>
      </c>
      <c r="K138" s="171">
        <f ca="1">IF(J$138*(1-K$30)&gt;SUM(K$144,K$313),J$138*(1-K$30),SUM(K$144,K$313))</f>
        <v>1.7694456596646071</v>
      </c>
      <c r="L138" s="171">
        <f t="shared" ref="L138:T138" ca="1" si="117">IF(K$138*(1-L$30)&gt;SUM(L$144,L$313),K$138*(1-L$30),SUM(L$144,L$313))</f>
        <v>1.7333795782117998</v>
      </c>
      <c r="M138" s="171">
        <f t="shared" ca="1" si="117"/>
        <v>1.6987119866475637</v>
      </c>
      <c r="N138" s="171">
        <f t="shared" ca="1" si="117"/>
        <v>1.6647377469146125</v>
      </c>
      <c r="O138" s="171">
        <f t="shared" ca="1" si="117"/>
        <v>1.6314429919763203</v>
      </c>
      <c r="P138" s="171">
        <f t="shared" ca="1" si="117"/>
        <v>1.5988141321367939</v>
      </c>
      <c r="Q138" s="171">
        <f t="shared" ca="1" si="117"/>
        <v>1.6157477939229934</v>
      </c>
      <c r="R138" s="171">
        <f t="shared" ca="1" si="117"/>
        <v>1.6480627498014533</v>
      </c>
      <c r="S138" s="171">
        <f t="shared" ca="1" si="117"/>
        <v>1.6810240047974825</v>
      </c>
      <c r="T138" s="171">
        <f t="shared" ca="1" si="117"/>
        <v>1.7146444848934321</v>
      </c>
    </row>
    <row r="139" spans="1:20">
      <c r="A139" s="1" t="s">
        <v>969</v>
      </c>
      <c r="B139" s="4" t="str">
        <f>$B$39</f>
        <v>From Fiscal Forecasts</v>
      </c>
      <c r="D139" s="14">
        <f>'Fiscal Forecasts'!D$155-SUM(D$138:D$138)</f>
        <v>1.552</v>
      </c>
      <c r="E139" s="175">
        <f>'Fiscal Forecasts'!E$155-SUM(E$138:E$138)</f>
        <v>1.2930000000000001</v>
      </c>
      <c r="F139" s="15">
        <f>'Fiscal Forecasts'!F$155-SUM(F$138:F$138)</f>
        <v>1.9179999999999997</v>
      </c>
      <c r="G139" s="15">
        <f>'Fiscal Forecasts'!G$155-SUM(G$138:G$138)</f>
        <v>0.95199999999999996</v>
      </c>
      <c r="H139" s="15">
        <f>'Fiscal Forecasts'!H$155-SUM(H$138:H$138)</f>
        <v>1.087</v>
      </c>
      <c r="I139" s="15">
        <f>'Fiscal Forecasts'!I$155-SUM(I$138:I$138)</f>
        <v>1.2930000000000001</v>
      </c>
      <c r="J139" s="176">
        <f>'Fiscal Forecasts'!J$155-SUM(J$138:J$138)</f>
        <v>1.35</v>
      </c>
      <c r="K139" s="6">
        <f ca="1">IF(K$6=OFFSET(Assumptions!$B$8,0,$C$1),AVERAGE(H$139/H$13,I$139/I$13,J$139/J$13),J$139/J$13)*K$13</f>
        <v>1.3669692269705624</v>
      </c>
      <c r="L139" s="6">
        <f ca="1">IF(L$6=OFFSET(Assumptions!$B$8,0,$C$1),AVERAGE(I$139/I$13,J$139/J$13,K$139/K$13),K$139/K$13)*L$13</f>
        <v>1.4253232906217155</v>
      </c>
      <c r="M139" s="6">
        <f ca="1">IF(M$6=OFFSET(Assumptions!$B$8,0,$C$1),AVERAGE(J$139/J$13,K$139/K$13,L$139/L$13),L$139/L$13)*M$13</f>
        <v>1.4843318184700864</v>
      </c>
      <c r="N139" s="6">
        <f ca="1">IF(N$6=OFFSET(Assumptions!$B$8,0,$C$1),AVERAGE(K$139/K$13,L$139/L$13,M$139/M$13),M$139/M$13)*N$13</f>
        <v>1.5461229108350323</v>
      </c>
      <c r="O139" s="6">
        <f ca="1">IF(O$6=OFFSET(Assumptions!$B$8,0,$C$1),AVERAGE(L$139/L$13,M$139/M$13,N$139/N$13),N$139/N$13)*O$13</f>
        <v>1.6092523236213563</v>
      </c>
      <c r="P139" s="6">
        <f ca="1">IF(P$6=OFFSET(Assumptions!$B$8,0,$C$1),AVERAGE(M$139/M$13,N$139/N$13,O$139/O$13),O$139/O$13)*P$13</f>
        <v>1.6737127181965619</v>
      </c>
      <c r="Q139" s="6">
        <f ca="1">IF(Q$6=OFFSET(Assumptions!$B$8,0,$C$1),AVERAGE(N$139/N$13,O$139/O$13,P$139/P$13),P$139/P$13)*Q$13</f>
        <v>1.7394993511712316</v>
      </c>
      <c r="R139" s="104">
        <f ca="1">IF(R$6=OFFSET(Assumptions!$B$8,0,$C$1),AVERAGE(O$139/O$13,P$139/P$13,Q$139/Q$13),Q$139/Q$13)*R$13</f>
        <v>1.8064350287883699</v>
      </c>
      <c r="S139" s="104">
        <f ca="1">IF(S$6=OFFSET(Assumptions!$B$8,0,$C$1),AVERAGE(P$139/P$13,Q$139/Q$13,R$139/R$13),R$139/R$13)*S$13</f>
        <v>1.8744663498419225</v>
      </c>
      <c r="T139" s="171">
        <f ca="1">IF(T$6=OFFSET(Assumptions!$B$8,0,$C$1),AVERAGE(Q$139/Q$13,R$139/R$13,S$139/S$13),S$139/S$13)*T$13</f>
        <v>1.9445146776495092</v>
      </c>
    </row>
    <row r="140" spans="1:20" ht="15">
      <c r="A140" s="2" t="s">
        <v>389</v>
      </c>
      <c r="B140" s="4"/>
      <c r="D140" s="34">
        <f t="shared" ref="D140:T140" si="118">SUM(D$138:D$139)</f>
        <v>1.9770000000000001</v>
      </c>
      <c r="E140" s="138">
        <f t="shared" si="118"/>
        <v>2.12</v>
      </c>
      <c r="F140" s="33">
        <f t="shared" si="118"/>
        <v>2.2599999999999998</v>
      </c>
      <c r="G140" s="33">
        <f t="shared" si="118"/>
        <v>2.419</v>
      </c>
      <c r="H140" s="33">
        <f t="shared" si="118"/>
        <v>2.6139999999999999</v>
      </c>
      <c r="I140" s="33">
        <f t="shared" si="118"/>
        <v>3.0190000000000001</v>
      </c>
      <c r="J140" s="137">
        <f t="shared" si="118"/>
        <v>3.157</v>
      </c>
      <c r="K140" s="37">
        <f t="shared" ca="1" si="118"/>
        <v>3.1364148866351695</v>
      </c>
      <c r="L140" s="37">
        <f t="shared" ca="1" si="118"/>
        <v>3.1587028688335153</v>
      </c>
      <c r="M140" s="37">
        <f t="shared" ca="1" si="118"/>
        <v>3.1830438051176504</v>
      </c>
      <c r="N140" s="37">
        <f t="shared" ca="1" si="118"/>
        <v>3.2108606577496448</v>
      </c>
      <c r="O140" s="37">
        <f t="shared" ca="1" si="118"/>
        <v>3.2406953155976765</v>
      </c>
      <c r="P140" s="37">
        <f t="shared" ca="1" si="118"/>
        <v>3.2725268503333558</v>
      </c>
      <c r="Q140" s="37">
        <f t="shared" ca="1" si="118"/>
        <v>3.3552471450942249</v>
      </c>
      <c r="R140" s="37">
        <f t="shared" ca="1" si="118"/>
        <v>3.4544977785898232</v>
      </c>
      <c r="S140" s="37">
        <f t="shared" ca="1" si="118"/>
        <v>3.5554903546394048</v>
      </c>
      <c r="T140" s="140">
        <f t="shared" ca="1" si="118"/>
        <v>3.6591591625429416</v>
      </c>
    </row>
    <row r="141" spans="1:20">
      <c r="A141" s="1" t="s">
        <v>240</v>
      </c>
      <c r="B141" s="4" t="str">
        <f>$B$39</f>
        <v>From Fiscal Forecasts</v>
      </c>
      <c r="D141" s="14">
        <f>'Fiscal Forecasts'!D$218</f>
        <v>3.0139999999999998</v>
      </c>
      <c r="E141" s="175">
        <f>'Fiscal Forecasts'!E$218</f>
        <v>3.032</v>
      </c>
      <c r="F141" s="15">
        <f>'Fiscal Forecasts'!F$218</f>
        <v>3.1709999999999998</v>
      </c>
      <c r="G141" s="15">
        <f>'Fiscal Forecasts'!G$218</f>
        <v>3.278</v>
      </c>
      <c r="H141" s="15">
        <f>'Fiscal Forecasts'!H$218</f>
        <v>3.5419999999999998</v>
      </c>
      <c r="I141" s="15">
        <f>'Fiscal Forecasts'!I$218</f>
        <v>3.8809999999999998</v>
      </c>
      <c r="J141" s="176">
        <f>'Fiscal Forecasts'!J$218</f>
        <v>4.2640000000000002</v>
      </c>
      <c r="K141" s="6">
        <f>J$141*(Exogenous!V$23-Exogenous!V$24)/(Exogenous!U$23-Exogenous!U$24)</f>
        <v>4.4778732371586498</v>
      </c>
      <c r="L141" s="6">
        <f>K$141*(Exogenous!W$23-Exogenous!W$24)/(Exogenous!V$23-Exogenous!V$24)</f>
        <v>4.6962692768125525</v>
      </c>
      <c r="M141" s="6">
        <f>L$141*(Exogenous!X$23-Exogenous!X$24)/(Exogenous!W$23-Exogenous!W$24)</f>
        <v>4.9174569947558151</v>
      </c>
      <c r="N141" s="6">
        <f>M$141*(Exogenous!Y$23-Exogenous!Y$24)/(Exogenous!X$23-Exogenous!X$24)</f>
        <v>5.136859783314887</v>
      </c>
      <c r="O141" s="6">
        <f>N$141*(Exogenous!Z$23-Exogenous!Z$24)/(Exogenous!Y$23-Exogenous!Y$24)</f>
        <v>5.3679924122966458</v>
      </c>
      <c r="P141" s="6">
        <f>O$141*(Exogenous!AA$23-Exogenous!AA$24)/(Exogenous!Z$23-Exogenous!Z$24)</f>
        <v>5.6085295130913257</v>
      </c>
      <c r="Q141" s="6">
        <f>P$141*(Exogenous!AB$23-Exogenous!AB$24)/(Exogenous!AA$23-Exogenous!AA$24)</f>
        <v>5.8526824067304153</v>
      </c>
      <c r="R141" s="104">
        <f>Q$141*(Exogenous!AC$23-Exogenous!AC$24)/(Exogenous!AB$23-Exogenous!AB$24)</f>
        <v>6.1052691754603039</v>
      </c>
      <c r="S141" s="104">
        <f>R$141*(Exogenous!AD$23-Exogenous!AD$24)/(Exogenous!AC$23-Exogenous!AC$24)</f>
        <v>6.3642772924471895</v>
      </c>
      <c r="T141" s="171">
        <f>S$141*(Exogenous!AE$23-Exogenous!AE$24)/(Exogenous!AD$23-Exogenous!AD$24)</f>
        <v>6.6358034901312219</v>
      </c>
    </row>
    <row r="142" spans="1:20">
      <c r="A142" s="1" t="s">
        <v>390</v>
      </c>
      <c r="B142" s="4" t="str">
        <f>$B$39</f>
        <v>From Fiscal Forecasts</v>
      </c>
      <c r="D142" s="14">
        <f>'Fiscal Forecasts'!D$10-SUM(D$140:D$141)</f>
        <v>1.0369999999999999</v>
      </c>
      <c r="E142" s="175">
        <f>'Fiscal Forecasts'!E$10-SUM(E$140:E$141)</f>
        <v>1.117</v>
      </c>
      <c r="F142" s="15">
        <f>'Fiscal Forecasts'!F$10-SUM(F$140:F$141)</f>
        <v>1.1830000000000007</v>
      </c>
      <c r="G142" s="15">
        <f>'Fiscal Forecasts'!G$10-SUM(G$140:G$141)</f>
        <v>1.1979999999999995</v>
      </c>
      <c r="H142" s="15">
        <f>'Fiscal Forecasts'!H$10-SUM(H$140:H$141)</f>
        <v>1.2160000000000002</v>
      </c>
      <c r="I142" s="15">
        <f>'Fiscal Forecasts'!I$10-SUM(I$140:I$141)</f>
        <v>1.2329999999999988</v>
      </c>
      <c r="J142" s="176">
        <f>'Fiscal Forecasts'!J$10-SUM(J$140:J$141)</f>
        <v>1.2510000000000003</v>
      </c>
      <c r="K142" s="6">
        <f ca="1">IF(K$6=OFFSET(Assumptions!$B$8,0,$C$1),AVERAGE(H$142/H$13,I$142/I$13,J$142/J$13),J$142/J$13)*K$13</f>
        <v>1.3605402552826871</v>
      </c>
      <c r="L142" s="6">
        <f ca="1">IF(L$6=OFFSET(Assumptions!$B$8,0,$C$1),AVERAGE(I$142/I$13,J$142/J$13,K$142/K$13),K$142/K$13)*L$13</f>
        <v>1.4186198748456458</v>
      </c>
      <c r="M142" s="6">
        <f ca="1">IF(M$6=OFFSET(Assumptions!$B$8,0,$C$1),AVERAGE(J$142/J$13,K$142/K$13,L$142/L$13),L$142/L$13)*M$13</f>
        <v>1.4773508806054461</v>
      </c>
      <c r="N142" s="6">
        <f ca="1">IF(N$6=OFFSET(Assumptions!$B$8,0,$C$1),AVERAGE(K$142/K$13,L$142/L$13,M$142/M$13),M$142/M$13)*N$13</f>
        <v>1.5388513642459678</v>
      </c>
      <c r="O142" s="6">
        <f ca="1">IF(O$6=OFFSET(Assumptions!$B$8,0,$C$1),AVERAGE(L$142/L$13,M$142/M$13,N$142/N$13),N$142/N$13)*O$13</f>
        <v>1.6016838740739312</v>
      </c>
      <c r="P142" s="6">
        <f ca="1">IF(P$6=OFFSET(Assumptions!$B$8,0,$C$1),AVERAGE(M$142/M$13,N$142/N$13,O$142/O$13),O$142/O$13)*P$13</f>
        <v>1.6658411059710481</v>
      </c>
      <c r="Q142" s="6">
        <f ca="1">IF(Q$6=OFFSET(Assumptions!$B$8,0,$C$1),AVERAGE(N$142/N$13,O$142/O$13,P$142/P$13),P$142/P$13)*Q$13</f>
        <v>1.7313183388564619</v>
      </c>
      <c r="R142" s="104">
        <f ca="1">IF(R$6=OFFSET(Assumptions!$B$8,0,$C$1),AVERAGE(O$142/O$13,P$142/P$13,Q$142/Q$13),Q$142/Q$13)*R$13</f>
        <v>1.7979392123303768</v>
      </c>
      <c r="S142" s="104">
        <f ca="1">IF(S$6=OFFSET(Assumptions!$B$8,0,$C$1),AVERAGE(P$142/P$13,Q$142/Q$13,R$142/R$13),R$142/R$13)*S$13</f>
        <v>1.8656505763371189</v>
      </c>
      <c r="T142" s="171">
        <f ca="1">IF(T$6=OFFSET(Assumptions!$B$8,0,$C$1),AVERAGE(Q$142/Q$13,R$142/R$13,S$142/S$13),S$142/S$13)*T$13</f>
        <v>1.9353694609448349</v>
      </c>
    </row>
    <row r="143" spans="1:20" ht="15">
      <c r="A143" s="2" t="s">
        <v>391</v>
      </c>
      <c r="D143" s="34">
        <f t="shared" ref="D143:T143" si="119">SUM(D$140:D$142)</f>
        <v>6.0279999999999996</v>
      </c>
      <c r="E143" s="138">
        <f t="shared" si="119"/>
        <v>6.2690000000000001</v>
      </c>
      <c r="F143" s="33">
        <f t="shared" si="119"/>
        <v>6.6139999999999999</v>
      </c>
      <c r="G143" s="33">
        <f t="shared" si="119"/>
        <v>6.8949999999999996</v>
      </c>
      <c r="H143" s="33">
        <f t="shared" si="119"/>
        <v>7.3719999999999999</v>
      </c>
      <c r="I143" s="33">
        <f t="shared" si="119"/>
        <v>8.1329999999999991</v>
      </c>
      <c r="J143" s="137">
        <f t="shared" si="119"/>
        <v>8.6720000000000006</v>
      </c>
      <c r="K143" s="37">
        <f t="shared" ca="1" si="119"/>
        <v>8.9748283790765075</v>
      </c>
      <c r="L143" s="37">
        <f t="shared" ca="1" si="119"/>
        <v>9.2735920204917139</v>
      </c>
      <c r="M143" s="37">
        <f t="shared" ca="1" si="119"/>
        <v>9.5778516804789113</v>
      </c>
      <c r="N143" s="37">
        <f t="shared" ca="1" si="119"/>
        <v>9.8865718053104992</v>
      </c>
      <c r="O143" s="37">
        <f t="shared" ca="1" si="119"/>
        <v>10.210371601968253</v>
      </c>
      <c r="P143" s="37">
        <f t="shared" ca="1" si="119"/>
        <v>10.546897469395729</v>
      </c>
      <c r="Q143" s="37">
        <f t="shared" ca="1" si="119"/>
        <v>10.939247890681102</v>
      </c>
      <c r="R143" s="37">
        <f t="shared" ca="1" si="119"/>
        <v>11.357706166380504</v>
      </c>
      <c r="S143" s="37">
        <f t="shared" ca="1" si="119"/>
        <v>11.785418223423713</v>
      </c>
      <c r="T143" s="140">
        <f t="shared" ca="1" si="119"/>
        <v>12.230332113618999</v>
      </c>
    </row>
    <row r="144" spans="1:20" s="167" customFormat="1">
      <c r="A144" s="167" t="s">
        <v>1239</v>
      </c>
      <c r="D144" s="175">
        <f>'Fiscal Forecasts'!D$361</f>
        <v>0</v>
      </c>
      <c r="E144" s="175">
        <f>'Fiscal Forecasts'!E$361</f>
        <v>0</v>
      </c>
      <c r="F144" s="176">
        <f>'Fiscal Forecasts'!F$361</f>
        <v>0.35099999999999998</v>
      </c>
      <c r="G144" s="176">
        <f>'Fiscal Forecasts'!G$361</f>
        <v>0.70699999999999996</v>
      </c>
      <c r="H144" s="176">
        <f>'Fiscal Forecasts'!H$361</f>
        <v>0.69899999999999995</v>
      </c>
      <c r="I144" s="176">
        <f>'Fiscal Forecasts'!I$361</f>
        <v>0.66</v>
      </c>
      <c r="J144" s="176">
        <f>'Fiscal Forecasts'!J$361</f>
        <v>0.60299999999999998</v>
      </c>
      <c r="K144" s="171">
        <f ca="1">J$144*(1+K$30)</f>
        <v>0.61553196857899384</v>
      </c>
      <c r="L144" s="171">
        <f t="shared" ref="L144:T144" ca="1" si="120">K$144*(1+L$30)</f>
        <v>0.62807817252389753</v>
      </c>
      <c r="M144" s="171">
        <f t="shared" ca="1" si="120"/>
        <v>0.64063973597437551</v>
      </c>
      <c r="N144" s="171">
        <f t="shared" ca="1" si="120"/>
        <v>0.653452530693863</v>
      </c>
      <c r="O144" s="171">
        <f t="shared" ca="1" si="120"/>
        <v>0.66652158130774031</v>
      </c>
      <c r="P144" s="171">
        <f t="shared" ca="1" si="120"/>
        <v>0.67985201293389508</v>
      </c>
      <c r="Q144" s="171">
        <f t="shared" ca="1" si="120"/>
        <v>0.693449053192573</v>
      </c>
      <c r="R144" s="171">
        <f t="shared" ca="1" si="120"/>
        <v>0.70731803425642448</v>
      </c>
      <c r="S144" s="171">
        <f t="shared" ca="1" si="120"/>
        <v>0.72146439494155301</v>
      </c>
      <c r="T144" s="171">
        <f t="shared" ca="1" si="120"/>
        <v>0.73589368284038403</v>
      </c>
    </row>
    <row r="145" spans="1:20" ht="15">
      <c r="A145" s="2"/>
      <c r="D145" s="47"/>
      <c r="E145" s="145"/>
      <c r="F145" s="47"/>
      <c r="G145" s="47"/>
      <c r="H145" s="47"/>
      <c r="I145" s="47"/>
      <c r="J145" s="145"/>
      <c r="K145" s="47"/>
      <c r="L145" s="47"/>
      <c r="M145" s="47"/>
      <c r="N145" s="47"/>
      <c r="O145" s="47"/>
      <c r="P145" s="47"/>
      <c r="Q145" s="47"/>
      <c r="R145" s="47"/>
      <c r="S145" s="47"/>
      <c r="T145" s="145"/>
    </row>
    <row r="146" spans="1:20">
      <c r="A146" s="18" t="s">
        <v>130</v>
      </c>
      <c r="E146" s="167"/>
      <c r="J146" s="167"/>
    </row>
    <row r="147" spans="1:20" ht="15">
      <c r="A147" s="2" t="s">
        <v>392</v>
      </c>
      <c r="B147" s="4" t="str">
        <f>$B$39</f>
        <v>From Fiscal Forecasts</v>
      </c>
      <c r="D147" s="39">
        <f>'Fiscal Forecasts'!D$156</f>
        <v>1.583</v>
      </c>
      <c r="E147" s="142">
        <f>'Fiscal Forecasts'!E$156</f>
        <v>1.5529999999999999</v>
      </c>
      <c r="F147" s="38">
        <f>'Fiscal Forecasts'!F$156</f>
        <v>1.4930000000000001</v>
      </c>
      <c r="G147" s="38">
        <f>'Fiscal Forecasts'!G$156</f>
        <v>1.5089999999999999</v>
      </c>
      <c r="H147" s="38">
        <f>'Fiscal Forecasts'!H$156</f>
        <v>1.768</v>
      </c>
      <c r="I147" s="38">
        <f>'Fiscal Forecasts'!I$156</f>
        <v>1.7150000000000001</v>
      </c>
      <c r="J147" s="141">
        <f>'Fiscal Forecasts'!J$156</f>
        <v>1.724</v>
      </c>
      <c r="K147" s="7">
        <f ca="1">IF(K$6=OFFSET(Assumptions!$B$8,0,$C$1),AVERAGE(H$147/H$13,I$147/I$13,J$147/J$13),J$147/J$13)*K$13</f>
        <v>1.9165691757389081</v>
      </c>
      <c r="L147" s="7">
        <f ca="1">IF(L$6=OFFSET(Assumptions!$B$8,0,$C$1),AVERAGE(I$147/I$13,J$147/J$13,K$147/K$13),K$147/K$13)*L$13</f>
        <v>1.9983849163322511</v>
      </c>
      <c r="M147" s="7">
        <f ca="1">IF(M$6=OFFSET(Assumptions!$B$8,0,$C$1),AVERAGE(J$147/J$13,K$147/K$13,L$147/L$13),L$147/L$13)*M$13</f>
        <v>2.0811182532271526</v>
      </c>
      <c r="N147" s="7">
        <f ca="1">IF(N$6=OFFSET(Assumptions!$B$8,0,$C$1),AVERAGE(K$147/K$13,L$147/L$13,M$147/M$13),M$147/M$13)*N$13</f>
        <v>2.16775290499934</v>
      </c>
      <c r="O147" s="7">
        <f ca="1">IF(O$6=OFFSET(Assumptions!$B$8,0,$C$1),AVERAGE(L$147/L$13,M$147/M$13,N$147/N$13),N$147/N$13)*O$13</f>
        <v>2.2562639586804134</v>
      </c>
      <c r="P147" s="7">
        <f ca="1">IF(P$6=OFFSET(Assumptions!$B$8,0,$C$1),AVERAGE(M$147/M$13,N$147/N$13,O$147/O$13),O$147/O$13)*P$13</f>
        <v>2.3466411250871499</v>
      </c>
      <c r="Q147" s="7">
        <f ca="1">IF(Q$6=OFFSET(Assumptions!$B$8,0,$C$1),AVERAGE(N$147/N$13,O$147/O$13,P$147/P$13),P$147/P$13)*Q$13</f>
        <v>2.4388777537158175</v>
      </c>
      <c r="R147" s="7">
        <f ca="1">IF(R$6=OFFSET(Assumptions!$B$8,0,$C$1),AVERAGE(O$147/O$13,P$147/P$13,Q$147/Q$13),Q$147/Q$13)*R$13</f>
        <v>2.5327254087669187</v>
      </c>
      <c r="S147" s="7">
        <f ca="1">IF(S$6=OFFSET(Assumptions!$B$8,0,$C$1),AVERAGE(P$147/P$13,Q$147/Q$13,R$147/R$13),R$147/R$13)*S$13</f>
        <v>2.6281092186899815</v>
      </c>
      <c r="T147" s="134">
        <f ca="1">IF(T$6=OFFSET(Assumptions!$B$8,0,$C$1),AVERAGE(Q$147/Q$13,R$147/R$13,S$147/S$13),S$147/S$13)*T$13</f>
        <v>2.7263209876451628</v>
      </c>
    </row>
    <row r="148" spans="1:20" ht="15">
      <c r="A148" s="2" t="s">
        <v>393</v>
      </c>
      <c r="B148" s="4" t="str">
        <f>$B$39</f>
        <v>From Fiscal Forecasts</v>
      </c>
      <c r="D148" s="39">
        <f>'Fiscal Forecasts'!D$11</f>
        <v>19.795999999999999</v>
      </c>
      <c r="E148" s="142">
        <f>'Fiscal Forecasts'!E$11</f>
        <v>18.437000000000001</v>
      </c>
      <c r="F148" s="38">
        <f>'Fiscal Forecasts'!F$11</f>
        <v>17.728999999999999</v>
      </c>
      <c r="G148" s="38">
        <f>'Fiscal Forecasts'!G$11</f>
        <v>17.675999999999998</v>
      </c>
      <c r="H148" s="38">
        <f>'Fiscal Forecasts'!H$11</f>
        <v>18.843</v>
      </c>
      <c r="I148" s="38">
        <f>'Fiscal Forecasts'!I$11</f>
        <v>19.315000000000001</v>
      </c>
      <c r="J148" s="141">
        <f>'Fiscal Forecasts'!J$11</f>
        <v>19.626999999999999</v>
      </c>
      <c r="K148" s="7">
        <f ca="1">SUM(K$147,IF(K$6=OFFSET(Assumptions!$B$8,0,$C$1),AVERAGE((H$148-H$147)/H$13,(I$148-I$147)/I$13,(J$148-J$147)/J$13),(J$148-J$147)/J$13)*K$13)</f>
        <v>21.243525563685779</v>
      </c>
      <c r="L148" s="7">
        <f ca="1">SUM(L$147,IF(L$6=OFFSET(Assumptions!$B$8,0,$C$1),AVERAGE((I$148-I$147)/I$13,(J$148-J$147)/J$13,(K$148-K$147)/K$13),(K$148-K$147)/K$13)*L$13)</f>
        <v>22.150382878729722</v>
      </c>
      <c r="M148" s="7">
        <f ca="1">SUM(M$147,IF(M$6=OFFSET(Assumptions!$B$8,0,$C$1),AVERAGE((J$148-J$147)/J$13,(K$148-K$147)/K$13,(L$148-L$147)/L$13),(L$148-L$147)/L$13)*M$13)</f>
        <v>23.067410961798139</v>
      </c>
      <c r="N148" s="7">
        <f ca="1">SUM(N$147,IF(N$6=OFFSET(Assumptions!$B$8,0,$C$1),AVERAGE((K$148-K$147)/K$13,(L$148-L$147)/L$13,(M$148-M$147)/M$13),(M$148-M$147)/M$13)*N$13)</f>
        <v>24.027681774310778</v>
      </c>
      <c r="O148" s="7">
        <f ca="1">SUM(O$147,IF(O$6=OFFSET(Assumptions!$B$8,0,$C$1),AVERAGE((L$148-L$147)/L$13,(M$148-M$147)/M$13,(N$148-N$147)/N$13),(N$148-N$147)/N$13)*O$13)</f>
        <v>25.008750892683572</v>
      </c>
      <c r="P148" s="7">
        <f ca="1">SUM(P$147,IF(P$6=OFFSET(Assumptions!$B$8,0,$C$1),AVERAGE((M$148-M$147)/M$13,(N$148-N$147)/N$13,(O$148-O$147)/O$13),(O$148-O$147)/O$13)*P$13)</f>
        <v>26.010504270145038</v>
      </c>
      <c r="Q148" s="7">
        <f ca="1">SUM(Q$147,IF(Q$6=OFFSET(Assumptions!$B$8,0,$C$1),AVERAGE((N$148-N$147)/N$13,(O$148-O$147)/O$13,(P$148-P$147)/P$13),(P$148-P$147)/P$13)*Q$13)</f>
        <v>27.032868191565125</v>
      </c>
      <c r="R148" s="7">
        <f ca="1">SUM(R$147,IF(R$6=OFFSET(Assumptions!$B$8,0,$C$1),AVERAGE((O$148-O$147)/O$13,(P$148-P$147)/P$13,(Q$148-Q$147)/Q$13),(Q$148-Q$147)/Q$13)*R$13)</f>
        <v>28.073088959177863</v>
      </c>
      <c r="S148" s="7">
        <f ca="1">SUM(S$147,IF(S$6=OFFSET(Assumptions!$B$8,0,$C$1),AVERAGE((P$148-P$147)/P$13,(Q$148-Q$147)/Q$13,(R$148-R$147)/R$13),(R$148-R$147)/R$13)*S$13)</f>
        <v>29.130336686059998</v>
      </c>
      <c r="T148" s="134">
        <f ca="1">SUM(T$147,IF(T$6=OFFSET(Assumptions!$B$8,0,$C$1),AVERAGE((Q$148-Q$147)/Q$13,(R$148-R$147)/R$13,(S$148-S$147)/S$13),(S$148-S$147)/S$13)*T$13)</f>
        <v>30.218929913408456</v>
      </c>
    </row>
    <row r="149" spans="1:20" ht="15">
      <c r="A149" s="2"/>
      <c r="B149" s="4"/>
      <c r="D149" s="39"/>
      <c r="E149" s="142"/>
      <c r="F149" s="38"/>
      <c r="G149" s="38"/>
      <c r="H149" s="38"/>
      <c r="I149" s="38"/>
      <c r="J149" s="141"/>
      <c r="K149" s="7"/>
      <c r="L149" s="7"/>
      <c r="M149" s="7"/>
      <c r="N149" s="7"/>
      <c r="O149" s="7"/>
      <c r="P149" s="7"/>
      <c r="Q149" s="7"/>
      <c r="R149" s="7"/>
      <c r="S149" s="7"/>
      <c r="T149" s="134"/>
    </row>
    <row r="150" spans="1:20">
      <c r="A150" s="18" t="s">
        <v>957</v>
      </c>
      <c r="E150" s="167"/>
      <c r="J150" s="167"/>
    </row>
    <row r="151" spans="1:20">
      <c r="A151" s="1" t="s">
        <v>556</v>
      </c>
      <c r="D151" s="14">
        <f t="shared" ref="D151:T151" si="121">D$405</f>
        <v>0.39400000000000002</v>
      </c>
      <c r="E151" s="175">
        <f t="shared" si="121"/>
        <v>0.33100000000000002</v>
      </c>
      <c r="F151" s="15">
        <f t="shared" si="121"/>
        <v>0.23400000000000001</v>
      </c>
      <c r="G151" s="15">
        <f t="shared" si="121"/>
        <v>0.19400000000000001</v>
      </c>
      <c r="H151" s="15">
        <f t="shared" si="121"/>
        <v>0.19800000000000001</v>
      </c>
      <c r="I151" s="15">
        <f t="shared" si="121"/>
        <v>0.21299999999999999</v>
      </c>
      <c r="J151" s="176">
        <f t="shared" si="121"/>
        <v>0.23599999999999999</v>
      </c>
      <c r="K151" s="6">
        <f t="shared" si="121"/>
        <v>0.25900000000000001</v>
      </c>
      <c r="L151" s="6">
        <f t="shared" si="121"/>
        <v>0.28199999999999997</v>
      </c>
      <c r="M151" s="6">
        <f t="shared" si="121"/>
        <v>0.30399999999999999</v>
      </c>
      <c r="N151" s="6">
        <f t="shared" si="121"/>
        <v>0.32500000000000001</v>
      </c>
      <c r="O151" s="6">
        <f t="shared" si="121"/>
        <v>0.34399999999999997</v>
      </c>
      <c r="P151" s="6">
        <f t="shared" si="121"/>
        <v>0.36199999999999999</v>
      </c>
      <c r="Q151" s="6">
        <f t="shared" si="121"/>
        <v>0.38</v>
      </c>
      <c r="R151" s="104">
        <f t="shared" si="121"/>
        <v>0.39700000000000002</v>
      </c>
      <c r="S151" s="104">
        <f t="shared" si="121"/>
        <v>0.41399999999999998</v>
      </c>
      <c r="T151" s="171">
        <f t="shared" si="121"/>
        <v>0.43</v>
      </c>
    </row>
    <row r="152" spans="1:20">
      <c r="A152" s="1" t="s">
        <v>975</v>
      </c>
      <c r="D152" s="14">
        <f ca="1">OFFSET(Assumptions!$B$80,0,$C$1)*D$375</f>
        <v>0.34369999999999995</v>
      </c>
      <c r="E152" s="175">
        <f ca="1">OFFSET(Assumptions!$B$80,0,$C$1)*E$375</f>
        <v>0.28105000000000002</v>
      </c>
      <c r="F152" s="15">
        <f ca="1">OFFSET(Assumptions!$B$80,0,$C$1)*F$375</f>
        <v>0.24149999999999996</v>
      </c>
      <c r="G152" s="15">
        <f ca="1">OFFSET(Assumptions!$B$80,0,$C$1)*G$375</f>
        <v>0.3024</v>
      </c>
      <c r="H152" s="15">
        <f ca="1">OFFSET(Assumptions!$B$80,0,$C$1)*H$375</f>
        <v>0.33844999999999997</v>
      </c>
      <c r="I152" s="15">
        <f ca="1">OFFSET(Assumptions!$B$80,0,$C$1)*I$375</f>
        <v>0.36854999999999993</v>
      </c>
      <c r="J152" s="176">
        <f ca="1">OFFSET(Assumptions!$B$80,0,$C$1)*J$375</f>
        <v>0.40319999999999995</v>
      </c>
      <c r="K152" s="6">
        <f ca="1">OFFSET(Assumptions!$B$80,0,$C$1)*K$375</f>
        <v>0.4365060178144507</v>
      </c>
      <c r="L152" s="6">
        <f ca="1">OFFSET(Assumptions!$B$80,0,$C$1)*L$375</f>
        <v>0.47138586389771542</v>
      </c>
      <c r="M152" s="6">
        <f ca="1">OFFSET(Assumptions!$B$80,0,$C$1)*M$375</f>
        <v>0.50683862388997125</v>
      </c>
      <c r="N152" s="6">
        <f ca="1">OFFSET(Assumptions!$B$80,0,$C$1)*N$375</f>
        <v>0.542955042922593</v>
      </c>
      <c r="O152" s="6">
        <f ca="1">OFFSET(Assumptions!$B$80,0,$C$1)*O$375</f>
        <v>0.57996432004000265</v>
      </c>
      <c r="P152" s="6">
        <f ca="1">OFFSET(Assumptions!$B$80,0,$C$1)*P$375</f>
        <v>0.61805525300884401</v>
      </c>
      <c r="Q152" s="6">
        <f ca="1">OFFSET(Assumptions!$B$80,0,$C$1)*Q$375</f>
        <v>0.657325324278211</v>
      </c>
      <c r="R152" s="104">
        <f ca="1">OFFSET(Assumptions!$B$80,0,$C$1)*R$375</f>
        <v>0.69772839837909517</v>
      </c>
      <c r="S152" s="104">
        <f ca="1">OFFSET(Assumptions!$B$80,0,$C$1)*S$375</f>
        <v>0.73914158301674682</v>
      </c>
      <c r="T152" s="171">
        <f ca="1">OFFSET(Assumptions!$B$80,0,$C$1)*T$375</f>
        <v>0.78156344244887466</v>
      </c>
    </row>
    <row r="153" spans="1:20">
      <c r="A153" s="1" t="s">
        <v>976</v>
      </c>
      <c r="B153" s="4" t="str">
        <f>$B$39</f>
        <v>From Fiscal Forecasts</v>
      </c>
      <c r="D153" s="14">
        <f ca="1">'Fiscal Forecasts'!D$157-SUM(D$151,OFFSET(Assumptions!$B$80,0,$C$1)*'Fiscal Forecasts'!D$344)</f>
        <v>0.32230000000000003</v>
      </c>
      <c r="E153" s="175">
        <f ca="1">'Fiscal Forecasts'!E$157-SUM(E$151,OFFSET(Assumptions!$B$80,0,$C$1)*'Fiscal Forecasts'!E$344)</f>
        <v>0.23794999999999999</v>
      </c>
      <c r="F153" s="15">
        <f ca="1">'Fiscal Forecasts'!F$157-SUM(F$151,OFFSET(Assumptions!$B$80,0,$C$1)*'Fiscal Forecasts'!F$344)</f>
        <v>0.23949999999999999</v>
      </c>
      <c r="G153" s="15">
        <f ca="1">'Fiscal Forecasts'!G$157-SUM(G$151,OFFSET(Assumptions!$B$80,0,$C$1)*'Fiscal Forecasts'!G$344)</f>
        <v>0.18060000000000004</v>
      </c>
      <c r="H153" s="15">
        <f ca="1">'Fiscal Forecasts'!H$157-SUM(H$151,OFFSET(Assumptions!$B$80,0,$C$1)*'Fiscal Forecasts'!H$344)</f>
        <v>0.23055000000000003</v>
      </c>
      <c r="I153" s="15">
        <f ca="1">'Fiscal Forecasts'!I$157-SUM(I$151,OFFSET(Assumptions!$B$80,0,$C$1)*'Fiscal Forecasts'!I$344)</f>
        <v>0.26145000000000007</v>
      </c>
      <c r="J153" s="176">
        <f ca="1">'Fiscal Forecasts'!J$157-SUM(J$151,OFFSET(Assumptions!$B$80,0,$C$1)*'Fiscal Forecasts'!J$344)</f>
        <v>0.27680000000000005</v>
      </c>
      <c r="K153" s="6">
        <f ca="1">OFFSET(Assumptions!$B$38,0,$C$1)*AVERAGE(SUM(J$345,J$394),SUM(K$345,K$394))*K$234</f>
        <v>6.8315822083687111E-2</v>
      </c>
      <c r="L153" s="6">
        <f ca="1">OFFSET(Assumptions!$B$38,0,$C$1)*AVERAGE(SUM(K$345,K$394),SUM(L$345,L$394))*L$234</f>
        <v>8.6497948007911468E-2</v>
      </c>
      <c r="M153" s="6">
        <f ca="1">OFFSET(Assumptions!$B$38,0,$C$1)*AVERAGE(SUM(L$345,L$394),SUM(M$345,M$394))*M$234</f>
        <v>0.10603337846428512</v>
      </c>
      <c r="N153" s="6">
        <f ca="1">OFFSET(Assumptions!$B$38,0,$C$1)*AVERAGE(SUM(M$345,M$394),SUM(N$345,N$394))*N$234</f>
        <v>0.12664429100461641</v>
      </c>
      <c r="O153" s="6">
        <f ca="1">OFFSET(Assumptions!$B$38,0,$C$1)*AVERAGE(SUM(N$345,N$394),SUM(O$345,O$394))*O$234</f>
        <v>0.14794339180817012</v>
      </c>
      <c r="P153" s="6">
        <f ca="1">OFFSET(Assumptions!$B$38,0,$C$1)*AVERAGE(SUM(O$345,O$394),SUM(P$345,P$394))*P$234</f>
        <v>0.16937687156789583</v>
      </c>
      <c r="Q153" s="6">
        <f ca="1">OFFSET(Assumptions!$B$38,0,$C$1)*AVERAGE(SUM(P$345,P$394),SUM(Q$345,Q$394))*Q$234</f>
        <v>0.19135924959086648</v>
      </c>
      <c r="R153" s="104">
        <f ca="1">OFFSET(Assumptions!$B$38,0,$C$1)*AVERAGE(SUM(Q$345,Q$394),SUM(R$345,R$394))*R$234</f>
        <v>0.21465630159634988</v>
      </c>
      <c r="S153" s="104">
        <f ca="1">OFFSET(Assumptions!$B$38,0,$C$1)*AVERAGE(SUM(R$345,R$394),SUM(S$345,S$394))*S$234</f>
        <v>0.23928624275736474</v>
      </c>
      <c r="T153" s="171">
        <f ca="1">OFFSET(Assumptions!$B$38,0,$C$1)*AVERAGE(SUM(S$345,S$394),SUM(T$345,T$394))*T$234</f>
        <v>0.2653394905074527</v>
      </c>
    </row>
    <row r="154" spans="1:20" ht="15">
      <c r="A154" s="2" t="s">
        <v>977</v>
      </c>
      <c r="D154" s="34">
        <f t="shared" ref="D154:T154" ca="1" si="122">SUM(D$151:D$153)</f>
        <v>1.06</v>
      </c>
      <c r="E154" s="138">
        <f t="shared" ca="1" si="122"/>
        <v>0.85</v>
      </c>
      <c r="F154" s="33">
        <f t="shared" ca="1" si="122"/>
        <v>0.71499999999999997</v>
      </c>
      <c r="G154" s="33">
        <f t="shared" ca="1" si="122"/>
        <v>0.67700000000000005</v>
      </c>
      <c r="H154" s="33">
        <f t="shared" ca="1" si="122"/>
        <v>0.76700000000000002</v>
      </c>
      <c r="I154" s="33">
        <f t="shared" ca="1" si="122"/>
        <v>0.84299999999999997</v>
      </c>
      <c r="J154" s="137">
        <f t="shared" ca="1" si="122"/>
        <v>0.91600000000000004</v>
      </c>
      <c r="K154" s="37">
        <f t="shared" ca="1" si="122"/>
        <v>0.7638218398981379</v>
      </c>
      <c r="L154" s="37">
        <f t="shared" ca="1" si="122"/>
        <v>0.83988381190562678</v>
      </c>
      <c r="M154" s="37">
        <f t="shared" ca="1" si="122"/>
        <v>0.91687200235425625</v>
      </c>
      <c r="N154" s="37">
        <f t="shared" ca="1" si="122"/>
        <v>0.99459933392720945</v>
      </c>
      <c r="O154" s="37">
        <f t="shared" ca="1" si="122"/>
        <v>1.0719077118481728</v>
      </c>
      <c r="P154" s="37">
        <f t="shared" ca="1" si="122"/>
        <v>1.1494321245767398</v>
      </c>
      <c r="Q154" s="37">
        <f t="shared" ca="1" si="122"/>
        <v>1.2286845738690775</v>
      </c>
      <c r="R154" s="37">
        <f t="shared" ca="1" si="122"/>
        <v>1.309384699975445</v>
      </c>
      <c r="S154" s="37">
        <f t="shared" ca="1" si="122"/>
        <v>1.3924278257741116</v>
      </c>
      <c r="T154" s="140">
        <f t="shared" ca="1" si="122"/>
        <v>1.4769029329563272</v>
      </c>
    </row>
    <row r="155" spans="1:20">
      <c r="A155" s="1" t="s">
        <v>256</v>
      </c>
      <c r="B155" s="4" t="str">
        <f>$B$39</f>
        <v>From Fiscal Forecasts</v>
      </c>
      <c r="D155" s="14">
        <f>'Fiscal Forecasts'!D$223</f>
        <v>1.016</v>
      </c>
      <c r="E155" s="175">
        <f>'Fiscal Forecasts'!E$223</f>
        <v>0.94699999999999995</v>
      </c>
      <c r="F155" s="15">
        <f>'Fiscal Forecasts'!F$223</f>
        <v>0.78700000000000003</v>
      </c>
      <c r="G155" s="15">
        <f>'Fiscal Forecasts'!G$223</f>
        <v>0.71599999999999997</v>
      </c>
      <c r="H155" s="15">
        <f>'Fiscal Forecasts'!H$223</f>
        <v>0.72899999999999998</v>
      </c>
      <c r="I155" s="15">
        <f>'Fiscal Forecasts'!I$223</f>
        <v>0.75700000000000001</v>
      </c>
      <c r="J155" s="176">
        <f>'Fiscal Forecasts'!J$223</f>
        <v>0.76200000000000001</v>
      </c>
      <c r="K155" s="6">
        <f>J$155*Exogenous!V$27/Exogenous!U$27</f>
        <v>0.81754511086628701</v>
      </c>
      <c r="L155" s="6">
        <f>K$155*Exogenous!W$27/Exogenous!V$27</f>
        <v>0.87957322919872571</v>
      </c>
      <c r="M155" s="6">
        <f>L$155*Exogenous!X$27/Exogenous!W$27</f>
        <v>0.94614949168465856</v>
      </c>
      <c r="N155" s="6">
        <f>M$155*Exogenous!Y$27/Exogenous!X$27</f>
        <v>1.0145177101086948</v>
      </c>
      <c r="O155" s="6">
        <f>N$155*Exogenous!Z$27/Exogenous!Y$27</f>
        <v>1.0827457522403319</v>
      </c>
      <c r="P155" s="6">
        <f>O$155*Exogenous!AA$27/Exogenous!Z$27</f>
        <v>1.1433222098589129</v>
      </c>
      <c r="Q155" s="6">
        <f>P$155*Exogenous!AB$27/Exogenous!AA$27</f>
        <v>1.2031343273124842</v>
      </c>
      <c r="R155" s="104">
        <f>Q$155*Exogenous!AC$27/Exogenous!AB$27</f>
        <v>1.2792971538070397</v>
      </c>
      <c r="S155" s="104">
        <f>R$155*Exogenous!AD$27/Exogenous!AC$27</f>
        <v>1.3648978340645728</v>
      </c>
      <c r="T155" s="171">
        <f>S$155*Exogenous!AE$27/Exogenous!AD$27</f>
        <v>1.4404656046402391</v>
      </c>
    </row>
    <row r="156" spans="1:20">
      <c r="A156" s="1" t="s">
        <v>418</v>
      </c>
      <c r="B156" s="4" t="str">
        <f>$B$39</f>
        <v>From Fiscal Forecasts</v>
      </c>
      <c r="D156" s="14">
        <f>'Fiscal Forecasts'!D$224</f>
        <v>1.014</v>
      </c>
      <c r="E156" s="175">
        <f>'Fiscal Forecasts'!E$224</f>
        <v>0.95299999999999996</v>
      </c>
      <c r="F156" s="15">
        <f>'Fiscal Forecasts'!F$224</f>
        <v>0.84099999999999997</v>
      </c>
      <c r="G156" s="15">
        <f>'Fiscal Forecasts'!G$224</f>
        <v>0.93200000000000005</v>
      </c>
      <c r="H156" s="15">
        <f>'Fiscal Forecasts'!H$224</f>
        <v>1.0249999999999999</v>
      </c>
      <c r="I156" s="15">
        <f>'Fiscal Forecasts'!I$224</f>
        <v>1.1319999999999999</v>
      </c>
      <c r="J156" s="176">
        <f>'Fiscal Forecasts'!J$224</f>
        <v>1.25</v>
      </c>
      <c r="K156" s="6">
        <f t="shared" ref="K156:T156" ca="1" si="123">J$156*K$396/J$396</f>
        <v>1.2634274142918172</v>
      </c>
      <c r="L156" s="6">
        <f t="shared" ca="1" si="123"/>
        <v>1.3173614182895415</v>
      </c>
      <c r="M156" s="6">
        <f t="shared" ca="1" si="123"/>
        <v>1.3719003137450418</v>
      </c>
      <c r="N156" s="6">
        <f t="shared" ca="1" si="123"/>
        <v>1.4290110068847286</v>
      </c>
      <c r="O156" s="6">
        <f t="shared" ca="1" si="123"/>
        <v>1.4873586486521637</v>
      </c>
      <c r="P156" s="6">
        <f t="shared" ca="1" si="123"/>
        <v>1.5469364562834809</v>
      </c>
      <c r="Q156" s="6">
        <f t="shared" ca="1" si="123"/>
        <v>1.6077400456798216</v>
      </c>
      <c r="R156" s="104">
        <f t="shared" ca="1" si="123"/>
        <v>1.6696056447197576</v>
      </c>
      <c r="S156" s="104">
        <f t="shared" ca="1" si="123"/>
        <v>1.7324838971000485</v>
      </c>
      <c r="T156" s="171">
        <f t="shared" ca="1" si="123"/>
        <v>1.7972263769827437</v>
      </c>
    </row>
    <row r="157" spans="1:20">
      <c r="A157" s="1" t="s">
        <v>419</v>
      </c>
      <c r="B157" s="4" t="str">
        <f>$B$39</f>
        <v>From Fiscal Forecasts</v>
      </c>
      <c r="D157" s="14">
        <f>'Fiscal Forecasts'!D$225</f>
        <v>-0.44400000000000001</v>
      </c>
      <c r="E157" s="175">
        <f>'Fiscal Forecasts'!E$225</f>
        <v>-0.45</v>
      </c>
      <c r="F157" s="15">
        <f>'Fiscal Forecasts'!F$225</f>
        <v>-0.32800000000000001</v>
      </c>
      <c r="G157" s="15">
        <f>'Fiscal Forecasts'!G$225</f>
        <v>-0.30499999999999999</v>
      </c>
      <c r="H157" s="15">
        <f>'Fiscal Forecasts'!H$225</f>
        <v>-0.30499999999999999</v>
      </c>
      <c r="I157" s="15">
        <f>'Fiscal Forecasts'!I$225</f>
        <v>-0.30499999999999999</v>
      </c>
      <c r="J157" s="176">
        <f>'Fiscal Forecasts'!J$225</f>
        <v>-0.311</v>
      </c>
      <c r="K157" s="6">
        <f ca="1">IF(K$6=OFFSET(Assumptions!$B$8,0,$C$1),AVERAGE(H$157/SUM(H$155:H$156),I$157/SUM(I$155:I$156),J$157/SUM(J$155:J$156)),J$157/SUM(J$155:J$156))*SUM(K$155:K$156)</f>
        <v>-0.33983801177764533</v>
      </c>
      <c r="L157" s="6">
        <f ca="1">IF(L$6=OFFSET(Assumptions!$B$8,0,$C$1),AVERAGE(I$157/SUM(I$155:I$156),J$157/SUM(J$155:J$156),K$157/SUM(K$155:K$156)),K$157/SUM(K$155:K$156))*SUM(L$155:L$156)</f>
        <v>-0.35877547328555476</v>
      </c>
      <c r="M157" s="6">
        <f ca="1">IF(M$6=OFFSET(Assumptions!$B$8,0,$C$1),AVERAGE(J$157/SUM(J$155:J$156),K$157/SUM(K$155:K$156),L$157/SUM(L$155:L$156)),L$157/SUM(L$155:L$156))*SUM(M$155:M$156)</f>
        <v>-0.3785544631440706</v>
      </c>
      <c r="N157" s="6">
        <f ca="1">IF(N$6=OFFSET(Assumptions!$B$8,0,$C$1),AVERAGE(K$157/SUM(K$155:K$156),L$157/SUM(L$155:L$156),M$157/SUM(M$155:M$156)),M$157/SUM(M$155:M$156))*SUM(N$155:N$156)</f>
        <v>-0.3990460858398574</v>
      </c>
      <c r="O157" s="6">
        <f ca="1">IF(O$6=OFFSET(Assumptions!$B$8,0,$C$1),AVERAGE(L$157/SUM(L$155:L$156),M$157/SUM(M$155:M$156),N$157/SUM(N$155:N$156)),N$157/SUM(N$155:N$156))*SUM(O$155:O$156)</f>
        <v>-0.41971681946830275</v>
      </c>
      <c r="P157" s="6">
        <f ca="1">IF(P$6=OFFSET(Assumptions!$B$8,0,$C$1),AVERAGE(M$157/SUM(M$155:M$156),N$157/SUM(N$155:N$156),O$157/SUM(O$155:O$156)),O$157/SUM(O$155:O$156))*SUM(P$155:P$156)</f>
        <v>-0.43933888853239422</v>
      </c>
      <c r="Q157" s="6">
        <f ca="1">IF(Q$6=OFFSET(Assumptions!$B$8,0,$C$1),AVERAGE(N$157/SUM(N$155:N$156),O$157/SUM(O$155:O$156),P$157/SUM(P$155:P$156)),P$157/SUM(P$155:P$156))*SUM(Q$155:Q$156)</f>
        <v>-0.45903631437991477</v>
      </c>
      <c r="R157" s="104">
        <f ca="1">IF(R$6=OFFSET(Assumptions!$B$8,0,$C$1),AVERAGE(O$157/SUM(O$155:O$156),P$157/SUM(P$155:P$156),Q$157/SUM(Q$155:Q$156)),Q$157/SUM(Q$155:Q$156))*SUM(R$155:R$156)</f>
        <v>-0.48157736436272341</v>
      </c>
      <c r="S157" s="104">
        <f ca="1">IF(S$6=OFFSET(Assumptions!$B$8,0,$C$1),AVERAGE(P$157/SUM(P$155:P$156),Q$157/SUM(Q$155:Q$156),R$157/SUM(R$155:R$156)),R$157/SUM(R$155:R$156))*SUM(S$155:S$156)</f>
        <v>-0.50582505848096815</v>
      </c>
      <c r="T157" s="171">
        <f ca="1">IF(T$6=OFFSET(Assumptions!$B$8,0,$C$1),AVERAGE(Q$157/SUM(Q$155:Q$156),R$157/SUM(R$155:R$156),S$157/SUM(S$155:S$156)),S$157/SUM(S$155:S$156))*SUM(T$155:T$156)</f>
        <v>-0.52873874713919311</v>
      </c>
    </row>
    <row r="158" spans="1:20" ht="15">
      <c r="A158" s="2" t="s">
        <v>978</v>
      </c>
      <c r="D158" s="34">
        <f t="shared" ref="D158:T158" ca="1" si="124">SUM(D$154:D$157)</f>
        <v>2.6459999999999999</v>
      </c>
      <c r="E158" s="138">
        <f t="shared" ca="1" si="124"/>
        <v>2.2999999999999998</v>
      </c>
      <c r="F158" s="33">
        <f t="shared" ca="1" si="124"/>
        <v>2.0150000000000001</v>
      </c>
      <c r="G158" s="33">
        <f t="shared" ca="1" si="124"/>
        <v>2.02</v>
      </c>
      <c r="H158" s="33">
        <f t="shared" ca="1" si="124"/>
        <v>2.2159999999999997</v>
      </c>
      <c r="I158" s="33">
        <f t="shared" ca="1" si="124"/>
        <v>2.427</v>
      </c>
      <c r="J158" s="137">
        <f t="shared" ca="1" si="124"/>
        <v>2.617</v>
      </c>
      <c r="K158" s="37">
        <f t="shared" ca="1" si="124"/>
        <v>2.504956353278597</v>
      </c>
      <c r="L158" s="37">
        <f t="shared" ca="1" si="124"/>
        <v>2.678042986108339</v>
      </c>
      <c r="M158" s="37">
        <f t="shared" ca="1" si="124"/>
        <v>2.8563673446398865</v>
      </c>
      <c r="N158" s="37">
        <f t="shared" ca="1" si="124"/>
        <v>3.0390819650807757</v>
      </c>
      <c r="O158" s="37">
        <f t="shared" ca="1" si="124"/>
        <v>3.2222952932723659</v>
      </c>
      <c r="P158" s="37">
        <f t="shared" ca="1" si="124"/>
        <v>3.4003519021867397</v>
      </c>
      <c r="Q158" s="37">
        <f t="shared" ca="1" si="124"/>
        <v>3.5805226324814687</v>
      </c>
      <c r="R158" s="37">
        <f t="shared" ca="1" si="124"/>
        <v>3.7767101341395191</v>
      </c>
      <c r="S158" s="37">
        <f t="shared" ca="1" si="124"/>
        <v>3.9839844984577644</v>
      </c>
      <c r="T158" s="140">
        <f t="shared" ca="1" si="124"/>
        <v>4.1858561674401171</v>
      </c>
    </row>
    <row r="159" spans="1:20" ht="15">
      <c r="A159" s="2"/>
      <c r="D159" s="47"/>
      <c r="E159" s="145"/>
      <c r="F159" s="47"/>
      <c r="G159" s="47"/>
      <c r="H159" s="48"/>
      <c r="I159" s="48"/>
      <c r="J159" s="146"/>
      <c r="K159" s="48"/>
      <c r="L159" s="48"/>
      <c r="M159" s="48"/>
      <c r="N159" s="48"/>
      <c r="O159" s="48"/>
      <c r="P159" s="48"/>
      <c r="Q159" s="48"/>
      <c r="R159" s="48"/>
      <c r="S159" s="48"/>
      <c r="T159" s="146"/>
    </row>
    <row r="160" spans="1:20" ht="15">
      <c r="A160" s="18" t="s">
        <v>974</v>
      </c>
      <c r="D160" s="47"/>
      <c r="E160" s="145"/>
      <c r="F160" s="47"/>
      <c r="G160" s="47"/>
      <c r="H160" s="48"/>
      <c r="I160" s="48"/>
      <c r="J160" s="146"/>
      <c r="K160" s="48"/>
      <c r="L160" s="48"/>
      <c r="M160" s="48"/>
      <c r="N160" s="48"/>
      <c r="O160" s="48"/>
      <c r="P160" s="48"/>
      <c r="Q160" s="48"/>
      <c r="R160" s="48"/>
      <c r="S160" s="48"/>
      <c r="T160" s="146"/>
    </row>
    <row r="161" spans="1:20">
      <c r="A161" s="1" t="s">
        <v>979</v>
      </c>
      <c r="D161" s="14">
        <f ca="1">OFFSET(Assumptions!$B$81,0,$C$1)*D$375</f>
        <v>0.58919999999999995</v>
      </c>
      <c r="E161" s="175">
        <f ca="1">OFFSET(Assumptions!$B$81,0,$C$1)*E$375</f>
        <v>0.48180000000000001</v>
      </c>
      <c r="F161" s="15">
        <f ca="1">OFFSET(Assumptions!$B$81,0,$C$1)*F$375</f>
        <v>0.41399999999999998</v>
      </c>
      <c r="G161" s="15">
        <f ca="1">OFFSET(Assumptions!$B$81,0,$C$1)*G$375</f>
        <v>0.51839999999999997</v>
      </c>
      <c r="H161" s="15">
        <f ca="1">OFFSET(Assumptions!$B$81,0,$C$1)*H$375</f>
        <v>0.58019999999999994</v>
      </c>
      <c r="I161" s="15">
        <f ca="1">OFFSET(Assumptions!$B$81,0,$C$1)*I$375</f>
        <v>0.63179999999999992</v>
      </c>
      <c r="J161" s="176">
        <f ca="1">OFFSET(Assumptions!$B$81,0,$C$1)*J$375</f>
        <v>0.69119999999999993</v>
      </c>
      <c r="K161" s="6">
        <f ca="1">OFFSET(Assumptions!$B$81,0,$C$1)*K$375</f>
        <v>0.74829603053905835</v>
      </c>
      <c r="L161" s="6">
        <f ca="1">OFFSET(Assumptions!$B$81,0,$C$1)*L$375</f>
        <v>0.80809005239608367</v>
      </c>
      <c r="M161" s="6">
        <f ca="1">OFFSET(Assumptions!$B$81,0,$C$1)*M$375</f>
        <v>0.86886621238280781</v>
      </c>
      <c r="N161" s="6">
        <f ca="1">OFFSET(Assumptions!$B$81,0,$C$1)*N$375</f>
        <v>0.9307800735815881</v>
      </c>
      <c r="O161" s="6">
        <f ca="1">OFFSET(Assumptions!$B$81,0,$C$1)*O$375</f>
        <v>0.99422454864000454</v>
      </c>
      <c r="P161" s="6">
        <f ca="1">OFFSET(Assumptions!$B$81,0,$C$1)*P$375</f>
        <v>1.059523290872304</v>
      </c>
      <c r="Q161" s="6">
        <f ca="1">OFFSET(Assumptions!$B$81,0,$C$1)*Q$375</f>
        <v>1.1268434130483618</v>
      </c>
      <c r="R161" s="104">
        <f ca="1">OFFSET(Assumptions!$B$81,0,$C$1)*R$375</f>
        <v>1.1961058257927346</v>
      </c>
      <c r="S161" s="104">
        <f ca="1">OFFSET(Assumptions!$B$81,0,$C$1)*S$375</f>
        <v>1.2670998566001375</v>
      </c>
      <c r="T161" s="171">
        <f ca="1">OFFSET(Assumptions!$B$81,0,$C$1)*T$375</f>
        <v>1.3398230441980707</v>
      </c>
    </row>
    <row r="162" spans="1:20">
      <c r="A162" s="1" t="s">
        <v>980</v>
      </c>
      <c r="B162" s="4" t="str">
        <f>$B$39</f>
        <v>From Fiscal Forecasts</v>
      </c>
      <c r="D162" s="14">
        <f ca="1">'Fiscal Forecasts'!D$228-OFFSET(Assumptions!$B$81,0,$C$1)*'Fiscal Forecasts'!D$344</f>
        <v>0.87380000000000013</v>
      </c>
      <c r="E162" s="175">
        <f ca="1">'Fiscal Forecasts'!E$228-OFFSET(Assumptions!$B$81,0,$C$1)*'Fiscal Forecasts'!E$344</f>
        <v>0.85420000000000007</v>
      </c>
      <c r="F162" s="15">
        <f ca="1">'Fiscal Forecasts'!F$228-OFFSET(Assumptions!$B$81,0,$C$1)*'Fiscal Forecasts'!F$344</f>
        <v>0.65600000000000014</v>
      </c>
      <c r="G162" s="15">
        <f ca="1">'Fiscal Forecasts'!G$228-OFFSET(Assumptions!$B$81,0,$C$1)*'Fiscal Forecasts'!G$344</f>
        <v>0.72760000000000002</v>
      </c>
      <c r="H162" s="15">
        <f ca="1">'Fiscal Forecasts'!H$228-OFFSET(Assumptions!$B$81,0,$C$1)*'Fiscal Forecasts'!H$344</f>
        <v>0.71879999999999999</v>
      </c>
      <c r="I162" s="15">
        <f ca="1">'Fiscal Forecasts'!I$228-OFFSET(Assumptions!$B$81,0,$C$1)*'Fiscal Forecasts'!I$344</f>
        <v>0.75619999999999998</v>
      </c>
      <c r="J162" s="176">
        <f ca="1">'Fiscal Forecasts'!J$228-OFFSET(Assumptions!$B$81,0,$C$1)*'Fiscal Forecasts'!J$344</f>
        <v>0.78480000000000005</v>
      </c>
      <c r="K162" s="6">
        <f t="shared" ref="K162:T162" ca="1" si="125">AVERAGE(SUM(J$345,J$358,J$367,J$394),SUM(K$345,K$358,K$367,K$394))*K$234-K$153</f>
        <v>0.33573386720264964</v>
      </c>
      <c r="L162" s="6">
        <f t="shared" ca="1" si="125"/>
        <v>0.41057209870595424</v>
      </c>
      <c r="M162" s="6">
        <f t="shared" ca="1" si="125"/>
        <v>0.49064020758482324</v>
      </c>
      <c r="N162" s="6">
        <f t="shared" ca="1" si="125"/>
        <v>0.57588984758847683</v>
      </c>
      <c r="O162" s="6">
        <f t="shared" ca="1" si="125"/>
        <v>0.66595747419776341</v>
      </c>
      <c r="P162" s="6">
        <f t="shared" ca="1" si="125"/>
        <v>0.75993481594497836</v>
      </c>
      <c r="Q162" s="6">
        <f t="shared" ca="1" si="125"/>
        <v>0.85856206205173358</v>
      </c>
      <c r="R162" s="104">
        <f t="shared" ca="1" si="125"/>
        <v>0.96308779076523598</v>
      </c>
      <c r="S162" s="104">
        <f t="shared" ca="1" si="125"/>
        <v>1.073593727199589</v>
      </c>
      <c r="T162" s="171">
        <f t="shared" ca="1" si="125"/>
        <v>1.1904855427730958</v>
      </c>
    </row>
    <row r="163" spans="1:20" ht="15">
      <c r="A163" s="2" t="s">
        <v>981</v>
      </c>
      <c r="D163" s="34">
        <f t="shared" ref="D163:J163" ca="1" si="126">SUM(D$161:D$162)</f>
        <v>1.4630000000000001</v>
      </c>
      <c r="E163" s="138">
        <f t="shared" ca="1" si="126"/>
        <v>1.3360000000000001</v>
      </c>
      <c r="F163" s="33">
        <f t="shared" ca="1" si="126"/>
        <v>1.07</v>
      </c>
      <c r="G163" s="33">
        <f t="shared" ca="1" si="126"/>
        <v>1.246</v>
      </c>
      <c r="H163" s="33">
        <f t="shared" ca="1" si="126"/>
        <v>1.2989999999999999</v>
      </c>
      <c r="I163" s="33">
        <f t="shared" ca="1" si="126"/>
        <v>1.3879999999999999</v>
      </c>
      <c r="J163" s="137">
        <f t="shared" ca="1" si="126"/>
        <v>1.476</v>
      </c>
      <c r="K163" s="37">
        <f t="shared" ref="K163:T163" ca="1" si="127">SUM(K$161:K$162)</f>
        <v>1.084029897741708</v>
      </c>
      <c r="L163" s="37">
        <f t="shared" ca="1" si="127"/>
        <v>1.2186621511020379</v>
      </c>
      <c r="M163" s="37">
        <f t="shared" ca="1" si="127"/>
        <v>1.359506419967631</v>
      </c>
      <c r="N163" s="37">
        <f t="shared" ca="1" si="127"/>
        <v>1.5066699211700649</v>
      </c>
      <c r="O163" s="37">
        <f t="shared" ca="1" si="127"/>
        <v>1.6601820228377679</v>
      </c>
      <c r="P163" s="37">
        <f t="shared" ca="1" si="127"/>
        <v>1.8194581068172824</v>
      </c>
      <c r="Q163" s="37">
        <f t="shared" ca="1" si="127"/>
        <v>1.9854054751000954</v>
      </c>
      <c r="R163" s="37">
        <f t="shared" ca="1" si="127"/>
        <v>2.1591936165579706</v>
      </c>
      <c r="S163" s="37">
        <f t="shared" ca="1" si="127"/>
        <v>2.3406935837997267</v>
      </c>
      <c r="T163" s="140">
        <f t="shared" ca="1" si="127"/>
        <v>2.5303085869711666</v>
      </c>
    </row>
    <row r="164" spans="1:20">
      <c r="A164" s="1" t="s">
        <v>256</v>
      </c>
      <c r="B164" s="4" t="str">
        <f>$B$39</f>
        <v>From Fiscal Forecasts</v>
      </c>
      <c r="D164" s="14">
        <f>'Fiscal Forecasts'!D$229</f>
        <v>0.42399999999999999</v>
      </c>
      <c r="E164" s="175">
        <f>'Fiscal Forecasts'!E$229</f>
        <v>0.39500000000000002</v>
      </c>
      <c r="F164" s="15">
        <f>'Fiscal Forecasts'!F$229</f>
        <v>0.43</v>
      </c>
      <c r="G164" s="15">
        <f>'Fiscal Forecasts'!G$229</f>
        <v>0.439</v>
      </c>
      <c r="H164" s="15">
        <f>'Fiscal Forecasts'!H$229</f>
        <v>0.44</v>
      </c>
      <c r="I164" s="15">
        <f>'Fiscal Forecasts'!I$229</f>
        <v>0.44500000000000001</v>
      </c>
      <c r="J164" s="176">
        <f>'Fiscal Forecasts'!J$229</f>
        <v>0.45700000000000002</v>
      </c>
      <c r="K164" s="6">
        <f>J$164*Exogenous!V$27/Exogenous!U$27</f>
        <v>0.49031248775051595</v>
      </c>
      <c r="L164" s="6">
        <f>K$164*Exogenous!W$27/Exogenous!V$27</f>
        <v>0.52751307840396011</v>
      </c>
      <c r="M164" s="6">
        <f>L$164*Exogenous!X$27/Exogenous!W$27</f>
        <v>0.5674413618108779</v>
      </c>
      <c r="N164" s="6">
        <f>M$164*Exogenous!Y$27/Exogenous!X$27</f>
        <v>0.60844434845101514</v>
      </c>
      <c r="O164" s="6">
        <f>N$164*Exogenous!Z$27/Exogenous!Y$27</f>
        <v>0.64936326610739059</v>
      </c>
      <c r="P164" s="6">
        <f>O$164*Exogenous!AA$27/Exogenous!Z$27</f>
        <v>0.68569324134583087</v>
      </c>
      <c r="Q164" s="6">
        <f>P$164*Exogenous!AB$27/Exogenous!AA$27</f>
        <v>0.72156481309948195</v>
      </c>
      <c r="R164" s="104">
        <f>Q$164*Exogenous!AC$27/Exogenous!AB$27</f>
        <v>0.76724251875304095</v>
      </c>
      <c r="S164" s="104">
        <f>R$164*Exogenous!AD$27/Exogenous!AC$27</f>
        <v>0.81858045953741454</v>
      </c>
      <c r="T164" s="171">
        <f>S$164*Exogenous!AE$27/Exogenous!AD$27</f>
        <v>0.8639012878222958</v>
      </c>
    </row>
    <row r="165" spans="1:20">
      <c r="A165" s="1" t="s">
        <v>982</v>
      </c>
      <c r="B165" s="4" t="str">
        <f>$B$39</f>
        <v>From Fiscal Forecasts</v>
      </c>
      <c r="D165" s="14">
        <f>'Fiscal Forecasts'!D$230</f>
        <v>-0.81699999999999995</v>
      </c>
      <c r="E165" s="175">
        <f>'Fiscal Forecasts'!E$230</f>
        <v>-0.82499999999999996</v>
      </c>
      <c r="F165" s="15">
        <f>'Fiscal Forecasts'!F$230</f>
        <v>-0.622</v>
      </c>
      <c r="G165" s="15">
        <f>'Fiscal Forecasts'!G$230</f>
        <v>-0.58399999999999996</v>
      </c>
      <c r="H165" s="15">
        <f>'Fiscal Forecasts'!H$230</f>
        <v>-0.56899999999999995</v>
      </c>
      <c r="I165" s="15">
        <f>'Fiscal Forecasts'!I$230</f>
        <v>-0.58699999999999997</v>
      </c>
      <c r="J165" s="176">
        <f>'Fiscal Forecasts'!J$230</f>
        <v>-0.59499999999999997</v>
      </c>
      <c r="K165" s="6">
        <f ca="1">IF(K$6=OFFSET(Assumptions!$B$8,0,$C$1),AVERAGE(H$165/H$164,I$165/I$164,J$165/J$164),J$165/J$164)*K$164</f>
        <v>-0.63973559547613312</v>
      </c>
      <c r="L165" s="6">
        <f ca="1">IF(L$6=OFFSET(Assumptions!$B$8,0,$C$1),AVERAGE(I$165/I$164,J$165/J$164,K$165/K$164),K$165/K$164)*L$164</f>
        <v>-0.6882730947409984</v>
      </c>
      <c r="M165" s="6">
        <f ca="1">IF(M$6=OFFSET(Assumptions!$B$8,0,$C$1),AVERAGE(J$165/J$164,K$165/K$164,L$165/L$164),L$165/L$164)*M$164</f>
        <v>-0.74036955322373976</v>
      </c>
      <c r="N165" s="6">
        <f ca="1">IF(N$6=OFFSET(Assumptions!$B$8,0,$C$1),AVERAGE(K$165/K$164,L$165/L$164,M$165/M$164),M$165/M$164)*N$164</f>
        <v>-0.79386823157654396</v>
      </c>
      <c r="O165" s="6">
        <f ca="1">IF(O$6=OFFSET(Assumptions!$B$8,0,$C$1),AVERAGE(L$165/L$164,M$165/M$164,N$165/N$164),N$165/N$164)*O$164</f>
        <v>-0.84725722085813027</v>
      </c>
      <c r="P165" s="6">
        <f ca="1">IF(P$6=OFFSET(Assumptions!$B$8,0,$C$1),AVERAGE(M$165/M$164,N$165/N$164,O$165/O$164),O$165/O$164)*P$164</f>
        <v>-0.89465878399070686</v>
      </c>
      <c r="Q165" s="6">
        <f ca="1">IF(Q$6=OFFSET(Assumptions!$B$8,0,$C$1),AVERAGE(N$165/N$164,O$165/O$164,P$165/P$164),P$165/P$164)*Q$164</f>
        <v>-0.94146224482396124</v>
      </c>
      <c r="R165" s="104">
        <f ca="1">IF(R$6=OFFSET(Assumptions!$B$8,0,$C$1),AVERAGE(O$165/O$164,P$165/P$164,Q$165/Q$164),Q$165/Q$164)*R$164</f>
        <v>-1.0010602664047044</v>
      </c>
      <c r="S165" s="104">
        <f ca="1">IF(S$6=OFFSET(Assumptions!$B$8,0,$C$1),AVERAGE(P$165/P$164,Q$165/Q$164,R$165/R$164),R$165/R$164)*S$164</f>
        <v>-1.0680434841254836</v>
      </c>
      <c r="T165" s="171">
        <f ca="1">IF(T$6=OFFSET(Assumptions!$B$8,0,$C$1),AVERAGE(Q$165/Q$164,R$165/R$164,S$165/S$164),S$165/S$164)*T$164</f>
        <v>-1.1271758696849814</v>
      </c>
    </row>
    <row r="166" spans="1:20" ht="15">
      <c r="A166" s="2" t="s">
        <v>983</v>
      </c>
      <c r="D166" s="34">
        <f t="shared" ref="D166:J166" ca="1" si="128">SUM(D$163:D$165)</f>
        <v>1.07</v>
      </c>
      <c r="E166" s="138">
        <f t="shared" ca="1" si="128"/>
        <v>0.90600000000000014</v>
      </c>
      <c r="F166" s="33">
        <f t="shared" ca="1" si="128"/>
        <v>0.878</v>
      </c>
      <c r="G166" s="33">
        <f t="shared" ca="1" si="128"/>
        <v>1.101</v>
      </c>
      <c r="H166" s="33">
        <f t="shared" ca="1" si="128"/>
        <v>1.17</v>
      </c>
      <c r="I166" s="33">
        <f t="shared" ca="1" si="128"/>
        <v>1.246</v>
      </c>
      <c r="J166" s="137">
        <f t="shared" ca="1" si="128"/>
        <v>1.3380000000000001</v>
      </c>
      <c r="K166" s="37">
        <f t="shared" ref="K166:T166" ca="1" si="129">SUM(K$163:K$165)</f>
        <v>0.93460679001609093</v>
      </c>
      <c r="L166" s="37">
        <f t="shared" ca="1" si="129"/>
        <v>1.0579021347649995</v>
      </c>
      <c r="M166" s="37">
        <f t="shared" ca="1" si="129"/>
        <v>1.186578228554769</v>
      </c>
      <c r="N166" s="37">
        <f t="shared" ca="1" si="129"/>
        <v>1.3212460380445363</v>
      </c>
      <c r="O166" s="37">
        <f t="shared" ca="1" si="129"/>
        <v>1.462288068087028</v>
      </c>
      <c r="P166" s="37">
        <f t="shared" ca="1" si="129"/>
        <v>1.6104925641724064</v>
      </c>
      <c r="Q166" s="37">
        <f t="shared" ca="1" si="129"/>
        <v>1.7655080433756161</v>
      </c>
      <c r="R166" s="37">
        <f t="shared" ca="1" si="129"/>
        <v>1.9253758689063072</v>
      </c>
      <c r="S166" s="37">
        <f t="shared" ca="1" si="129"/>
        <v>2.0912305592116578</v>
      </c>
      <c r="T166" s="140">
        <f t="shared" ca="1" si="129"/>
        <v>2.2670340051084814</v>
      </c>
    </row>
    <row r="167" spans="1:20" ht="15">
      <c r="A167" s="2"/>
      <c r="D167" s="46"/>
      <c r="E167" s="46"/>
      <c r="F167" s="47"/>
      <c r="G167" s="47"/>
      <c r="H167" s="48"/>
      <c r="I167" s="48"/>
      <c r="J167" s="146"/>
      <c r="K167" s="48"/>
      <c r="L167" s="48"/>
      <c r="M167" s="48"/>
      <c r="N167" s="48"/>
      <c r="O167" s="48"/>
      <c r="P167" s="48"/>
      <c r="Q167" s="48"/>
      <c r="R167" s="48"/>
      <c r="S167" s="48"/>
      <c r="T167" s="146"/>
    </row>
    <row r="168" spans="1:20">
      <c r="A168" s="18" t="s">
        <v>131</v>
      </c>
      <c r="E168" s="167"/>
      <c r="F168" s="25"/>
      <c r="G168" s="25"/>
      <c r="J168" s="167"/>
    </row>
    <row r="169" spans="1:20">
      <c r="A169" s="1" t="s">
        <v>984</v>
      </c>
      <c r="D169" s="14">
        <f t="shared" ref="D169:T169" ca="1" si="130">D$375-SUM(D$152,D$161)</f>
        <v>4.9100000000000144E-2</v>
      </c>
      <c r="E169" s="175">
        <f t="shared" ca="1" si="130"/>
        <v>4.0150000000000019E-2</v>
      </c>
      <c r="F169" s="15">
        <f t="shared" ca="1" si="130"/>
        <v>3.4499999999999975E-2</v>
      </c>
      <c r="G169" s="15">
        <f t="shared" ca="1" si="130"/>
        <v>4.3200000000000016E-2</v>
      </c>
      <c r="H169" s="15">
        <f t="shared" ca="1" si="130"/>
        <v>4.8350000000000004E-2</v>
      </c>
      <c r="I169" s="15">
        <f t="shared" ca="1" si="130"/>
        <v>5.2650000000000086E-2</v>
      </c>
      <c r="J169" s="176">
        <f t="shared" ca="1" si="130"/>
        <v>5.7600000000000096E-2</v>
      </c>
      <c r="K169" s="6">
        <f t="shared" ca="1" si="130"/>
        <v>6.235800254492152E-2</v>
      </c>
      <c r="L169" s="6">
        <f t="shared" ca="1" si="130"/>
        <v>6.7340837699673584E-2</v>
      </c>
      <c r="M169" s="6">
        <f t="shared" ca="1" si="130"/>
        <v>7.2405517698567401E-2</v>
      </c>
      <c r="N169" s="6">
        <f t="shared" ca="1" si="130"/>
        <v>7.7565006131799175E-2</v>
      </c>
      <c r="O169" s="6">
        <f t="shared" ca="1" si="130"/>
        <v>8.2852045720000378E-2</v>
      </c>
      <c r="P169" s="6">
        <f t="shared" ca="1" si="130"/>
        <v>8.8293607572692112E-2</v>
      </c>
      <c r="Q169" s="6">
        <f t="shared" ca="1" si="130"/>
        <v>9.390361775403E-2</v>
      </c>
      <c r="R169" s="104">
        <f t="shared" ca="1" si="130"/>
        <v>9.9675485482727977E-2</v>
      </c>
      <c r="S169" s="104">
        <f t="shared" ca="1" si="130"/>
        <v>0.1055916547166782</v>
      </c>
      <c r="T169" s="171">
        <f t="shared" ca="1" si="130"/>
        <v>0.11165192034983962</v>
      </c>
    </row>
    <row r="170" spans="1:20">
      <c r="A170" s="1" t="s">
        <v>985</v>
      </c>
      <c r="B170" s="4" t="str">
        <f>$B$39</f>
        <v>From Fiscal Forecasts</v>
      </c>
      <c r="D170" s="14">
        <f ca="1">'Fiscal Forecasts'!D$158-SUM(D$162,(1-OFFSET(Assumptions!$B$80,0,$C$1))*'Fiscal Forecasts'!D$344)</f>
        <v>0.8738999999999999</v>
      </c>
      <c r="E170" s="175">
        <f ca="1">'Fiscal Forecasts'!E$158-SUM(E$162,(1-OFFSET(Assumptions!$B$80,0,$C$1))*'Fiscal Forecasts'!E$344)</f>
        <v>0.92185000000000006</v>
      </c>
      <c r="F170" s="15">
        <f ca="1">'Fiscal Forecasts'!F$158-SUM(F$162,(1-OFFSET(Assumptions!$B$80,0,$C$1))*'Fiscal Forecasts'!F$344)</f>
        <v>0.82650000000000001</v>
      </c>
      <c r="G170" s="15">
        <f ca="1">'Fiscal Forecasts'!G$158-SUM(G$162,(1-OFFSET(Assumptions!$B$80,0,$C$1))*'Fiscal Forecasts'!G$344)</f>
        <v>0.69579999999999997</v>
      </c>
      <c r="H170" s="15">
        <f ca="1">'Fiscal Forecasts'!H$158-SUM(H$162,(1-OFFSET(Assumptions!$B$80,0,$C$1))*'Fiscal Forecasts'!H$344)</f>
        <v>0.74765000000000015</v>
      </c>
      <c r="I170" s="15">
        <f ca="1">'Fiscal Forecasts'!I$158-SUM(I$162,(1-OFFSET(Assumptions!$B$80,0,$C$1))*'Fiscal Forecasts'!I$344)</f>
        <v>0.75734999999999997</v>
      </c>
      <c r="J170" s="176">
        <f ca="1">'Fiscal Forecasts'!J$158-SUM(J$162,(1-OFFSET(Assumptions!$B$80,0,$C$1))*'Fiscal Forecasts'!J$344)</f>
        <v>0.76740000000000008</v>
      </c>
      <c r="K170" s="6">
        <f ca="1">IF(K$6=OFFSET(Assumptions!$B$8,0,$C$1),AVERAGE(H$170/H$13,I$170/I$13,J$170/J$13),J$170/J$13)*K$13</f>
        <v>0.83562719030785881</v>
      </c>
      <c r="L170" s="6">
        <f ca="1">IF(L$6=OFFSET(Assumptions!$B$8,0,$C$1),AVERAGE(I$170/I$13,J$170/J$13,K$170/K$13),K$170/K$13)*L$13</f>
        <v>0.87129898253973259</v>
      </c>
      <c r="M170" s="6">
        <f ca="1">IF(M$6=OFFSET(Assumptions!$B$8,0,$C$1),AVERAGE(J$170/J$13,K$170/K$13,L$170/L$13),L$170/L$13)*M$13</f>
        <v>0.90737084820960923</v>
      </c>
      <c r="N170" s="6">
        <f ca="1">IF(N$6=OFFSET(Assumptions!$B$8,0,$C$1),AVERAGE(K$170/K$13,L$170/L$13,M$170/M$13),M$170/M$13)*N$13</f>
        <v>0.94514369333312642</v>
      </c>
      <c r="O170" s="6">
        <f ca="1">IF(O$6=OFFSET(Assumptions!$B$8,0,$C$1),AVERAGE(L$170/L$13,M$170/M$13,N$170/N$13),N$170/N$13)*O$13</f>
        <v>0.98373465265510762</v>
      </c>
      <c r="P170" s="6">
        <f ca="1">IF(P$6=OFFSET(Assumptions!$B$8,0,$C$1),AVERAGE(M$170/M$13,N$170/N$13,O$170/O$13),O$170/O$13)*P$13</f>
        <v>1.0231392400754029</v>
      </c>
      <c r="Q170" s="6">
        <f ca="1">IF(Q$6=OFFSET(Assumptions!$B$8,0,$C$1),AVERAGE(N$170/N$13,O$170/O$13,P$170/P$13),P$170/P$13)*Q$13</f>
        <v>1.063354555963872</v>
      </c>
      <c r="R170" s="104">
        <f ca="1">IF(R$6=OFFSET(Assumptions!$B$8,0,$C$1),AVERAGE(O$170/O$13,P$170/P$13,Q$170/Q$13),Q$170/Q$13)*R$13</f>
        <v>1.1042722819192101</v>
      </c>
      <c r="S170" s="104">
        <f ca="1">IF(S$6=OFFSET(Assumptions!$B$8,0,$C$1),AVERAGE(P$170/P$13,Q$170/Q$13,R$170/R$13),R$170/R$13)*S$13</f>
        <v>1.1458597738270555</v>
      </c>
      <c r="T170" s="171">
        <f ca="1">IF(T$6=OFFSET(Assumptions!$B$8,0,$C$1),AVERAGE(Q$170/Q$13,R$170/R$13,S$170/S$13),S$170/S$13)*T$13</f>
        <v>1.1886802603433024</v>
      </c>
    </row>
    <row r="171" spans="1:20" ht="15">
      <c r="A171" s="2" t="s">
        <v>395</v>
      </c>
      <c r="B171" s="4"/>
      <c r="D171" s="34">
        <f t="shared" ref="D171:J171" ca="1" si="131">SUM(D$169:D$170)</f>
        <v>0.92300000000000004</v>
      </c>
      <c r="E171" s="138">
        <f t="shared" ca="1" si="131"/>
        <v>0.96200000000000008</v>
      </c>
      <c r="F171" s="33">
        <f t="shared" ca="1" si="131"/>
        <v>0.86099999999999999</v>
      </c>
      <c r="G171" s="33">
        <f t="shared" ca="1" si="131"/>
        <v>0.73899999999999999</v>
      </c>
      <c r="H171" s="33">
        <f t="shared" ca="1" si="131"/>
        <v>0.79600000000000015</v>
      </c>
      <c r="I171" s="33">
        <f t="shared" ca="1" si="131"/>
        <v>0.81</v>
      </c>
      <c r="J171" s="137">
        <f t="shared" ca="1" si="131"/>
        <v>0.82500000000000018</v>
      </c>
      <c r="K171" s="37">
        <f t="shared" ref="K171:T171" ca="1" si="132">SUM(K$169:K$170)</f>
        <v>0.89798519285278033</v>
      </c>
      <c r="L171" s="37">
        <f t="shared" ca="1" si="132"/>
        <v>0.93863982023940618</v>
      </c>
      <c r="M171" s="37">
        <f t="shared" ca="1" si="132"/>
        <v>0.97977636590817663</v>
      </c>
      <c r="N171" s="37">
        <f t="shared" ca="1" si="132"/>
        <v>1.0227086994649257</v>
      </c>
      <c r="O171" s="37">
        <f t="shared" ca="1" si="132"/>
        <v>1.066586698375108</v>
      </c>
      <c r="P171" s="37">
        <f t="shared" ca="1" si="132"/>
        <v>1.111432847648095</v>
      </c>
      <c r="Q171" s="37">
        <f t="shared" ca="1" si="132"/>
        <v>1.157258173717902</v>
      </c>
      <c r="R171" s="37">
        <f t="shared" ca="1" si="132"/>
        <v>1.2039477674019381</v>
      </c>
      <c r="S171" s="37">
        <f t="shared" ca="1" si="132"/>
        <v>1.2514514285437337</v>
      </c>
      <c r="T171" s="140">
        <f t="shared" ca="1" si="132"/>
        <v>1.300332180693142</v>
      </c>
    </row>
    <row r="172" spans="1:20" ht="15">
      <c r="A172" s="2" t="s">
        <v>396</v>
      </c>
      <c r="B172" s="4" t="str">
        <f>$B$39</f>
        <v>From Fiscal Forecasts</v>
      </c>
      <c r="D172" s="39">
        <f ca="1">'Fiscal Forecasts'!D$13-SUM(D$166,(1-OFFSET(Assumptions!$B$80,0,$C$1))*('Fiscal Forecasts'!D$344-D$375))</f>
        <v>3.8789999999999996</v>
      </c>
      <c r="E172" s="142">
        <f ca="1">'Fiscal Forecasts'!E$13-SUM(E$166,(1-OFFSET(Assumptions!$B$80,0,$C$1))*('Fiscal Forecasts'!E$344-E$375))</f>
        <v>3.57</v>
      </c>
      <c r="F172" s="38">
        <f ca="1">'Fiscal Forecasts'!F$13-SUM(F$166,(1-OFFSET(Assumptions!$B$80,0,$C$1))*('Fiscal Forecasts'!F$344-F$375))</f>
        <v>3.012</v>
      </c>
      <c r="G172" s="38">
        <f ca="1">'Fiscal Forecasts'!G$13-SUM(G$166,(1-OFFSET(Assumptions!$B$80,0,$C$1))*('Fiscal Forecasts'!G$344-G$375))</f>
        <v>3.5030000000000001</v>
      </c>
      <c r="H172" s="38">
        <f ca="1">'Fiscal Forecasts'!H$13-SUM(H$166,(1-OFFSET(Assumptions!$B$80,0,$C$1))*('Fiscal Forecasts'!H$344-H$375))</f>
        <v>3.4249999999999998</v>
      </c>
      <c r="I172" s="38">
        <f ca="1">'Fiscal Forecasts'!I$13-SUM(I$166,(1-OFFSET(Assumptions!$B$80,0,$C$1))*('Fiscal Forecasts'!I$344-I$375))</f>
        <v>3.6819999999999999</v>
      </c>
      <c r="J172" s="141">
        <f ca="1">'Fiscal Forecasts'!J$13-SUM(J$166,(1-OFFSET(Assumptions!$B$80,0,$C$1))*('Fiscal Forecasts'!J$344-J$375))</f>
        <v>3.5750000000000002</v>
      </c>
      <c r="K172" s="7">
        <f ca="1">SUM(K$171,IF(K$6=OFFSET(Assumptions!$B$8,0,$C$1),AVERAGE((H$172-H$171)/H$13,(I$172-I$171)/I$13,(J$172-J$171)/J$13),(J$172-J$171)/J$13)*K$13)</f>
        <v>3.9310171666530929</v>
      </c>
      <c r="L172" s="7">
        <f ca="1">SUM(L$171,IF(L$6=OFFSET(Assumptions!$B$8,0,$C$1),AVERAGE((I$172-I$171)/I$13,(J$172-J$171)/J$13,(K$172-K$171)/K$13),(K$172-K$171)/K$13)*L$13)</f>
        <v>4.101147818344498</v>
      </c>
      <c r="M172" s="7">
        <f ca="1">SUM(M$171,IF(M$6=OFFSET(Assumptions!$B$8,0,$C$1),AVERAGE((J$172-J$171)/J$13,(K$172-K$171)/K$13,(L$172-L$171)/L$13),(L$172-L$171)/L$13)*M$13)</f>
        <v>4.2732125137914707</v>
      </c>
      <c r="N172" s="7">
        <f ca="1">SUM(N$171,IF(N$6=OFFSET(Assumptions!$B$8,0,$C$1),AVERAGE((K$172-K$171)/K$13,(L$172-L$171)/L$13,(M$172-M$171)/M$13),(M$172-M$171)/M$13)*N$13)</f>
        <v>4.4532469526050225</v>
      </c>
      <c r="O172" s="7">
        <f ca="1">SUM(O$171,IF(O$6=OFFSET(Assumptions!$B$8,0,$C$1),AVERAGE((L$172-L$171)/L$13,(M$172-M$171)/M$13,(N$172-N$171)/N$13),(N$172-N$171)/N$13)*O$13)</f>
        <v>4.6371965227622756</v>
      </c>
      <c r="P172" s="7">
        <f ca="1">SUM(P$171,IF(P$6=OFFSET(Assumptions!$B$8,0,$C$1),AVERAGE((M$172-M$171)/M$13,(N$172-N$171)/N$13,(O$172-O$171)/O$13),(O$172-O$171)/O$13)*P$13)</f>
        <v>4.8250674263113096</v>
      </c>
      <c r="Q172" s="7">
        <f ca="1">SUM(Q$171,IF(Q$6=OFFSET(Assumptions!$B$8,0,$C$1),AVERAGE((N$172-N$171)/N$13,(O$172-O$171)/O$13,(P$172-P$171)/P$13),(P$172-P$171)/P$13)*Q$13)</f>
        <v>5.0168601650514351</v>
      </c>
      <c r="R172" s="7">
        <f ca="1">SUM(R$171,IF(R$6=OFFSET(Assumptions!$B$8,0,$C$1),AVERAGE((O$172-O$171)/O$13,(P$172-P$171)/P$13,(Q$172-Q$171)/Q$13),(Q$172-Q$171)/Q$13)*R$13)</f>
        <v>5.2120666722073956</v>
      </c>
      <c r="S172" s="7">
        <f ca="1">SUM(S$171,IF(S$6=OFFSET(Assumptions!$B$8,0,$C$1),AVERAGE((P$172-P$171)/P$13,(Q$172-Q$171)/Q$13,(R$172-R$171)/R$13),(R$172-R$171)/R$13)*S$13)</f>
        <v>5.4105182610012186</v>
      </c>
      <c r="T172" s="134">
        <f ca="1">SUM(T$171,IF(T$6=OFFSET(Assumptions!$B$8,0,$C$1),AVERAGE((Q$172-Q$171)/Q$13,(R$172-R$171)/R$13,(S$172-S$171)/S$13),(S$172-S$171)/S$13)*T$13)</f>
        <v>5.614822276352025</v>
      </c>
    </row>
    <row r="173" spans="1:20" ht="15">
      <c r="A173" s="2"/>
      <c r="B173" s="4"/>
      <c r="D173" s="25"/>
      <c r="E173" s="183"/>
      <c r="F173" s="25"/>
      <c r="G173" s="25"/>
      <c r="J173" s="167"/>
    </row>
    <row r="174" spans="1:20">
      <c r="A174" s="18" t="s">
        <v>133</v>
      </c>
      <c r="D174" s="104"/>
      <c r="E174" s="171"/>
      <c r="F174" s="104"/>
      <c r="G174" s="104"/>
      <c r="H174" s="104"/>
      <c r="I174" s="104"/>
      <c r="J174" s="171"/>
      <c r="K174" s="6"/>
      <c r="L174" s="6"/>
      <c r="M174" s="6"/>
      <c r="N174" s="6"/>
      <c r="O174" s="6"/>
      <c r="P174" s="6"/>
      <c r="Q174" s="127"/>
      <c r="R174" s="127"/>
      <c r="S174" s="127"/>
      <c r="T174" s="161"/>
    </row>
    <row r="175" spans="1:20">
      <c r="A175" s="1" t="s">
        <v>398</v>
      </c>
      <c r="B175" s="4" t="str">
        <f t="shared" ref="B175:B180" si="133">$B$39</f>
        <v>From Fiscal Forecasts</v>
      </c>
      <c r="D175" s="14">
        <f>'Fiscal Forecasts'!D$233</f>
        <v>14.561999999999999</v>
      </c>
      <c r="E175" s="175">
        <f>'Fiscal Forecasts'!E$233</f>
        <v>15.521000000000001</v>
      </c>
      <c r="F175" s="15">
        <f>'Fiscal Forecasts'!F$233</f>
        <v>16.553999999999998</v>
      </c>
      <c r="G175" s="15">
        <f>'Fiscal Forecasts'!G$233</f>
        <v>17.690999999999999</v>
      </c>
      <c r="H175" s="15">
        <f>'Fiscal Forecasts'!H$233</f>
        <v>18.931000000000001</v>
      </c>
      <c r="I175" s="15">
        <f>'Fiscal Forecasts'!I$233</f>
        <v>19.977</v>
      </c>
      <c r="J175" s="176">
        <f>'Fiscal Forecasts'!J$233</f>
        <v>21.021999999999998</v>
      </c>
      <c r="K175" s="131">
        <f t="shared" ref="K175:T175" ca="1" si="134">J$175*K$198/J$198*K$196/J$196</f>
        <v>22.466089546039985</v>
      </c>
      <c r="L175" s="131">
        <f t="shared" ca="1" si="134"/>
        <v>23.977633385101335</v>
      </c>
      <c r="M175" s="131">
        <f t="shared" ca="1" si="134"/>
        <v>25.53058011625378</v>
      </c>
      <c r="N175" s="131">
        <f t="shared" ca="1" si="134"/>
        <v>27.104569313774743</v>
      </c>
      <c r="O175" s="131">
        <f t="shared" ca="1" si="134"/>
        <v>28.685261488501279</v>
      </c>
      <c r="P175" s="131">
        <f t="shared" ca="1" si="134"/>
        <v>30.285144999988979</v>
      </c>
      <c r="Q175" s="131">
        <f t="shared" ca="1" si="134"/>
        <v>31.938202483004236</v>
      </c>
      <c r="R175" s="131">
        <f t="shared" ca="1" si="134"/>
        <v>33.672188971686289</v>
      </c>
      <c r="S175" s="131">
        <f t="shared" ca="1" si="134"/>
        <v>35.48658954326914</v>
      </c>
      <c r="T175" s="171">
        <f t="shared" ca="1" si="134"/>
        <v>37.341926681693309</v>
      </c>
    </row>
    <row r="176" spans="1:20">
      <c r="A176" s="1" t="s">
        <v>400</v>
      </c>
      <c r="B176" s="4" t="str">
        <f t="shared" si="133"/>
        <v>From Fiscal Forecasts</v>
      </c>
      <c r="D176" s="14">
        <f>'Fiscal Forecasts'!D$234</f>
        <v>1.8540000000000001</v>
      </c>
      <c r="E176" s="175">
        <f>'Fiscal Forecasts'!E$234</f>
        <v>2.2850000000000001</v>
      </c>
      <c r="F176" s="15">
        <f>'Fiscal Forecasts'!F$234</f>
        <v>3.2730000000000001</v>
      </c>
      <c r="G176" s="15">
        <f>'Fiscal Forecasts'!G$234</f>
        <v>3.8570000000000002</v>
      </c>
      <c r="H176" s="15">
        <f>'Fiscal Forecasts'!H$234</f>
        <v>3.8679999999999999</v>
      </c>
      <c r="I176" s="15">
        <f>'Fiscal Forecasts'!I$234</f>
        <v>3.742</v>
      </c>
      <c r="J176" s="176">
        <f>'Fiscal Forecasts'!J$234</f>
        <v>3.5590000000000002</v>
      </c>
      <c r="K176" s="131">
        <f t="shared" ref="K176:T176" ca="1" si="135">J$176*K$199/J$199*K$195/J$195</f>
        <v>3.376369911947906</v>
      </c>
      <c r="L176" s="131">
        <f t="shared" ca="1" si="135"/>
        <v>3.5521821149674495</v>
      </c>
      <c r="M176" s="131">
        <f t="shared" ca="1" si="135"/>
        <v>3.7310372749610159</v>
      </c>
      <c r="N176" s="131">
        <f t="shared" ca="1" si="135"/>
        <v>3.8986291574604079</v>
      </c>
      <c r="O176" s="131">
        <f t="shared" ca="1" si="135"/>
        <v>3.6601676651060373</v>
      </c>
      <c r="P176" s="131">
        <f t="shared" ca="1" si="135"/>
        <v>3.8195337966134688</v>
      </c>
      <c r="Q176" s="131">
        <f t="shared" ca="1" si="135"/>
        <v>3.9816877921898759</v>
      </c>
      <c r="R176" s="131">
        <f t="shared" ca="1" si="135"/>
        <v>4.1451297189811038</v>
      </c>
      <c r="S176" s="131">
        <f t="shared" ca="1" si="135"/>
        <v>4.308216754196537</v>
      </c>
      <c r="T176" s="171">
        <f t="shared" ca="1" si="135"/>
        <v>4.4760706180417218</v>
      </c>
    </row>
    <row r="177" spans="1:20">
      <c r="A177" s="1" t="s">
        <v>272</v>
      </c>
      <c r="B177" s="4" t="str">
        <f t="shared" si="133"/>
        <v>From Fiscal Forecasts</v>
      </c>
      <c r="D177" s="175">
        <f>'Fiscal Forecasts'!D$235</f>
        <v>1.556</v>
      </c>
      <c r="E177" s="175">
        <f>'Fiscal Forecasts'!E$235</f>
        <v>1.65</v>
      </c>
      <c r="F177" s="176">
        <f>'Fiscal Forecasts'!F$235</f>
        <v>1.831</v>
      </c>
      <c r="G177" s="176">
        <f>'Fiscal Forecasts'!G$235</f>
        <v>2.0609999999999999</v>
      </c>
      <c r="H177" s="176">
        <f>'Fiscal Forecasts'!H$235</f>
        <v>2.2309999999999999</v>
      </c>
      <c r="I177" s="176">
        <f>'Fiscal Forecasts'!I$235</f>
        <v>2.2970000000000002</v>
      </c>
      <c r="J177" s="176">
        <f>'Fiscal Forecasts'!J$235</f>
        <v>2.355</v>
      </c>
      <c r="K177" s="131">
        <f t="shared" ref="K177:T177" ca="1" si="136">J$177*K$200/J$200*K$195/J$195</f>
        <v>2.4473671115580706</v>
      </c>
      <c r="L177" s="131">
        <f t="shared" ca="1" si="136"/>
        <v>2.5378328468604621</v>
      </c>
      <c r="M177" s="131">
        <f t="shared" ca="1" si="136"/>
        <v>2.6272011800748194</v>
      </c>
      <c r="N177" s="131">
        <f t="shared" ca="1" si="136"/>
        <v>2.7214678482156254</v>
      </c>
      <c r="O177" s="131">
        <f t="shared" ca="1" si="136"/>
        <v>2.8210099443756653</v>
      </c>
      <c r="P177" s="131">
        <f t="shared" ca="1" si="136"/>
        <v>2.925663756638246</v>
      </c>
      <c r="Q177" s="131">
        <f t="shared" ca="1" si="136"/>
        <v>3.0331646783820507</v>
      </c>
      <c r="R177" s="131">
        <f t="shared" ca="1" si="136"/>
        <v>3.142008800416455</v>
      </c>
      <c r="S177" s="131">
        <f t="shared" ca="1" si="136"/>
        <v>3.2516052414625118</v>
      </c>
      <c r="T177" s="171">
        <f t="shared" ca="1" si="136"/>
        <v>3.3666802894465371</v>
      </c>
    </row>
    <row r="178" spans="1:20">
      <c r="A178" s="1" t="s">
        <v>273</v>
      </c>
      <c r="B178" s="4" t="str">
        <f t="shared" si="133"/>
        <v>From Fiscal Forecasts</v>
      </c>
      <c r="D178" s="14">
        <f>'Fiscal Forecasts'!D$236</f>
        <v>1.115</v>
      </c>
      <c r="E178" s="175">
        <f>'Fiscal Forecasts'!E$236</f>
        <v>1.2310000000000001</v>
      </c>
      <c r="F178" s="15">
        <f>'Fiscal Forecasts'!F$236</f>
        <v>1.47</v>
      </c>
      <c r="G178" s="15">
        <f>'Fiscal Forecasts'!G$236</f>
        <v>1.72</v>
      </c>
      <c r="H178" s="15">
        <f>'Fiscal Forecasts'!H$236</f>
        <v>1.8779999999999999</v>
      </c>
      <c r="I178" s="15">
        <f>'Fiscal Forecasts'!I$236</f>
        <v>1.8879999999999999</v>
      </c>
      <c r="J178" s="176">
        <f>'Fiscal Forecasts'!J$236</f>
        <v>1.8680000000000001</v>
      </c>
      <c r="K178" s="131">
        <f t="shared" ref="K178:T178" ca="1" si="137">J$178*K$201/J$201*K$195/J$195</f>
        <v>1.9459371468166815</v>
      </c>
      <c r="L178" s="131">
        <f t="shared" ca="1" si="137"/>
        <v>2.0244882016497194</v>
      </c>
      <c r="M178" s="131">
        <f t="shared" ca="1" si="137"/>
        <v>2.1040122105808887</v>
      </c>
      <c r="N178" s="131">
        <f t="shared" ca="1" si="137"/>
        <v>2.1859225550241317</v>
      </c>
      <c r="O178" s="131">
        <f t="shared" ca="1" si="137"/>
        <v>2.270554850441902</v>
      </c>
      <c r="P178" s="131">
        <f t="shared" ca="1" si="137"/>
        <v>2.357537486047721</v>
      </c>
      <c r="Q178" s="131">
        <f t="shared" ca="1" si="137"/>
        <v>2.447415340333353</v>
      </c>
      <c r="R178" s="131">
        <f t="shared" ca="1" si="137"/>
        <v>2.5394128030480609</v>
      </c>
      <c r="S178" s="131">
        <f t="shared" ca="1" si="137"/>
        <v>2.6307822336111237</v>
      </c>
      <c r="T178" s="171">
        <f t="shared" ca="1" si="137"/>
        <v>2.7245544276454292</v>
      </c>
    </row>
    <row r="179" spans="1:20">
      <c r="A179" s="1" t="s">
        <v>405</v>
      </c>
      <c r="B179" s="4" t="str">
        <f t="shared" si="133"/>
        <v>From Fiscal Forecasts</v>
      </c>
      <c r="D179" s="14">
        <f>'Fiscal Forecasts'!D$237</f>
        <v>2.766</v>
      </c>
      <c r="E179" s="175">
        <f>'Fiscal Forecasts'!E$237</f>
        <v>2.83</v>
      </c>
      <c r="F179" s="15">
        <f>'Fiscal Forecasts'!F$237</f>
        <v>2.7530000000000001</v>
      </c>
      <c r="G179" s="15">
        <f>'Fiscal Forecasts'!G$237</f>
        <v>2.7109999999999999</v>
      </c>
      <c r="H179" s="15">
        <f>'Fiscal Forecasts'!H$237</f>
        <v>2.9180000000000001</v>
      </c>
      <c r="I179" s="15">
        <f>'Fiscal Forecasts'!I$237</f>
        <v>2.8889999999999998</v>
      </c>
      <c r="J179" s="176">
        <f>'Fiscal Forecasts'!J$237</f>
        <v>2.9350000000000001</v>
      </c>
      <c r="K179" s="131">
        <f ca="1">IF(OFFSET(Assumptions!$B$50,0,$C$1)="Yes",K$13*(J$179/J$13+MIN(ABS(OFFSET(Assumptions!$B$51,0,$C$1)-J$179/J$13),OFFSET(Assumptions!$B$54,0,$C$1))*SIGN(OFFSET(Assumptions!$B$51,0,$C$1)-J$179/J$13)),J$179*(1+K$20)*(1+K$30))</f>
        <v>3.0418210746798211</v>
      </c>
      <c r="L179" s="131">
        <f ca="1">IF(OFFSET(Assumptions!$B$50,0,$C$1)="Yes",L$13*(K$179/K$13+MIN(ABS(OFFSET(Assumptions!$B$51,0,$C$1)-K$179/K$13),OFFSET(Assumptions!$B$54,0,$C$1))*SIGN(OFFSET(Assumptions!$B$51,0,$C$1)-K$179/K$13)),K$179*(1+L$20)*(1+L$30))</f>
        <v>3.1487872186068442</v>
      </c>
      <c r="M179" s="131">
        <f ca="1">IF(OFFSET(Assumptions!$B$50,0,$C$1)="Yes",M$13*(L$179/L$13+MIN(ABS(OFFSET(Assumptions!$B$51,0,$C$1)-L$179/L$13),OFFSET(Assumptions!$B$54,0,$C$1))*SIGN(OFFSET(Assumptions!$B$51,0,$C$1)-L$179/L$13)),L$179*(1+M$20)*(1+M$30))</f>
        <v>3.2555768989488034</v>
      </c>
      <c r="N179" s="131">
        <f ca="1">IF(OFFSET(Assumptions!$B$50,0,$C$1)="Yes",N$13*(M$179/M$13+MIN(ABS(OFFSET(Assumptions!$B$51,0,$C$1)-M$179/M$13),OFFSET(Assumptions!$B$54,0,$C$1))*SIGN(OFFSET(Assumptions!$B$51,0,$C$1)-M$179/M$13)),M$179*(1+N$20)*(1+N$30))</f>
        <v>3.3625312252210864</v>
      </c>
      <c r="O179" s="131">
        <f ca="1">IF(OFFSET(Assumptions!$B$50,0,$C$1)="Yes",O$13*(N$179/N$13+MIN(ABS(OFFSET(Assumptions!$B$51,0,$C$1)-N$179/N$13),OFFSET(Assumptions!$B$54,0,$C$1))*SIGN(OFFSET(Assumptions!$B$51,0,$C$1)-N$179/N$13)),N$179*(1+O$20)*(1+O$30))</f>
        <v>3.4705445858018904</v>
      </c>
      <c r="P179" s="131">
        <f ca="1">IF(OFFSET(Assumptions!$B$50,0,$C$1)="Yes",P$13*(O$179/O$13+MIN(ABS(OFFSET(Assumptions!$B$51,0,$C$1)-O$179/O$13),OFFSET(Assumptions!$B$54,0,$C$1))*SIGN(OFFSET(Assumptions!$B$51,0,$C$1)-O$179/O$13)),O$179*(1+P$20)*(1+P$30))</f>
        <v>3.5791814400025332</v>
      </c>
      <c r="Q179" s="131">
        <f ca="1">IF(OFFSET(Assumptions!$B$50,0,$C$1)="Yes",Q$13*(P$179/P$13+MIN(ABS(OFFSET(Assumptions!$B$51,0,$C$1)-P$179/P$13),OFFSET(Assumptions!$B$54,0,$C$1))*SIGN(OFFSET(Assumptions!$B$51,0,$C$1)-P$179/P$13)),P$179*(1+Q$20)*(1+Q$30))</f>
        <v>3.6886955860878019</v>
      </c>
      <c r="R179" s="131">
        <f ca="1">IF(OFFSET(Assumptions!$B$50,0,$C$1)="Yes",R$13*(Q$179/Q$13+MIN(ABS(OFFSET(Assumptions!$B$51,0,$C$1)-Q$179/Q$13),OFFSET(Assumptions!$B$54,0,$C$1))*SIGN(OFFSET(Assumptions!$B$51,0,$C$1)-Q$179/Q$13)),Q$179*(1+R$20)*(1+R$30))</f>
        <v>3.7979177056245597</v>
      </c>
      <c r="S179" s="131">
        <f ca="1">IF(OFFSET(Assumptions!$B$50,0,$C$1)="Yes",S$13*(R$179/R$13+MIN(ABS(OFFSET(Assumptions!$B$51,0,$C$1)-R$179/R$13),OFFSET(Assumptions!$B$54,0,$C$1))*SIGN(OFFSET(Assumptions!$B$51,0,$C$1)-R$179/R$13)),R$179*(1+S$20)*(1+S$30))</f>
        <v>3.907618215141043</v>
      </c>
      <c r="T179" s="171">
        <f ca="1">IF(OFFSET(Assumptions!$B$50,0,$C$1)="Yes",T$13*(S$179/S$13+MIN(ABS(OFFSET(Assumptions!$B$51,0,$C$1)-S$179/S$13),OFFSET(Assumptions!$B$54,0,$C$1))*SIGN(OFFSET(Assumptions!$B$51,0,$C$1)-S$179/S$13)),S$179*(1+T$20)*(1+T$30))</f>
        <v>4.0189817027980856</v>
      </c>
    </row>
    <row r="180" spans="1:20">
      <c r="A180" s="1" t="s">
        <v>406</v>
      </c>
      <c r="B180" s="4" t="str">
        <f t="shared" si="133"/>
        <v>From Fiscal Forecasts</v>
      </c>
      <c r="D180" s="14">
        <f>'Fiscal Forecasts'!D$238</f>
        <v>3.9910000000000001</v>
      </c>
      <c r="E180" s="175">
        <f>'Fiscal Forecasts'!E$238</f>
        <v>16.893999999999998</v>
      </c>
      <c r="F180" s="15">
        <f>'Fiscal Forecasts'!F$238</f>
        <v>7.391</v>
      </c>
      <c r="G180" s="15">
        <f>'Fiscal Forecasts'!G$238</f>
        <v>6.4649999999999999</v>
      </c>
      <c r="H180" s="15">
        <f>'Fiscal Forecasts'!H$238</f>
        <v>6.0069999999999997</v>
      </c>
      <c r="I180" s="15">
        <f>'Fiscal Forecasts'!I$238</f>
        <v>6.0650000000000004</v>
      </c>
      <c r="J180" s="176">
        <f>'Fiscal Forecasts'!J$238</f>
        <v>6.1210000000000004</v>
      </c>
      <c r="K180" s="131">
        <f ca="1">IF(OFFSET(Assumptions!$B$50,0,$C$1)="Yes",K$13*(J$180/J$13+MIN(ABS(OFFSET(Assumptions!$B$52,0,$C$1)-J$180/J$13),OFFSET(Assumptions!$B$54,0,$C$1))*SIGN(OFFSET(Assumptions!$B$52,0,$C$1)-J$180/J$13)),J$180*AVERAGE(K$202/J$202,K$19/J$19)*(1+K$30))</f>
        <v>6.2307190768900318</v>
      </c>
      <c r="L180" s="131">
        <f ca="1">IF(OFFSET(Assumptions!$B$50,0,$C$1)="Yes",L$13*(K$180/K$13+MIN(ABS(OFFSET(Assumptions!$B$52,0,$C$1)-K$180/K$13),OFFSET(Assumptions!$B$54,0,$C$1))*SIGN(OFFSET(Assumptions!$B$52,0,$C$1)-K$180/K$13)),K$180*AVERAGE(L$202/K$202,L$19/K$19)*(1+L$30))</f>
        <v>6.3306263996479748</v>
      </c>
      <c r="M180" s="131">
        <f ca="1">IF(OFFSET(Assumptions!$B$50,0,$C$1)="Yes",M$13*(L$180/L$13+MIN(ABS(OFFSET(Assumptions!$B$52,0,$C$1)-L$180/L$13),OFFSET(Assumptions!$B$54,0,$C$1))*SIGN(OFFSET(Assumptions!$B$52,0,$C$1)-L$180/L$13)),L$180*AVERAGE(M$202/L$202,M$19/L$19)*(1+M$30))</f>
        <v>6.545326702541697</v>
      </c>
      <c r="N180" s="131">
        <f ca="1">IF(OFFSET(Assumptions!$B$50,0,$C$1)="Yes",N$13*(M$180/M$13+MIN(ABS(OFFSET(Assumptions!$B$52,0,$C$1)-M$180/M$13),OFFSET(Assumptions!$B$54,0,$C$1))*SIGN(OFFSET(Assumptions!$B$52,0,$C$1)-M$180/M$13)),M$180*AVERAGE(N$202/M$202,N$19/M$19)*(1+N$30))</f>
        <v>6.7603580255395865</v>
      </c>
      <c r="O180" s="131">
        <f ca="1">IF(OFFSET(Assumptions!$B$50,0,$C$1)="Yes",O$13*(N$180/N$13+MIN(ABS(OFFSET(Assumptions!$B$52,0,$C$1)-N$180/N$13),OFFSET(Assumptions!$B$54,0,$C$1))*SIGN(OFFSET(Assumptions!$B$52,0,$C$1)-N$180/N$13)),N$180*AVERAGE(O$202/N$202,O$19/N$19)*(1+O$30))</f>
        <v>6.9775185335494205</v>
      </c>
      <c r="P180" s="131">
        <f ca="1">IF(OFFSET(Assumptions!$B$50,0,$C$1)="Yes",P$13*(O$180/O$13+MIN(ABS(OFFSET(Assumptions!$B$52,0,$C$1)-O$180/O$13),OFFSET(Assumptions!$B$54,0,$C$1))*SIGN(OFFSET(Assumptions!$B$52,0,$C$1)-O$180/O$13)),O$180*AVERAGE(P$202/O$202,P$19/O$19)*(1+P$30))</f>
        <v>7.1959325734417634</v>
      </c>
      <c r="Q180" s="131">
        <f ca="1">IF(OFFSET(Assumptions!$B$50,0,$C$1)="Yes",Q$13*(P$180/P$13+MIN(ABS(OFFSET(Assumptions!$B$52,0,$C$1)-P$180/P$13),OFFSET(Assumptions!$B$54,0,$C$1))*SIGN(OFFSET(Assumptions!$B$52,0,$C$1)-P$180/P$13)),P$180*AVERAGE(Q$202/P$202,Q$19/P$19)*(1+Q$30))</f>
        <v>7.4161104057975002</v>
      </c>
      <c r="R180" s="131">
        <f ca="1">IF(OFFSET(Assumptions!$B$50,0,$C$1)="Yes",R$13*(Q$180/Q$13+MIN(ABS(OFFSET(Assumptions!$B$52,0,$C$1)-Q$180/Q$13),OFFSET(Assumptions!$B$54,0,$C$1))*SIGN(OFFSET(Assumptions!$B$52,0,$C$1)-Q$180/Q$13)),Q$180*AVERAGE(R$202/Q$202,R$19/Q$19)*(1+R$30))</f>
        <v>7.6357011197330174</v>
      </c>
      <c r="S180" s="131">
        <f ca="1">IF(OFFSET(Assumptions!$B$50,0,$C$1)="Yes",S$13*(R$180/R$13+MIN(ABS(OFFSET(Assumptions!$B$52,0,$C$1)-R$180/R$13),OFFSET(Assumptions!$B$54,0,$C$1))*SIGN(OFFSET(Assumptions!$B$52,0,$C$1)-R$180/R$13)),R$180*AVERAGE(S$202/R$202,S$19/R$19)*(1+S$30))</f>
        <v>7.8562536351573993</v>
      </c>
      <c r="T180" s="171">
        <f ca="1">IF(OFFSET(Assumptions!$B$50,0,$C$1)="Yes",T$13*(S$180/S$13+MIN(ABS(OFFSET(Assumptions!$B$52,0,$C$1)-S$180/S$13),OFFSET(Assumptions!$B$54,0,$C$1))*SIGN(OFFSET(Assumptions!$B$52,0,$C$1)-S$180/S$13)),S$180*AVERAGE(T$202/S$202,T$19/S$19)*(1+T$30))</f>
        <v>8.0801495626918314</v>
      </c>
    </row>
    <row r="181" spans="1:20" ht="15">
      <c r="A181" s="2" t="s">
        <v>407</v>
      </c>
      <c r="B181" s="4"/>
      <c r="D181" s="34">
        <f t="shared" ref="D181:T181" si="138">SUM(D$175:D$180)</f>
        <v>25.844000000000001</v>
      </c>
      <c r="E181" s="138">
        <f t="shared" si="138"/>
        <v>40.411000000000001</v>
      </c>
      <c r="F181" s="33">
        <f t="shared" si="138"/>
        <v>33.271999999999998</v>
      </c>
      <c r="G181" s="33">
        <f t="shared" si="138"/>
        <v>34.504999999999995</v>
      </c>
      <c r="H181" s="33">
        <f t="shared" si="138"/>
        <v>35.832999999999998</v>
      </c>
      <c r="I181" s="33">
        <f t="shared" si="138"/>
        <v>36.858000000000004</v>
      </c>
      <c r="J181" s="137">
        <f t="shared" si="138"/>
        <v>37.86</v>
      </c>
      <c r="K181" s="37">
        <f t="shared" ca="1" si="138"/>
        <v>39.508303867932497</v>
      </c>
      <c r="L181" s="37">
        <f t="shared" ca="1" si="138"/>
        <v>41.571550166833781</v>
      </c>
      <c r="M181" s="37">
        <f t="shared" ca="1" si="138"/>
        <v>43.793734383360999</v>
      </c>
      <c r="N181" s="37">
        <f t="shared" ca="1" si="138"/>
        <v>46.033478125235582</v>
      </c>
      <c r="O181" s="37">
        <f t="shared" ca="1" si="138"/>
        <v>47.885057067776195</v>
      </c>
      <c r="P181" s="37">
        <f t="shared" ca="1" si="138"/>
        <v>50.162994052732714</v>
      </c>
      <c r="Q181" s="37">
        <f t="shared" ca="1" si="138"/>
        <v>52.505276285794821</v>
      </c>
      <c r="R181" s="37">
        <f t="shared" ca="1" si="138"/>
        <v>54.932359119489476</v>
      </c>
      <c r="S181" s="37">
        <f t="shared" ca="1" si="138"/>
        <v>57.441065622837755</v>
      </c>
      <c r="T181" s="140">
        <f t="shared" ca="1" si="138"/>
        <v>60.008363282316914</v>
      </c>
    </row>
    <row r="182" spans="1:20">
      <c r="A182" s="1" t="s">
        <v>274</v>
      </c>
      <c r="B182" s="4" t="str">
        <f>$B$39</f>
        <v>From Fiscal Forecasts</v>
      </c>
      <c r="D182" s="14">
        <f>'Fiscal Forecasts'!D$239</f>
        <v>0.58299999999999996</v>
      </c>
      <c r="E182" s="175">
        <f>'Fiscal Forecasts'!E$239</f>
        <v>0.56699999999999995</v>
      </c>
      <c r="F182" s="15">
        <f>'Fiscal Forecasts'!F$239</f>
        <v>0.61</v>
      </c>
      <c r="G182" s="15">
        <f>'Fiscal Forecasts'!G$239</f>
        <v>0.65600000000000003</v>
      </c>
      <c r="H182" s="15">
        <f>'Fiscal Forecasts'!H$239</f>
        <v>0.66700000000000004</v>
      </c>
      <c r="I182" s="15">
        <f>'Fiscal Forecasts'!I$239</f>
        <v>0.63600000000000001</v>
      </c>
      <c r="J182" s="176">
        <f>'Fiscal Forecasts'!J$239</f>
        <v>0.66700000000000004</v>
      </c>
      <c r="K182" s="131">
        <f ca="1">IF(OFFSET(Assumptions!$B$50,0,$C$1)="Yes",K$13*(J$182/J$13+MIN(ABS(OFFSET(Assumptions!$B$53,0,$C$1)-J$182/J$13),OFFSET(Assumptions!$B$54,0,$C$1))*SIGN(OFFSET(Assumptions!$B$53,0,$C$1)-J$182/J$13)),J$182*(1+K$20)*(1+K$30))</f>
        <v>0.69127586262740748</v>
      </c>
      <c r="L182" s="131">
        <f ca="1">IF(OFFSET(Assumptions!$B$50,0,$C$1)="Yes",L$13*(K$182/K$13+MIN(ABS(OFFSET(Assumptions!$B$53,0,$C$1)-K$182/K$13),OFFSET(Assumptions!$B$54,0,$C$1))*SIGN(OFFSET(Assumptions!$B$53,0,$C$1)-K$182/K$13)),K$182*(1+L$20)*(1+L$30))</f>
        <v>0.71558469329157248</v>
      </c>
      <c r="M182" s="131">
        <f ca="1">IF(OFFSET(Assumptions!$B$50,0,$C$1)="Yes",M$13*(L$182/L$13+MIN(ABS(OFFSET(Assumptions!$B$53,0,$C$1)-L$182/L$13),OFFSET(Assumptions!$B$54,0,$C$1))*SIGN(OFFSET(Assumptions!$B$53,0,$C$1)-L$182/L$13)),L$182*(1+M$20)*(1+M$30))</f>
        <v>0.73985342132839926</v>
      </c>
      <c r="N182" s="131">
        <f ca="1">IF(OFFSET(Assumptions!$B$50,0,$C$1)="Yes",N$13*(M$182/M$13+MIN(ABS(OFFSET(Assumptions!$B$53,0,$C$1)-M$182/M$13),OFFSET(Assumptions!$B$54,0,$C$1))*SIGN(OFFSET(Assumptions!$B$53,0,$C$1)-M$182/M$13)),M$182*(1+N$20)*(1+N$30))</f>
        <v>0.7641595663449624</v>
      </c>
      <c r="O182" s="131">
        <f ca="1">IF(OFFSET(Assumptions!$B$50,0,$C$1)="Yes",O$13*(N$182/N$13+MIN(ABS(OFFSET(Assumptions!$B$53,0,$C$1)-N$182/N$13),OFFSET(Assumptions!$B$54,0,$C$1))*SIGN(OFFSET(Assumptions!$B$53,0,$C$1)-N$182/N$13)),N$182*(1+O$20)*(1+O$30))</f>
        <v>0.78870638457576181</v>
      </c>
      <c r="P182" s="131">
        <f ca="1">IF(OFFSET(Assumptions!$B$50,0,$C$1)="Yes",P$13*(O$182/O$13+MIN(ABS(OFFSET(Assumptions!$B$53,0,$C$1)-O$182/O$13),OFFSET(Assumptions!$B$54,0,$C$1))*SIGN(OFFSET(Assumptions!$B$53,0,$C$1)-O$182/O$13)),O$182*(1+P$20)*(1+P$30))</f>
        <v>0.8133948962458909</v>
      </c>
      <c r="Q182" s="131">
        <f ca="1">IF(OFFSET(Assumptions!$B$50,0,$C$1)="Yes",Q$13*(P$182/P$13+MIN(ABS(OFFSET(Assumptions!$B$53,0,$C$1)-P$182/P$13),OFFSET(Assumptions!$B$54,0,$C$1))*SIGN(OFFSET(Assumptions!$B$53,0,$C$1)-P$182/P$13)),P$182*(1+Q$20)*(1+Q$30))</f>
        <v>0.83828277884857372</v>
      </c>
      <c r="R182" s="131">
        <f ca="1">IF(OFFSET(Assumptions!$B$50,0,$C$1)="Yes",R$13*(Q$182/Q$13+MIN(ABS(OFFSET(Assumptions!$B$53,0,$C$1)-Q$182/Q$13),OFFSET(Assumptions!$B$54,0,$C$1))*SIGN(OFFSET(Assumptions!$B$53,0,$C$1)-Q$182/Q$13)),Q$182*(1+R$20)*(1+R$30))</f>
        <v>0.86310429630377561</v>
      </c>
      <c r="S182" s="131">
        <f ca="1">IF(OFFSET(Assumptions!$B$50,0,$C$1)="Yes",S$13*(R$182/R$13+MIN(ABS(OFFSET(Assumptions!$B$53,0,$C$1)-R$182/R$13),OFFSET(Assumptions!$B$54,0,$C$1))*SIGN(OFFSET(Assumptions!$B$53,0,$C$1)-R$182/R$13)),R$182*(1+S$20)*(1+S$30))</f>
        <v>0.88803453134551136</v>
      </c>
      <c r="T182" s="171">
        <f ca="1">IF(OFFSET(Assumptions!$B$50,0,$C$1)="Yes",T$13*(S$182/S$13+MIN(ABS(OFFSET(Assumptions!$B$53,0,$C$1)-S$182/S$13),OFFSET(Assumptions!$B$54,0,$C$1))*SIGN(OFFSET(Assumptions!$B$53,0,$C$1)-S$182/S$13)),S$182*(1+T$20)*(1+T$30))</f>
        <v>0.91334269020999082</v>
      </c>
    </row>
    <row r="183" spans="1:20" ht="15">
      <c r="A183" s="2" t="s">
        <v>408</v>
      </c>
      <c r="D183" s="34">
        <f t="shared" ref="D183:T183" si="139">SUM(D$181:D$182)</f>
        <v>26.427</v>
      </c>
      <c r="E183" s="138">
        <f t="shared" si="139"/>
        <v>40.978000000000002</v>
      </c>
      <c r="F183" s="33">
        <f t="shared" si="139"/>
        <v>33.881999999999998</v>
      </c>
      <c r="G183" s="33">
        <f t="shared" si="139"/>
        <v>35.160999999999994</v>
      </c>
      <c r="H183" s="33">
        <f t="shared" si="139"/>
        <v>36.5</v>
      </c>
      <c r="I183" s="33">
        <f t="shared" si="139"/>
        <v>37.494000000000007</v>
      </c>
      <c r="J183" s="137">
        <f t="shared" si="139"/>
        <v>38.527000000000001</v>
      </c>
      <c r="K183" s="37">
        <f t="shared" ca="1" si="139"/>
        <v>40.199579730559904</v>
      </c>
      <c r="L183" s="37">
        <f t="shared" ca="1" si="139"/>
        <v>42.287134860125356</v>
      </c>
      <c r="M183" s="37">
        <f t="shared" ca="1" si="139"/>
        <v>44.533587804689397</v>
      </c>
      <c r="N183" s="37">
        <f t="shared" ca="1" si="139"/>
        <v>46.797637691580547</v>
      </c>
      <c r="O183" s="37">
        <f t="shared" ca="1" si="139"/>
        <v>48.673763452351956</v>
      </c>
      <c r="P183" s="37">
        <f t="shared" ca="1" si="139"/>
        <v>50.976388948978602</v>
      </c>
      <c r="Q183" s="37">
        <f t="shared" ca="1" si="139"/>
        <v>53.343559064643394</v>
      </c>
      <c r="R183" s="37">
        <f t="shared" ca="1" si="139"/>
        <v>55.79546341579325</v>
      </c>
      <c r="S183" s="37">
        <f t="shared" ca="1" si="139"/>
        <v>58.329100154183266</v>
      </c>
      <c r="T183" s="140">
        <f t="shared" ca="1" si="139"/>
        <v>60.921705972526908</v>
      </c>
    </row>
    <row r="184" spans="1:20">
      <c r="A184" s="1" t="s">
        <v>409</v>
      </c>
      <c r="B184" s="4" t="str">
        <f>$B$39</f>
        <v>From Fiscal Forecasts</v>
      </c>
      <c r="D184" s="14">
        <f>'Fiscal Forecasts'!D$240</f>
        <v>0.95099999999999996</v>
      </c>
      <c r="E184" s="175">
        <f>'Fiscal Forecasts'!E$240</f>
        <v>0.89300000000000002</v>
      </c>
      <c r="F184" s="15">
        <f>'Fiscal Forecasts'!F$240</f>
        <v>0.92900000000000005</v>
      </c>
      <c r="G184" s="15">
        <f>'Fiscal Forecasts'!G$240</f>
        <v>0.97399999999999998</v>
      </c>
      <c r="H184" s="15">
        <f>'Fiscal Forecasts'!H$240</f>
        <v>1.0149999999999999</v>
      </c>
      <c r="I184" s="15">
        <f>'Fiscal Forecasts'!I$240</f>
        <v>1.0509999999999999</v>
      </c>
      <c r="J184" s="176">
        <f>'Fiscal Forecasts'!J$240</f>
        <v>1.083</v>
      </c>
      <c r="K184" s="104">
        <f ca="1">J$184*IF(K$6&lt;=OFFSET(Assumptions!$B$56,0,$C$1),Exogenous!V$36/Exogenous!U$36,1+K$14)</f>
        <v>1.1100000000000001</v>
      </c>
      <c r="L184" s="104">
        <f ca="1">K$184*IF(L$6&lt;=OFFSET(Assumptions!$B$56,0,$C$1),Exogenous!W$36/Exogenous!V$36,1+L$14)</f>
        <v>1.141</v>
      </c>
      <c r="M184" s="104">
        <f ca="1">L$184*IF(M$6&lt;=OFFSET(Assumptions!$B$56,0,$C$1),Exogenous!X$36/Exogenous!W$36,1+M$14)</f>
        <v>1.169</v>
      </c>
      <c r="N184" s="104">
        <f ca="1">M$184*IF(N$6&lt;=OFFSET(Assumptions!$B$56,0,$C$1),Exogenous!Y$36/Exogenous!X$36,1+N$14)</f>
        <v>1.1930000000000001</v>
      </c>
      <c r="O184" s="104">
        <f ca="1">N$184*IF(O$6&lt;=OFFSET(Assumptions!$B$56,0,$C$1),Exogenous!Z$36/Exogenous!Y$36,1+O$14)</f>
        <v>1.2150000000000001</v>
      </c>
      <c r="P184" s="104">
        <f ca="1">O$184*IF(P$6&lt;=OFFSET(Assumptions!$B$56,0,$C$1),Exogenous!AA$36/Exogenous!Z$36,1+P$14)</f>
        <v>1.2310000000000003</v>
      </c>
      <c r="Q184" s="104">
        <f ca="1">P$184*IF(Q$6&lt;=OFFSET(Assumptions!$B$56,0,$C$1),Exogenous!AB$36/Exogenous!AA$36,1+Q$14)</f>
        <v>1.2440000000000002</v>
      </c>
      <c r="R184" s="104">
        <f ca="1">Q$184*IF(R$6&lt;=OFFSET(Assumptions!$B$56,0,$C$1),Exogenous!AC$36/Exogenous!AB$36,1+R$14)</f>
        <v>1.2550000000000001</v>
      </c>
      <c r="S184" s="104">
        <f ca="1">R$184*IF(S$6&lt;=OFFSET(Assumptions!$B$56,0,$C$1),Exogenous!AD$36/Exogenous!AC$36,1+S$14)</f>
        <v>1.2650000000000001</v>
      </c>
      <c r="T184" s="171">
        <f ca="1">S$184*IF(T$6&lt;=OFFSET(Assumptions!$B$56,0,$C$1),Exogenous!AE$36/Exogenous!AD$36,1+T$14)</f>
        <v>1.2740000000000002</v>
      </c>
    </row>
    <row r="185" spans="1:20">
      <c r="A185" s="1" t="s">
        <v>277</v>
      </c>
      <c r="B185" s="4" t="str">
        <f>$B$39</f>
        <v>From Fiscal Forecasts</v>
      </c>
      <c r="D185" s="14">
        <f>'Fiscal Forecasts'!D$241</f>
        <v>0.70799999999999996</v>
      </c>
      <c r="E185" s="175">
        <f>'Fiscal Forecasts'!E$241</f>
        <v>0.73599999999999999</v>
      </c>
      <c r="F185" s="15">
        <f>'Fiscal Forecasts'!F$241</f>
        <v>0.82499999999999996</v>
      </c>
      <c r="G185" s="15">
        <f>'Fiscal Forecasts'!G$241</f>
        <v>0.82</v>
      </c>
      <c r="H185" s="15">
        <f>'Fiscal Forecasts'!H$241</f>
        <v>0.85799999999999998</v>
      </c>
      <c r="I185" s="15">
        <f>'Fiscal Forecasts'!I$241</f>
        <v>0.86099999999999999</v>
      </c>
      <c r="J185" s="176">
        <f>'Fiscal Forecasts'!J$241</f>
        <v>0.86099999999999999</v>
      </c>
      <c r="K185" s="131">
        <f ca="1">(J$185/J$13+MIN(ABS(OFFSET(Assumptions!$B$57,0,$C$1)-J$185/J$13),OFFSET(Assumptions!$B$54,0,$C$1))*SIGN(OFFSET(Assumptions!$B$57,0,$C$1)-J$185/J$13))*K$13</f>
        <v>0.86575349968469673</v>
      </c>
      <c r="L185" s="131">
        <f ca="1">(K$185/K$13+MIN(ABS(OFFSET(Assumptions!$B$57,0,$C$1)-K$185/K$13),OFFSET(Assumptions!$B$54,0,$C$1))*SIGN(OFFSET(Assumptions!$B$57,0,$C$1)-K$185/K$13))*L$13</f>
        <v>0.90271134323379465</v>
      </c>
      <c r="M185" s="131">
        <f ca="1">(L$185/L$13+MIN(ABS(OFFSET(Assumptions!$B$57,0,$C$1)-L$185/L$13),OFFSET(Assumptions!$B$54,0,$C$1))*SIGN(OFFSET(Assumptions!$B$57,0,$C$1)-L$185/L$13))*M$13</f>
        <v>0.94008368380153817</v>
      </c>
      <c r="N185" s="131">
        <f ca="1">(M$185/M$13+MIN(ABS(OFFSET(Assumptions!$B$57,0,$C$1)-M$185/M$13),OFFSET(Assumptions!$B$54,0,$C$1))*SIGN(OFFSET(Assumptions!$B$57,0,$C$1)-M$185/M$13))*N$13</f>
        <v>0.97921832809989462</v>
      </c>
      <c r="O185" s="131">
        <f ca="1">(N$185/N$13+MIN(ABS(OFFSET(Assumptions!$B$57,0,$C$1)-N$185/N$13),OFFSET(Assumptions!$B$54,0,$C$1))*SIGN(OFFSET(Assumptions!$B$57,0,$C$1)-N$185/N$13))*O$13</f>
        <v>1.0192005815218856</v>
      </c>
      <c r="P185" s="131">
        <f ca="1">(O$185/O$13+MIN(ABS(OFFSET(Assumptions!$B$57,0,$C$1)-O$185/O$13),OFFSET(Assumptions!$B$54,0,$C$1))*SIGN(OFFSET(Assumptions!$B$57,0,$C$1)-O$185/O$13))*P$13</f>
        <v>1.0600257962329862</v>
      </c>
      <c r="Q185" s="131">
        <f ca="1">(P$185/P$13+MIN(ABS(OFFSET(Assumptions!$B$57,0,$C$1)-P$185/P$13),OFFSET(Assumptions!$B$54,0,$C$1))*SIGN(OFFSET(Assumptions!$B$57,0,$C$1)-P$185/P$13))*Q$13</f>
        <v>1.1016909680646265</v>
      </c>
      <c r="R185" s="131">
        <f ca="1">(Q$185/Q$13+MIN(ABS(OFFSET(Assumptions!$B$57,0,$C$1)-Q$185/Q$13),OFFSET(Assumptions!$B$54,0,$C$1))*SIGN(OFFSET(Assumptions!$B$57,0,$C$1)-Q$185/Q$13))*R$13</f>
        <v>1.1440838734844734</v>
      </c>
      <c r="S185" s="131">
        <f ca="1">(R$185/R$13+MIN(ABS(OFFSET(Assumptions!$B$57,0,$C$1)-R$185/R$13),OFFSET(Assumptions!$B$54,0,$C$1))*SIGN(OFFSET(Assumptions!$B$57,0,$C$1)-R$185/R$13))*S$13</f>
        <v>1.1871706914816971</v>
      </c>
      <c r="T185" s="171">
        <f ca="1">(S$185/S$13+MIN(ABS(OFFSET(Assumptions!$B$57,0,$C$1)-S$185/S$13),OFFSET(Assumptions!$B$54,0,$C$1))*SIGN(OFFSET(Assumptions!$B$57,0,$C$1)-S$185/S$13))*T$13</f>
        <v>1.2315349564190123</v>
      </c>
    </row>
    <row r="186" spans="1:20" ht="15">
      <c r="A186" s="2" t="s">
        <v>410</v>
      </c>
      <c r="D186" s="34">
        <f t="shared" ref="D186:T186" si="140">SUM(D$183:D$185)</f>
        <v>28.085999999999999</v>
      </c>
      <c r="E186" s="138">
        <f t="shared" si="140"/>
        <v>42.606999999999999</v>
      </c>
      <c r="F186" s="33">
        <f t="shared" si="140"/>
        <v>35.636000000000003</v>
      </c>
      <c r="G186" s="33">
        <f t="shared" si="140"/>
        <v>36.954999999999991</v>
      </c>
      <c r="H186" s="33">
        <f t="shared" si="140"/>
        <v>38.372999999999998</v>
      </c>
      <c r="I186" s="33">
        <f t="shared" si="140"/>
        <v>39.406000000000006</v>
      </c>
      <c r="J186" s="137">
        <f t="shared" si="140"/>
        <v>40.470999999999997</v>
      </c>
      <c r="K186" s="37">
        <f t="shared" ca="1" si="140"/>
        <v>42.175333230244597</v>
      </c>
      <c r="L186" s="37">
        <f t="shared" ca="1" si="140"/>
        <v>44.330846203359151</v>
      </c>
      <c r="M186" s="37">
        <f t="shared" ca="1" si="140"/>
        <v>46.642671488490933</v>
      </c>
      <c r="N186" s="37">
        <f t="shared" ca="1" si="140"/>
        <v>48.969856019680442</v>
      </c>
      <c r="O186" s="37">
        <f t="shared" ca="1" si="140"/>
        <v>50.907964033873846</v>
      </c>
      <c r="P186" s="37">
        <f t="shared" ca="1" si="140"/>
        <v>53.267414745211589</v>
      </c>
      <c r="Q186" s="37">
        <f t="shared" ca="1" si="140"/>
        <v>55.689250032708017</v>
      </c>
      <c r="R186" s="37">
        <f t="shared" ca="1" si="140"/>
        <v>58.194547289277729</v>
      </c>
      <c r="S186" s="37">
        <f t="shared" ca="1" si="140"/>
        <v>60.781270845664963</v>
      </c>
      <c r="T186" s="140">
        <f t="shared" ca="1" si="140"/>
        <v>63.42724092894592</v>
      </c>
    </row>
    <row r="187" spans="1:20" ht="15">
      <c r="A187" s="2" t="s">
        <v>412</v>
      </c>
      <c r="B187" s="4" t="str">
        <f>$B$39</f>
        <v>From Fiscal Forecasts</v>
      </c>
      <c r="D187" s="39">
        <f>'Fiscal Forecasts'!D$161</f>
        <v>29.015000000000001</v>
      </c>
      <c r="E187" s="142">
        <f>'Fiscal Forecasts'!E$161</f>
        <v>43.616</v>
      </c>
      <c r="F187" s="38">
        <f>'Fiscal Forecasts'!F$161</f>
        <v>36.773000000000003</v>
      </c>
      <c r="G187" s="38">
        <f>'Fiscal Forecasts'!G$161</f>
        <v>38.177999999999997</v>
      </c>
      <c r="H187" s="38">
        <f>'Fiscal Forecasts'!H$161</f>
        <v>39.683</v>
      </c>
      <c r="I187" s="38">
        <f>'Fiscal Forecasts'!I$161</f>
        <v>40.807000000000002</v>
      </c>
      <c r="J187" s="141">
        <f>'Fiscal Forecasts'!J$161</f>
        <v>41.886000000000003</v>
      </c>
      <c r="K187" s="7">
        <f t="shared" ref="K187:T187" ca="1" si="141">K$186</f>
        <v>42.175333230244597</v>
      </c>
      <c r="L187" s="7">
        <f t="shared" ca="1" si="141"/>
        <v>44.330846203359151</v>
      </c>
      <c r="M187" s="7">
        <f t="shared" ca="1" si="141"/>
        <v>46.642671488490933</v>
      </c>
      <c r="N187" s="7">
        <f t="shared" ca="1" si="141"/>
        <v>48.969856019680442</v>
      </c>
      <c r="O187" s="7">
        <f t="shared" ca="1" si="141"/>
        <v>50.907964033873846</v>
      </c>
      <c r="P187" s="7">
        <f t="shared" ca="1" si="141"/>
        <v>53.267414745211589</v>
      </c>
      <c r="Q187" s="7">
        <f t="shared" ca="1" si="141"/>
        <v>55.689250032708017</v>
      </c>
      <c r="R187" s="7">
        <f t="shared" ca="1" si="141"/>
        <v>58.194547289277729</v>
      </c>
      <c r="S187" s="7">
        <f t="shared" ca="1" si="141"/>
        <v>60.781270845664963</v>
      </c>
      <c r="T187" s="134">
        <f t="shared" ca="1" si="141"/>
        <v>63.42724092894592</v>
      </c>
    </row>
    <row r="188" spans="1:20">
      <c r="A188" s="1" t="s">
        <v>413</v>
      </c>
      <c r="B188" s="4" t="str">
        <f>$B$39</f>
        <v>From Fiscal Forecasts</v>
      </c>
      <c r="D188" s="14">
        <f>'Fiscal Forecasts'!D$54-D$181</f>
        <v>2.8959999999999972</v>
      </c>
      <c r="E188" s="175">
        <f>'Fiscal Forecasts'!E$54-E$181</f>
        <v>3.6169999999999973</v>
      </c>
      <c r="F188" s="15">
        <f>'Fiscal Forecasts'!F$54-F$181</f>
        <v>4.1390000000000029</v>
      </c>
      <c r="G188" s="15">
        <f>'Fiscal Forecasts'!G$54-G$181</f>
        <v>4.4120000000000061</v>
      </c>
      <c r="H188" s="15">
        <f>'Fiscal Forecasts'!H$54-H$181</f>
        <v>4.4089999999999989</v>
      </c>
      <c r="I188" s="15">
        <f>'Fiscal Forecasts'!I$54-I$181</f>
        <v>4.2039999999999935</v>
      </c>
      <c r="J188" s="176">
        <f>'Fiscal Forecasts'!J$54-J$181</f>
        <v>4.3109999999999999</v>
      </c>
      <c r="K188" s="6">
        <f t="shared" ref="K188:T188" si="142">J$188</f>
        <v>4.3109999999999999</v>
      </c>
      <c r="L188" s="6">
        <f t="shared" si="142"/>
        <v>4.3109999999999999</v>
      </c>
      <c r="M188" s="6">
        <f t="shared" si="142"/>
        <v>4.3109999999999999</v>
      </c>
      <c r="N188" s="6">
        <f t="shared" si="142"/>
        <v>4.3109999999999999</v>
      </c>
      <c r="O188" s="6">
        <f t="shared" si="142"/>
        <v>4.3109999999999999</v>
      </c>
      <c r="P188" s="6">
        <f t="shared" si="142"/>
        <v>4.3109999999999999</v>
      </c>
      <c r="Q188" s="6">
        <f t="shared" si="142"/>
        <v>4.3109999999999999</v>
      </c>
      <c r="R188" s="104">
        <f t="shared" si="142"/>
        <v>4.3109999999999999</v>
      </c>
      <c r="S188" s="104">
        <f t="shared" si="142"/>
        <v>4.3109999999999999</v>
      </c>
      <c r="T188" s="171">
        <f t="shared" si="142"/>
        <v>4.3109999999999999</v>
      </c>
    </row>
    <row r="189" spans="1:20" ht="15">
      <c r="A189" s="2" t="s">
        <v>414</v>
      </c>
      <c r="B189" s="4"/>
      <c r="D189" s="39">
        <f t="shared" ref="D189:T189" si="143">SUM(D$181,D$188)</f>
        <v>28.74</v>
      </c>
      <c r="E189" s="142">
        <f t="shared" si="143"/>
        <v>44.027999999999999</v>
      </c>
      <c r="F189" s="38">
        <f t="shared" si="143"/>
        <v>37.411000000000001</v>
      </c>
      <c r="G189" s="38">
        <f t="shared" si="143"/>
        <v>38.917000000000002</v>
      </c>
      <c r="H189" s="38">
        <f t="shared" si="143"/>
        <v>40.241999999999997</v>
      </c>
      <c r="I189" s="38">
        <f t="shared" si="143"/>
        <v>41.061999999999998</v>
      </c>
      <c r="J189" s="141">
        <f t="shared" si="143"/>
        <v>42.170999999999999</v>
      </c>
      <c r="K189" s="7">
        <f t="shared" ca="1" si="143"/>
        <v>43.819303867932497</v>
      </c>
      <c r="L189" s="7">
        <f t="shared" ca="1" si="143"/>
        <v>45.882550166833781</v>
      </c>
      <c r="M189" s="7">
        <f t="shared" ca="1" si="143"/>
        <v>48.104734383360999</v>
      </c>
      <c r="N189" s="7">
        <f t="shared" ca="1" si="143"/>
        <v>50.344478125235582</v>
      </c>
      <c r="O189" s="7">
        <f t="shared" ca="1" si="143"/>
        <v>52.196057067776195</v>
      </c>
      <c r="P189" s="7">
        <f t="shared" ca="1" si="143"/>
        <v>54.473994052732714</v>
      </c>
      <c r="Q189" s="7">
        <f t="shared" ca="1" si="143"/>
        <v>56.816276285794821</v>
      </c>
      <c r="R189" s="7">
        <f t="shared" ca="1" si="143"/>
        <v>59.243359119489476</v>
      </c>
      <c r="S189" s="7">
        <f t="shared" ca="1" si="143"/>
        <v>61.752065622837755</v>
      </c>
      <c r="T189" s="134">
        <f t="shared" ca="1" si="143"/>
        <v>64.319363282316914</v>
      </c>
    </row>
    <row r="190" spans="1:20">
      <c r="A190" s="1" t="s">
        <v>415</v>
      </c>
      <c r="B190" s="4" t="str">
        <f>$B$39</f>
        <v>From Fiscal Forecasts</v>
      </c>
      <c r="D190" s="14">
        <f>'Fiscal Forecasts'!D$197</f>
        <v>6.6790000000000003</v>
      </c>
      <c r="E190" s="175">
        <f>'Fiscal Forecasts'!E$197</f>
        <v>7.6630000000000003</v>
      </c>
      <c r="F190" s="15">
        <f>'Fiscal Forecasts'!F$197</f>
        <v>7.8319999999999999</v>
      </c>
      <c r="G190" s="15">
        <f>'Fiscal Forecasts'!G$197</f>
        <v>7.8949999999999996</v>
      </c>
      <c r="H190" s="15">
        <f>'Fiscal Forecasts'!H$197</f>
        <v>8.3070000000000004</v>
      </c>
      <c r="I190" s="15">
        <f>'Fiscal Forecasts'!I$197</f>
        <v>8.7669999999999995</v>
      </c>
      <c r="J190" s="176">
        <f>'Fiscal Forecasts'!J$197</f>
        <v>9.3089999999999993</v>
      </c>
      <c r="K190" s="6">
        <f>J$190*Exogenous!V$25/Exogenous!U$25</f>
        <v>9.7746235026100123</v>
      </c>
      <c r="L190" s="6">
        <f>K$190*Exogenous!W$25/Exogenous!V$25</f>
        <v>10.252349165085963</v>
      </c>
      <c r="M190" s="6">
        <f>L$190*Exogenous!X$25/Exogenous!W$25</f>
        <v>10.750201839370904</v>
      </c>
      <c r="N190" s="6">
        <f>M$190*Exogenous!Y$25/Exogenous!X$25</f>
        <v>11.259658116431607</v>
      </c>
      <c r="O190" s="6">
        <f>N$190*Exogenous!Z$25/Exogenous!Y$25</f>
        <v>11.768673307434193</v>
      </c>
      <c r="P190" s="6">
        <f>O$190*Exogenous!AA$25/Exogenous!Z$25</f>
        <v>12.307461544016423</v>
      </c>
      <c r="Q190" s="6">
        <f>P$190*Exogenous!AB$25/Exogenous!AA$25</f>
        <v>12.863472285553792</v>
      </c>
      <c r="R190" s="104">
        <f>Q$190*Exogenous!AC$25/Exogenous!AB$25</f>
        <v>13.444677841750543</v>
      </c>
      <c r="S190" s="104">
        <f>R$190*Exogenous!AD$25/Exogenous!AC$25</f>
        <v>14.042136772328581</v>
      </c>
      <c r="T190" s="171">
        <f>S$190*Exogenous!AE$25/Exogenous!AD$25</f>
        <v>14.642307340525145</v>
      </c>
    </row>
    <row r="191" spans="1:20">
      <c r="A191" s="1" t="s">
        <v>416</v>
      </c>
      <c r="B191" s="4" t="str">
        <f>$B$39</f>
        <v>From Fiscal Forecasts</v>
      </c>
      <c r="D191" s="14">
        <f>'Fiscal Forecasts'!D$37-SUM(D$189:D$190)</f>
        <v>-1.5169999999999959</v>
      </c>
      <c r="E191" s="175">
        <f>'Fiscal Forecasts'!E$37-SUM(E$189:E$190)</f>
        <v>-1.7910000000000039</v>
      </c>
      <c r="F191" s="15">
        <f>'Fiscal Forecasts'!F$37-SUM(F$189:F$190)</f>
        <v>-1.7169999999999987</v>
      </c>
      <c r="G191" s="15">
        <f>'Fiscal Forecasts'!G$37-SUM(G$189:G$190)</f>
        <v>-1.8069999999999951</v>
      </c>
      <c r="H191" s="15">
        <f>'Fiscal Forecasts'!H$37-SUM(H$189:H$190)</f>
        <v>-1.9230000000000018</v>
      </c>
      <c r="I191" s="15">
        <f>'Fiscal Forecasts'!I$37-SUM(I$189:I$190)</f>
        <v>-2.0429999999999922</v>
      </c>
      <c r="J191" s="176">
        <f>'Fiscal Forecasts'!J$37-SUM(J$189:J$190)</f>
        <v>-2.2039999999999935</v>
      </c>
      <c r="K191" s="6">
        <f>J$191*Exogenous!V$26/Exogenous!U$26</f>
        <v>-2.3104736666298504</v>
      </c>
      <c r="L191" s="6">
        <f>K$191*Exogenous!W$26/Exogenous!V$26</f>
        <v>-2.4188925383543607</v>
      </c>
      <c r="M191" s="6">
        <f>L$191*Exogenous!X$26/Exogenous!W$26</f>
        <v>-2.5318723545878461</v>
      </c>
      <c r="N191" s="6">
        <f>M$191*Exogenous!Y$26/Exogenous!X$26</f>
        <v>-2.6490684639279669</v>
      </c>
      <c r="O191" s="6">
        <f>N$191*Exogenous!Z$26/Exogenous!Y$26</f>
        <v>-2.7664017218891623</v>
      </c>
      <c r="P191" s="6">
        <f>O$191*Exogenous!AA$26/Exogenous!Z$26</f>
        <v>-2.8896146233088906</v>
      </c>
      <c r="Q191" s="6">
        <f>P$191*Exogenous!AB$26/Exogenous!AA$26</f>
        <v>-3.0173816467347123</v>
      </c>
      <c r="R191" s="104">
        <f>Q$191*Exogenous!AC$26/Exogenous!AB$26</f>
        <v>-3.1507124799149056</v>
      </c>
      <c r="S191" s="104">
        <f>R$191*Exogenous!AD$26/Exogenous!AC$26</f>
        <v>-3.2882526197752169</v>
      </c>
      <c r="T191" s="171">
        <f>S$191*Exogenous!AE$26/Exogenous!AD$26</f>
        <v>-3.4265851715512645</v>
      </c>
    </row>
    <row r="192" spans="1:20" ht="15">
      <c r="A192" s="2" t="s">
        <v>417</v>
      </c>
      <c r="D192" s="34">
        <f t="shared" ref="D192:T192" si="144">SUM(D$189:D$191)</f>
        <v>33.902000000000001</v>
      </c>
      <c r="E192" s="138">
        <f t="shared" si="144"/>
        <v>49.9</v>
      </c>
      <c r="F192" s="33">
        <f t="shared" si="144"/>
        <v>43.526000000000003</v>
      </c>
      <c r="G192" s="33">
        <f t="shared" si="144"/>
        <v>45.005000000000003</v>
      </c>
      <c r="H192" s="33">
        <f t="shared" si="144"/>
        <v>46.625999999999998</v>
      </c>
      <c r="I192" s="33">
        <f t="shared" si="144"/>
        <v>47.786000000000001</v>
      </c>
      <c r="J192" s="137">
        <f t="shared" si="144"/>
        <v>49.276000000000003</v>
      </c>
      <c r="K192" s="37">
        <f t="shared" ca="1" si="144"/>
        <v>51.283453703912656</v>
      </c>
      <c r="L192" s="37">
        <f t="shared" ca="1" si="144"/>
        <v>53.716006793565377</v>
      </c>
      <c r="M192" s="37">
        <f t="shared" ca="1" si="144"/>
        <v>56.323063868144054</v>
      </c>
      <c r="N192" s="37">
        <f t="shared" ca="1" si="144"/>
        <v>58.955067777739224</v>
      </c>
      <c r="O192" s="37">
        <f t="shared" ca="1" si="144"/>
        <v>61.198328653321227</v>
      </c>
      <c r="P192" s="37">
        <f t="shared" ca="1" si="144"/>
        <v>63.891840973440253</v>
      </c>
      <c r="Q192" s="37">
        <f t="shared" ca="1" si="144"/>
        <v>66.662366924613906</v>
      </c>
      <c r="R192" s="37">
        <f t="shared" ca="1" si="144"/>
        <v>69.537324481325115</v>
      </c>
      <c r="S192" s="37">
        <f t="shared" ca="1" si="144"/>
        <v>72.505949775391116</v>
      </c>
      <c r="T192" s="140">
        <f t="shared" ca="1" si="144"/>
        <v>75.535085451290797</v>
      </c>
    </row>
    <row r="193" spans="1:20">
      <c r="A193" s="18" t="s">
        <v>1177</v>
      </c>
      <c r="E193" s="167"/>
      <c r="J193" s="167"/>
    </row>
    <row r="194" spans="1:20">
      <c r="A194" s="1" t="s">
        <v>719</v>
      </c>
      <c r="B194" s="4" t="str">
        <f>$B$11</f>
        <v>From Economic Forecasts</v>
      </c>
      <c r="D194" s="20">
        <f>'Economic Forecasts'!Q$18</f>
        <v>1200.82</v>
      </c>
      <c r="E194" s="179">
        <f>'Economic Forecasts'!R$18</f>
        <v>1244.21</v>
      </c>
      <c r="F194" s="21">
        <f>'Economic Forecasts'!S$18</f>
        <v>1288.5999999999999</v>
      </c>
      <c r="G194" s="21">
        <f>'Economic Forecasts'!T$18</f>
        <v>1352</v>
      </c>
      <c r="H194" s="21">
        <f>'Economic Forecasts'!U$18</f>
        <v>1383.23</v>
      </c>
      <c r="I194" s="21">
        <f>'Economic Forecasts'!V$18</f>
        <v>1418.39</v>
      </c>
      <c r="J194" s="180">
        <f>'Economic Forecasts'!W$18</f>
        <v>1460.03</v>
      </c>
      <c r="K194" s="9">
        <f t="shared" ref="K194:T194" ca="1" si="145">J$194*(1+K$27)</f>
        <v>1507.3636230204816</v>
      </c>
      <c r="L194" s="9">
        <f t="shared" ca="1" si="145"/>
        <v>1554.545303819481</v>
      </c>
      <c r="M194" s="9">
        <f t="shared" ca="1" si="145"/>
        <v>1601.4925719948294</v>
      </c>
      <c r="N194" s="9">
        <f t="shared" ca="1" si="145"/>
        <v>1649.8576476690732</v>
      </c>
      <c r="O194" s="9">
        <f t="shared" ca="1" si="145"/>
        <v>1699.6833486286791</v>
      </c>
      <c r="P194" s="9">
        <f t="shared" ca="1" si="145"/>
        <v>1751.0137857572652</v>
      </c>
      <c r="Q194" s="9">
        <f t="shared" ca="1" si="145"/>
        <v>1803.8944020871345</v>
      </c>
      <c r="R194" s="9">
        <f t="shared" ca="1" si="145"/>
        <v>1858.372013030166</v>
      </c>
      <c r="S194" s="9">
        <f t="shared" ca="1" si="145"/>
        <v>1914.494847823677</v>
      </c>
      <c r="T194" s="172">
        <f t="shared" ca="1" si="145"/>
        <v>1972.3125922279521</v>
      </c>
    </row>
    <row r="195" spans="1:20">
      <c r="A195" s="1" t="s">
        <v>401</v>
      </c>
      <c r="B195" s="4" t="str">
        <f>$B$11</f>
        <v>From Economic Forecasts</v>
      </c>
      <c r="D195" s="20">
        <f>'Economic Forecasts'!Q$19</f>
        <v>958.37</v>
      </c>
      <c r="E195" s="179">
        <f>'Economic Forecasts'!R$19</f>
        <v>987.95</v>
      </c>
      <c r="F195" s="21">
        <f>'Economic Forecasts'!S$19</f>
        <v>1018.53</v>
      </c>
      <c r="G195" s="21">
        <f>'Economic Forecasts'!T$19</f>
        <v>1061.6600000000001</v>
      </c>
      <c r="H195" s="21">
        <f>'Economic Forecasts'!U$19</f>
        <v>1082.23</v>
      </c>
      <c r="I195" s="21">
        <f>'Economic Forecasts'!V$19</f>
        <v>1105.3599999999999</v>
      </c>
      <c r="J195" s="180">
        <f>'Economic Forecasts'!W$19</f>
        <v>1132.55</v>
      </c>
      <c r="K195" s="9">
        <f ca="1">IF(OFFSET(Assumptions!$B$28,0,$C$1)="Yes",(52*K$194-IF(52*K$194&gt;Exogenous!$C$57,(52*K$194-Exogenous!$C$57)*Exogenous!$B$58+Exogenous!$E$57,IF(52*K$194&gt;Exogenous!$C$56,(52*K$194-Exogenous!$C$56)*Exogenous!$B$57+Exogenous!$E$56,IF(52*K$194&gt;Exogenous!$C$55,(52*K$194-Exogenous!$C$55)*Exogenous!$B$56+Exogenous!$E$55,52*K$194*Exogenous!$B$55)))-52*K$194*Exogenous!$B$60)/52,J$195*(1+K$27))</f>
        <v>1169.2668446893874</v>
      </c>
      <c r="L195" s="9">
        <f ca="1">IF(OFFSET(Assumptions!$B$28,0,$C$1)="Yes",(52*L$194-IF(52*L$194&gt;Exogenous!$C$57,(52*L$194-Exogenous!$C$57)*Exogenous!$B$58+Exogenous!$E$57,IF(52*L$194&gt;Exogenous!$C$56,(52*L$194-Exogenous!$C$56)*Exogenous!$B$57+Exogenous!$E$56,IF(52*L$194&gt;Exogenous!$C$55,(52*L$194-Exogenous!$C$55)*Exogenous!$B$56+Exogenous!$E$55,52*L$194*Exogenous!$B$55)))-52*L$194*Exogenous!$B$60)/52,K$195*(1+L$27))</f>
        <v>1205.8658273054343</v>
      </c>
      <c r="M195" s="9">
        <f ca="1">IF(OFFSET(Assumptions!$B$28,0,$C$1)="Yes",(52*M$194-IF(52*M$194&gt;Exogenous!$C$57,(52*M$194-Exogenous!$C$57)*Exogenous!$B$58+Exogenous!$E$57,IF(52*M$194&gt;Exogenous!$C$56,(52*M$194-Exogenous!$C$56)*Exogenous!$B$57+Exogenous!$E$56,IF(52*M$194&gt;Exogenous!$C$55,(52*M$194-Exogenous!$C$55)*Exogenous!$B$56+Exogenous!$E$55,52*M$194*Exogenous!$B$55)))-52*M$194*Exogenous!$B$60)/52,L$195*(1+M$27))</f>
        <v>1242.2829752900584</v>
      </c>
      <c r="N195" s="9">
        <f ca="1">IF(OFFSET(Assumptions!$B$28,0,$C$1)="Yes",(52*N$194-IF(52*N$194&gt;Exogenous!$C$57,(52*N$194-Exogenous!$C$57)*Exogenous!$B$58+Exogenous!$E$57,IF(52*N$194&gt;Exogenous!$C$56,(52*N$194-Exogenous!$C$56)*Exogenous!$B$57+Exogenous!$E$56,IF(52*N$194&gt;Exogenous!$C$55,(52*N$194-Exogenous!$C$55)*Exogenous!$B$56+Exogenous!$E$55,52*N$194*Exogenous!$B$55)))-52*N$194*Exogenous!$B$60)/52,M$195*(1+N$27))</f>
        <v>1279.7999211438182</v>
      </c>
      <c r="O195" s="9">
        <f ca="1">IF(OFFSET(Assumptions!$B$28,0,$C$1)="Yes",(52*O$194-IF(52*O$194&gt;Exogenous!$C$57,(52*O$194-Exogenous!$C$57)*Exogenous!$B$58+Exogenous!$E$57,IF(52*O$194&gt;Exogenous!$C$56,(52*O$194-Exogenous!$C$56)*Exogenous!$B$57+Exogenous!$E$56,IF(52*O$194&gt;Exogenous!$C$55,(52*O$194-Exogenous!$C$55)*Exogenous!$B$56+Exogenous!$E$55,52*O$194*Exogenous!$B$55)))-52*O$194*Exogenous!$B$60)/52,N$195*(1+O$27))</f>
        <v>1318.4498787623615</v>
      </c>
      <c r="P195" s="9">
        <f ca="1">IF(OFFSET(Assumptions!$B$28,0,$C$1)="Yes",(52*P$194-IF(52*P$194&gt;Exogenous!$C$57,(52*P$194-Exogenous!$C$57)*Exogenous!$B$58+Exogenous!$E$57,IF(52*P$194&gt;Exogenous!$C$56,(52*P$194-Exogenous!$C$56)*Exogenous!$B$57+Exogenous!$E$56,IF(52*P$194&gt;Exogenous!$C$55,(52*P$194-Exogenous!$C$55)*Exogenous!$B$56+Exogenous!$E$55,52*P$194*Exogenous!$B$55)))-52*P$194*Exogenous!$B$60)/52,O$195*(1+P$27))</f>
        <v>1358.2670651009848</v>
      </c>
      <c r="Q195" s="9">
        <f ca="1">IF(OFFSET(Assumptions!$B$28,0,$C$1)="Yes",(52*Q$194-IF(52*Q$194&gt;Exogenous!$C$57,(52*Q$194-Exogenous!$C$57)*Exogenous!$B$58+Exogenous!$E$57,IF(52*Q$194&gt;Exogenous!$C$56,(52*Q$194-Exogenous!$C$56)*Exogenous!$B$57+Exogenous!$E$56,IF(52*Q$194&gt;Exogenous!$C$55,(52*Q$194-Exogenous!$C$55)*Exogenous!$B$56+Exogenous!$E$55,52*Q$194*Exogenous!$B$55)))-52*Q$194*Exogenous!$B$60)/52,P$195*(1+Q$27))</f>
        <v>1399.2867304670347</v>
      </c>
      <c r="R195" s="9">
        <f ca="1">IF(OFFSET(Assumptions!$B$28,0,$C$1)="Yes",(52*R$194-IF(52*R$194&gt;Exogenous!$C$57,(52*R$194-Exogenous!$C$57)*Exogenous!$B$58+Exogenous!$E$57,IF(52*R$194&gt;Exogenous!$C$56,(52*R$194-Exogenous!$C$56)*Exogenous!$B$57+Exogenous!$E$56,IF(52*R$194&gt;Exogenous!$C$55,(52*R$194-Exogenous!$C$55)*Exogenous!$B$56+Exogenous!$E$55,52*R$194*Exogenous!$B$55)))-52*R$194*Exogenous!$B$60)/52,Q$195*(1+R$27))</f>
        <v>1441.5451897271391</v>
      </c>
      <c r="S195" s="9">
        <f ca="1">IF(OFFSET(Assumptions!$B$28,0,$C$1)="Yes",(52*S$194-IF(52*S$194&gt;Exogenous!$C$57,(52*S$194-Exogenous!$C$57)*Exogenous!$B$58+Exogenous!$E$57,IF(52*S$194&gt;Exogenous!$C$56,(52*S$194-Exogenous!$C$56)*Exogenous!$B$57+Exogenous!$E$56,IF(52*S$194&gt;Exogenous!$C$55,(52*S$194-Exogenous!$C$55)*Exogenous!$B$56+Exogenous!$E$55,52*S$194*Exogenous!$B$55)))-52*S$194*Exogenous!$B$60)/52,R$195*(1+S$27))</f>
        <v>1485.0798544568988</v>
      </c>
      <c r="T195" s="172">
        <f ca="1">IF(OFFSET(Assumptions!$B$28,0,$C$1)="Yes",(52*T$194-IF(52*T$194&gt;Exogenous!$C$57,(52*T$194-Exogenous!$C$57)*Exogenous!$B$58+Exogenous!$E$57,IF(52*T$194&gt;Exogenous!$C$56,(52*T$194-Exogenous!$C$56)*Exogenous!$B$57+Exogenous!$E$56,IF(52*T$194&gt;Exogenous!$C$55,(52*T$194-Exogenous!$C$55)*Exogenous!$B$56+Exogenous!$E$55,52*T$194*Exogenous!$B$55)))-52*T$194*Exogenous!$B$60)/52,S$195*(1+T$27))</f>
        <v>1529.9292660614972</v>
      </c>
    </row>
    <row r="196" spans="1:20">
      <c r="A196" s="1" t="s">
        <v>402</v>
      </c>
      <c r="B196" s="4" t="str">
        <f>$B$11</f>
        <v>From Economic Forecasts</v>
      </c>
      <c r="D196" s="20">
        <f>'Economic Forecasts'!Q$20</f>
        <v>360.42</v>
      </c>
      <c r="E196" s="179">
        <f>'Economic Forecasts'!R$20</f>
        <v>372.27</v>
      </c>
      <c r="F196" s="21">
        <f>'Economic Forecasts'!S$20</f>
        <v>384.46</v>
      </c>
      <c r="G196" s="21">
        <f>'Economic Forecasts'!T$20</f>
        <v>401.67</v>
      </c>
      <c r="H196" s="21">
        <f>'Economic Forecasts'!U$20</f>
        <v>410.04</v>
      </c>
      <c r="I196" s="21">
        <f>'Economic Forecasts'!V$20</f>
        <v>419.24</v>
      </c>
      <c r="J196" s="180">
        <f>'Economic Forecasts'!W$20</f>
        <v>430.14</v>
      </c>
      <c r="K196" s="9">
        <f ca="1">IF(OFFSET(Assumptions!$B$28,0,$C$1)="Yes",IF(52*K$197&gt;Exogenous!$D$57,(52*K$197-Exogenous!$F$58)/(1-Exogenous!$B$58),IF(52*K$197&gt;Exogenous!$D$56,(52*K$197-Exogenous!$F$57)/(1-Exogenous!$B$57),IF(52*K$197&gt;Exogenous!$D$55,(52*K$197-Exogenous!$F$56)/(1-Exogenous!$B$56),52*K$197/(1-Exogenous!$B$55))))/52,J$196*K$197/J$197)</f>
        <v>444.08675921669806</v>
      </c>
      <c r="L196" s="9">
        <f ca="1">IF(OFFSET(Assumptions!$B$28,0,$C$1)="Yes",IF(52*L$197&gt;Exogenous!$D$57,(52*L$197-Exogenous!$F$58)/(1-Exogenous!$B$58),IF(52*L$197&gt;Exogenous!$D$56,(52*L$197-Exogenous!$F$57)/(1-Exogenous!$B$57),IF(52*L$197&gt;Exogenous!$D$55,(52*L$197-Exogenous!$F$56)/(1-Exogenous!$B$56),52*L$197/(1-Exogenous!$B$55))))/52,K$196*L$197/K$197)</f>
        <v>457.98702813684019</v>
      </c>
      <c r="M196" s="9">
        <f ca="1">IF(OFFSET(Assumptions!$B$28,0,$C$1)="Yes",IF(52*M$197&gt;Exogenous!$D$57,(52*M$197-Exogenous!$F$58)/(1-Exogenous!$B$58),IF(52*M$197&gt;Exogenous!$D$56,(52*M$197-Exogenous!$F$57)/(1-Exogenous!$B$57),IF(52*M$197&gt;Exogenous!$D$55,(52*M$197-Exogenous!$F$56)/(1-Exogenous!$B$56),52*M$197/(1-Exogenous!$B$55))))/52,L$196*M$197/L$197)</f>
        <v>471.81823638657272</v>
      </c>
      <c r="N196" s="9">
        <f ca="1">IF(OFFSET(Assumptions!$B$28,0,$C$1)="Yes",IF(52*N$197&gt;Exogenous!$D$57,(52*N$197-Exogenous!$F$58)/(1-Exogenous!$B$58),IF(52*N$197&gt;Exogenous!$D$56,(52*N$197-Exogenous!$F$57)/(1-Exogenous!$B$57),IF(52*N$197&gt;Exogenous!$D$55,(52*N$197-Exogenous!$F$56)/(1-Exogenous!$B$56),52*N$197/(1-Exogenous!$B$55))))/52,M$196*N$197/M$197)</f>
        <v>486.06714712544726</v>
      </c>
      <c r="O196" s="9">
        <f ca="1">IF(OFFSET(Assumptions!$B$28,0,$C$1)="Yes",IF(52*O$197&gt;Exogenous!$D$57,(52*O$197-Exogenous!$F$58)/(1-Exogenous!$B$58),IF(52*O$197&gt;Exogenous!$D$56,(52*O$197-Exogenous!$F$57)/(1-Exogenous!$B$57),IF(52*O$197&gt;Exogenous!$D$55,(52*O$197-Exogenous!$F$56)/(1-Exogenous!$B$56),52*O$197/(1-Exogenous!$B$55))))/52,N$196*O$197/N$197)</f>
        <v>500.74637496863579</v>
      </c>
      <c r="P196" s="9">
        <f ca="1">IF(OFFSET(Assumptions!$B$28,0,$C$1)="Yes",IF(52*P$197&gt;Exogenous!$D$57,(52*P$197-Exogenous!$F$58)/(1-Exogenous!$B$58),IF(52*P$197&gt;Exogenous!$D$56,(52*P$197-Exogenous!$F$57)/(1-Exogenous!$B$57),IF(52*P$197&gt;Exogenous!$D$55,(52*P$197-Exogenous!$F$56)/(1-Exogenous!$B$56),52*P$197/(1-Exogenous!$B$55))))/52,O$196*P$197/O$197)</f>
        <v>515.86891549268853</v>
      </c>
      <c r="Q196" s="9">
        <f ca="1">IF(OFFSET(Assumptions!$B$28,0,$C$1)="Yes",IF(52*Q$197&gt;Exogenous!$D$57,(52*Q$197-Exogenous!$F$58)/(1-Exogenous!$B$58),IF(52*Q$197&gt;Exogenous!$D$56,(52*Q$197-Exogenous!$F$57)/(1-Exogenous!$B$57),IF(52*Q$197&gt;Exogenous!$D$55,(52*Q$197-Exogenous!$F$56)/(1-Exogenous!$B$56),52*Q$197/(1-Exogenous!$B$55))))/52,P$196*Q$197/P$197)</f>
        <v>531.44815674056781</v>
      </c>
      <c r="R196" s="9">
        <f ca="1">IF(OFFSET(Assumptions!$B$28,0,$C$1)="Yes",IF(52*R$197&gt;Exogenous!$D$57,(52*R$197-Exogenous!$F$58)/(1-Exogenous!$B$58),IF(52*R$197&gt;Exogenous!$D$56,(52*R$197-Exogenous!$F$57)/(1-Exogenous!$B$57),IF(52*R$197&gt;Exogenous!$D$55,(52*R$197-Exogenous!$F$56)/(1-Exogenous!$B$56),52*R$197/(1-Exogenous!$B$55))))/52,Q$196*R$197/Q$197)</f>
        <v>547.49789107413301</v>
      </c>
      <c r="S196" s="9">
        <f ca="1">IF(OFFSET(Assumptions!$B$28,0,$C$1)="Yes",IF(52*S$197&gt;Exogenous!$D$57,(52*S$197-Exogenous!$F$58)/(1-Exogenous!$B$58),IF(52*S$197&gt;Exogenous!$D$56,(52*S$197-Exogenous!$F$57)/(1-Exogenous!$B$57),IF(52*S$197&gt;Exogenous!$D$55,(52*S$197-Exogenous!$F$56)/(1-Exogenous!$B$56),52*S$197/(1-Exogenous!$B$55))))/52,R$196*S$197/R$197)</f>
        <v>564.03232738457189</v>
      </c>
      <c r="T196" s="172">
        <f ca="1">IF(OFFSET(Assumptions!$B$28,0,$C$1)="Yes",IF(52*T$197&gt;Exogenous!$D$57,(52*T$197-Exogenous!$F$58)/(1-Exogenous!$B$58),IF(52*T$197&gt;Exogenous!$D$56,(52*T$197-Exogenous!$F$57)/(1-Exogenous!$B$57),IF(52*T$197&gt;Exogenous!$D$55,(52*T$197-Exogenous!$F$56)/(1-Exogenous!$B$56),52*T$197/(1-Exogenous!$B$55))))/52,S$196*T$197/S$197)</f>
        <v>581.06610367158589</v>
      </c>
    </row>
    <row r="197" spans="1:20">
      <c r="A197" s="1" t="s">
        <v>404</v>
      </c>
      <c r="B197" s="4" t="str">
        <f>$B$11</f>
        <v>From Economic Forecasts</v>
      </c>
      <c r="D197" s="20">
        <f>'Economic Forecasts'!Q$21</f>
        <v>316.27</v>
      </c>
      <c r="E197" s="179">
        <f>'Economic Forecasts'!R$21</f>
        <v>326.02</v>
      </c>
      <c r="F197" s="21">
        <f>'Economic Forecasts'!S$21</f>
        <v>336.11</v>
      </c>
      <c r="G197" s="21">
        <f>'Economic Forecasts'!T$21</f>
        <v>350.35</v>
      </c>
      <c r="H197" s="21">
        <f>'Economic Forecasts'!U$21</f>
        <v>357.14</v>
      </c>
      <c r="I197" s="21">
        <f>'Economic Forecasts'!V$21</f>
        <v>364.77</v>
      </c>
      <c r="J197" s="180">
        <f>'Economic Forecasts'!W$21</f>
        <v>373.74</v>
      </c>
      <c r="K197" s="9">
        <f ca="1">MAX(OFFSET(Assumptions!$B$40,0,$C$1)*K$195/2,J$197*(1+K$30))</f>
        <v>385.85805874749786</v>
      </c>
      <c r="L197" s="9">
        <f ca="1">MAX(OFFSET(Assumptions!$B$40,0,$C$1)*L$195/2,K$197*(1+L$30))</f>
        <v>397.93572301079337</v>
      </c>
      <c r="M197" s="9">
        <f ca="1">MAX(OFFSET(Assumptions!$B$40,0,$C$1)*M$195/2,L$197*(1+M$30))</f>
        <v>409.95338184571926</v>
      </c>
      <c r="N197" s="9">
        <f ca="1">MAX(OFFSET(Assumptions!$B$40,0,$C$1)*N$195/2,M$197*(1+N$30))</f>
        <v>422.33397397746</v>
      </c>
      <c r="O197" s="9">
        <f ca="1">MAX(OFFSET(Assumptions!$B$40,0,$C$1)*O$195/2,N$197*(1+O$30))</f>
        <v>435.08845999157933</v>
      </c>
      <c r="P197" s="9">
        <f ca="1">MAX(OFFSET(Assumptions!$B$40,0,$C$1)*P$195/2,O$197*(1+P$30))</f>
        <v>448.228131483325</v>
      </c>
      <c r="Q197" s="9">
        <f ca="1">MAX(OFFSET(Assumptions!$B$40,0,$C$1)*Q$195/2,P$197*(1+Q$30))</f>
        <v>461.76462105412145</v>
      </c>
      <c r="R197" s="9">
        <f ca="1">MAX(OFFSET(Assumptions!$B$40,0,$C$1)*R$195/2,Q$197*(1+R$30))</f>
        <v>475.70991260995595</v>
      </c>
      <c r="S197" s="9">
        <f ca="1">MAX(OFFSET(Assumptions!$B$40,0,$C$1)*S$195/2,R$197*(1+S$30))</f>
        <v>490.07635197077661</v>
      </c>
      <c r="T197" s="172">
        <f ca="1">MAX(OFFSET(Assumptions!$B$40,0,$C$1)*T$195/2,S$197*(1+T$30))</f>
        <v>504.87665780029408</v>
      </c>
    </row>
    <row r="198" spans="1:20">
      <c r="A198" s="1" t="s">
        <v>1178</v>
      </c>
      <c r="B198" s="4" t="str">
        <f t="shared" ref="B198:B202" si="146">$B$11</f>
        <v>From Economic Forecasts</v>
      </c>
      <c r="D198" s="22">
        <f>'Economic Forecasts'!Q$23</f>
        <v>767</v>
      </c>
      <c r="E198" s="181">
        <f>'Economic Forecasts'!R$23</f>
        <v>795</v>
      </c>
      <c r="F198" s="23">
        <f>'Economic Forecasts'!S$23</f>
        <v>825</v>
      </c>
      <c r="G198" s="23">
        <f>'Economic Forecasts'!T$23</f>
        <v>851</v>
      </c>
      <c r="H198" s="23">
        <f>'Economic Forecasts'!U$23</f>
        <v>879</v>
      </c>
      <c r="I198" s="23">
        <f>'Economic Forecasts'!V$23</f>
        <v>907</v>
      </c>
      <c r="J198" s="182">
        <f>'Economic Forecasts'!W$23</f>
        <v>937</v>
      </c>
      <c r="K198" s="3">
        <f>J$198*(1+'Population Treasury'!V$203)</f>
        <v>969.91807096150853</v>
      </c>
      <c r="L198" s="169">
        <f>K$198*(1+'Population Treasury'!W$203)</f>
        <v>1003.7568640008823</v>
      </c>
      <c r="M198" s="169">
        <f>L$198*(1+'Population Treasury'!X$203)</f>
        <v>1037.4360854610961</v>
      </c>
      <c r="N198" s="169">
        <f>M$198*(1+'Population Treasury'!Y$203)</f>
        <v>1069.1081303025624</v>
      </c>
      <c r="O198" s="169">
        <f>N$198*(1+'Population Treasury'!Z$203)</f>
        <v>1098.28838080998</v>
      </c>
      <c r="P198" s="169">
        <f>O$198*(1+'Population Treasury'!AA$203)</f>
        <v>1125.5523205202696</v>
      </c>
      <c r="Q198" s="169">
        <f>P$198*(1+'Population Treasury'!AB$203)</f>
        <v>1152.1922633409013</v>
      </c>
      <c r="R198" s="169">
        <f>Q$198*(1+'Population Treasury'!AC$203)</f>
        <v>1179.1370598928697</v>
      </c>
      <c r="S198" s="169">
        <f>R$198*(1+'Population Treasury'!AD$203)</f>
        <v>1206.2453633425453</v>
      </c>
      <c r="T198" s="169">
        <f>S$198*(1+'Population Treasury'!AE$203)</f>
        <v>1232.1017376943587</v>
      </c>
    </row>
    <row r="199" spans="1:20">
      <c r="A199" s="1" t="s">
        <v>1179</v>
      </c>
      <c r="B199" s="4" t="str">
        <f t="shared" si="146"/>
        <v>From Economic Forecasts</v>
      </c>
      <c r="D199" s="22">
        <f>'Economic Forecasts'!Q$24</f>
        <v>139</v>
      </c>
      <c r="E199" s="181">
        <f>'Economic Forecasts'!R$24</f>
        <v>162</v>
      </c>
      <c r="F199" s="23">
        <f>'Economic Forecasts'!S$24</f>
        <v>214</v>
      </c>
      <c r="G199" s="23">
        <f>'Economic Forecasts'!T$24</f>
        <v>222</v>
      </c>
      <c r="H199" s="23">
        <f>'Economic Forecasts'!U$24</f>
        <v>203</v>
      </c>
      <c r="I199" s="23">
        <f>'Economic Forecasts'!V$24</f>
        <v>191</v>
      </c>
      <c r="J199" s="182">
        <f>'Economic Forecasts'!W$24</f>
        <v>178</v>
      </c>
      <c r="K199" s="3">
        <f ca="1">IF(ABS(OFFSET(Assumptions!$B$43,0,$C$1)-J$199/'Population Treasury'!U$205)&gt;OFFSET(Assumptions!$B$42,0,$C$1),(J$199/'Population Treasury'!U$205+SIGN(OFFSET(Assumptions!$B$43,0,$C$1)-J$199/'Population Treasury'!U$205)*OFFSET(Assumptions!$B$42,0,$C$1))*'Population Treasury'!V$205,J$199*(1+SUMPRODUCT(Exogenous!$B$41:$B$51,'Population Treasury'!V$208:V$218)+SUMPRODUCT(Exogenous!$C$41:$C$51,'Population Treasury'!V$219:V$229))*AVERAGE(1,K$17*K$24/(J$17*J$24)))</f>
        <v>163.56327019554186</v>
      </c>
      <c r="L199" s="169">
        <f ca="1">IF(ABS(OFFSET(Assumptions!$B$43,0,$C$1)-K$199/'Population Treasury'!V$205)&gt;OFFSET(Assumptions!$B$42,0,$C$1),(K$199/'Population Treasury'!V$205+SIGN(OFFSET(Assumptions!$B$43,0,$C$1)-K$199/'Population Treasury'!V$205)*OFFSET(Assumptions!$B$42,0,$C$1))*'Population Treasury'!W$205,K$199*(1+SUMPRODUCT(Exogenous!$B$41:$B$51,'Population Treasury'!W$208:W$218)+SUMPRODUCT(Exogenous!$C$41:$C$51,'Population Treasury'!W$219:W$229))*AVERAGE(1,L$17*L$24/(K$17*K$24)))</f>
        <v>166.8574622311655</v>
      </c>
      <c r="M199" s="169">
        <f ca="1">IF(ABS(OFFSET(Assumptions!$B$43,0,$C$1)-L$199/'Population Treasury'!W$205)&gt;OFFSET(Assumptions!$B$42,0,$C$1),(L$199/'Population Treasury'!W$205+SIGN(OFFSET(Assumptions!$B$43,0,$C$1)-L$199/'Population Treasury'!W$205)*OFFSET(Assumptions!$B$42,0,$C$1))*'Population Treasury'!X$205,L$199*(1+SUMPRODUCT(Exogenous!$B$41:$B$51,'Population Treasury'!X$208:X$218)+SUMPRODUCT(Exogenous!$C$41:$C$51,'Population Treasury'!X$219:X$229))*AVERAGE(1,M$17*M$24/(L$17*L$24)))</f>
        <v>170.12120610903867</v>
      </c>
      <c r="N199" s="169">
        <f ca="1">IF(ABS(OFFSET(Assumptions!$B$43,0,$C$1)-M$199/'Population Treasury'!X$205)&gt;OFFSET(Assumptions!$B$42,0,$C$1),(M$199/'Population Treasury'!X$205+SIGN(OFFSET(Assumptions!$B$43,0,$C$1)-M$199/'Population Treasury'!X$205)*OFFSET(Assumptions!$B$42,0,$C$1))*'Population Treasury'!Y$205,M$199*(1+SUMPRODUCT(Exogenous!$B$41:$B$51,'Population Treasury'!Y$208:Y$218)+SUMPRODUCT(Exogenous!$C$41:$C$51,'Population Treasury'!Y$219:Y$229))*AVERAGE(1,N$17*N$24/(M$17*M$24)))</f>
        <v>172.55170150362119</v>
      </c>
      <c r="O199" s="169">
        <f ca="1">IF(ABS(OFFSET(Assumptions!$B$43,0,$C$1)-N$199/'Population Treasury'!Y$205)&gt;OFFSET(Assumptions!$B$42,0,$C$1),(N$199/'Population Treasury'!Y$205+SIGN(OFFSET(Assumptions!$B$43,0,$C$1)-N$199/'Population Treasury'!Y$205)*OFFSET(Assumptions!$B$42,0,$C$1))*'Population Treasury'!Z$205,N$199*(1+SUMPRODUCT(Exogenous!$B$41:$B$51,'Population Treasury'!Z$208:Z$218)+SUMPRODUCT(Exogenous!$C$41:$C$51,'Population Treasury'!Z$219:Z$229))*AVERAGE(1,O$17*O$24/(N$17*N$24)))</f>
        <v>157.24858789191393</v>
      </c>
      <c r="P199" s="169">
        <f ca="1">IF(ABS(OFFSET(Assumptions!$B$43,0,$C$1)-O$199/'Population Treasury'!Z$205)&gt;OFFSET(Assumptions!$B$42,0,$C$1),(O$199/'Population Treasury'!Z$205+SIGN(OFFSET(Assumptions!$B$43,0,$C$1)-O$199/'Population Treasury'!Z$205)*OFFSET(Assumptions!$B$42,0,$C$1))*'Population Treasury'!AA$205,O$199*(1+SUMPRODUCT(Exogenous!$B$41:$B$51,'Population Treasury'!AA$208:AA$218)+SUMPRODUCT(Exogenous!$C$41:$C$51,'Population Treasury'!AA$219:AA$229))*AVERAGE(1,P$17*P$24/(O$17*O$24)))</f>
        <v>159.2848921233734</v>
      </c>
      <c r="Q199" s="169">
        <f ca="1">IF(ABS(OFFSET(Assumptions!$B$43,0,$C$1)-P$199/'Population Treasury'!AA$205)&gt;OFFSET(Assumptions!$B$42,0,$C$1),(P$199/'Population Treasury'!AA$205+SIGN(OFFSET(Assumptions!$B$43,0,$C$1)-P$199/'Population Treasury'!AA$205)*OFFSET(Assumptions!$B$42,0,$C$1))*'Population Treasury'!AB$205,P$199*(1+SUMPRODUCT(Exogenous!$B$41:$B$51,'Population Treasury'!AB$208:AB$218)+SUMPRODUCT(Exogenous!$C$41:$C$51,'Population Treasury'!AB$219:AB$229))*AVERAGE(1,Q$17*Q$24/(P$17*P$24)))</f>
        <v>161.17953058286167</v>
      </c>
      <c r="R199" s="169">
        <f ca="1">IF(ABS(OFFSET(Assumptions!$B$43,0,$C$1)-Q$199/'Population Treasury'!AB$205)&gt;OFFSET(Assumptions!$B$42,0,$C$1),(Q$199/'Population Treasury'!AB$205+SIGN(OFFSET(Assumptions!$B$43,0,$C$1)-Q$199/'Population Treasury'!AB$205)*OFFSET(Assumptions!$B$42,0,$C$1))*'Population Treasury'!AC$205,Q$199*(1+SUMPRODUCT(Exogenous!$B$41:$B$51,'Population Treasury'!AC$208:AC$218)+SUMPRODUCT(Exogenous!$C$41:$C$51,'Population Treasury'!AC$219:AC$229))*AVERAGE(1,R$17*R$24/(Q$17*Q$24)))</f>
        <v>162.87681321828063</v>
      </c>
      <c r="S199" s="169">
        <f ca="1">IF(ABS(OFFSET(Assumptions!$B$43,0,$C$1)-R$199/'Population Treasury'!AC$205)&gt;OFFSET(Assumptions!$B$42,0,$C$1),(R$199/'Population Treasury'!AC$205+SIGN(OFFSET(Assumptions!$B$43,0,$C$1)-R$199/'Population Treasury'!AC$205)*OFFSET(Assumptions!$B$42,0,$C$1))*'Population Treasury'!AD$205,R$199*(1+SUMPRODUCT(Exogenous!$B$41:$B$51,'Population Treasury'!AD$208:AD$218)+SUMPRODUCT(Exogenous!$C$41:$C$51,'Population Treasury'!AD$219:AD$229))*AVERAGE(1,S$17*S$24/(R$17*R$24)))</f>
        <v>164.32253919310148</v>
      </c>
      <c r="T199" s="169">
        <f ca="1">IF(ABS(OFFSET(Assumptions!$B$43,0,$C$1)-S$199/'Population Treasury'!AD$205)&gt;OFFSET(Assumptions!$B$42,0,$C$1),(S$199/'Population Treasury'!AD$205+SIGN(OFFSET(Assumptions!$B$43,0,$C$1)-S$199/'Population Treasury'!AD$205)*OFFSET(Assumptions!$B$42,0,$C$1))*'Population Treasury'!AE$205,S$199*(1+SUMPRODUCT(Exogenous!$B$41:$B$51,'Population Treasury'!AE$208:AE$218)+SUMPRODUCT(Exogenous!$C$41:$C$51,'Population Treasury'!AE$219:AE$229))*AVERAGE(1,T$17*T$24/(S$17*S$24)))</f>
        <v>165.72001962621891</v>
      </c>
    </row>
    <row r="200" spans="1:20">
      <c r="A200" s="1" t="s">
        <v>1180</v>
      </c>
      <c r="B200" s="4" t="str">
        <f t="shared" si="146"/>
        <v>From Economic Forecasts</v>
      </c>
      <c r="D200" s="22">
        <f>'Economic Forecasts'!Q$25</f>
        <v>95</v>
      </c>
      <c r="E200" s="181">
        <f>'Economic Forecasts'!R$25</f>
        <v>96</v>
      </c>
      <c r="F200" s="23">
        <f>'Economic Forecasts'!S$25</f>
        <v>97</v>
      </c>
      <c r="G200" s="23">
        <f>'Economic Forecasts'!T$25</f>
        <v>98</v>
      </c>
      <c r="H200" s="23">
        <f>'Economic Forecasts'!U$25</f>
        <v>100</v>
      </c>
      <c r="I200" s="23">
        <f>'Economic Forecasts'!V$25</f>
        <v>100</v>
      </c>
      <c r="J200" s="182">
        <f>'Economic Forecasts'!W$25</f>
        <v>101</v>
      </c>
      <c r="K200" s="3">
        <f ca="1">IF(ABS(OFFSET(Assumptions!$B$44,0,$C$1)-J$200/'Population Treasury'!U$205)&gt;OFFSET(Assumptions!$B$42,0,$C$1),(J$200/'Population Treasury'!U$205+SIGN(OFFSET(Assumptions!$B$44,0,$C$1)-J$200/'Population Treasury'!U$205)*OFFSET(Assumptions!$B$42,0,$C$1))*'Population Treasury'!V$205,J$200*(1+SUMPRODUCT(Exogenous!$I$41:$I$51,'Population Treasury'!V$208:V$218)+SUMPRODUCT(Exogenous!$J$41:$J$51,'Population Treasury'!V$219:V$229)))</f>
        <v>101.6654368514245</v>
      </c>
      <c r="L200" s="169">
        <f ca="1">IF(ABS(OFFSET(Assumptions!$B$44,0,$C$1)-K$200/'Population Treasury'!V$205)&gt;OFFSET(Assumptions!$B$42,0,$C$1),(K$200/'Population Treasury'!V$205+SIGN(OFFSET(Assumptions!$B$44,0,$C$1)-K$200/'Population Treasury'!V$205)*OFFSET(Assumptions!$B$42,0,$C$1))*'Population Treasury'!W$205,K$200*(1+SUMPRODUCT(Exogenous!$I$41:$I$51,'Population Treasury'!W$208:W$218)+SUMPRODUCT(Exogenous!$J$41:$J$51,'Population Treasury'!W$219:W$229)))</f>
        <v>102.2237651056162</v>
      </c>
      <c r="M200" s="169">
        <f ca="1">IF(ABS(OFFSET(Assumptions!$B$44,0,$C$1)-L$200/'Population Treasury'!W$205)&gt;OFFSET(Assumptions!$B$42,0,$C$1),(L$200/'Population Treasury'!W$205+SIGN(OFFSET(Assumptions!$B$44,0,$C$1)-L$200/'Population Treasury'!W$205)*OFFSET(Assumptions!$B$42,0,$C$1))*'Population Treasury'!X$205,L$200*(1+SUMPRODUCT(Exogenous!$I$41:$I$51,'Population Treasury'!X$208:X$218)+SUMPRODUCT(Exogenous!$J$41:$J$51,'Population Treasury'!X$219:X$229)))</f>
        <v>102.72133233182068</v>
      </c>
      <c r="N200" s="169">
        <f ca="1">IF(ABS(OFFSET(Assumptions!$B$44,0,$C$1)-M$200/'Population Treasury'!X$205)&gt;OFFSET(Assumptions!$B$42,0,$C$1),(M$200/'Population Treasury'!X$205+SIGN(OFFSET(Assumptions!$B$44,0,$C$1)-M$200/'Population Treasury'!X$205)*OFFSET(Assumptions!$B$42,0,$C$1))*'Population Treasury'!Y$205,M$200*(1+SUMPRODUCT(Exogenous!$I$41:$I$51,'Population Treasury'!Y$208:Y$218)+SUMPRODUCT(Exogenous!$J$41:$J$51,'Population Treasury'!Y$219:Y$229)))</f>
        <v>103.28778771575274</v>
      </c>
      <c r="O200" s="169">
        <f ca="1">IF(ABS(OFFSET(Assumptions!$B$44,0,$C$1)-N$200/'Population Treasury'!Y$205)&gt;OFFSET(Assumptions!$B$42,0,$C$1),(N$200/'Population Treasury'!Y$205+SIGN(OFFSET(Assumptions!$B$44,0,$C$1)-N$200/'Population Treasury'!Y$205)*OFFSET(Assumptions!$B$42,0,$C$1))*'Population Treasury'!Z$205,N$200*(1+SUMPRODUCT(Exogenous!$I$41:$I$51,'Population Treasury'!Z$208:Z$218)+SUMPRODUCT(Exogenous!$J$41:$J$51,'Population Treasury'!Z$219:Z$229)))</f>
        <v>103.9271072697647</v>
      </c>
      <c r="P200" s="169">
        <f ca="1">IF(ABS(OFFSET(Assumptions!$B$44,0,$C$1)-O$200/'Population Treasury'!Z$205)&gt;OFFSET(Assumptions!$B$42,0,$C$1),(O$200/'Population Treasury'!Z$205+SIGN(OFFSET(Assumptions!$B$44,0,$C$1)-O$200/'Population Treasury'!Z$205)*OFFSET(Assumptions!$B$42,0,$C$1))*'Population Treasury'!AA$205,O$200*(1+SUMPRODUCT(Exogenous!$I$41:$I$51,'Population Treasury'!AA$208:AA$218)+SUMPRODUCT(Exogenous!$J$41:$J$51,'Population Treasury'!AA$219:AA$229)))</f>
        <v>104.62298054300547</v>
      </c>
      <c r="Q200" s="169">
        <f ca="1">IF(ABS(OFFSET(Assumptions!$B$44,0,$C$1)-P$200/'Population Treasury'!AA$205)&gt;OFFSET(Assumptions!$B$42,0,$C$1),(P$200/'Population Treasury'!AA$205+SIGN(OFFSET(Assumptions!$B$44,0,$C$1)-P$200/'Population Treasury'!AA$205)*OFFSET(Assumptions!$B$42,0,$C$1))*'Population Treasury'!AB$205,P$200*(1+SUMPRODUCT(Exogenous!$I$41:$I$51,'Population Treasury'!AB$208:AB$218)+SUMPRODUCT(Exogenous!$J$41:$J$51,'Population Treasury'!AB$219:AB$229)))</f>
        <v>105.28757448698741</v>
      </c>
      <c r="R200" s="169">
        <f ca="1">IF(ABS(OFFSET(Assumptions!$B$44,0,$C$1)-Q$200/'Population Treasury'!AB$205)&gt;OFFSET(Assumptions!$B$42,0,$C$1),(Q$200/'Population Treasury'!AB$205+SIGN(OFFSET(Assumptions!$B$44,0,$C$1)-Q$200/'Population Treasury'!AB$205)*OFFSET(Assumptions!$B$42,0,$C$1))*'Population Treasury'!AC$205,Q$200*(1+SUMPRODUCT(Exogenous!$I$41:$I$51,'Population Treasury'!AC$208:AC$218)+SUMPRODUCT(Exogenous!$J$41:$J$51,'Population Treasury'!AC$219:AC$229)))</f>
        <v>105.86855430735109</v>
      </c>
      <c r="S200" s="169">
        <f ca="1">IF(ABS(OFFSET(Assumptions!$B$44,0,$C$1)-R$200/'Population Treasury'!AC$205)&gt;OFFSET(Assumptions!$B$42,0,$C$1),(R$200/'Population Treasury'!AC$205+SIGN(OFFSET(Assumptions!$B$44,0,$C$1)-R$200/'Population Treasury'!AC$205)*OFFSET(Assumptions!$B$42,0,$C$1))*'Population Treasury'!AD$205,R$200*(1+SUMPRODUCT(Exogenous!$I$41:$I$51,'Population Treasury'!AD$208:AD$218)+SUMPRODUCT(Exogenous!$J$41:$J$51,'Population Treasury'!AD$219:AD$229)))</f>
        <v>106.34959855467287</v>
      </c>
      <c r="T200" s="169">
        <f ca="1">IF(ABS(OFFSET(Assumptions!$B$44,0,$C$1)-S$200/'Population Treasury'!AD$205)&gt;OFFSET(Assumptions!$B$42,0,$C$1),(S$200/'Population Treasury'!AD$205+SIGN(OFFSET(Assumptions!$B$44,0,$C$1)-S$200/'Population Treasury'!AD$205)*OFFSET(Assumptions!$B$42,0,$C$1))*'Population Treasury'!AE$205,S$200*(1+SUMPRODUCT(Exogenous!$I$41:$I$51,'Population Treasury'!AE$208:AE$218)+SUMPRODUCT(Exogenous!$J$41:$J$51,'Population Treasury'!AE$219:AE$229)))</f>
        <v>106.88539604069406</v>
      </c>
    </row>
    <row r="201" spans="1:20">
      <c r="A201" s="1" t="s">
        <v>1181</v>
      </c>
      <c r="B201" s="4" t="str">
        <f t="shared" si="146"/>
        <v>From Economic Forecasts</v>
      </c>
      <c r="D201" s="22">
        <f>'Economic Forecasts'!Q$26</f>
        <v>59</v>
      </c>
      <c r="E201" s="181">
        <f>'Economic Forecasts'!R$26</f>
        <v>61</v>
      </c>
      <c r="F201" s="23">
        <f>'Economic Forecasts'!S$26</f>
        <v>67</v>
      </c>
      <c r="G201" s="23">
        <f>'Economic Forecasts'!T$26</f>
        <v>71</v>
      </c>
      <c r="H201" s="23">
        <f>'Economic Forecasts'!U$26</f>
        <v>74</v>
      </c>
      <c r="I201" s="23">
        <f>'Economic Forecasts'!V$26</f>
        <v>72</v>
      </c>
      <c r="J201" s="182">
        <f>'Economic Forecasts'!W$26</f>
        <v>70</v>
      </c>
      <c r="K201" s="3">
        <f ca="1">IF(ABS(OFFSET(Assumptions!$B$45,0,$C$1)-J$201/'Population Treasury'!U$206)&gt;OFFSET(Assumptions!$B$42,0,$C$1),(J$201/'Population Treasury'!U$206+SIGN(OFFSET(Assumptions!$B$45,0,$C$1)-J$201/'Population Treasury'!U$206)*OFFSET(Assumptions!$B$42,0,$C$1))*'Population Treasury'!V$206,J$201*(1+SUMPRODUCT(Exogenous!$P$41:$P$51,'Population Treasury'!V$208:V$218)+SUMPRODUCT(Exogenous!$Q$41:$Q$51,'Population Treasury'!V$219:V$229)))</f>
        <v>70.630735049824082</v>
      </c>
      <c r="L201" s="169">
        <f ca="1">IF(ABS(OFFSET(Assumptions!$B$45,0,$C$1)-K$201/'Population Treasury'!V$206)&gt;OFFSET(Assumptions!$B$42,0,$C$1),(K$201/'Population Treasury'!V$206+SIGN(OFFSET(Assumptions!$B$45,0,$C$1)-K$201/'Population Treasury'!V$206)*OFFSET(Assumptions!$B$42,0,$C$1))*'Population Treasury'!W$206,K$201*(1+SUMPRODUCT(Exogenous!$P$41:$P$51,'Population Treasury'!W$208:W$218)+SUMPRODUCT(Exogenous!$Q$41:$Q$51,'Population Treasury'!W$219:W$229)))</f>
        <v>71.251631749462604</v>
      </c>
      <c r="M201" s="169">
        <f ca="1">IF(ABS(OFFSET(Assumptions!$B$45,0,$C$1)-L$201/'Population Treasury'!W$206)&gt;OFFSET(Assumptions!$B$42,0,$C$1),(L$201/'Population Treasury'!W$206+SIGN(OFFSET(Assumptions!$B$45,0,$C$1)-L$201/'Population Treasury'!W$206)*OFFSET(Assumptions!$B$42,0,$C$1))*'Population Treasury'!X$206,L$201*(1+SUMPRODUCT(Exogenous!$P$41:$P$51,'Population Treasury'!X$208:X$218)+SUMPRODUCT(Exogenous!$Q$41:$Q$51,'Population Treasury'!X$219:X$229)))</f>
        <v>71.879703153966304</v>
      </c>
      <c r="N201" s="169">
        <f ca="1">IF(ABS(OFFSET(Assumptions!$B$45,0,$C$1)-M$201/'Population Treasury'!X$206)&gt;OFFSET(Assumptions!$B$42,0,$C$1),(M$201/'Population Treasury'!X$206+SIGN(OFFSET(Assumptions!$B$45,0,$C$1)-M$201/'Population Treasury'!X$206)*OFFSET(Assumptions!$B$42,0,$C$1))*'Population Treasury'!Y$206,M$201*(1+SUMPRODUCT(Exogenous!$P$41:$P$51,'Population Treasury'!Y$208:Y$218)+SUMPRODUCT(Exogenous!$Q$41:$Q$51,'Population Treasury'!Y$219:Y$229)))</f>
        <v>72.488855808711619</v>
      </c>
      <c r="O201" s="169">
        <f ca="1">IF(ABS(OFFSET(Assumptions!$B$45,0,$C$1)-N$201/'Population Treasury'!Y$206)&gt;OFFSET(Assumptions!$B$42,0,$C$1),(N$201/'Population Treasury'!Y$206+SIGN(OFFSET(Assumptions!$B$45,0,$C$1)-N$201/'Population Treasury'!Y$206)*OFFSET(Assumptions!$B$42,0,$C$1))*'Population Treasury'!Z$206,N$201*(1+SUMPRODUCT(Exogenous!$P$41:$P$51,'Population Treasury'!Z$208:Z$218)+SUMPRODUCT(Exogenous!$Q$41:$Q$51,'Population Treasury'!Z$219:Z$229)))</f>
        <v>73.088142670599694</v>
      </c>
      <c r="P201" s="169">
        <f ca="1">IF(ABS(OFFSET(Assumptions!$B$45,0,$C$1)-O$201/'Population Treasury'!Z$206)&gt;OFFSET(Assumptions!$B$42,0,$C$1),(O$201/'Population Treasury'!Z$206+SIGN(OFFSET(Assumptions!$B$45,0,$C$1)-O$201/'Population Treasury'!Z$206)*OFFSET(Assumptions!$B$42,0,$C$1))*'Population Treasury'!AA$206,O$201*(1+SUMPRODUCT(Exogenous!$P$41:$P$51,'Population Treasury'!AA$208:AA$218)+SUMPRODUCT(Exogenous!$Q$41:$Q$51,'Population Treasury'!AA$219:AA$229)))</f>
        <v>73.663438859976225</v>
      </c>
      <c r="Q201" s="169">
        <f ca="1">IF(ABS(OFFSET(Assumptions!$B$45,0,$C$1)-P$201/'Population Treasury'!AA$206)&gt;OFFSET(Assumptions!$B$42,0,$C$1),(P$201/'Population Treasury'!AA$206+SIGN(OFFSET(Assumptions!$B$45,0,$C$1)-P$201/'Population Treasury'!AA$206)*OFFSET(Assumptions!$B$42,0,$C$1))*'Population Treasury'!AB$206,P$201*(1+SUMPRODUCT(Exogenous!$P$41:$P$51,'Population Treasury'!AB$208:AB$218)+SUMPRODUCT(Exogenous!$Q$41:$Q$51,'Population Treasury'!AB$219:AB$229)))</f>
        <v>74.230009251356321</v>
      </c>
      <c r="R201" s="169">
        <f ca="1">IF(ABS(OFFSET(Assumptions!$B$45,0,$C$1)-Q$201/'Population Treasury'!AB$206)&gt;OFFSET(Assumptions!$B$42,0,$C$1),(Q$201/'Population Treasury'!AB$206+SIGN(OFFSET(Assumptions!$B$45,0,$C$1)-Q$201/'Population Treasury'!AB$206)*OFFSET(Assumptions!$B$42,0,$C$1))*'Population Treasury'!AC$206,Q$201*(1+SUMPRODUCT(Exogenous!$P$41:$P$51,'Population Treasury'!AC$208:AC$218)+SUMPRODUCT(Exogenous!$Q$41:$Q$51,'Population Treasury'!AC$219:AC$229)))</f>
        <v>74.762462250942519</v>
      </c>
      <c r="S201" s="169">
        <f ca="1">IF(ABS(OFFSET(Assumptions!$B$45,0,$C$1)-R$201/'Population Treasury'!AC$206)&gt;OFFSET(Assumptions!$B$42,0,$C$1),(R$201/'Population Treasury'!AC$206+SIGN(OFFSET(Assumptions!$B$45,0,$C$1)-R$201/'Population Treasury'!AC$206)*OFFSET(Assumptions!$B$42,0,$C$1))*'Population Treasury'!AD$206,R$201*(1+SUMPRODUCT(Exogenous!$P$41:$P$51,'Population Treasury'!AD$208:AD$218)+SUMPRODUCT(Exogenous!$Q$41:$Q$51,'Population Treasury'!AD$219:AD$229)))</f>
        <v>75.181960416165111</v>
      </c>
      <c r="T201" s="169">
        <f ca="1">IF(ABS(OFFSET(Assumptions!$B$45,0,$C$1)-S$201/'Population Treasury'!AD$206)&gt;OFFSET(Assumptions!$B$42,0,$C$1),(S$201/'Population Treasury'!AD$206+SIGN(OFFSET(Assumptions!$B$45,0,$C$1)-S$201/'Population Treasury'!AD$206)*OFFSET(Assumptions!$B$42,0,$C$1))*'Population Treasury'!AE$206,S$201*(1+SUMPRODUCT(Exogenous!$P$41:$P$51,'Population Treasury'!AE$208:AE$218)+SUMPRODUCT(Exogenous!$Q$41:$Q$51,'Population Treasury'!AE$219:AE$229)))</f>
        <v>75.579269204171354</v>
      </c>
    </row>
    <row r="202" spans="1:20">
      <c r="A202" s="1" t="s">
        <v>1182</v>
      </c>
      <c r="B202" s="4" t="str">
        <f t="shared" si="146"/>
        <v>From Economic Forecasts</v>
      </c>
      <c r="D202" s="22">
        <f>'Economic Forecasts'!Q$27</f>
        <v>295</v>
      </c>
      <c r="E202" s="181">
        <f>'Economic Forecasts'!R$27</f>
        <v>318</v>
      </c>
      <c r="F202" s="23">
        <f>'Economic Forecasts'!S$27</f>
        <v>367</v>
      </c>
      <c r="G202" s="23">
        <f>'Economic Forecasts'!T$27</f>
        <v>379</v>
      </c>
      <c r="H202" s="23">
        <f>'Economic Forecasts'!U$27</f>
        <v>373</v>
      </c>
      <c r="I202" s="23">
        <f>'Economic Forecasts'!V$27</f>
        <v>370</v>
      </c>
      <c r="J202" s="182">
        <f>'Economic Forecasts'!W$27</f>
        <v>365</v>
      </c>
      <c r="K202" s="3">
        <f ca="1">IF(ABS(OFFSET(Assumptions!$B$47,0,$C$1)-J$202/(1000*J$19))&gt;OFFSET(Assumptions!$B$46,0,$C$1),(J$202/(1000*J$19)+SIGN(OFFSET(Assumptions!$B$47,0,$C$1)-J$202/(1000*J$19))*OFFSET(Assumptions!$B$46,0,$C$1))*1000*K$19,J$202*K$19/J$19)</f>
        <v>357.37368515214081</v>
      </c>
      <c r="L202" s="169">
        <f ca="1">IF(ABS(OFFSET(Assumptions!$B$47,0,$C$1)-K$202/(1000*K$19))&gt;OFFSET(Assumptions!$B$46,0,$C$1),(K$202/(1000*K$19)+SIGN(OFFSET(Assumptions!$B$47,0,$C$1)-K$202/(1000*K$19))*OFFSET(Assumptions!$B$46,0,$C$1))*1000*L$19,K$202*L$19/K$19)</f>
        <v>349.15066171596555</v>
      </c>
      <c r="M202" s="169">
        <f ca="1">IF(ABS(OFFSET(Assumptions!$B$47,0,$C$1)-L$202/(1000*L$19))&gt;OFFSET(Assumptions!$B$46,0,$C$1),(L$202/(1000*L$19)+SIGN(OFFSET(Assumptions!$B$47,0,$C$1)-L$202/(1000*L$19))*OFFSET(Assumptions!$B$46,0,$C$1))*1000*M$19,L$202*M$19/L$19)</f>
        <v>353.91367346763457</v>
      </c>
      <c r="N202" s="169">
        <f ca="1">IF(ABS(OFFSET(Assumptions!$B$47,0,$C$1)-M$202/(1000*M$19))&gt;OFFSET(Assumptions!$B$46,0,$C$1),(M$202/(1000*M$19)+SIGN(OFFSET(Assumptions!$B$47,0,$C$1)-M$202/(1000*M$19))*OFFSET(Assumptions!$B$46,0,$C$1))*1000*N$19,M$202*N$19/M$19)</f>
        <v>358.37321105879545</v>
      </c>
      <c r="O202" s="169">
        <f ca="1">IF(ABS(OFFSET(Assumptions!$B$47,0,$C$1)-N$202/(1000*N$19))&gt;OFFSET(Assumptions!$B$46,0,$C$1),(N$202/(1000*N$19)+SIGN(OFFSET(Assumptions!$B$47,0,$C$1)-N$202/(1000*N$19))*OFFSET(Assumptions!$B$46,0,$C$1))*1000*O$19,N$202*O$19/N$19)</f>
        <v>362.63245355854934</v>
      </c>
      <c r="P202" s="169">
        <f ca="1">IF(ABS(OFFSET(Assumptions!$B$47,0,$C$1)-O$202/(1000*O$19))&gt;OFFSET(Assumptions!$B$46,0,$C$1),(O$202/(1000*O$19)+SIGN(OFFSET(Assumptions!$B$47,0,$C$1)-O$202/(1000*O$19))*OFFSET(Assumptions!$B$46,0,$C$1))*1000*P$19,O$202*P$19/O$19)</f>
        <v>366.65075466694674</v>
      </c>
      <c r="Q202" s="169">
        <f ca="1">IF(ABS(OFFSET(Assumptions!$B$47,0,$C$1)-P$202/(1000*P$19))&gt;OFFSET(Assumptions!$B$46,0,$C$1),(P$202/(1000*P$19)+SIGN(OFFSET(Assumptions!$B$47,0,$C$1)-P$202/(1000*P$19))*OFFSET(Assumptions!$B$46,0,$C$1))*1000*Q$19,P$202*Q$19/P$19)</f>
        <v>370.46016242817916</v>
      </c>
      <c r="R202" s="169">
        <f ca="1">IF(ABS(OFFSET(Assumptions!$B$47,0,$C$1)-Q$202/(1000*Q$19))&gt;OFFSET(Assumptions!$B$46,0,$C$1),(Q$202/(1000*Q$19)+SIGN(OFFSET(Assumptions!$B$47,0,$C$1)-Q$202/(1000*Q$19))*OFFSET(Assumptions!$B$46,0,$C$1))*1000*R$19,Q$202*R$19/Q$19)</f>
        <v>373.95046283661537</v>
      </c>
      <c r="S202" s="169">
        <f ca="1">IF(ABS(OFFSET(Assumptions!$B$47,0,$C$1)-R$202/(1000*R$19))&gt;OFFSET(Assumptions!$B$46,0,$C$1),(R$202/(1000*R$19)+SIGN(OFFSET(Assumptions!$B$47,0,$C$1)-R$202/(1000*R$19))*OFFSET(Assumptions!$B$46,0,$C$1))*1000*S$19,R$202*S$19/R$19)</f>
        <v>377.20763844983935</v>
      </c>
      <c r="T202" s="169">
        <f ca="1">IF(ABS(OFFSET(Assumptions!$B$47,0,$C$1)-S$202/(1000*S$19))&gt;OFFSET(Assumptions!$B$46,0,$C$1),(S$202/(1000*S$19)+SIGN(OFFSET(Assumptions!$B$47,0,$C$1)-S$202/(1000*S$19))*OFFSET(Assumptions!$B$46,0,$C$1))*1000*T$19,S$202*T$19/S$19)</f>
        <v>380.35069175936025</v>
      </c>
    </row>
    <row r="203" spans="1:20">
      <c r="B203" s="4"/>
      <c r="D203" s="21"/>
      <c r="E203" s="180"/>
      <c r="F203" s="21"/>
      <c r="G203" s="21"/>
      <c r="H203" s="9"/>
      <c r="I203" s="9"/>
      <c r="J203" s="172"/>
      <c r="K203" s="9"/>
      <c r="L203" s="9"/>
      <c r="M203" s="9"/>
      <c r="N203" s="9"/>
      <c r="O203" s="9"/>
      <c r="P203" s="9"/>
      <c r="Q203" s="9"/>
      <c r="R203" s="9"/>
      <c r="S203" s="9"/>
      <c r="T203" s="172"/>
    </row>
    <row r="204" spans="1:20">
      <c r="A204" s="18" t="s">
        <v>134</v>
      </c>
      <c r="E204" s="167"/>
      <c r="J204" s="167"/>
    </row>
    <row r="205" spans="1:20">
      <c r="A205" s="1" t="s">
        <v>279</v>
      </c>
      <c r="B205" s="4" t="str">
        <f>$B$39</f>
        <v>From Fiscal Forecasts</v>
      </c>
      <c r="D205" s="14">
        <f>'Fiscal Forecasts'!D$162</f>
        <v>7.7939999999999996</v>
      </c>
      <c r="E205" s="175">
        <f>'Fiscal Forecasts'!E$162</f>
        <v>8.48</v>
      </c>
      <c r="F205" s="15">
        <f>'Fiscal Forecasts'!F$162</f>
        <v>9.2739999999999991</v>
      </c>
      <c r="G205" s="15">
        <f>'Fiscal Forecasts'!G$162</f>
        <v>9.4789999999999992</v>
      </c>
      <c r="H205" s="15">
        <f>'Fiscal Forecasts'!H$162</f>
        <v>9.1609999999999996</v>
      </c>
      <c r="I205" s="15">
        <f>'Fiscal Forecasts'!I$162</f>
        <v>9.1010000000000009</v>
      </c>
      <c r="J205" s="176">
        <f>'Fiscal Forecasts'!J$162</f>
        <v>9.0980000000000008</v>
      </c>
      <c r="K205" s="6">
        <f ca="1">SUM(K$252,IF(K$6=OFFSET(Assumptions!$B$8,0,$C$1),AVERAGE(SUM(H$205,-H$252)/SUM(H$205,H$212,H$222,-H$252,-H$324),SUM(I$205,-I$252)/SUM(I$205,I$212,I$222,-I$252,-I$324),SUM(J$205,-J$252)/SUM(J$205,J$212,J$222,-J$252,-J$324)),SUM(J$205,-J$252)/SUM(J$205,J$212,J$222,-J$252,-J$324))*SUM(-K$256,-K$264,K$323))</f>
        <v>9.3404184630651734</v>
      </c>
      <c r="L205" s="6">
        <f ca="1">SUM(L$252,IF(L$6=OFFSET(Assumptions!$B$8,0,$C$1),AVERAGE(SUM(I$205,-I$252)/SUM(I$205,I$212,I$222,-I$252,-I$324),SUM(J$205,-J$252)/SUM(J$205,J$212,J$222,-J$252,-J$324),SUM(K$205,-K$252)/SUM(K$205,K$212,K$222,-K$252,-K$324)),SUM(K$205,-K$252)/SUM(K$205,K$212,K$222,-K$252,-K$324))*SUM(-L$256,-L$264,L$323))</f>
        <v>9.3471368883539743</v>
      </c>
      <c r="M205" s="6">
        <f ca="1">SUM(M$252,IF(M$6=OFFSET(Assumptions!$B$8,0,$C$1),AVERAGE(SUM(J$205,-J$252)/SUM(J$205,J$212,J$222,-J$252,-J$324),SUM(K$205,-K$252)/SUM(K$205,K$212,K$222,-K$252,-K$324),SUM(L$205,-L$252)/SUM(L$205,L$212,L$222,-L$252,-L$324)),SUM(L$205,-L$252)/SUM(L$205,L$212,L$222,-L$252,-L$324))*SUM(-M$256,-M$264,M$323))</f>
        <v>9.3530312520033068</v>
      </c>
      <c r="N205" s="6">
        <f ca="1">SUM(N$252,IF(N$6=OFFSET(Assumptions!$B$8,0,$C$1),AVERAGE(SUM(K$205,-K$252)/SUM(K$205,K$212,K$222,-K$252,-K$324),SUM(L$205,-L$252)/SUM(L$205,L$212,L$222,-L$252,-L$324),SUM(M$205,-M$252)/SUM(M$205,M$212,M$222,-M$252,-M$324)),SUM(M$205,-M$252)/SUM(M$205,M$212,M$222,-M$252,-M$324))*SUM(-N$256,-N$264,N$323))</f>
        <v>9.3575318240935079</v>
      </c>
      <c r="O205" s="6">
        <f ca="1">SUM(O$252,IF(O$6=OFFSET(Assumptions!$B$8,0,$C$1),AVERAGE(SUM(L$205,-L$252)/SUM(L$205,L$212,L$222,-L$252,-L$324),SUM(M$205,-M$252)/SUM(M$205,M$212,M$222,-M$252,-M$324),SUM(N$205,-N$252)/SUM(N$205,N$212,N$222,-N$252,-N$324)),SUM(N$205,-N$252)/SUM(N$205,N$212,N$222,-N$252,-N$324))*SUM(-O$256,-O$264,O$323))</f>
        <v>9.3623054733189441</v>
      </c>
      <c r="P205" s="6">
        <f ca="1">SUM(P$252,IF(P$6=OFFSET(Assumptions!$B$8,0,$C$1),AVERAGE(SUM(M$205,-M$252)/SUM(M$205,M$212,M$222,-M$252,-M$324),SUM(N$205,-N$252)/SUM(N$205,N$212,N$222,-N$252,-N$324),SUM(O$205,-O$252)/SUM(O$205,O$212,O$222,-O$252,-O$324)),SUM(O$205,-O$252)/SUM(O$205,O$212,O$222,-O$252,-O$324))*SUM(-P$256,-P$264,P$323))</f>
        <v>9.3669388291055373</v>
      </c>
      <c r="Q205" s="6">
        <f ca="1">SUM(Q$252,IF(Q$6=OFFSET(Assumptions!$B$8,0,$C$1),AVERAGE(SUM(N$205,-N$252)/SUM(N$205,N$212,N$222,-N$252,-N$324),SUM(O$205,-O$252)/SUM(O$205,O$212,O$222,-O$252,-O$324),SUM(P$205,-P$252)/SUM(P$205,P$212,P$222,-P$252,-P$324)),SUM(P$205,-P$252)/SUM(P$205,P$212,P$222,-P$252,-P$324))*SUM(-Q$256,-Q$264,Q$323))</f>
        <v>9.3717120052925296</v>
      </c>
      <c r="R205" s="104">
        <f ca="1">SUM(R$252,IF(R$6=OFFSET(Assumptions!$B$8,0,$C$1),AVERAGE(SUM(O$205,-O$252)/SUM(O$205,O$212,O$222,-O$252,-O$324),SUM(P$205,-P$252)/SUM(P$205,P$212,P$222,-P$252,-P$324),SUM(Q$205,-Q$252)/SUM(Q$205,Q$212,Q$222,-Q$252,-Q$324)),SUM(Q$205,-Q$252)/SUM(Q$205,Q$212,Q$222,-Q$252,-Q$324))*SUM(-R$256,-R$264,R$323))</f>
        <v>9.3766277982879274</v>
      </c>
      <c r="S205" s="104">
        <f ca="1">SUM(S$252,IF(S$6=OFFSET(Assumptions!$B$8,0,$C$1),AVERAGE(SUM(P$205,-P$252)/SUM(P$205,P$212,P$222,-P$252,-P$324),SUM(Q$205,-Q$252)/SUM(Q$205,Q$212,Q$222,-Q$252,-Q$324),SUM(R$205,-R$252)/SUM(R$205,R$212,R$222,-R$252,-R$324)),SUM(R$205,-R$252)/SUM(R$205,R$212,R$222,-R$252,-R$324))*SUM(-S$256,-S$264,S$323))</f>
        <v>9.3816890604279095</v>
      </c>
      <c r="T205" s="171">
        <f ca="1">SUM(T$252,IF(T$6=OFFSET(Assumptions!$B$8,0,$C$1),AVERAGE(SUM(Q$205,-Q$252)/SUM(Q$205,Q$212,Q$222,-Q$252,-Q$324),SUM(R$205,-R$252)/SUM(R$205,R$212,R$222,-R$252,-R$324),SUM(S$205,-S$252)/SUM(S$205,S$212,S$222,-S$252,-S$324)),SUM(S$205,-S$252)/SUM(S$205,S$212,S$222,-S$252,-S$324))*SUM(-T$256,-T$264,T$323))</f>
        <v>9.3867600149639756</v>
      </c>
    </row>
    <row r="206" spans="1:20">
      <c r="A206" s="1" t="s">
        <v>256</v>
      </c>
      <c r="B206" s="4" t="str">
        <f>$B$39</f>
        <v>From Fiscal Forecasts</v>
      </c>
      <c r="D206" s="14">
        <f>'Fiscal Forecasts'!D$244</f>
        <v>15.085000000000001</v>
      </c>
      <c r="E206" s="175">
        <f>'Fiscal Forecasts'!E$244</f>
        <v>16.317</v>
      </c>
      <c r="F206" s="15">
        <f>'Fiscal Forecasts'!F$244</f>
        <v>17.989000000000001</v>
      </c>
      <c r="G206" s="15">
        <f>'Fiscal Forecasts'!G$244</f>
        <v>18.436</v>
      </c>
      <c r="H206" s="15">
        <f>'Fiscal Forecasts'!H$244</f>
        <v>18.033000000000001</v>
      </c>
      <c r="I206" s="15">
        <f>'Fiscal Forecasts'!I$244</f>
        <v>18.006</v>
      </c>
      <c r="J206" s="176">
        <f>'Fiscal Forecasts'!J$244</f>
        <v>17.992000000000001</v>
      </c>
      <c r="K206" s="6">
        <f ca="1">SUM(K$253-K$252,IF(K$6=OFFSET(Assumptions!$B$8,0,$C$1),AVERAGE(SUM(H$206,-(H$253-H$252))/SUM(H$206,-(H$253-H$252),H$213,H$223),SUM(I$206,-(I$253-I$252))/SUM(I$206,-(I$253-I$252),I$213,I$223),SUM(J$206,-(J$253-J$252))/SUM(J$206,-(J$253-J$252),J$213,J$223)),SUM(J$206,-(J$253-J$252))/SUM(J$206,-(J$253-J$252),J$213,J$223))*SUM(K$190-K$238,K$257,K$266,K$288,K$326,-(K$253-K$252)))</f>
        <v>18.308737228046279</v>
      </c>
      <c r="L206" s="6">
        <f ca="1">SUM(L$253-L$252,IF(L$6=OFFSET(Assumptions!$B$8,0,$C$1),AVERAGE(SUM(I$206,-(I$253-I$252))/SUM(I$206,-(I$253-I$252),I$213,I$223),SUM(J$206,-(J$253-J$252))/SUM(J$206,-(J$253-J$252),J$213,J$223),SUM(K$206,-(K$253-K$252))/SUM(K$206,-(K$253-K$252),K$213,K$223)),SUM(K$206,-(K$253-K$252))/SUM(K$206,-(K$253-K$252),K$213,K$223))*SUM(L$190-L$238,L$257,L$266,L$288,L$326,-(L$253-L$252)))</f>
        <v>18.468663354360977</v>
      </c>
      <c r="M206" s="6">
        <f ca="1">SUM(M$253-M$252,IF(M$6=OFFSET(Assumptions!$B$8,0,$C$1),AVERAGE(SUM(J$206,-(J$253-J$252))/SUM(J$206,-(J$253-J$252),J$213,J$223),SUM(K$206,-(K$253-K$252))/SUM(K$206,-(K$253-K$252),K$213,K$223),SUM(L$206,-(L$253-L$252))/SUM(L$206,-(L$253-L$252),L$213,L$223)),SUM(L$206,-(L$253-L$252))/SUM(L$206,-(L$253-L$252),L$213,L$223))*SUM(M$190-M$238,M$257,M$266,M$288,M$326,-(M$253-M$252)))</f>
        <v>18.64830245090355</v>
      </c>
      <c r="N206" s="6">
        <f ca="1">SUM(N$253-N$252,IF(N$6=OFFSET(Assumptions!$B$8,0,$C$1),AVERAGE(SUM(K$206,-(K$253-K$252))/SUM(K$206,-(K$253-K$252),K$213,K$223),SUM(L$206,-(L$253-L$252))/SUM(L$206,-(L$253-L$252),L$213,L$223),SUM(M$206,-(M$253-M$252))/SUM(M$206,-(M$253-M$252),M$213,M$223)),SUM(M$206,-(M$253-M$252))/SUM(M$206,-(M$253-M$252),M$213,M$223))*SUM(N$190-N$238,N$257,N$266,N$288,N$326,-(N$253-N$252)))</f>
        <v>18.89020022330012</v>
      </c>
      <c r="O206" s="6">
        <f ca="1">SUM(O$253-O$252,IF(O$6=OFFSET(Assumptions!$B$8,0,$C$1),AVERAGE(SUM(L$206,-(L$253-L$252))/SUM(L$206,-(L$253-L$252),L$213,L$223),SUM(M$206,-(M$253-M$252))/SUM(M$206,-(M$253-M$252),M$213,M$223),SUM(N$206,-(N$253-N$252))/SUM(N$206,-(N$253-N$252),N$213,N$223)),SUM(N$206,-(N$253-N$252))/SUM(N$206,-(N$253-N$252),N$213,N$223))*SUM(O$190-O$238,O$257,O$266,O$288,O$326,-(O$253-O$252)))</f>
        <v>19.136652380360598</v>
      </c>
      <c r="P206" s="6">
        <f ca="1">SUM(P$253-P$252,IF(P$6=OFFSET(Assumptions!$B$8,0,$C$1),AVERAGE(SUM(M$206,-(M$253-M$252))/SUM(M$206,-(M$253-M$252),M$213,M$223),SUM(N$206,-(N$253-N$252))/SUM(N$206,-(N$253-N$252),N$213,N$223),SUM(O$206,-(O$253-O$252))/SUM(O$206,-(O$253-O$252),O$213,O$223)),SUM(O$206,-(O$253-O$252))/SUM(O$206,-(O$253-O$252),O$213,O$223))*SUM(P$190-P$238,P$257,P$266,P$288,P$326,-(P$253-P$252)))</f>
        <v>19.389489677773032</v>
      </c>
      <c r="Q206" s="6">
        <f ca="1">SUM(Q$253-Q$252,IF(Q$6=OFFSET(Assumptions!$B$8,0,$C$1),AVERAGE(SUM(N$206,-(N$253-N$252))/SUM(N$206,-(N$253-N$252),N$213,N$223),SUM(O$206,-(O$253-O$252))/SUM(O$206,-(O$253-O$252),O$213,O$223),SUM(P$206,-(P$253-P$252))/SUM(P$206,-(P$253-P$252),P$213,P$223)),SUM(P$206,-(P$253-P$252))/SUM(P$206,-(P$253-P$252),P$213,P$223))*SUM(Q$190-Q$238,Q$257,Q$266,Q$288,Q$326,-(Q$253-Q$252)))</f>
        <v>19.64799770892872</v>
      </c>
      <c r="R206" s="104">
        <f ca="1">SUM(R$253-R$252,IF(R$6=OFFSET(Assumptions!$B$8,0,$C$1),AVERAGE(SUM(O$206,-(O$253-O$252))/SUM(O$206,-(O$253-O$252),O$213,O$223),SUM(P$206,-(P$253-P$252))/SUM(P$206,-(P$253-P$252),P$213,P$223),SUM(Q$206,-(Q$253-Q$252))/SUM(Q$206,-(Q$253-Q$252),Q$213,Q$223)),SUM(Q$206,-(Q$253-Q$252))/SUM(Q$206,-(Q$253-Q$252),Q$213,Q$223))*SUM(R$190-R$238,R$257,R$266,R$288,R$326,-(R$253-R$252)))</f>
        <v>19.912147392497339</v>
      </c>
      <c r="S206" s="104">
        <f ca="1">SUM(S$253-S$252,IF(S$6=OFFSET(Assumptions!$B$8,0,$C$1),AVERAGE(SUM(P$206,-(P$253-P$252))/SUM(P$206,-(P$253-P$252),P$213,P$223),SUM(Q$206,-(Q$253-Q$252))/SUM(Q$206,-(Q$253-Q$252),Q$213,Q$223),SUM(R$206,-(R$253-R$252))/SUM(R$206,-(R$253-R$252),R$213,R$223)),SUM(R$206,-(R$253-R$252))/SUM(R$206,-(R$253-R$252),R$213,R$223))*SUM(S$190-S$238,S$257,S$266,S$288,S$326,-(S$253-S$252)))</f>
        <v>20.181125466337615</v>
      </c>
      <c r="T206" s="171">
        <f ca="1">SUM(T$253-T$252,IF(T$6=OFFSET(Assumptions!$B$8,0,$C$1),AVERAGE(SUM(Q$206,-(Q$253-Q$252))/SUM(Q$206,-(Q$253-Q$252),Q$213,Q$223),SUM(R$206,-(R$253-R$252))/SUM(R$206,-(R$253-R$252),R$213,R$223),SUM(S$206,-(S$253-S$252))/SUM(S$206,-(S$253-S$252),S$213,S$223)),SUM(S$206,-(S$253-S$252))/SUM(S$206,-(S$253-S$252),S$213,S$223))*SUM(T$190-T$238,T$257,T$266,T$288,T$326,-(T$253-T$252)))</f>
        <v>20.456966844745267</v>
      </c>
    </row>
    <row r="207" spans="1:20">
      <c r="A207" s="1" t="s">
        <v>418</v>
      </c>
      <c r="B207" s="4" t="str">
        <f>$B$39</f>
        <v>From Fiscal Forecasts</v>
      </c>
      <c r="D207" s="14">
        <f>'Fiscal Forecasts'!D$245</f>
        <v>3.0960000000000001</v>
      </c>
      <c r="E207" s="175">
        <f>'Fiscal Forecasts'!E$245</f>
        <v>3.0230000000000001</v>
      </c>
      <c r="F207" s="15">
        <f>'Fiscal Forecasts'!F$245</f>
        <v>2.0840000000000001</v>
      </c>
      <c r="G207" s="15">
        <f>'Fiscal Forecasts'!G$245</f>
        <v>2.1</v>
      </c>
      <c r="H207" s="15">
        <f>'Fiscal Forecasts'!H$245</f>
        <v>2.1379999999999999</v>
      </c>
      <c r="I207" s="15">
        <f>'Fiscal Forecasts'!I$245</f>
        <v>2.1669999999999998</v>
      </c>
      <c r="J207" s="176">
        <f>'Fiscal Forecasts'!J$245</f>
        <v>2.1760000000000002</v>
      </c>
      <c r="K207" s="6">
        <f ca="1">IF(K$6=OFFSET(Assumptions!$B$8,0,$C$1),AVERAGE(H$207/SUM(H$207,H$214,H$224),I$207/SUM(I$207,I$214,I$224),J$207/SUM(J$207,J$214,J$224)),J$207/SUM(J$207,J$214,J$224))*SUM(K$289,K$327-K$239)</f>
        <v>2.3828773704586759</v>
      </c>
      <c r="L207" s="6">
        <f ca="1">IF(L$6=OFFSET(Assumptions!$B$8,0,$C$1),AVERAGE(I$207/SUM(I$207,I$214,I$224),J$207/SUM(J$207,J$214,J$224),K$207/SUM(K$207,K$214,K$224)),K$207/SUM(K$207,K$214,K$224))*SUM(L$289,L$327-L$239)</f>
        <v>2.4845910228330323</v>
      </c>
      <c r="M207" s="6">
        <f ca="1">IF(M$6=OFFSET(Assumptions!$B$8,0,$C$1),AVERAGE(J$207/SUM(J$207,J$214,J$224),K$207/SUM(K$207,K$214,K$224),L$207/SUM(L$207,L$214,L$224)),L$207/SUM(L$207,L$214,L$224))*SUM(M$289,M$327-M$239)</f>
        <v>2.5874434429419169</v>
      </c>
      <c r="N207" s="6">
        <f ca="1">IF(N$6=OFFSET(Assumptions!$B$8,0,$C$1),AVERAGE(K$207/SUM(K$207,K$214,K$224),L$207/SUM(L$207,L$214,L$224),M$207/SUM(M$207,M$214,M$224)),M$207/SUM(M$207,M$214,M$224))*SUM(N$289,N$327-N$239)</f>
        <v>2.6951475002707732</v>
      </c>
      <c r="O207" s="6">
        <f ca="1">IF(O$6=OFFSET(Assumptions!$B$8,0,$C$1),AVERAGE(L$207/SUM(L$207,L$214,L$224),M$207/SUM(M$207,M$214,M$224),N$207/SUM(N$207,N$214,N$224)),N$207/SUM(N$207,N$214,N$224))*SUM(O$289,O$327-O$239)</f>
        <v>2.8051858448265339</v>
      </c>
      <c r="P207" s="6">
        <f ca="1">IF(P$6=OFFSET(Assumptions!$B$8,0,$C$1),AVERAGE(M$207/SUM(M$207,M$214,M$224),N$207/SUM(N$207,N$214,N$224),O$207/SUM(O$207,O$214,O$224)),O$207/SUM(O$207,O$214,O$224))*SUM(P$289,P$327-P$239)</f>
        <v>2.917541602576871</v>
      </c>
      <c r="Q207" s="6">
        <f ca="1">IF(Q$6=OFFSET(Assumptions!$B$8,0,$C$1),AVERAGE(N$207/SUM(N$207,N$214,N$224),O$207/SUM(O$207,O$214,O$224),P$207/SUM(P$207,P$214,P$224)),P$207/SUM(P$207,P$214,P$224))*SUM(Q$289,Q$327-Q$239)</f>
        <v>3.0322081927937838</v>
      </c>
      <c r="R207" s="104">
        <f ca="1">IF(R$6=OFFSET(Assumptions!$B$8,0,$C$1),AVERAGE(O$207/SUM(O$207,O$214,O$224),P$207/SUM(P$207,P$214,P$224),Q$207/SUM(Q$207,Q$214,Q$224)),Q$207/SUM(Q$207,Q$214,Q$224))*SUM(R$289,R$327-R$239)</f>
        <v>3.1488754884248968</v>
      </c>
      <c r="S207" s="104">
        <f ca="1">IF(S$6=OFFSET(Assumptions!$B$8,0,$C$1),AVERAGE(P$207/SUM(P$207,P$214,P$224),Q$207/SUM(Q$207,Q$214,Q$224),R$207/SUM(R$207,R$214,R$224)),R$207/SUM(R$207,R$214,R$224))*SUM(S$289,S$327-S$239)</f>
        <v>3.2674515556626886</v>
      </c>
      <c r="T207" s="171">
        <f ca="1">IF(T$6=OFFSET(Assumptions!$B$8,0,$C$1),AVERAGE(Q$207/SUM(Q$207,Q$214,Q$224),R$207/SUM(R$207,R$214,R$224),S$207/SUM(S$207,S$214,S$224)),S$207/SUM(S$207,S$214,S$224))*SUM(T$289,T$327-T$239)</f>
        <v>3.3895452138140891</v>
      </c>
    </row>
    <row r="208" spans="1:20">
      <c r="A208" s="1" t="s">
        <v>419</v>
      </c>
      <c r="B208" s="4" t="str">
        <f>$B$39</f>
        <v>From Fiscal Forecasts</v>
      </c>
      <c r="D208" s="14">
        <f>'Fiscal Forecasts'!D$246</f>
        <v>-4.2000000000000003E-2</v>
      </c>
      <c r="E208" s="175">
        <f>'Fiscal Forecasts'!E$246</f>
        <v>-4.4999999999999998E-2</v>
      </c>
      <c r="F208" s="15">
        <f>'Fiscal Forecasts'!F$246</f>
        <v>-3.4000000000000002E-2</v>
      </c>
      <c r="G208" s="15">
        <f>'Fiscal Forecasts'!G$246</f>
        <v>-3.4000000000000002E-2</v>
      </c>
      <c r="H208" s="15">
        <f>'Fiscal Forecasts'!H$246</f>
        <v>-3.5000000000000003E-2</v>
      </c>
      <c r="I208" s="15">
        <f>'Fiscal Forecasts'!I$246</f>
        <v>-3.4000000000000002E-2</v>
      </c>
      <c r="J208" s="176">
        <f>'Fiscal Forecasts'!J$246</f>
        <v>-3.5000000000000003E-2</v>
      </c>
      <c r="K208" s="6">
        <f ca="1">IF(K$6=OFFSET(Assumptions!$B$8,0,$C$1),AVERAGE(H$208/SUM(H$208,H$225),I$208/SUM(I$208,I$225),J$208/SUM(J$208,J$225)),J$208/SUM(J$208,J$225))*SUM(K$191,K$258,K$267,K$290,K$328)</f>
        <v>-3.6370754949470896E-2</v>
      </c>
      <c r="L208" s="6">
        <f ca="1">IF(L$6=OFFSET(Assumptions!$B$8,0,$C$1),AVERAGE(I$208/SUM(I$208,I$225),J$208/SUM(J$208,J$225),K$208/SUM(K$208,K$225)),K$208/SUM(K$208,K$225))*SUM(L$191,L$258,L$267,L$290,L$328)</f>
        <v>-3.6579273702514487E-2</v>
      </c>
      <c r="M208" s="6">
        <f ca="1">IF(M$6=OFFSET(Assumptions!$B$8,0,$C$1),AVERAGE(J$208/SUM(J$208,J$225),K$208/SUM(K$208,K$225),L$208/SUM(L$208,L$225)),L$208/SUM(L$208,L$225))*SUM(M$191,M$258,M$267,M$290,M$328)</f>
        <v>-3.6831111320510181E-2</v>
      </c>
      <c r="N208" s="6">
        <f ca="1">IF(N$6=OFFSET(Assumptions!$B$8,0,$C$1),AVERAGE(K$208/SUM(K$208,K$225),L$208/SUM(L$208,L$225),M$208/SUM(M$208,M$225)),M$208/SUM(M$208,M$225))*SUM(N$191,N$258,N$267,N$290,N$328)</f>
        <v>-3.721587531431543E-2</v>
      </c>
      <c r="O208" s="6">
        <f ca="1">IF(O$6=OFFSET(Assumptions!$B$8,0,$C$1),AVERAGE(L$208/SUM(L$208,L$225),M$208/SUM(M$208,M$225),N$208/SUM(N$208,N$225)),N$208/SUM(N$208,N$225))*SUM(O$191,O$258,O$267,O$290,O$328)</f>
        <v>-3.7606989106688596E-2</v>
      </c>
      <c r="P208" s="6">
        <f ca="1">IF(P$6=OFFSET(Assumptions!$B$8,0,$C$1),AVERAGE(M$208/SUM(M$208,M$225),N$208/SUM(N$208,N$225),O$208/SUM(O$208,O$225)),O$208/SUM(O$208,O$225))*SUM(P$191,P$258,P$267,P$290,P$328)</f>
        <v>-3.8009169132458193E-2</v>
      </c>
      <c r="Q208" s="6">
        <f ca="1">IF(Q$6=OFFSET(Assumptions!$B$8,0,$C$1),AVERAGE(N$208/SUM(N$208,N$225),O$208/SUM(O$208,O$225),P$208/SUM(P$208,P$225)),P$208/SUM(P$208,P$225))*SUM(Q$191,Q$258,Q$267,Q$290,Q$328)</f>
        <v>-3.8421334375184545E-2</v>
      </c>
      <c r="R208" s="104">
        <f ca="1">IF(R$6=OFFSET(Assumptions!$B$8,0,$C$1),AVERAGE(O$208/SUM(O$208,O$225),P$208/SUM(P$208,P$225),Q$208/SUM(Q$208,Q$225)),Q$208/SUM(Q$208,Q$225))*SUM(R$191,R$258,R$267,R$290,R$328)</f>
        <v>-3.8843513607640053E-2</v>
      </c>
      <c r="S208" s="104">
        <f ca="1">IF(S$6=OFFSET(Assumptions!$B$8,0,$C$1),AVERAGE(P$208/SUM(P$208,P$225),Q$208/SUM(Q$208,Q$225),R$208/SUM(R$208,R$225)),R$208/SUM(R$208,R$225))*SUM(S$191,S$258,S$267,S$290,S$328)</f>
        <v>-3.927431840603865E-2</v>
      </c>
      <c r="T208" s="171">
        <f ca="1">IF(T$6=OFFSET(Assumptions!$B$8,0,$C$1),AVERAGE(Q$208/SUM(Q$208,Q$225),R$208/SUM(R$208,R$225),S$208/SUM(S$208,S$225)),S$208/SUM(S$208,S$225))*SUM(T$191,T$258,T$267,T$290,T$328)</f>
        <v>-3.9715114480181994E-2</v>
      </c>
    </row>
    <row r="209" spans="1:20" ht="15">
      <c r="A209" s="2" t="s">
        <v>420</v>
      </c>
      <c r="D209" s="34">
        <f t="shared" ref="D209:T209" si="147">SUM(D$205:D$208)</f>
        <v>25.933</v>
      </c>
      <c r="E209" s="138">
        <f t="shared" si="147"/>
        <v>27.774999999999999</v>
      </c>
      <c r="F209" s="33">
        <f t="shared" si="147"/>
        <v>29.312999999999999</v>
      </c>
      <c r="G209" s="33">
        <f t="shared" si="147"/>
        <v>29.981000000000002</v>
      </c>
      <c r="H209" s="33">
        <f t="shared" si="147"/>
        <v>29.297000000000001</v>
      </c>
      <c r="I209" s="33">
        <f t="shared" si="147"/>
        <v>29.240000000000002</v>
      </c>
      <c r="J209" s="137">
        <f t="shared" si="147"/>
        <v>29.231000000000005</v>
      </c>
      <c r="K209" s="37">
        <f t="shared" ca="1" si="147"/>
        <v>29.995662306620659</v>
      </c>
      <c r="L209" s="37">
        <f t="shared" ca="1" si="147"/>
        <v>30.263811991845468</v>
      </c>
      <c r="M209" s="37">
        <f t="shared" ca="1" si="147"/>
        <v>30.551946034528264</v>
      </c>
      <c r="N209" s="37">
        <f t="shared" ca="1" si="147"/>
        <v>30.905663672350084</v>
      </c>
      <c r="O209" s="37">
        <f t="shared" ca="1" si="147"/>
        <v>31.266536709399386</v>
      </c>
      <c r="P209" s="37">
        <f t="shared" ca="1" si="147"/>
        <v>31.635960940322985</v>
      </c>
      <c r="Q209" s="37">
        <f t="shared" ca="1" si="147"/>
        <v>32.013496572639845</v>
      </c>
      <c r="R209" s="37">
        <f t="shared" ca="1" si="147"/>
        <v>32.398807165602527</v>
      </c>
      <c r="S209" s="37">
        <f t="shared" ca="1" si="147"/>
        <v>32.790991764022174</v>
      </c>
      <c r="T209" s="140">
        <f t="shared" ca="1" si="147"/>
        <v>33.19355695904315</v>
      </c>
    </row>
    <row r="210" spans="1:20" ht="15">
      <c r="A210" s="2"/>
      <c r="D210" s="46"/>
      <c r="E210" s="46"/>
      <c r="F210" s="47"/>
      <c r="G210" s="47"/>
      <c r="H210" s="47"/>
      <c r="I210" s="47"/>
      <c r="J210" s="145"/>
      <c r="K210" s="47"/>
      <c r="L210" s="47"/>
      <c r="M210" s="47"/>
      <c r="N210" s="47"/>
      <c r="O210" s="47"/>
      <c r="P210" s="47"/>
      <c r="Q210" s="47"/>
      <c r="R210" s="47"/>
      <c r="S210" s="47"/>
      <c r="T210" s="145"/>
    </row>
    <row r="211" spans="1:20">
      <c r="A211" s="18" t="s">
        <v>958</v>
      </c>
      <c r="E211" s="167"/>
      <c r="J211" s="167"/>
    </row>
    <row r="212" spans="1:20">
      <c r="A212" s="1" t="s">
        <v>279</v>
      </c>
      <c r="B212" s="4" t="str">
        <f>$B$39</f>
        <v>From Fiscal Forecasts</v>
      </c>
      <c r="D212" s="14">
        <f>'Fiscal Forecasts'!D$249</f>
        <v>1.5009999999999999</v>
      </c>
      <c r="E212" s="175">
        <f>'Fiscal Forecasts'!E$249</f>
        <v>1.675</v>
      </c>
      <c r="F212" s="15">
        <f>'Fiscal Forecasts'!F$249</f>
        <v>1.782</v>
      </c>
      <c r="G212" s="15">
        <f>'Fiscal Forecasts'!G$249</f>
        <v>1.8160000000000001</v>
      </c>
      <c r="H212" s="15">
        <f>'Fiscal Forecasts'!H$249</f>
        <v>1.869</v>
      </c>
      <c r="I212" s="15">
        <f>'Fiscal Forecasts'!I$249</f>
        <v>1.9119999999999999</v>
      </c>
      <c r="J212" s="176">
        <f>'Fiscal Forecasts'!J$249</f>
        <v>1.96</v>
      </c>
      <c r="K212" s="6">
        <f t="shared" ref="K212:T212" ca="1" si="148">K$423</f>
        <v>1.6976699999999998</v>
      </c>
      <c r="L212" s="6">
        <f t="shared" ca="1" si="148"/>
        <v>1.8297149999999998</v>
      </c>
      <c r="M212" s="6">
        <f t="shared" ca="1" si="148"/>
        <v>1.9481523000000001</v>
      </c>
      <c r="N212" s="6">
        <f t="shared" ca="1" si="148"/>
        <v>2.0689583460000001</v>
      </c>
      <c r="O212" s="6">
        <f t="shared" ca="1" si="148"/>
        <v>2.1921805129199998</v>
      </c>
      <c r="P212" s="6">
        <f t="shared" ca="1" si="148"/>
        <v>2.3178671231783996</v>
      </c>
      <c r="Q212" s="6">
        <f t="shared" ca="1" si="148"/>
        <v>2.4460674656419679</v>
      </c>
      <c r="R212" s="104">
        <f t="shared" ca="1" si="148"/>
        <v>2.5768318149548075</v>
      </c>
      <c r="S212" s="104">
        <f t="shared" ca="1" si="148"/>
        <v>2.7102114512539037</v>
      </c>
      <c r="T212" s="171">
        <f t="shared" ca="1" si="148"/>
        <v>2.8462586802789818</v>
      </c>
    </row>
    <row r="213" spans="1:20">
      <c r="A213" s="1" t="s">
        <v>256</v>
      </c>
      <c r="B213" s="4" t="str">
        <f>$B$39</f>
        <v>From Fiscal Forecasts</v>
      </c>
      <c r="D213" s="14">
        <f>'Fiscal Forecasts'!D$250</f>
        <v>1.587</v>
      </c>
      <c r="E213" s="175">
        <f>'Fiscal Forecasts'!E$250</f>
        <v>1.776</v>
      </c>
      <c r="F213" s="15">
        <f>'Fiscal Forecasts'!F$250</f>
        <v>1.919</v>
      </c>
      <c r="G213" s="15">
        <f>'Fiscal Forecasts'!G$250</f>
        <v>2.0329999999999999</v>
      </c>
      <c r="H213" s="15">
        <f>'Fiscal Forecasts'!H$250</f>
        <v>2.1</v>
      </c>
      <c r="I213" s="15">
        <f>'Fiscal Forecasts'!I$250</f>
        <v>2.2029999999999998</v>
      </c>
      <c r="J213" s="176">
        <f>'Fiscal Forecasts'!J$250</f>
        <v>2.2789999999999999</v>
      </c>
      <c r="K213" s="131">
        <f ca="1">IF(K$6=OFFSET(Assumptions!$B$8,0,$C$1),AVERAGE(H$213/SUM(H$213,H$214),I$213/SUM(I$213,I$214),J$213/SUM(J$213,J$214)),J$213/SUM(J$213,J$214))*K$426</f>
        <v>2.5946707496514585</v>
      </c>
      <c r="L213" s="131">
        <f ca="1">IF(L$6=OFFSET(Assumptions!$B$8,0,$C$1),AVERAGE(I$213/SUM(I$213,I$214),J$213/SUM(J$213,J$214),K$213/SUM(K$213,K$214)),K$213/SUM(K$213,K$214))*L$426</f>
        <v>2.6935312376063747</v>
      </c>
      <c r="M213" s="131">
        <f ca="1">IF(M$6=OFFSET(Assumptions!$B$8,0,$C$1),AVERAGE(J$213/SUM(J$213,J$214),K$213/SUM(K$213,K$214),L$213/SUM(L$213,L$214)),L$213/SUM(L$213,L$214))*M$426</f>
        <v>2.7852123197304386</v>
      </c>
      <c r="N213" s="131">
        <f ca="1">IF(N$6=OFFSET(Assumptions!$B$8,0,$C$1),AVERAGE(K$213/SUM(K$213,K$214),L$213/SUM(L$213,L$214),M$213/SUM(M$213,M$214)),M$213/SUM(M$213,M$214))*N$426</f>
        <v>2.8702095632581814</v>
      </c>
      <c r="O213" s="131">
        <f ca="1">IF(O$6=OFFSET(Assumptions!$B$8,0,$C$1),AVERAGE(L$213/SUM(L$213,L$214),M$213/SUM(M$213,M$214),N$213/SUM(N$213,N$214)),N$213/SUM(N$213,N$214))*O$426</f>
        <v>2.9490012934484895</v>
      </c>
      <c r="P213" s="131">
        <f ca="1">IF(P$6=OFFSET(Assumptions!$B$8,0,$C$1),AVERAGE(M$213/SUM(M$213,M$214),N$213/SUM(N$213,N$214),O$213/SUM(O$213,O$214)),O$213/SUM(O$213,O$214))*P$426</f>
        <v>3.0218888646295397</v>
      </c>
      <c r="Q213" s="131">
        <f ca="1">IF(Q$6=OFFSET(Assumptions!$B$8,0,$C$1),AVERAGE(N$213/SUM(N$213,N$214),O$213/SUM(O$213,O$214),P$213/SUM(P$213,P$214)),P$213/SUM(P$213,P$214))*Q$426</f>
        <v>3.0891593065205463</v>
      </c>
      <c r="R213" s="131">
        <f ca="1">IF(R$6=OFFSET(Assumptions!$B$8,0,$C$1),AVERAGE(O$213/SUM(O$213,O$214),P$213/SUM(P$213,P$214),Q$213/SUM(Q$213,Q$214)),Q$213/SUM(Q$213,Q$214))*R$426</f>
        <v>3.1510859358814289</v>
      </c>
      <c r="S213" s="131">
        <f ca="1">IF(S$6=OFFSET(Assumptions!$B$8,0,$C$1),AVERAGE(P$213/SUM(P$213,P$214),Q$213/SUM(Q$213,Q$214),R$213/SUM(R$213,R$214)),R$213/SUM(R$213,R$214))*S$426</f>
        <v>3.2079422507194302</v>
      </c>
      <c r="T213" s="171">
        <f ca="1">IF(T$6=OFFSET(Assumptions!$B$8,0,$C$1),AVERAGE(Q$213/SUM(Q$213,Q$214),R$213/SUM(R$213,R$214),S$213/SUM(S$213,S$214)),S$213/SUM(S$213,S$214))*T$426</f>
        <v>3.2599902861957566</v>
      </c>
    </row>
    <row r="214" spans="1:20">
      <c r="A214" s="1" t="s">
        <v>418</v>
      </c>
      <c r="B214" s="4" t="str">
        <f>$B$39</f>
        <v>From Fiscal Forecasts</v>
      </c>
      <c r="D214" s="14">
        <f>'Fiscal Forecasts'!D$251</f>
        <v>1.466</v>
      </c>
      <c r="E214" s="175">
        <f>'Fiscal Forecasts'!E$251</f>
        <v>1.843</v>
      </c>
      <c r="F214" s="15">
        <f>'Fiscal Forecasts'!F$251</f>
        <v>1.9330000000000001</v>
      </c>
      <c r="G214" s="15">
        <f>'Fiscal Forecasts'!G$251</f>
        <v>1.907</v>
      </c>
      <c r="H214" s="15">
        <f>'Fiscal Forecasts'!H$251</f>
        <v>1.9750000000000001</v>
      </c>
      <c r="I214" s="15">
        <f>'Fiscal Forecasts'!I$251</f>
        <v>1.9970000000000001</v>
      </c>
      <c r="J214" s="176">
        <f>'Fiscal Forecasts'!J$251</f>
        <v>2.0409999999999999</v>
      </c>
      <c r="K214" s="131">
        <f ca="1">IF(K$6=OFFSET(Assumptions!$B$8,0,$C$1),AVERAGE(H$214/SUM(H$213,H$214),I$214/SUM(I$213,I$214),J$214/SUM(J$213,J$214)),J$214/SUM(J$213,J$214))*K$426</f>
        <v>2.3714992503485406</v>
      </c>
      <c r="L214" s="131">
        <f ca="1">IF(L$6=OFFSET(Assumptions!$B$8,0,$C$1),AVERAGE(I$214/SUM(I$213,I$214),J$214/SUM(J$213,J$214),K$214/SUM(K$213,K$214)),K$214/SUM(K$213,K$214))*L$426</f>
        <v>2.4618566003536109</v>
      </c>
      <c r="M214" s="131">
        <f ca="1">IF(M$6=OFFSET(Assumptions!$B$8,0,$C$1),AVERAGE(J$214/SUM(J$213,J$214),K$214/SUM(K$213,K$214),L$214/SUM(L$213,L$214)),L$214/SUM(L$213,L$214))*M$426</f>
        <v>2.5456520559263716</v>
      </c>
      <c r="N214" s="131">
        <f ca="1">IF(N$6=OFFSET(Assumptions!$B$8,0,$C$1),AVERAGE(K$214/SUM(K$213,K$214),L$214/SUM(L$213,L$214),M$214/SUM(M$213,M$214)),M$214/SUM(M$213,M$214))*N$426</f>
        <v>2.6233385598247225</v>
      </c>
      <c r="O214" s="131">
        <f ca="1">IF(O$6=OFFSET(Assumptions!$B$8,0,$C$1),AVERAGE(L$214/SUM(L$213,L$214),M$214/SUM(M$213,M$214),N$214/SUM(N$213,N$214)),N$214/SUM(N$213,N$214))*O$426</f>
        <v>2.6953532958389474</v>
      </c>
      <c r="P214" s="131">
        <f ca="1">IF(P$6=OFFSET(Assumptions!$B$8,0,$C$1),AVERAGE(M$214/SUM(M$213,M$214),N$214/SUM(N$213,N$214),O$214/SUM(O$213,O$214)),O$214/SUM(O$213,O$214))*P$426</f>
        <v>2.7619716983621991</v>
      </c>
      <c r="Q214" s="131">
        <f ca="1">IF(Q$6=OFFSET(Assumptions!$B$8,0,$C$1),AVERAGE(N$214/SUM(N$213,N$214),O$214/SUM(O$213,O$214),P$214/SUM(P$213,P$214)),P$214/SUM(P$213,P$214))*Q$426</f>
        <v>2.8234561092596384</v>
      </c>
      <c r="R214" s="131">
        <f ca="1">IF(R$6=OFFSET(Assumptions!$B$8,0,$C$1),AVERAGE(O$214/SUM(O$213,O$214),P$214/SUM(P$213,P$214),Q$214/SUM(Q$213,Q$214)),Q$214/SUM(Q$213,Q$214))*R$426</f>
        <v>2.8800563369092052</v>
      </c>
      <c r="S214" s="131">
        <f ca="1">IF(S$6=OFFSET(Assumptions!$B$8,0,$C$1),AVERAGE(P$214/SUM(P$213,P$214),Q$214/SUM(Q$213,Q$214),R$214/SUM(R$213,R$214)),R$214/SUM(R$213,R$214))*S$426</f>
        <v>2.9320223553468097</v>
      </c>
      <c r="T214" s="171">
        <f ca="1">IF(T$6=OFFSET(Assumptions!$B$8,0,$C$1),AVERAGE(Q$214/SUM(Q$213,Q$214),R$214/SUM(R$213,R$214),S$214/SUM(S$213,S$214)),S$214/SUM(S$213,S$214))*T$426</f>
        <v>2.9795936616988015</v>
      </c>
    </row>
    <row r="215" spans="1:20" ht="15">
      <c r="A215" s="2" t="s">
        <v>986</v>
      </c>
      <c r="D215" s="34">
        <f t="shared" ref="D215:T215" si="149">SUM(D$212:D$214)</f>
        <v>4.5540000000000003</v>
      </c>
      <c r="E215" s="138">
        <f t="shared" si="149"/>
        <v>5.2940000000000005</v>
      </c>
      <c r="F215" s="33">
        <f t="shared" si="149"/>
        <v>5.6340000000000003</v>
      </c>
      <c r="G215" s="33">
        <f t="shared" si="149"/>
        <v>5.7560000000000002</v>
      </c>
      <c r="H215" s="33">
        <f t="shared" si="149"/>
        <v>5.9440000000000008</v>
      </c>
      <c r="I215" s="33">
        <f t="shared" si="149"/>
        <v>6.1120000000000001</v>
      </c>
      <c r="J215" s="137">
        <f t="shared" si="149"/>
        <v>6.2799999999999994</v>
      </c>
      <c r="K215" s="37">
        <f t="shared" ca="1" si="149"/>
        <v>6.6638399999999987</v>
      </c>
      <c r="L215" s="37">
        <f t="shared" ca="1" si="149"/>
        <v>6.9851028379599853</v>
      </c>
      <c r="M215" s="37">
        <f t="shared" ca="1" si="149"/>
        <v>7.27901667565681</v>
      </c>
      <c r="N215" s="37">
        <f t="shared" ca="1" si="149"/>
        <v>7.5625064690829031</v>
      </c>
      <c r="O215" s="37">
        <f t="shared" ca="1" si="149"/>
        <v>7.8365351022074368</v>
      </c>
      <c r="P215" s="37">
        <f t="shared" ca="1" si="149"/>
        <v>8.1017276861701379</v>
      </c>
      <c r="Q215" s="37">
        <f t="shared" ca="1" si="149"/>
        <v>8.358682881422153</v>
      </c>
      <c r="R215" s="37">
        <f t="shared" ca="1" si="149"/>
        <v>8.6079740877454416</v>
      </c>
      <c r="S215" s="37">
        <f t="shared" ca="1" si="149"/>
        <v>8.8501760573201445</v>
      </c>
      <c r="T215" s="140">
        <f t="shared" ca="1" si="149"/>
        <v>9.0858426281735394</v>
      </c>
    </row>
    <row r="216" spans="1:20" ht="15">
      <c r="A216" s="2"/>
      <c r="D216" s="47"/>
      <c r="E216" s="145"/>
      <c r="F216" s="47"/>
      <c r="G216" s="47"/>
      <c r="H216" s="48"/>
      <c r="I216" s="48"/>
      <c r="J216" s="146"/>
      <c r="K216" s="48"/>
      <c r="L216" s="48"/>
      <c r="M216" s="48"/>
      <c r="N216" s="48"/>
      <c r="O216" s="48"/>
      <c r="P216" s="48"/>
      <c r="Q216" s="48"/>
      <c r="R216" s="48"/>
      <c r="S216" s="48"/>
      <c r="T216" s="146"/>
    </row>
    <row r="217" spans="1:20" ht="15">
      <c r="A217" s="18" t="s">
        <v>987</v>
      </c>
      <c r="D217" s="48"/>
      <c r="E217" s="146"/>
      <c r="F217" s="48"/>
      <c r="G217" s="48"/>
      <c r="H217" s="48"/>
      <c r="I217" s="48"/>
      <c r="J217" s="146"/>
      <c r="K217" s="48"/>
      <c r="L217" s="48"/>
      <c r="M217" s="48"/>
      <c r="N217" s="48"/>
      <c r="O217" s="48"/>
      <c r="P217" s="48"/>
      <c r="Q217" s="48"/>
      <c r="R217" s="48"/>
      <c r="S217" s="48"/>
      <c r="T217" s="146"/>
    </row>
    <row r="218" spans="1:20" ht="15">
      <c r="A218" s="2" t="s">
        <v>998</v>
      </c>
      <c r="B218" s="4" t="str">
        <f>$B$39</f>
        <v>From Fiscal Forecasts</v>
      </c>
      <c r="D218" s="39">
        <f>'Fiscal Forecasts'!D$254</f>
        <v>0.29399999999999998</v>
      </c>
      <c r="E218" s="142">
        <f>'Fiscal Forecasts'!E$254</f>
        <v>0.57399999999999995</v>
      </c>
      <c r="F218" s="38">
        <f>'Fiscal Forecasts'!F$254</f>
        <v>0.32800000000000001</v>
      </c>
      <c r="G218" s="38">
        <f>'Fiscal Forecasts'!G$254</f>
        <v>0.36699999999999999</v>
      </c>
      <c r="H218" s="38">
        <f>'Fiscal Forecasts'!H$254</f>
        <v>0.40300000000000002</v>
      </c>
      <c r="I218" s="38">
        <f>'Fiscal Forecasts'!I$254</f>
        <v>0.4</v>
      </c>
      <c r="J218" s="141">
        <f>'Fiscal Forecasts'!J$254</f>
        <v>0.4</v>
      </c>
      <c r="K218" s="7">
        <f ca="1">IF(K$6=OFFSET(Assumptions!$B$8,0,$C$1),AVERAGE(H$218/H$433,I$218/I$433,J$218/J$433),J$218/J$433)*K$433</f>
        <v>0.41855871640154396</v>
      </c>
      <c r="L218" s="7">
        <f ca="1">IF(L$6=OFFSET(Assumptions!$B$8,0,$C$1),AVERAGE(I$218/I$433,J$218/J$433,K$218/K$433),K$218/K$433)*L$433</f>
        <v>0.44671549704399466</v>
      </c>
      <c r="M218" s="7">
        <f ca="1">IF(M$6=OFFSET(Assumptions!$B$8,0,$C$1),AVERAGE(J$218/J$433,K$218/K$433,L$218/L$433),L$218/L$433)*M$433</f>
        <v>0.47324584746272214</v>
      </c>
      <c r="N218" s="7">
        <f ca="1">IF(N$6=OFFSET(Assumptions!$B$8,0,$C$1),AVERAGE(K$218/K$433,L$218/L$433,M$218/M$433),M$218/M$433)*N$433</f>
        <v>0.49852709911392712</v>
      </c>
      <c r="O218" s="7">
        <f ca="1">IF(O$6=OFFSET(Assumptions!$B$8,0,$C$1),AVERAGE(L$218/L$433,M$218/M$433,N$218/N$433),N$218/N$433)*O$433</f>
        <v>0.52178655639012839</v>
      </c>
      <c r="P218" s="7">
        <f ca="1">IF(P$6=OFFSET(Assumptions!$B$8,0,$C$1),AVERAGE(M$218/M$433,N$218/N$433,O$218/O$433),O$218/O$433)*P$433</f>
        <v>0.5426872981912999</v>
      </c>
      <c r="Q218" s="7">
        <f ca="1">IF(Q$6=OFFSET(Assumptions!$B$8,0,$C$1),AVERAGE(N$218/N$433,O$218/O$433,P$218/P$433),P$218/P$433)*Q$433</f>
        <v>0.56401806165983281</v>
      </c>
      <c r="R218" s="7">
        <f ca="1">IF(R$6=OFFSET(Assumptions!$B$8,0,$C$1),AVERAGE(O$218/O$433,P$218/P$433,Q$218/Q$433),Q$218/Q$433)*R$433</f>
        <v>0.58572139320754868</v>
      </c>
      <c r="S218" s="7">
        <f ca="1">IF(S$6=OFFSET(Assumptions!$B$8,0,$C$1),AVERAGE(P$218/P$433,Q$218/Q$433,R$218/R$433),R$218/R$433)*S$433</f>
        <v>0.60777997794168315</v>
      </c>
      <c r="T218" s="134">
        <f ca="1">IF(T$6=OFFSET(Assumptions!$B$8,0,$C$1),AVERAGE(Q$218/Q$433,R$218/R$433,S$218/S$433),S$218/S$433)*T$433</f>
        <v>0.63049256018320343</v>
      </c>
    </row>
    <row r="219" spans="1:20" ht="15">
      <c r="A219" s="2" t="s">
        <v>988</v>
      </c>
      <c r="B219" s="4" t="str">
        <f>$B$39</f>
        <v>From Fiscal Forecasts</v>
      </c>
      <c r="D219" s="39">
        <f>-'Fiscal Forecasts'!D$100</f>
        <v>0.93400000000000005</v>
      </c>
      <c r="E219" s="142">
        <f>-'Fiscal Forecasts'!E$100</f>
        <v>2.375</v>
      </c>
      <c r="F219" s="38">
        <f>-'Fiscal Forecasts'!F$100</f>
        <v>0.78600000000000003</v>
      </c>
      <c r="G219" s="38">
        <f>-'Fiscal Forecasts'!G$100</f>
        <v>0.83099999999999996</v>
      </c>
      <c r="H219" s="38">
        <f>-'Fiscal Forecasts'!H$100</f>
        <v>0.88500000000000001</v>
      </c>
      <c r="I219" s="38">
        <f>-'Fiscal Forecasts'!I$100</f>
        <v>0.88</v>
      </c>
      <c r="J219" s="141">
        <f>-'Fiscal Forecasts'!J$100</f>
        <v>0.874</v>
      </c>
      <c r="K219" s="7">
        <f ca="1">IF(K$6=OFFSET(Assumptions!$B$8,0,$C$1),AVERAGE(H$219/H$436,I$219/I$436,J$219/J$436),J$219/J$436)*K$436</f>
        <v>0.92230475595219064</v>
      </c>
      <c r="L219" s="7">
        <f ca="1">IF(L$6=OFFSET(Assumptions!$B$8,0,$C$1),AVERAGE(I$219/I$436,J$219/J$436,K$219/K$436),K$219/K$436)*L$436</f>
        <v>0.98235705877497304</v>
      </c>
      <c r="M219" s="7">
        <f ca="1">IF(M$6=OFFSET(Assumptions!$B$8,0,$C$1),AVERAGE(J$219/J$436,K$219/K$436,L$219/L$436),L$219/L$436)*M$436</f>
        <v>1.0391791389091523</v>
      </c>
      <c r="N219" s="7">
        <f ca="1">IF(N$6=OFFSET(Assumptions!$B$8,0,$C$1),AVERAGE(K$219/K$436,L$219/L$436,M$219/M$436),M$219/M$436)*N$436</f>
        <v>1.0936555543829609</v>
      </c>
      <c r="O219" s="7">
        <f ca="1">IF(O$6=OFFSET(Assumptions!$B$8,0,$C$1),AVERAGE(L$219/L$436,M$219/M$436,N$219/N$436),N$219/N$436)*O$436</f>
        <v>1.1441476281155794</v>
      </c>
      <c r="P219" s="7">
        <f ca="1">IF(P$6=OFFSET(Assumptions!$B$8,0,$C$1),AVERAGE(M$219/M$436,N$219/N$436,O$219/O$436),O$219/O$436)*P$436</f>
        <v>1.1899777359725303</v>
      </c>
      <c r="Q219" s="7">
        <f ca="1">IF(Q$6=OFFSET(Assumptions!$B$8,0,$C$1),AVERAGE(N$219/N$436,O$219/O$436,P$219/P$436),P$219/P$436)*Q$436</f>
        <v>1.2367507739696399</v>
      </c>
      <c r="R219" s="7">
        <f ca="1">IF(R$6=OFFSET(Assumptions!$B$8,0,$C$1),AVERAGE(O$219/O$436,P$219/P$436,Q$219/Q$436),Q$219/Q$436)*R$436</f>
        <v>1.2843407607341875</v>
      </c>
      <c r="S219" s="7">
        <f ca="1">IF(S$6=OFFSET(Assumptions!$B$8,0,$C$1),AVERAGE(P$219/P$436,Q$219/Q$436,R$219/R$436),R$219/R$436)*S$436</f>
        <v>1.3327097290298682</v>
      </c>
      <c r="T219" s="134">
        <f ca="1">IF(T$6=OFFSET(Assumptions!$B$8,0,$C$1),AVERAGE(Q$219/Q$436,R$219/R$436,S$219/S$436),S$219/S$436)*T$436</f>
        <v>1.3825127505561372</v>
      </c>
    </row>
    <row r="220" spans="1:20" ht="15">
      <c r="A220" s="2"/>
      <c r="D220" s="48"/>
      <c r="E220" s="146"/>
      <c r="F220" s="48"/>
      <c r="G220" s="48"/>
      <c r="H220" s="48"/>
      <c r="I220" s="48"/>
      <c r="J220" s="146"/>
      <c r="K220" s="48"/>
      <c r="L220" s="48"/>
      <c r="M220" s="48"/>
      <c r="N220" s="48"/>
      <c r="O220" s="48"/>
      <c r="P220" s="48"/>
      <c r="Q220" s="48"/>
      <c r="R220" s="48"/>
      <c r="S220" s="48"/>
      <c r="T220" s="146"/>
    </row>
    <row r="221" spans="1:20">
      <c r="A221" s="18" t="s">
        <v>135</v>
      </c>
      <c r="E221" s="167"/>
      <c r="J221" s="167"/>
    </row>
    <row r="222" spans="1:20">
      <c r="A222" s="1" t="s">
        <v>279</v>
      </c>
      <c r="B222" s="4" t="str">
        <f>$B$39</f>
        <v>From Fiscal Forecasts</v>
      </c>
      <c r="D222" s="14">
        <f>'Fiscal Forecasts'!D$259</f>
        <v>44.959000000000003</v>
      </c>
      <c r="E222" s="175">
        <f>'Fiscal Forecasts'!E$259</f>
        <v>51.832999999999998</v>
      </c>
      <c r="F222" s="15">
        <f>'Fiscal Forecasts'!F$259</f>
        <v>62.470999999999997</v>
      </c>
      <c r="G222" s="15">
        <f>'Fiscal Forecasts'!G$259</f>
        <v>62.107999999999997</v>
      </c>
      <c r="H222" s="15">
        <f>'Fiscal Forecasts'!H$259</f>
        <v>58.44</v>
      </c>
      <c r="I222" s="15">
        <f>'Fiscal Forecasts'!I$259</f>
        <v>56.463000000000001</v>
      </c>
      <c r="J222" s="176">
        <f>'Fiscal Forecasts'!J$259</f>
        <v>55.503999999999998</v>
      </c>
      <c r="K222" s="6">
        <f ca="1">SUM(-K$212,K$324,IF(K$6=OFFSET(Assumptions!$B$8,0,$C$1),AVERAGE(SUM(H$212,H$222,-H$324)/SUM(H$205,H$212,H$222,-H$252,-H$324),SUM(I$212,I$222,-I$324)/SUM(I$205,I$212,I$222,-I$252,-I$324),SUM(J$212,J$222,-J$324)/SUM(J$205,J$212,J$222,-J$252,-J$324)),SUM(J$212,J$222,-J$324)/SUM(J$205,J$212,J$222,-J$252,-J$324))*SUM(-K$256,-K$264,K$323))</f>
        <v>57.144413660321135</v>
      </c>
      <c r="L222" s="6">
        <f ca="1">SUM(-L$212,L$324,IF(L$6=OFFSET(Assumptions!$B$8,0,$C$1),AVERAGE(SUM(I$212,I$222,-I$324)/SUM(I$205,I$212,I$222,-I$252,-I$324),SUM(J$212,J$222,-J$324)/SUM(J$205,J$212,J$222,-J$252,-J$324),SUM(K$212,K$222,-K$324)/SUM(K$205,K$212,K$222,-K$252,-K$324)),SUM(K$212,K$222,-K$324)/SUM(K$205,K$212,K$222,-K$252,-K$324))*SUM(-L$256,-L$264,L$323))</f>
        <v>57.097942146471496</v>
      </c>
      <c r="M222" s="6">
        <f ca="1">SUM(-M$212,M$324,IF(M$6=OFFSET(Assumptions!$B$8,0,$C$1),AVERAGE(SUM(J$212,J$222,-J$324)/SUM(J$205,J$212,J$222,-J$252,-J$324),SUM(K$212,K$222,-K$324)/SUM(K$205,K$212,K$222,-K$252,-K$324),SUM(L$212,L$222,-L$324)/SUM(L$205,L$212,L$222,-L$252,-L$324)),SUM(L$212,L$222,-L$324)/SUM(L$205,L$212,L$222,-L$252,-L$324))*SUM(-M$256,-M$264,M$323))</f>
        <v>57.111253717537977</v>
      </c>
      <c r="N222" s="6">
        <f ca="1">SUM(-N$212,N$324,IF(N$6=OFFSET(Assumptions!$B$8,0,$C$1),AVERAGE(SUM(K$212,K$222,-K$324)/SUM(K$205,K$212,K$222,-K$252,-K$324),SUM(L$212,L$222,-L$324)/SUM(L$205,L$212,L$222,-L$252,-L$324),SUM(M$212,M$222,-M$324)/SUM(M$205,M$212,M$222,-M$252,-M$324)),SUM(M$212,M$222,-M$324)/SUM(M$205,M$212,M$222,-M$252,-M$324))*SUM(-N$256,-N$264,N$323))</f>
        <v>57.271298846625044</v>
      </c>
      <c r="O222" s="6">
        <f ca="1">SUM(-O$212,O$324,IF(O$6=OFFSET(Assumptions!$B$8,0,$C$1),AVERAGE(SUM(L$212,L$222,-L$324)/SUM(L$205,L$212,L$222,-L$252,-L$324),SUM(M$212,M$222,-M$324)/SUM(M$205,M$212,M$222,-M$252,-M$324),SUM(N$212,N$222,-N$324)/SUM(N$205,N$212,N$222,-N$252,-N$324)),SUM(N$212,N$222,-N$324)/SUM(N$205,N$212,N$222,-N$252,-N$324))*SUM(-O$256,-O$264,O$323))</f>
        <v>57.431591201650072</v>
      </c>
      <c r="P222" s="6">
        <f ca="1">SUM(-P$212,P$324,IF(P$6=OFFSET(Assumptions!$B$8,0,$C$1),AVERAGE(SUM(M$212,M$222,-M$324)/SUM(M$205,M$212,M$222,-M$252,-M$324),SUM(N$212,N$222,-N$324)/SUM(N$205,N$212,N$222,-N$252,-N$324),SUM(O$212,O$222,-O$324)/SUM(O$205,O$212,O$222,-O$252,-O$324)),SUM(O$212,O$222,-O$324)/SUM(O$205,O$212,O$222,-O$252,-O$324))*SUM(-P$256,-P$264,P$323))</f>
        <v>57.592856896404875</v>
      </c>
      <c r="Q222" s="6">
        <f ca="1">SUM(-Q$212,Q$324,IF(Q$6=OFFSET(Assumptions!$B$8,0,$C$1),AVERAGE(SUM(N$212,N$222,-N$324)/SUM(N$205,N$212,N$222,-N$252,-N$324),SUM(O$212,O$222,-O$324)/SUM(O$205,O$212,O$222,-O$252,-O$324),SUM(P$212,P$222,-P$324)/SUM(P$205,P$212,P$222,-P$252,-P$324)),SUM(P$212,P$222,-P$324)/SUM(P$205,P$212,P$222,-P$252,-P$324))*SUM(-Q$256,-Q$264,Q$323))</f>
        <v>57.755141210031411</v>
      </c>
      <c r="R222" s="104">
        <f ca="1">SUM(-R$212,R$324,IF(R$6=OFFSET(Assumptions!$B$8,0,$C$1),AVERAGE(SUM(O$212,O$222,-O$324)/SUM(O$205,O$212,O$222,-O$252,-O$324),SUM(P$212,P$222,-P$324)/SUM(P$205,P$212,P$222,-P$252,-P$324),SUM(Q$212,Q$222,-Q$324)/SUM(Q$205,Q$212,Q$222,-Q$252,-Q$324)),SUM(Q$212,Q$222,-Q$324)/SUM(Q$205,Q$212,Q$222,-Q$252,-Q$324))*SUM(-R$256,-R$264,R$323))</f>
        <v>57.917764454185033</v>
      </c>
      <c r="S222" s="104">
        <f ca="1">SUM(-S$212,S$324,IF(S$6=OFFSET(Assumptions!$B$8,0,$C$1),AVERAGE(SUM(P$212,P$222,-P$324)/SUM(P$205,P$212,P$222,-P$252,-P$324),SUM(Q$212,Q$222,-Q$324)/SUM(Q$205,Q$212,Q$222,-Q$252,-Q$324),SUM(R$212,R$222,-R$324)/SUM(R$205,R$212,R$222,-R$252,-R$324)),SUM(R$212,R$222,-R$324)/SUM(R$205,R$212,R$222,-R$252,-R$324))*SUM(-S$256,-S$264,S$323))</f>
        <v>58.080413660321256</v>
      </c>
      <c r="T222" s="171">
        <f ca="1">SUM(-T$212,T$324,IF(T$6=OFFSET(Assumptions!$B$8,0,$C$1),AVERAGE(SUM(Q$212,Q$222,-Q$324)/SUM(Q$205,Q$212,Q$222,-Q$252,-Q$324),SUM(R$212,R$222,-R$324)/SUM(R$205,R$212,R$222,-R$252,-R$324),SUM(S$212,S$222,-S$324)/SUM(S$205,S$212,S$222,-S$252,-S$324)),SUM(S$212,S$222,-S$324)/SUM(S$205,S$212,S$222,-S$252,-S$324))*SUM(-T$256,-T$264,T$323))</f>
        <v>58.246169857503695</v>
      </c>
    </row>
    <row r="223" spans="1:20">
      <c r="A223" s="1" t="s">
        <v>256</v>
      </c>
      <c r="B223" s="4" t="str">
        <f>$B$39</f>
        <v>From Fiscal Forecasts</v>
      </c>
      <c r="D223" s="14">
        <f>'Fiscal Forecasts'!D$260</f>
        <v>22.132999999999999</v>
      </c>
      <c r="E223" s="175">
        <f>'Fiscal Forecasts'!E$260</f>
        <v>25.504999999999999</v>
      </c>
      <c r="F223" s="15">
        <f>'Fiscal Forecasts'!F$260</f>
        <v>27.172999999999998</v>
      </c>
      <c r="G223" s="15">
        <f>'Fiscal Forecasts'!G$260</f>
        <v>28.202999999999999</v>
      </c>
      <c r="H223" s="15">
        <f>'Fiscal Forecasts'!H$260</f>
        <v>27.251999999999999</v>
      </c>
      <c r="I223" s="15">
        <f>'Fiscal Forecasts'!I$260</f>
        <v>26.756</v>
      </c>
      <c r="J223" s="176">
        <f>'Fiscal Forecasts'!J$260</f>
        <v>26.177</v>
      </c>
      <c r="K223" s="6">
        <f ca="1">SUM(-K$213,IF(K$6=OFFSET(Assumptions!$B$8,0,$C$1),AVERAGE(SUM(H$213,H$223)/SUM(H$206,-(H$253-H$252),H$213,H$223),SUM(I$213,I$223)/SUM(I$206,-(I$253-I$252),I$213,I$223),SUM(J$213,J$223)/SUM(J$206,-(J$253-J$252),J$213,J$223)),SUM(J$213,J$223)/SUM(J$206,-(J$253-J$252),J$213,J$223))*SUM(K$190-K$238,K$257,K$266,K$288,K$326,-(K$253-K$252)))</f>
        <v>26.804130631789931</v>
      </c>
      <c r="L223" s="6">
        <f ca="1">SUM(-L$213,IF(L$6=OFFSET(Assumptions!$B$8,0,$C$1),AVERAGE(SUM(I$213,I$223)/SUM(I$206,-(I$253-I$252),I$213,I$223),SUM(J$213,J$223)/SUM(J$206,-(J$253-J$252),J$213,J$223),SUM(K$213,K$223)/SUM(K$206,-(K$253-K$252),K$213,K$223)),SUM(K$213,K$223)/SUM(K$206,-(K$253-K$252),K$213,K$223))*SUM(L$190-L$238,L$257,L$266,L$288,L$326,-(L$253-L$252)))</f>
        <v>26.962414577242377</v>
      </c>
      <c r="M223" s="6">
        <f ca="1">SUM(-M$213,IF(M$6=OFFSET(Assumptions!$B$8,0,$C$1),AVERAGE(SUM(J$213,J$223)/SUM(J$206,-(J$253-J$252),J$213,J$223),SUM(K$213,K$223)/SUM(K$206,-(K$253-K$252),K$213,K$223),SUM(L$213,L$223)/SUM(L$206,-(L$253-L$252),L$213,L$223)),SUM(L$213,L$223)/SUM(L$206,-(L$253-L$252),L$213,L$223))*SUM(M$190-M$238,M$257,M$266,M$288,M$326,-(M$253-M$252)))</f>
        <v>27.160389213024306</v>
      </c>
      <c r="N223" s="6">
        <f ca="1">SUM(-N$213,IF(N$6=OFFSET(Assumptions!$B$8,0,$C$1),AVERAGE(SUM(K$213,K$223)/SUM(K$206,-(K$253-K$252),K$213,K$223),SUM(L$213,L$223)/SUM(L$206,-(L$253-L$252),L$213,L$223),SUM(M$213,M$223)/SUM(M$206,-(M$253-M$252),M$213,M$223)),SUM(M$213,M$223)/SUM(M$206,-(M$253-M$252),M$213,M$223))*SUM(N$190-N$238,N$257,N$266,N$288,N$326,-(N$253-N$252)))</f>
        <v>27.466668817693787</v>
      </c>
      <c r="O223" s="6">
        <f ca="1">SUM(-O$213,IF(O$6=OFFSET(Assumptions!$B$8,0,$C$1),AVERAGE(SUM(L$213,L$223)/SUM(L$206,-(L$253-L$252),L$213,L$223),SUM(M$213,M$223)/SUM(M$206,-(M$253-M$252),M$213,M$223),SUM(N$213,N$223)/SUM(N$206,-(N$253-N$252),N$213,N$223)),SUM(N$213,N$223)/SUM(N$206,-(N$253-N$252),N$213,N$223))*SUM(O$190-O$238,O$257,O$266,O$288,O$326,-(O$253-O$252)))</f>
        <v>27.786347616303125</v>
      </c>
      <c r="P223" s="6">
        <f ca="1">SUM(-P$213,IF(P$6=OFFSET(Assumptions!$B$8,0,$C$1),AVERAGE(SUM(M$213,M$223)/SUM(M$206,-(M$253-M$252),M$213,M$223),SUM(N$213,N$223)/SUM(N$206,-(N$253-N$252),N$213,N$223),SUM(O$213,O$223)/SUM(O$206,-(O$253-O$252),O$213,O$223)),SUM(O$213,O$223)/SUM(O$206,-(O$253-O$252),O$213,O$223))*SUM(P$190-P$238,P$257,P$266,P$288,P$326,-(P$253-P$252)))</f>
        <v>28.122468687241433</v>
      </c>
      <c r="Q223" s="6">
        <f ca="1">SUM(-Q$213,IF(Q$6=OFFSET(Assumptions!$B$8,0,$C$1),AVERAGE(SUM(N$213,N$223)/SUM(N$206,-(N$253-N$252),N$213,N$223),SUM(O$213,O$223)/SUM(O$206,-(O$253-O$252),O$213,O$223),SUM(P$213,P$223)/SUM(P$206,-(P$253-P$252),P$213,P$223)),SUM(P$213,P$223)/SUM(P$206,-(P$253-P$252),P$213,P$223))*SUM(Q$190-Q$238,Q$257,Q$266,Q$288,Q$326,-(Q$253-Q$252)))</f>
        <v>28.473329551301841</v>
      </c>
      <c r="R223" s="104">
        <f ca="1">SUM(-R$213,IF(R$6=OFFSET(Assumptions!$B$8,0,$C$1),AVERAGE(SUM(O$213,O$223)/SUM(O$206,-(O$253-O$252),O$213,O$223),SUM(P$213,P$223)/SUM(P$206,-(P$253-P$252),P$213,P$223),SUM(Q$213,Q$223)/SUM(Q$206,-(Q$253-Q$252),Q$213,Q$223)),SUM(Q$213,Q$223)/SUM(Q$206,-(Q$253-Q$252),Q$213,Q$223))*SUM(R$190-R$238,R$257,R$266,R$288,R$326,-(R$253-R$252)))</f>
        <v>28.838610107796235</v>
      </c>
      <c r="S223" s="104">
        <f ca="1">SUM(-S$213,IF(S$6=OFFSET(Assumptions!$B$8,0,$C$1),AVERAGE(SUM(P$213,P$223)/SUM(P$206,-(P$253-P$252),P$213,P$223),SUM(Q$213,Q$223)/SUM(Q$206,-(Q$253-Q$252),Q$213,Q$223),SUM(R$213,R$223)/SUM(R$206,-(R$253-R$252),R$213,R$223)),SUM(R$213,R$223)/SUM(R$206,-(R$253-R$252),R$213,R$223))*SUM(S$190-S$238,S$257,S$266,S$288,S$326,-(S$253-S$252)))</f>
        <v>29.216728541759085</v>
      </c>
      <c r="T223" s="171">
        <f ca="1">SUM(-T$213,IF(T$6=OFFSET(Assumptions!$B$8,0,$C$1),AVERAGE(SUM(Q$213,Q$223)/SUM(Q$206,-(Q$253-Q$252),Q$213,Q$223),SUM(R$213,R$223)/SUM(R$206,-(R$253-R$252),R$213,R$223),SUM(S$213,S$223)/SUM(S$206,-(S$253-S$252),S$213,S$223)),SUM(S$213,S$223)/SUM(S$206,-(S$253-S$252),S$213,S$223))*SUM(T$190-T$238,T$257,T$266,T$288,T$326,-(T$253-T$252)))</f>
        <v>29.610829522142279</v>
      </c>
    </row>
    <row r="224" spans="1:20">
      <c r="A224" s="1" t="s">
        <v>418</v>
      </c>
      <c r="B224" s="4" t="str">
        <f>$B$39</f>
        <v>From Fiscal Forecasts</v>
      </c>
      <c r="D224" s="14">
        <f>'Fiscal Forecasts'!D$261</f>
        <v>9.4740000000000002</v>
      </c>
      <c r="E224" s="175">
        <f>'Fiscal Forecasts'!E$261</f>
        <v>12.164999999999999</v>
      </c>
      <c r="F224" s="15">
        <f>'Fiscal Forecasts'!F$261</f>
        <v>10.494999999999999</v>
      </c>
      <c r="G224" s="15">
        <f>'Fiscal Forecasts'!G$261</f>
        <v>10.994</v>
      </c>
      <c r="H224" s="15">
        <f>'Fiscal Forecasts'!H$261</f>
        <v>11.346</v>
      </c>
      <c r="I224" s="15">
        <f>'Fiscal Forecasts'!I$261</f>
        <v>11.944000000000001</v>
      </c>
      <c r="J224" s="176">
        <f>'Fiscal Forecasts'!J$261</f>
        <v>11.808</v>
      </c>
      <c r="K224" s="6">
        <f ca="1">SUM(-K$214,IF(K$6=OFFSET(Assumptions!$B$8,0,$C$1),AVERAGE(SUM(H$224,H$214)/SUM(H$207,H$214,H$224),SUM(I$224,I$214)/SUM(I$207,I$214,I$224),SUM(J$224,J$214)/SUM(J$207,J$214,J$224)),SUM(J$224,J$214)/SUM(J$207,J$214,J$224))*SUM(K$289,K$327-K$239))</f>
        <v>12.740256805296502</v>
      </c>
      <c r="L224" s="6">
        <f ca="1">SUM(-L$214,IF(L$6=OFFSET(Assumptions!$B$8,0,$C$1),AVERAGE(SUM(I$224,I$214)/SUM(I$207,I$214,I$224),SUM(J$224,J$214)/SUM(J$207,J$214,J$224),SUM(K$224,K$214)/SUM(K$207,K$214,K$224)),SUM(K$224,K$214)/SUM(K$207,K$214,K$224))*SUM(L$289,L$327-L$239))</f>
        <v>13.294948135204862</v>
      </c>
      <c r="M224" s="6">
        <f ca="1">SUM(-M$214,IF(M$6=OFFSET(Assumptions!$B$8,0,$C$1),AVERAGE(SUM(J$224,J$214)/SUM(J$207,J$214,J$224),SUM(K$224,K$214)/SUM(K$207,K$214,K$224),SUM(L$224,L$214)/SUM(L$207,L$214,L$224)),SUM(L$224,L$214)/SUM(L$207,L$214,L$224))*SUM(M$289,M$327-M$239))</f>
        <v>13.863423208400018</v>
      </c>
      <c r="N224" s="6">
        <f ca="1">SUM(-N$214,IF(N$6=OFFSET(Assumptions!$B$8,0,$C$1),AVERAGE(SUM(K$224,K$214)/SUM(K$207,K$214,K$224),SUM(L$224,L$214)/SUM(L$207,L$214,L$224),SUM(M$224,M$214)/SUM(M$207,M$214,M$224)),SUM(M$224,M$214)/SUM(M$207,M$214,M$224))*SUM(N$289,N$327-N$239))</f>
        <v>14.468775395764068</v>
      </c>
      <c r="O224" s="6">
        <f ca="1">SUM(-O$214,IF(O$6=OFFSET(Assumptions!$B$8,0,$C$1),AVERAGE(SUM(L$224,L$214)/SUM(L$207,L$214,L$224),SUM(M$224,M$214)/SUM(M$207,M$214,M$224),SUM(N$224,N$214)/SUM(N$207,N$214,N$224)),SUM(N$224,N$214)/SUM(N$207,N$214,N$224))*SUM(O$289,O$327-O$239))</f>
        <v>15.094602957599013</v>
      </c>
      <c r="P224" s="6">
        <f ca="1">SUM(-P$214,IF(P$6=OFFSET(Assumptions!$B$8,0,$C$1),AVERAGE(SUM(M$224,M$214)/SUM(M$207,M$214,M$224),SUM(N$224,N$214)/SUM(N$207,N$214,N$224),SUM(O$224,O$214)/SUM(O$207,O$214,O$224)),SUM(O$224,O$214)/SUM(O$207,O$214,O$224))*SUM(P$289,P$327-P$239))</f>
        <v>15.74052344760107</v>
      </c>
      <c r="Q224" s="6">
        <f ca="1">SUM(-Q$214,IF(Q$6=OFFSET(Assumptions!$B$8,0,$C$1),AVERAGE(SUM(N$224,N$214)/SUM(N$207,N$214,N$224),SUM(O$224,O$214)/SUM(O$207,O$214,O$224),SUM(P$224,P$214)/SUM(P$207,P$214,P$224)),SUM(P$224,P$214)/SUM(P$207,P$214,P$224))*SUM(Q$289,Q$327-Q$239))</f>
        <v>16.406232790177004</v>
      </c>
      <c r="R224" s="104">
        <f ca="1">SUM(-R$214,IF(R$6=OFFSET(Assumptions!$B$8,0,$C$1),AVERAGE(SUM(O$224,O$214)/SUM(O$207,O$214,O$224),SUM(P$224,P$214)/SUM(P$207,P$214,P$224),SUM(Q$224,Q$214)/SUM(Q$207,Q$214,Q$224)),SUM(Q$224,Q$214)/SUM(Q$207,Q$214,Q$224))*SUM(R$289,R$327-R$239))</f>
        <v>17.089514410039307</v>
      </c>
      <c r="S224" s="104">
        <f ca="1">SUM(-S$214,IF(S$6=OFFSET(Assumptions!$B$8,0,$C$1),AVERAGE(SUM(P$224,P$214)/SUM(P$207,P$214,P$224),SUM(Q$224,Q$214)/SUM(Q$207,Q$214,Q$224),SUM(R$224,R$214)/SUM(R$207,R$214,R$224)),SUM(R$224,R$214)/SUM(R$207,R$214,R$224))*SUM(S$289,S$327-S$239))</f>
        <v>17.789535306392182</v>
      </c>
      <c r="T224" s="171">
        <f ca="1">SUM(-T$214,IF(T$6=OFFSET(Assumptions!$B$8,0,$C$1),AVERAGE(SUM(Q$224,Q$214)/SUM(Q$207,Q$214,Q$224),SUM(R$224,R$214)/SUM(R$207,R$214,R$224),SUM(S$224,S$214)/SUM(S$207,S$214,S$224)),SUM(S$224,S$214)/SUM(S$207,S$214,S$224))*SUM(T$289,T$327-T$239))</f>
        <v>18.516258808828496</v>
      </c>
    </row>
    <row r="225" spans="1:20">
      <c r="A225" s="1" t="s">
        <v>419</v>
      </c>
      <c r="B225" s="4" t="str">
        <f>$B$39</f>
        <v>From Fiscal Forecasts</v>
      </c>
      <c r="D225" s="14">
        <f>'Fiscal Forecasts'!D$262</f>
        <v>-33.872999999999998</v>
      </c>
      <c r="E225" s="175">
        <f>'Fiscal Forecasts'!E$262</f>
        <v>-36.92</v>
      </c>
      <c r="F225" s="15">
        <f>'Fiscal Forecasts'!F$262</f>
        <v>-42.106999999999999</v>
      </c>
      <c r="G225" s="15">
        <f>'Fiscal Forecasts'!G$262</f>
        <v>-42.332000000000001</v>
      </c>
      <c r="H225" s="15">
        <f>'Fiscal Forecasts'!H$262</f>
        <v>-41.494</v>
      </c>
      <c r="I225" s="15">
        <f>'Fiscal Forecasts'!I$262</f>
        <v>-41.218000000000004</v>
      </c>
      <c r="J225" s="176">
        <f>'Fiscal Forecasts'!J$262</f>
        <v>-40.676000000000002</v>
      </c>
      <c r="K225" s="6">
        <f ca="1">IF(K$6=OFFSET(Assumptions!$B$8,0,$C$1),AVERAGE(H$225/SUM(H$208,H$225),I$225/SUM(I$208,I$225),J$225/SUM(J$208,J$225)),J$225/SUM(J$208,J$225))*SUM(K$191,K$258,K$267,K$290,K$328)</f>
        <v>-43.147238769615562</v>
      </c>
      <c r="L225" s="6">
        <f ca="1">IF(L$6=OFFSET(Assumptions!$B$8,0,$C$1),AVERAGE(I$225/SUM(I$208,I$225),J$225/SUM(J$208,J$225),K$225/SUM(K$208,K$225)),K$225/SUM(K$208,K$225))*SUM(L$191,L$258,L$267,L$290,L$328)</f>
        <v>-43.39460807602709</v>
      </c>
      <c r="M225" s="6">
        <f ca="1">IF(M$6=OFFSET(Assumptions!$B$8,0,$C$1),AVERAGE(J$225/SUM(J$208,J$225),K$225/SUM(K$208,K$225),L$225/SUM(L$208,L$225)),L$225/SUM(L$208,L$225))*SUM(M$191,M$258,M$267,M$290,M$328)</f>
        <v>-43.693367281051223</v>
      </c>
      <c r="N225" s="6">
        <f ca="1">IF(N$6=OFFSET(Assumptions!$B$8,0,$C$1),AVERAGE(K$225/SUM(K$208,K$225),L$225/SUM(L$208,L$225),M$225/SUM(M$208,M$225)),M$225/SUM(M$208,M$225))*SUM(N$191,N$258,N$267,N$290,N$328)</f>
        <v>-44.149819283043769</v>
      </c>
      <c r="O225" s="6">
        <f ca="1">IF(O$6=OFFSET(Assumptions!$B$8,0,$C$1),AVERAGE(L$225/SUM(L$208,L$225),M$225/SUM(M$208,M$225),N$225/SUM(N$208,N$225)),N$225/SUM(N$208,N$225))*SUM(O$191,O$258,O$267,O$290,O$328)</f>
        <v>-44.61380415795383</v>
      </c>
      <c r="P225" s="6">
        <f ca="1">IF(P$6=OFFSET(Assumptions!$B$8,0,$C$1),AVERAGE(M$225/SUM(M$208,M$225),N$225/SUM(N$208,N$225),O$225/SUM(O$208,O$225)),O$225/SUM(O$208,O$225))*SUM(P$191,P$258,P$267,P$290,P$328)</f>
        <v>-45.090917091802993</v>
      </c>
      <c r="Q225" s="6">
        <f ca="1">IF(Q$6=OFFSET(Assumptions!$B$8,0,$C$1),AVERAGE(N$225/SUM(N$208,N$225),O$225/SUM(O$208,O$225),P$225/SUM(P$208,P$225)),P$225/SUM(P$208,P$225))*SUM(Q$191,Q$258,Q$267,Q$290,Q$328)</f>
        <v>-45.579875656593771</v>
      </c>
      <c r="R225" s="104">
        <f ca="1">IF(R$6=OFFSET(Assumptions!$B$8,0,$C$1),AVERAGE(O$225/SUM(O$208,O$225),P$225/SUM(P$208,P$225),Q$225/SUM(Q$208,Q$225)),Q$225/SUM(Q$208,Q$225))*SUM(R$191,R$258,R$267,R$290,R$328)</f>
        <v>-46.080713985950354</v>
      </c>
      <c r="S225" s="104">
        <f ca="1">IF(S$6=OFFSET(Assumptions!$B$8,0,$C$1),AVERAGE(P$225/SUM(P$208,P$225),Q$225/SUM(Q$208,Q$225),R$225/SUM(R$208,R$225)),R$225/SUM(R$208,R$225))*SUM(S$191,S$258,S$267,S$290,S$328)</f>
        <v>-46.591784969366131</v>
      </c>
      <c r="T225" s="171">
        <f ca="1">IF(T$6=OFFSET(Assumptions!$B$8,0,$C$1),AVERAGE(Q$225/SUM(Q$208,Q$225),R$225/SUM(R$208,R$225),S$225/SUM(S$208,S$225)),S$225/SUM(S$208,S$225))*SUM(T$191,T$258,T$267,T$290,T$328)</f>
        <v>-47.114708771365699</v>
      </c>
    </row>
    <row r="226" spans="1:20" ht="15">
      <c r="A226" s="2" t="s">
        <v>421</v>
      </c>
      <c r="D226" s="34">
        <f t="shared" ref="D226:T226" si="150">SUM(D$222:D$225)</f>
        <v>42.693000000000005</v>
      </c>
      <c r="E226" s="138">
        <f t="shared" si="150"/>
        <v>52.582999999999984</v>
      </c>
      <c r="F226" s="33">
        <f t="shared" si="150"/>
        <v>58.031999999999996</v>
      </c>
      <c r="G226" s="33">
        <f t="shared" si="150"/>
        <v>58.972999999999992</v>
      </c>
      <c r="H226" s="33">
        <f t="shared" si="150"/>
        <v>55.543999999999997</v>
      </c>
      <c r="I226" s="33">
        <f t="shared" si="150"/>
        <v>53.944999999999993</v>
      </c>
      <c r="J226" s="137">
        <f t="shared" si="150"/>
        <v>52.813000000000002</v>
      </c>
      <c r="K226" s="37">
        <f t="shared" ca="1" si="150"/>
        <v>53.541562327792001</v>
      </c>
      <c r="L226" s="37">
        <f t="shared" ca="1" si="150"/>
        <v>53.960696782891652</v>
      </c>
      <c r="M226" s="37">
        <f t="shared" ca="1" si="150"/>
        <v>54.441698857911078</v>
      </c>
      <c r="N226" s="37">
        <f t="shared" ca="1" si="150"/>
        <v>55.056923777039131</v>
      </c>
      <c r="O226" s="37">
        <f t="shared" ca="1" si="150"/>
        <v>55.698737617598375</v>
      </c>
      <c r="P226" s="37">
        <f t="shared" ca="1" si="150"/>
        <v>56.364931939444375</v>
      </c>
      <c r="Q226" s="37">
        <f t="shared" ca="1" si="150"/>
        <v>57.054827894916485</v>
      </c>
      <c r="R226" s="37">
        <f t="shared" ca="1" si="150"/>
        <v>57.765174986070207</v>
      </c>
      <c r="S226" s="37">
        <f t="shared" ca="1" si="150"/>
        <v>58.494892539106388</v>
      </c>
      <c r="T226" s="140">
        <f t="shared" ca="1" si="150"/>
        <v>59.258549417108767</v>
      </c>
    </row>
    <row r="227" spans="1:20" ht="15">
      <c r="A227" s="2"/>
      <c r="D227" s="46"/>
      <c r="E227" s="46"/>
      <c r="F227" s="47"/>
      <c r="G227" s="47"/>
      <c r="H227" s="47"/>
      <c r="I227" s="47"/>
      <c r="J227" s="145"/>
      <c r="K227" s="47"/>
      <c r="L227" s="47"/>
      <c r="M227" s="47"/>
      <c r="N227" s="47"/>
      <c r="O227" s="47"/>
      <c r="P227" s="47"/>
      <c r="Q227" s="47"/>
      <c r="R227" s="47"/>
      <c r="S227" s="47"/>
      <c r="T227" s="145"/>
    </row>
    <row r="228" spans="1:20">
      <c r="A228" s="18" t="s">
        <v>422</v>
      </c>
      <c r="E228" s="167"/>
      <c r="J228" s="167"/>
    </row>
    <row r="229" spans="1:20">
      <c r="A229" s="1" t="s">
        <v>279</v>
      </c>
      <c r="B229" s="4" t="str">
        <f>$B$39</f>
        <v>From Fiscal Forecasts</v>
      </c>
      <c r="D229" s="14">
        <f>'Fiscal Forecasts'!D$164</f>
        <v>3.69</v>
      </c>
      <c r="E229" s="175">
        <f>'Fiscal Forecasts'!E$164</f>
        <v>3.2280000000000002</v>
      </c>
      <c r="F229" s="15">
        <f>'Fiscal Forecasts'!F$164</f>
        <v>1.9670000000000001</v>
      </c>
      <c r="G229" s="15">
        <f>'Fiscal Forecasts'!G$164</f>
        <v>1.6879999999999999</v>
      </c>
      <c r="H229" s="15">
        <f>'Fiscal Forecasts'!H$164</f>
        <v>1.83</v>
      </c>
      <c r="I229" s="15">
        <f>'Fiscal Forecasts'!I$164</f>
        <v>2.3340000000000001</v>
      </c>
      <c r="J229" s="176">
        <f>'Fiscal Forecasts'!J$164</f>
        <v>2.8370000000000002</v>
      </c>
      <c r="K229" s="6">
        <f t="shared" ref="K229:T229" ca="1" si="151">K$483</f>
        <v>3.29805967588281</v>
      </c>
      <c r="L229" s="6">
        <f t="shared" ca="1" si="151"/>
        <v>3.8118503867428295</v>
      </c>
      <c r="M229" s="6">
        <f t="shared" ca="1" si="151"/>
        <v>4.4013778073470151</v>
      </c>
      <c r="N229" s="6">
        <f t="shared" ca="1" si="151"/>
        <v>4.9946167196865696</v>
      </c>
      <c r="O229" s="6">
        <f t="shared" ca="1" si="151"/>
        <v>5.5761222405222064</v>
      </c>
      <c r="P229" s="6">
        <f t="shared" ca="1" si="151"/>
        <v>6.1385120924504912</v>
      </c>
      <c r="Q229" s="6">
        <f t="shared" ca="1" si="151"/>
        <v>6.6804282161624027</v>
      </c>
      <c r="R229" s="104">
        <f t="shared" ca="1" si="151"/>
        <v>7.1959175680621152</v>
      </c>
      <c r="S229" s="104">
        <f t="shared" ca="1" si="151"/>
        <v>7.676843550007165</v>
      </c>
      <c r="T229" s="171">
        <f t="shared" ca="1" si="151"/>
        <v>8.1136166480158849</v>
      </c>
    </row>
    <row r="230" spans="1:20">
      <c r="A230" s="1" t="s">
        <v>256</v>
      </c>
      <c r="B230" s="4" t="str">
        <f>$B$39</f>
        <v>From Fiscal Forecasts</v>
      </c>
      <c r="D230" s="14">
        <f>'Fiscal Forecasts'!D$265</f>
        <v>0.11700000000000001</v>
      </c>
      <c r="E230" s="175">
        <f>'Fiscal Forecasts'!E$265</f>
        <v>0.16400000000000001</v>
      </c>
      <c r="F230" s="15">
        <f>'Fiscal Forecasts'!F$265</f>
        <v>0.26300000000000001</v>
      </c>
      <c r="G230" s="15">
        <f>'Fiscal Forecasts'!G$265</f>
        <v>0.33200000000000002</v>
      </c>
      <c r="H230" s="15">
        <f>'Fiscal Forecasts'!H$265</f>
        <v>0.46100000000000002</v>
      </c>
      <c r="I230" s="15">
        <f>'Fiscal Forecasts'!I$265</f>
        <v>0.55100000000000005</v>
      </c>
      <c r="J230" s="176">
        <f>'Fiscal Forecasts'!J$265</f>
        <v>0.57399999999999995</v>
      </c>
      <c r="K230" s="6">
        <f ca="1">IF(K$6=OFFSET(Assumptions!$B$8,0,$C$1),AVERAGE(H$230/SUM(H$230:H$232),I$230/SUM(I$230:I$232),J$230/SUM(J$230:J$232)),J$230/SUM(J$230:J$232))*(K$90-K$483)</f>
        <v>0.52242318053997994</v>
      </c>
      <c r="L230" s="6">
        <f ca="1">IF(L$6=OFFSET(Assumptions!$B$8,0,$C$1),AVERAGE(I$230/SUM(I$230:I$232),J$230/SUM(J$230:J$232),K$230/SUM(K$230:K$232)),K$230/SUM(K$230:K$232))*(L$90-L$483)</f>
        <v>0.70171996230636724</v>
      </c>
      <c r="M230" s="6">
        <f ca="1">IF(M$6=OFFSET(Assumptions!$B$8,0,$C$1),AVERAGE(J$230/SUM(J$230:J$232),K$230/SUM(K$230:K$232),L$230/SUM(L$230:L$232)),L$230/SUM(L$230:L$232))*(M$90-M$483)</f>
        <v>0.91399919026122978</v>
      </c>
      <c r="N230" s="6">
        <f ca="1">IF(N$6=OFFSET(Assumptions!$B$8,0,$C$1),AVERAGE(K$230/SUM(K$230:K$232),L$230/SUM(L$230:L$232),M$230/SUM(M$230:M$232)),M$230/SUM(M$230:M$232))*(N$90-N$483)</f>
        <v>1.1524933600175697</v>
      </c>
      <c r="O230" s="6">
        <f ca="1">IF(O$6=OFFSET(Assumptions!$B$8,0,$C$1),AVERAGE(L$230/SUM(L$230:L$232),M$230/SUM(M$230:M$232),N$230/SUM(N$230:N$232)),N$230/SUM(N$230:N$232))*(O$90-O$483)</f>
        <v>1.4188367872090042</v>
      </c>
      <c r="P230" s="6">
        <f ca="1">IF(P$6=OFFSET(Assumptions!$B$8,0,$C$1),AVERAGE(M$230/SUM(M$230:M$232),N$230/SUM(N$230:N$232),O$230/SUM(O$230:O$232)),O$230/SUM(O$230:O$232))*(P$90-P$483)</f>
        <v>1.7131532866985977</v>
      </c>
      <c r="Q230" s="6">
        <f ca="1">IF(Q$6=OFFSET(Assumptions!$B$8,0,$C$1),AVERAGE(N$230/SUM(N$230:N$232),O$230/SUM(O$230:O$232),P$230/SUM(P$230:P$232)),P$230/SUM(P$230:P$232))*(Q$90-Q$483)</f>
        <v>2.0372160971450701</v>
      </c>
      <c r="R230" s="104">
        <f ca="1">IF(R$6=OFFSET(Assumptions!$B$8,0,$C$1),AVERAGE(O$230/SUM(O$230:O$232),P$230/SUM(P$230:P$232),Q$230/SUM(Q$230:Q$232)),Q$230/SUM(Q$230:Q$232))*(R$90-R$483)</f>
        <v>2.3937463022498262</v>
      </c>
      <c r="S230" s="104">
        <f ca="1">IF(S$6=OFFSET(Assumptions!$B$8,0,$C$1),AVERAGE(P$230/SUM(P$230:P$232),Q$230/SUM(Q$230:Q$232),R$230/SUM(R$230:R$232)),R$230/SUM(R$230:R$232))*(S$90-S$483)</f>
        <v>2.7855172140176188</v>
      </c>
      <c r="T230" s="171">
        <f ca="1">IF(T$6=OFFSET(Assumptions!$B$8,0,$C$1),AVERAGE(Q$230/SUM(Q$230:Q$232),R$230/SUM(R$230:R$232),S$230/SUM(S$230:S$232)),S$230/SUM(S$230:S$232))*(T$90-T$483)</f>
        <v>3.2157838348327008</v>
      </c>
    </row>
    <row r="231" spans="1:20">
      <c r="A231" s="1" t="s">
        <v>418</v>
      </c>
      <c r="B231" s="4" t="str">
        <f>$B$39</f>
        <v>From Fiscal Forecasts</v>
      </c>
      <c r="D231" s="14">
        <f>'Fiscal Forecasts'!D$266</f>
        <v>1.0449999999999999</v>
      </c>
      <c r="E231" s="175">
        <f>'Fiscal Forecasts'!E$266</f>
        <v>0.90100000000000002</v>
      </c>
      <c r="F231" s="15">
        <f>'Fiscal Forecasts'!F$266</f>
        <v>0.65600000000000003</v>
      </c>
      <c r="G231" s="15">
        <f>'Fiscal Forecasts'!G$266</f>
        <v>0.69199999999999995</v>
      </c>
      <c r="H231" s="15">
        <f>'Fiscal Forecasts'!H$266</f>
        <v>0.73599999999999999</v>
      </c>
      <c r="I231" s="15">
        <f>'Fiscal Forecasts'!I$266</f>
        <v>0.75900000000000001</v>
      </c>
      <c r="J231" s="176">
        <f>'Fiscal Forecasts'!J$266</f>
        <v>0.79300000000000004</v>
      </c>
      <c r="K231" s="6">
        <f ca="1">IF(K$6=OFFSET(Assumptions!$B$8,0,$C$1),AVERAGE(H$231/SUM(H$230:H$232),I$231/SUM(I$230:I$232),J$231/SUM(J$230:J$232)),J$231/SUM(J$230:J$232))*(K$90-K$483)</f>
        <v>0.7570267911451406</v>
      </c>
      <c r="L231" s="6">
        <f ca="1">IF(L$6=OFFSET(Assumptions!$B$8,0,$C$1),AVERAGE(I$231/SUM(I$230:I$232),J$231/SUM(J$230:J$232),K$231/SUM(K$230:K$232)),K$231/SUM(K$230:K$232))*(L$90-L$483)</f>
        <v>1.0168400467954062</v>
      </c>
      <c r="M231" s="6">
        <f ca="1">IF(M$6=OFFSET(Assumptions!$B$8,0,$C$1),AVERAGE(J$231/SUM(J$230:J$232),K$231/SUM(K$230:K$232),L$231/SUM(L$230:L$232)),L$231/SUM(L$230:L$232))*(M$90-M$483)</f>
        <v>1.3244471146887868</v>
      </c>
      <c r="N231" s="6">
        <f ca="1">IF(N$6=OFFSET(Assumptions!$B$8,0,$C$1),AVERAGE(K$231/SUM(K$230:K$232),L$231/SUM(L$230:L$232),M$231/SUM(M$230:M$232)),M$231/SUM(M$230:M$232))*(N$90-N$483)</f>
        <v>1.6700414197708324</v>
      </c>
      <c r="O231" s="6">
        <f ca="1">IF(O$6=OFFSET(Assumptions!$B$8,0,$C$1),AVERAGE(L$231/SUM(L$230:L$232),M$231/SUM(M$230:M$232),N$231/SUM(N$230:N$232)),N$231/SUM(N$230:N$232))*(O$90-O$483)</f>
        <v>2.0559911967713971</v>
      </c>
      <c r="P231" s="6">
        <f ca="1">IF(P$6=OFFSET(Assumptions!$B$8,0,$C$1),AVERAGE(M$231/SUM(M$230:M$232),N$231/SUM(N$230:N$232),O$231/SUM(O$230:O$232)),O$231/SUM(O$230:O$232))*(P$90-P$483)</f>
        <v>2.4824758618649025</v>
      </c>
      <c r="Q231" s="6">
        <f ca="1">IF(Q$6=OFFSET(Assumptions!$B$8,0,$C$1),AVERAGE(N$231/SUM(N$230:N$232),O$231/SUM(O$230:O$232),P$231/SUM(P$230:P$232)),P$231/SUM(P$230:P$232))*(Q$90-Q$483)</f>
        <v>2.9520649587120222</v>
      </c>
      <c r="R231" s="104">
        <f ca="1">IF(R$6=OFFSET(Assumptions!$B$8,0,$C$1),AVERAGE(O$231/SUM(O$230:O$232),P$231/SUM(P$230:P$232),Q$231/SUM(Q$230:Q$232)),Q$231/SUM(Q$230:Q$232))*(R$90-R$483)</f>
        <v>3.4687015230348361</v>
      </c>
      <c r="S231" s="104">
        <f ca="1">IF(S$6=OFFSET(Assumptions!$B$8,0,$C$1),AVERAGE(P$231/SUM(P$230:P$232),Q$231/SUM(Q$230:Q$232),R$231/SUM(R$230:R$232)),R$231/SUM(R$230:R$232))*(S$90-S$483)</f>
        <v>4.0364042729262746</v>
      </c>
      <c r="T231" s="171">
        <f ca="1">IF(T$6=OFFSET(Assumptions!$B$8,0,$C$1),AVERAGE(Q$231/SUM(Q$230:Q$232),R$231/SUM(R$230:R$232),S$231/SUM(S$230:S$232)),S$231/SUM(S$230:S$232))*(T$90-T$483)</f>
        <v>4.6598899286658124</v>
      </c>
    </row>
    <row r="232" spans="1:20">
      <c r="A232" s="1" t="s">
        <v>419</v>
      </c>
      <c r="B232" s="4" t="str">
        <f>$B$39</f>
        <v>From Fiscal Forecasts</v>
      </c>
      <c r="D232" s="14">
        <f>'Fiscal Forecasts'!D$267</f>
        <v>-0.55400000000000005</v>
      </c>
      <c r="E232" s="175">
        <f>'Fiscal Forecasts'!E$267</f>
        <v>-0.53900000000000003</v>
      </c>
      <c r="F232" s="15">
        <f>'Fiscal Forecasts'!F$267</f>
        <v>-0.35899999999999999</v>
      </c>
      <c r="G232" s="15">
        <f>'Fiscal Forecasts'!G$267</f>
        <v>-0.36099999999999999</v>
      </c>
      <c r="H232" s="15">
        <f>'Fiscal Forecasts'!H$267</f>
        <v>-0.35699999999999998</v>
      </c>
      <c r="I232" s="15">
        <f>'Fiscal Forecasts'!I$267</f>
        <v>-0.36499999999999999</v>
      </c>
      <c r="J232" s="176">
        <f>'Fiscal Forecasts'!J$267</f>
        <v>-0.378</v>
      </c>
      <c r="K232" s="6">
        <f ca="1">IF(K$6=OFFSET(Assumptions!$B$8,0,$C$1),AVERAGE(H$232/SUM(H$230:H$232),I$232/SUM(I$230:I$232),J$232/SUM(J$230:J$232)),J$232/SUM(J$230:J$232))*(K$90-K$483)</f>
        <v>-0.36412915430113435</v>
      </c>
      <c r="L232" s="6">
        <f ca="1">IF(L$6=OFFSET(Assumptions!$B$8,0,$C$1),AVERAGE(I$232/SUM(I$230:I$232),J$232/SUM(J$230:J$232),K$232/SUM(K$230:K$232)),K$232/SUM(K$230:K$232))*(L$90-L$483)</f>
        <v>-0.48909907896264798</v>
      </c>
      <c r="M232" s="6">
        <f ca="1">IF(M$6=OFFSET(Assumptions!$B$8,0,$C$1),AVERAGE(J$232/SUM(J$230:J$232),K$232/SUM(K$230:K$232),L$232/SUM(L$230:L$232)),L$232/SUM(L$230:L$232))*(M$90-M$483)</f>
        <v>-0.63705778108418687</v>
      </c>
      <c r="N232" s="6">
        <f ca="1">IF(N$6=OFFSET(Assumptions!$B$8,0,$C$1),AVERAGE(K$232/SUM(K$230:K$232),L$232/SUM(L$230:L$232),M$232/SUM(M$230:M$232)),M$232/SUM(M$230:M$232))*(N$90-N$483)</f>
        <v>-0.80328830755004177</v>
      </c>
      <c r="O232" s="6">
        <f ca="1">IF(O$6=OFFSET(Assumptions!$B$8,0,$C$1),AVERAGE(L$232/SUM(L$230:L$232),M$232/SUM(M$230:M$232),N$232/SUM(N$230:N$232)),N$232/SUM(N$230:N$232))*(O$90-O$483)</f>
        <v>-0.98892977697458018</v>
      </c>
      <c r="P232" s="6">
        <f ca="1">IF(P$6=OFFSET(Assumptions!$B$8,0,$C$1),AVERAGE(M$232/SUM(M$230:M$232),N$232/SUM(N$230:N$232),O$232/SUM(O$230:O$232)),O$232/SUM(O$230:O$232))*(P$90-P$483)</f>
        <v>-1.1940684883641572</v>
      </c>
      <c r="Q232" s="6">
        <f ca="1">IF(Q$6=OFFSET(Assumptions!$B$8,0,$C$1),AVERAGE(N$232/SUM(N$230:N$232),O$232/SUM(O$230:O$232),P$232/SUM(P$230:P$232)),P$232/SUM(P$230:P$232))*(Q$90-Q$483)</f>
        <v>-1.4199403897341472</v>
      </c>
      <c r="R232" s="104">
        <f ca="1">IF(R$6=OFFSET(Assumptions!$B$8,0,$C$1),AVERAGE(O$232/SUM(O$230:O$232),P$232/SUM(P$230:P$232),Q$232/SUM(Q$230:Q$232)),Q$232/SUM(Q$230:Q$232))*(R$90-R$483)</f>
        <v>-1.66844207745294</v>
      </c>
      <c r="S232" s="104">
        <f ca="1">IF(S$6=OFFSET(Assumptions!$B$8,0,$C$1),AVERAGE(P$232/SUM(P$230:P$232),Q$232/SUM(Q$230:Q$232),R$232/SUM(R$230:R$232)),R$232/SUM(R$230:R$232))*(S$90-S$483)</f>
        <v>-1.9415065510361016</v>
      </c>
      <c r="T232" s="171">
        <f ca="1">IF(T$6=OFFSET(Assumptions!$B$8,0,$C$1),AVERAGE(Q$232/SUM(Q$230:Q$232),R$232/SUM(R$230:R$232),S$232/SUM(S$230:S$232)),S$232/SUM(S$230:S$232))*(T$90-T$483)</f>
        <v>-2.2414025483757771</v>
      </c>
    </row>
    <row r="233" spans="1:20" ht="15">
      <c r="A233" s="2" t="s">
        <v>423</v>
      </c>
      <c r="D233" s="34">
        <f t="shared" ref="D233:T233" si="152">SUM(D$229:D$232)</f>
        <v>4.298</v>
      </c>
      <c r="E233" s="138">
        <f t="shared" si="152"/>
        <v>3.754</v>
      </c>
      <c r="F233" s="33">
        <f t="shared" si="152"/>
        <v>2.5270000000000001</v>
      </c>
      <c r="G233" s="33">
        <f t="shared" si="152"/>
        <v>2.351</v>
      </c>
      <c r="H233" s="33">
        <f t="shared" si="152"/>
        <v>2.67</v>
      </c>
      <c r="I233" s="33">
        <f t="shared" si="152"/>
        <v>3.2789999999999999</v>
      </c>
      <c r="J233" s="137">
        <f t="shared" si="152"/>
        <v>3.8259999999999996</v>
      </c>
      <c r="K233" s="37">
        <f t="shared" ca="1" si="152"/>
        <v>4.2133804932667953</v>
      </c>
      <c r="L233" s="37">
        <f t="shared" ca="1" si="152"/>
        <v>5.0413113168819539</v>
      </c>
      <c r="M233" s="37">
        <f t="shared" ca="1" si="152"/>
        <v>6.0027663312128441</v>
      </c>
      <c r="N233" s="37">
        <f t="shared" ca="1" si="152"/>
        <v>7.0138631919249308</v>
      </c>
      <c r="O233" s="37">
        <f t="shared" ca="1" si="152"/>
        <v>8.0620204475280275</v>
      </c>
      <c r="P233" s="37">
        <f t="shared" ca="1" si="152"/>
        <v>9.140072752649834</v>
      </c>
      <c r="Q233" s="37">
        <f t="shared" ca="1" si="152"/>
        <v>10.249768882285347</v>
      </c>
      <c r="R233" s="37">
        <f t="shared" ca="1" si="152"/>
        <v>11.389923315893837</v>
      </c>
      <c r="S233" s="37">
        <f t="shared" ca="1" si="152"/>
        <v>12.557258485914957</v>
      </c>
      <c r="T233" s="140">
        <f t="shared" ca="1" si="152"/>
        <v>13.747887863138621</v>
      </c>
    </row>
    <row r="234" spans="1:20">
      <c r="A234" s="4" t="s">
        <v>424</v>
      </c>
      <c r="D234" s="50"/>
      <c r="E234" s="50">
        <f t="shared" ref="E234:J234" si="153">E$229/AVERAGE(D$70,E$70)</f>
        <v>2.9526235633629543E-2</v>
      </c>
      <c r="F234" s="51">
        <f t="shared" si="153"/>
        <v>1.4749992501274784E-2</v>
      </c>
      <c r="G234" s="51">
        <f t="shared" si="153"/>
        <v>1.0633171337052005E-2</v>
      </c>
      <c r="H234" s="51">
        <f t="shared" si="153"/>
        <v>9.6502191074338342E-3</v>
      </c>
      <c r="I234" s="51">
        <f t="shared" si="153"/>
        <v>1.1439550260012058E-2</v>
      </c>
      <c r="J234" s="147">
        <f t="shared" si="153"/>
        <v>1.3844494653985235E-2</v>
      </c>
      <c r="K234" s="8">
        <f ca="1">J$234+MIN(OFFSET(Assumptions!$B$24,0,$C$1),ABS(K$31-J$234))*SIGN(K$31-J$234)</f>
        <v>1.6344494653985235E-2</v>
      </c>
      <c r="L234" s="135">
        <f ca="1">K$234+MIN(OFFSET(Assumptions!$B$24,0,$C$1),ABS(L$31-K$234))*SIGN(L$31-K$234)</f>
        <v>1.8844494653985234E-2</v>
      </c>
      <c r="M234" s="135">
        <f ca="1">L$234+MIN(OFFSET(Assumptions!$B$24,0,$C$1),ABS(M$31-L$234))*SIGN(M$31-L$234)</f>
        <v>2.1344494653985233E-2</v>
      </c>
      <c r="N234" s="135">
        <f ca="1">M$234+MIN(OFFSET(Assumptions!$B$24,0,$C$1),ABS(N$31-M$234))*SIGN(N$31-M$234)</f>
        <v>2.3844494653985231E-2</v>
      </c>
      <c r="O234" s="135">
        <f ca="1">N$234+MIN(OFFSET(Assumptions!$B$24,0,$C$1),ABS(O$31-N$234))*SIGN(O$31-N$234)</f>
        <v>2.634449465398523E-2</v>
      </c>
      <c r="P234" s="135">
        <f ca="1">O$234+MIN(OFFSET(Assumptions!$B$24,0,$C$1),ABS(P$31-O$234))*SIGN(P$31-O$234)</f>
        <v>2.8844494653985229E-2</v>
      </c>
      <c r="Q234" s="135">
        <f ca="1">P$234+MIN(OFFSET(Assumptions!$B$24,0,$C$1),ABS(Q$31-P$234))*SIGN(Q$31-P$234)</f>
        <v>3.1344494653985228E-2</v>
      </c>
      <c r="R234" s="135">
        <f ca="1">Q$234+MIN(OFFSET(Assumptions!$B$24,0,$C$1),ABS(R$31-Q$234))*SIGN(R$31-Q$234)</f>
        <v>3.384449465398523E-2</v>
      </c>
      <c r="S234" s="135">
        <f ca="1">R$234+MIN(OFFSET(Assumptions!$B$24,0,$C$1),ABS(S$31-R$234))*SIGN(S$31-R$234)</f>
        <v>3.6344494653985232E-2</v>
      </c>
      <c r="T234" s="135">
        <f ca="1">S$234+MIN(OFFSET(Assumptions!$B$24,0,$C$1),ABS(T$31-S$234))*SIGN(T$31-S$234)</f>
        <v>3.8844494653985234E-2</v>
      </c>
    </row>
    <row r="235" spans="1:20">
      <c r="A235" s="4"/>
      <c r="D235" s="50"/>
      <c r="E235" s="50"/>
      <c r="F235" s="51"/>
      <c r="G235" s="51"/>
      <c r="H235" s="51"/>
      <c r="I235" s="51"/>
      <c r="J235" s="147"/>
      <c r="K235" s="8"/>
      <c r="L235" s="8"/>
      <c r="M235" s="8"/>
      <c r="N235" s="8"/>
      <c r="O235" s="8"/>
      <c r="P235" s="8"/>
      <c r="Q235" s="8"/>
      <c r="R235" s="8"/>
      <c r="S235" s="8"/>
      <c r="T235" s="135"/>
    </row>
    <row r="236" spans="1:20">
      <c r="A236" s="18" t="s">
        <v>137</v>
      </c>
      <c r="E236" s="167"/>
      <c r="J236" s="167"/>
    </row>
    <row r="237" spans="1:20">
      <c r="A237" s="1" t="s">
        <v>279</v>
      </c>
      <c r="B237" s="4" t="str">
        <f>$B$39</f>
        <v>From Fiscal Forecasts</v>
      </c>
      <c r="D237" s="14">
        <f>'Fiscal Forecasts'!D$165</f>
        <v>0</v>
      </c>
      <c r="E237" s="175">
        <f>'Fiscal Forecasts'!E$165</f>
        <v>0</v>
      </c>
      <c r="F237" s="15">
        <f>'Fiscal Forecasts'!F$165</f>
        <v>3.0000000000000001E-3</v>
      </c>
      <c r="G237" s="15">
        <f>'Fiscal Forecasts'!G$165</f>
        <v>2E-3</v>
      </c>
      <c r="H237" s="15">
        <f>'Fiscal Forecasts'!H$165</f>
        <v>2E-3</v>
      </c>
      <c r="I237" s="15">
        <f>'Fiscal Forecasts'!I$165</f>
        <v>2E-3</v>
      </c>
      <c r="J237" s="176">
        <f>'Fiscal Forecasts'!J$165</f>
        <v>2E-3</v>
      </c>
      <c r="K237" s="6">
        <f ca="1">IF(K$6=OFFSET(Assumptions!$B$8,0,$C$1),0,J$237)</f>
        <v>0</v>
      </c>
      <c r="L237" s="6">
        <f ca="1">IF(L$6=OFFSET(Assumptions!$B$8,0,$C$1),0,K$237)</f>
        <v>0</v>
      </c>
      <c r="M237" s="6">
        <f ca="1">IF(M$6=OFFSET(Assumptions!$B$8,0,$C$1),0,L$237)</f>
        <v>0</v>
      </c>
      <c r="N237" s="6">
        <f ca="1">IF(N$6=OFFSET(Assumptions!$B$8,0,$C$1),0,M$237)</f>
        <v>0</v>
      </c>
      <c r="O237" s="6">
        <f ca="1">IF(O$6=OFFSET(Assumptions!$B$8,0,$C$1),0,N$237)</f>
        <v>0</v>
      </c>
      <c r="P237" s="6">
        <f ca="1">IF(P$6=OFFSET(Assumptions!$B$8,0,$C$1),0,O$237)</f>
        <v>0</v>
      </c>
      <c r="Q237" s="6">
        <f ca="1">IF(Q$6=OFFSET(Assumptions!$B$8,0,$C$1),0,P$237)</f>
        <v>0</v>
      </c>
      <c r="R237" s="104">
        <f ca="1">IF(R$6=OFFSET(Assumptions!$B$8,0,$C$1),0,Q$237)</f>
        <v>0</v>
      </c>
      <c r="S237" s="104">
        <f ca="1">IF(S$6=OFFSET(Assumptions!$B$8,0,$C$1),0,R$237)</f>
        <v>0</v>
      </c>
      <c r="T237" s="171">
        <f ca="1">IF(T$6=OFFSET(Assumptions!$B$8,0,$C$1),0,S$237)</f>
        <v>0</v>
      </c>
    </row>
    <row r="238" spans="1:20">
      <c r="A238" s="1" t="s">
        <v>256</v>
      </c>
      <c r="B238" s="4" t="str">
        <f>$B$39</f>
        <v>From Fiscal Forecasts</v>
      </c>
      <c r="D238" s="14">
        <f>'Fiscal Forecasts'!D$194</f>
        <v>5.8070000000000004</v>
      </c>
      <c r="E238" s="175">
        <f>'Fiscal Forecasts'!E$194</f>
        <v>6.8959999999999999</v>
      </c>
      <c r="F238" s="15">
        <f>'Fiscal Forecasts'!F$194</f>
        <v>6.5759999999999996</v>
      </c>
      <c r="G238" s="15">
        <f>'Fiscal Forecasts'!G$194</f>
        <v>6.53</v>
      </c>
      <c r="H238" s="15">
        <f>'Fiscal Forecasts'!H$194</f>
        <v>6.9749999999999996</v>
      </c>
      <c r="I238" s="15">
        <f>'Fiscal Forecasts'!I$194</f>
        <v>7.4130000000000003</v>
      </c>
      <c r="J238" s="176">
        <f>'Fiscal Forecasts'!J$194</f>
        <v>7.8949999999999996</v>
      </c>
      <c r="K238" s="6">
        <f ca="1">IF(K$6=OFFSET(Assumptions!$B$8,0,$C$1),AVERAGE(H$238/SUM(H$241:H$242),I$238/SUM(I$241:I$242),J$238/SUM(J$241:J$242)),J$238/SUM(J$241:J$242))*SUM(K$241:K$242)</f>
        <v>8.2776024057049344</v>
      </c>
      <c r="L238" s="6">
        <f ca="1">IF(L$6=OFFSET(Assumptions!$B$8,0,$C$1),AVERAGE(I$238/SUM(I$241:I$242),J$238/SUM(J$241:J$242),K$238/SUM(K$241:K$242)),K$238/SUM(K$241:K$242))*SUM(L$241:L$242)</f>
        <v>8.6802367901361759</v>
      </c>
      <c r="M238" s="6">
        <f ca="1">IF(M$6=OFFSET(Assumptions!$B$8,0,$C$1),AVERAGE(J$238/SUM(J$241:J$242),K$238/SUM(K$241:K$242),L$238/SUM(L$241:L$242)),L$238/SUM(L$241:L$242))*SUM(M$241:M$242)</f>
        <v>9.0994236376784734</v>
      </c>
      <c r="N238" s="6">
        <f ca="1">IF(N$6=OFFSET(Assumptions!$B$8,0,$C$1),AVERAGE(K$238/SUM(K$241:K$242),L$238/SUM(L$241:L$242),M$238/SUM(M$241:M$242)),M$238/SUM(M$241:M$242))*SUM(N$241:N$242)</f>
        <v>9.528701108758181</v>
      </c>
      <c r="O238" s="6">
        <f ca="1">IF(O$6=OFFSET(Assumptions!$B$8,0,$C$1),AVERAGE(L$238/SUM(L$241:L$242),M$238/SUM(M$241:M$242),N$238/SUM(N$241:N$242)),N$238/SUM(N$241:N$242))*SUM(O$241:O$242)</f>
        <v>9.9579239102712478</v>
      </c>
      <c r="P238" s="6">
        <f ca="1">IF(P$6=OFFSET(Assumptions!$B$8,0,$C$1),AVERAGE(M$238/SUM(M$241:M$242),N$238/SUM(N$241:N$242),O$238/SUM(O$241:O$242)),O$238/SUM(O$241:O$242))*SUM(P$241:P$242)</f>
        <v>10.411714721517139</v>
      </c>
      <c r="Q238" s="6">
        <f ca="1">IF(Q$6=OFFSET(Assumptions!$B$8,0,$C$1),AVERAGE(N$238/SUM(N$241:N$242),O$238/SUM(O$241:O$242),P$238/SUM(P$241:P$242)),P$238/SUM(P$241:P$242))*SUM(Q$241:Q$242)</f>
        <v>10.879843840726124</v>
      </c>
      <c r="R238" s="104">
        <f ca="1">IF(R$6=OFFSET(Assumptions!$B$8,0,$C$1),AVERAGE(O$238/SUM(O$241:O$242),P$238/SUM(P$241:P$242),Q$238/SUM(Q$241:Q$242)),Q$238/SUM(Q$241:Q$242))*SUM(R$241:R$242)</f>
        <v>11.368768299070391</v>
      </c>
      <c r="S238" s="104">
        <f ca="1">IF(S$6=OFFSET(Assumptions!$B$8,0,$C$1),AVERAGE(P$238/SUM(P$241:P$242),Q$238/SUM(Q$241:Q$242),R$238/SUM(R$241:R$242)),R$238/SUM(R$241:R$242))*SUM(S$241:S$242)</f>
        <v>11.871188709462187</v>
      </c>
      <c r="T238" s="171">
        <f ca="1">IF(T$6=OFFSET(Assumptions!$B$8,0,$C$1),AVERAGE(Q$238/SUM(Q$241:Q$242),R$238/SUM(R$241:R$242),S$238/SUM(S$241:S$242)),S$238/SUM(S$241:S$242))*SUM(T$241:T$242)</f>
        <v>12.376278478924451</v>
      </c>
    </row>
    <row r="239" spans="1:20">
      <c r="A239" s="1" t="s">
        <v>992</v>
      </c>
      <c r="B239" s="4" t="str">
        <f>$B$39</f>
        <v>From Fiscal Forecasts</v>
      </c>
      <c r="D239" s="14">
        <f>'Fiscal Forecasts'!D$195</f>
        <v>5.0000000000000001E-3</v>
      </c>
      <c r="E239" s="175">
        <f>'Fiscal Forecasts'!E$195</f>
        <v>7.0000000000000001E-3</v>
      </c>
      <c r="F239" s="15">
        <f>'Fiscal Forecasts'!F$195</f>
        <v>6.0000000000000001E-3</v>
      </c>
      <c r="G239" s="15">
        <f>'Fiscal Forecasts'!G$195</f>
        <v>6.0000000000000001E-3</v>
      </c>
      <c r="H239" s="15">
        <f>'Fiscal Forecasts'!H$195</f>
        <v>7.0000000000000001E-3</v>
      </c>
      <c r="I239" s="15">
        <f>'Fiscal Forecasts'!I$195</f>
        <v>7.0000000000000001E-3</v>
      </c>
      <c r="J239" s="176">
        <f>'Fiscal Forecasts'!J$195</f>
        <v>7.0000000000000001E-3</v>
      </c>
      <c r="K239" s="6">
        <f ca="1">SUM(K$241:K242,-K$238)</f>
        <v>1.0055511812613105E-2</v>
      </c>
      <c r="L239" s="6">
        <f ca="1">SUM(L$241:L242,-L$238)</f>
        <v>1.0544626245799549E-2</v>
      </c>
      <c r="M239" s="6">
        <f ca="1">SUM(M$241:M242,-M$238)</f>
        <v>1.1053848372034381E-2</v>
      </c>
      <c r="N239" s="6">
        <f ca="1">SUM(N$241:N242,-N$238)</f>
        <v>1.1575328441958632E-2</v>
      </c>
      <c r="O239" s="6">
        <f ca="1">SUM(O$241:O242,-O$238)</f>
        <v>1.209674210008238E-2</v>
      </c>
      <c r="P239" s="6">
        <f ca="1">SUM(P$241:P242,-P$238)</f>
        <v>1.2648000621485522E-2</v>
      </c>
      <c r="Q239" s="6">
        <f ca="1">SUM(Q$241:Q242,-Q$238)</f>
        <v>1.3216677112252384E-2</v>
      </c>
      <c r="R239" s="104">
        <f ca="1">SUM(R$241:R242,-R$238)</f>
        <v>1.381061548056195E-2</v>
      </c>
      <c r="S239" s="104">
        <f ca="1">SUM(S$241:S242,-S$238)</f>
        <v>1.4420948536438161E-2</v>
      </c>
      <c r="T239" s="171">
        <f ca="1">SUM(T$241:T242,-T$238)</f>
        <v>1.5034524291145601E-2</v>
      </c>
    </row>
    <row r="240" spans="1:20" ht="15">
      <c r="A240" s="2" t="s">
        <v>425</v>
      </c>
      <c r="D240" s="34">
        <f t="shared" ref="D240:T240" si="154">SUM(D$237:D$239)</f>
        <v>5.8120000000000003</v>
      </c>
      <c r="E240" s="138">
        <f t="shared" si="154"/>
        <v>6.9029999999999996</v>
      </c>
      <c r="F240" s="33">
        <f t="shared" si="154"/>
        <v>6.585</v>
      </c>
      <c r="G240" s="33">
        <f t="shared" si="154"/>
        <v>6.5380000000000003</v>
      </c>
      <c r="H240" s="33">
        <f t="shared" si="154"/>
        <v>6.9839999999999991</v>
      </c>
      <c r="I240" s="33">
        <f t="shared" si="154"/>
        <v>7.4219999999999997</v>
      </c>
      <c r="J240" s="137">
        <f t="shared" si="154"/>
        <v>7.903999999999999</v>
      </c>
      <c r="K240" s="37">
        <f t="shared" ca="1" si="154"/>
        <v>8.2876579175175475</v>
      </c>
      <c r="L240" s="37">
        <f t="shared" ca="1" si="154"/>
        <v>8.6907814163819754</v>
      </c>
      <c r="M240" s="37">
        <f t="shared" ca="1" si="154"/>
        <v>9.1104774860505078</v>
      </c>
      <c r="N240" s="37">
        <f t="shared" ca="1" si="154"/>
        <v>9.5402764372001396</v>
      </c>
      <c r="O240" s="37">
        <f t="shared" ca="1" si="154"/>
        <v>9.9700206523713302</v>
      </c>
      <c r="P240" s="37">
        <f t="shared" ca="1" si="154"/>
        <v>10.424362722138625</v>
      </c>
      <c r="Q240" s="37">
        <f t="shared" ca="1" si="154"/>
        <v>10.893060517838377</v>
      </c>
      <c r="R240" s="37">
        <f t="shared" ca="1" si="154"/>
        <v>11.382578914550953</v>
      </c>
      <c r="S240" s="37">
        <f t="shared" ca="1" si="154"/>
        <v>11.885609657998625</v>
      </c>
      <c r="T240" s="140">
        <f t="shared" ca="1" si="154"/>
        <v>12.391313003215597</v>
      </c>
    </row>
    <row r="241" spans="1:20">
      <c r="A241" s="1" t="s">
        <v>426</v>
      </c>
      <c r="B241" s="4" t="str">
        <f>$B$39</f>
        <v>From Fiscal Forecasts</v>
      </c>
      <c r="D241" s="14">
        <f>'Fiscal Forecasts'!D$270</f>
        <v>5.3620000000000001</v>
      </c>
      <c r="E241" s="175">
        <f>'Fiscal Forecasts'!E$270</f>
        <v>6.2460000000000004</v>
      </c>
      <c r="F241" s="15">
        <f>'Fiscal Forecasts'!F$270</f>
        <v>6.282</v>
      </c>
      <c r="G241" s="15">
        <f>'Fiscal Forecasts'!G$270</f>
        <v>6.3129999999999997</v>
      </c>
      <c r="H241" s="15">
        <f>'Fiscal Forecasts'!H$270</f>
        <v>6.726</v>
      </c>
      <c r="I241" s="15">
        <f>'Fiscal Forecasts'!I$270</f>
        <v>7.1379999999999999</v>
      </c>
      <c r="J241" s="176">
        <f>'Fiscal Forecasts'!J$270</f>
        <v>7.5960000000000001</v>
      </c>
      <c r="K241" s="6">
        <f>J$241*Exogenous!V$25/Exogenous!U$25</f>
        <v>7.9759415754458756</v>
      </c>
      <c r="L241" s="6">
        <f>K$241*Exogenous!W$25/Exogenous!V$25</f>
        <v>8.3657583261352428</v>
      </c>
      <c r="M241" s="6">
        <f>L$241*Exogenous!X$25/Exogenous!W$25</f>
        <v>8.7719984071179926</v>
      </c>
      <c r="N241" s="6">
        <f>M$241*Exogenous!Y$25/Exogenous!X$25</f>
        <v>9.1877068484707802</v>
      </c>
      <c r="O241" s="6">
        <f>N$241*Exogenous!Z$25/Exogenous!Y$25</f>
        <v>9.6030553704232595</v>
      </c>
      <c r="P241" s="6">
        <f>O$241*Exogenous!AA$25/Exogenous!Z$25</f>
        <v>10.042698237012432</v>
      </c>
      <c r="Q241" s="6">
        <f>P$241*Exogenous!AB$25/Exogenous!AA$25</f>
        <v>10.496394401231774</v>
      </c>
      <c r="R241" s="104">
        <f>Q$241*Exogenous!AC$25/Exogenous!AB$25</f>
        <v>10.970649144477077</v>
      </c>
      <c r="S241" s="104">
        <f>R$241*Exogenous!AD$25/Exogenous!AC$25</f>
        <v>11.45816638979567</v>
      </c>
      <c r="T241" s="171">
        <f>S$241*Exogenous!AE$25/Exogenous!AD$25</f>
        <v>11.947896289464925</v>
      </c>
    </row>
    <row r="242" spans="1:20">
      <c r="A242" s="1" t="s">
        <v>427</v>
      </c>
      <c r="B242" s="4" t="str">
        <f>$B$39</f>
        <v>From Fiscal Forecasts</v>
      </c>
      <c r="D242" s="14">
        <f>SUM('Fiscal Forecasts'!D$271:D$272)</f>
        <v>0.44999999999999996</v>
      </c>
      <c r="E242" s="175">
        <f>SUM('Fiscal Forecasts'!E$271:E$272)</f>
        <v>0.65700000000000003</v>
      </c>
      <c r="F242" s="15">
        <f>SUM('Fiscal Forecasts'!F$271:F$272)</f>
        <v>0.30299999999999999</v>
      </c>
      <c r="G242" s="15">
        <f>SUM('Fiscal Forecasts'!G$271:G$272)</f>
        <v>0.22500000000000001</v>
      </c>
      <c r="H242" s="15">
        <f>SUM('Fiscal Forecasts'!H$271:H$272)</f>
        <v>0.25800000000000001</v>
      </c>
      <c r="I242" s="15">
        <f>SUM('Fiscal Forecasts'!I$271:I$272)</f>
        <v>0.28400000000000003</v>
      </c>
      <c r="J242" s="176">
        <f>SUM('Fiscal Forecasts'!J$271:J$272)</f>
        <v>0.308</v>
      </c>
      <c r="K242" s="6">
        <f ca="1">IF(K$6=OFFSET(Assumptions!$B$8,0,$C$1),AVERAGE(H$242/H$13,I$242/I$13,J$242/J$13),J$242/J$13)*K$13</f>
        <v>0.31171634207167231</v>
      </c>
      <c r="L242" s="6">
        <f ca="1">IF(L$6=OFFSET(Assumptions!$B$8,0,$C$1),AVERAGE(I$242/I$13,J$242/J$13,K$242/K$13),K$242/K$13)*L$13</f>
        <v>0.32502309024673326</v>
      </c>
      <c r="M242" s="6">
        <f ca="1">IF(M$6=OFFSET(Assumptions!$B$8,0,$C$1),AVERAGE(J$242/J$13,K$242/K$13,L$242/L$13),L$242/L$13)*M$13</f>
        <v>0.33847907893251561</v>
      </c>
      <c r="N242" s="6">
        <f ca="1">IF(N$6=OFFSET(Assumptions!$B$8,0,$C$1),AVERAGE(K$242/K$13,L$242/L$13,M$242/M$13),M$242/M$13)*N$13</f>
        <v>0.35256958872936023</v>
      </c>
      <c r="O242" s="6">
        <f ca="1">IF(O$6=OFFSET(Assumptions!$B$8,0,$C$1),AVERAGE(L$242/L$13,M$242/M$13,N$242/N$13),N$242/N$13)*O$13</f>
        <v>0.36696528194807038</v>
      </c>
      <c r="P242" s="6">
        <f ca="1">IF(P$6=OFFSET(Assumptions!$B$8,0,$C$1),AVERAGE(M$242/M$13,N$242/N$13,O$242/O$13),O$242/O$13)*P$13</f>
        <v>0.38166448512619172</v>
      </c>
      <c r="Q242" s="6">
        <f ca="1">IF(Q$6=OFFSET(Assumptions!$B$8,0,$C$1),AVERAGE(N$242/N$13,O$242/O$13,P$242/P$13),P$242/P$13)*Q$13</f>
        <v>0.39666611660660345</v>
      </c>
      <c r="R242" s="104">
        <f ca="1">IF(R$6=OFFSET(Assumptions!$B$8,0,$C$1),AVERAGE(O$242/O$13,P$242/P$13,Q$242/Q$13),Q$242/Q$13)*R$13</f>
        <v>0.41192977007387527</v>
      </c>
      <c r="S242" s="104">
        <f ca="1">IF(S$6=OFFSET(Assumptions!$B$8,0,$C$1),AVERAGE(P$242/P$13,Q$242/Q$13,R$242/R$13),R$242/R$13)*S$13</f>
        <v>0.42744326820295464</v>
      </c>
      <c r="T242" s="171">
        <f ca="1">IF(T$6=OFFSET(Assumptions!$B$8,0,$C$1),AVERAGE(Q$242/Q$13,R$242/R$13,S$242/S$13),S$242/S$13)*T$13</f>
        <v>0.4434167137506711</v>
      </c>
    </row>
    <row r="243" spans="1:20">
      <c r="B243" s="4"/>
      <c r="D243" s="15"/>
      <c r="E243" s="176"/>
      <c r="F243" s="15"/>
      <c r="G243" s="15"/>
      <c r="H243" s="6"/>
      <c r="I243" s="104"/>
      <c r="J243" s="171"/>
      <c r="K243" s="6"/>
      <c r="L243" s="6"/>
      <c r="M243" s="6"/>
      <c r="N243" s="6"/>
      <c r="O243" s="6"/>
      <c r="P243" s="6"/>
      <c r="Q243" s="6"/>
      <c r="R243" s="104"/>
      <c r="S243" s="104"/>
      <c r="T243" s="171"/>
    </row>
    <row r="244" spans="1:20">
      <c r="A244" s="18" t="s">
        <v>505</v>
      </c>
      <c r="E244" s="167"/>
      <c r="J244" s="167"/>
    </row>
    <row r="245" spans="1:20" ht="15">
      <c r="A245" s="2" t="s">
        <v>428</v>
      </c>
      <c r="B245" s="4"/>
      <c r="D245" s="39">
        <f>SUM($D$246:D$247)</f>
        <v>0</v>
      </c>
      <c r="E245" s="142">
        <f>SUM($D$246:E$247)</f>
        <v>0</v>
      </c>
      <c r="F245" s="38">
        <f>SUM($D$246:F$247)</f>
        <v>0.5</v>
      </c>
      <c r="G245" s="38">
        <f>SUM($D$246:G$247)</f>
        <v>4.2210000000000001</v>
      </c>
      <c r="H245" s="38">
        <f>SUM($D$246:H$247)</f>
        <v>5.2509999999999994</v>
      </c>
      <c r="I245" s="38">
        <f>SUM($D$246:I$247)</f>
        <v>7.8840000000000003</v>
      </c>
      <c r="J245" s="141">
        <f>SUM($D$246:J$247)</f>
        <v>10.558</v>
      </c>
      <c r="K245" s="7">
        <f ca="1">SUM($D$246:K$247)</f>
        <v>11.416</v>
      </c>
      <c r="L245" s="7">
        <f ca="1">SUM($D$246:L$247)</f>
        <v>13.456</v>
      </c>
      <c r="M245" s="7">
        <f ca="1">SUM($D$246:M$247)</f>
        <v>15.536799999999999</v>
      </c>
      <c r="N245" s="7">
        <f ca="1">SUM($D$246:N$247)</f>
        <v>17.659216000000001</v>
      </c>
      <c r="O245" s="7">
        <f ca="1">SUM($D$246:O$247)</f>
        <v>19.82408032</v>
      </c>
      <c r="P245" s="7">
        <f ca="1">SUM($D$246:P$247)</f>
        <v>22.032241926400001</v>
      </c>
      <c r="Q245" s="7">
        <f ca="1">SUM($D$246:Q$247)</f>
        <v>24.284566764928002</v>
      </c>
      <c r="R245" s="7">
        <f ca="1">SUM($D$246:R$247)</f>
        <v>26.581938100226562</v>
      </c>
      <c r="S245" s="7">
        <f ca="1">SUM($D$246:S$247)</f>
        <v>28.925256862231095</v>
      </c>
      <c r="T245" s="134">
        <f ca="1">SUM($D$246:T$247)</f>
        <v>31.31544199947572</v>
      </c>
    </row>
    <row r="246" spans="1:20">
      <c r="A246" s="1" t="s">
        <v>727</v>
      </c>
      <c r="B246" s="4" t="str">
        <f>$B$39</f>
        <v>From Fiscal Forecasts</v>
      </c>
      <c r="D246" s="14">
        <f>SUM('Fiscal Forecasts'!D$275,'Fiscal Forecasts'!D$277:D$280)-SUM('Fiscal Forecasts'!C$275,'Fiscal Forecasts'!C$277:C$280)</f>
        <v>0</v>
      </c>
      <c r="E246" s="175">
        <f>SUM('Fiscal Forecasts'!E$275,'Fiscal Forecasts'!E$277:E$280)-SUM('Fiscal Forecasts'!D$275,'Fiscal Forecasts'!D$277:D$280)</f>
        <v>0</v>
      </c>
      <c r="F246" s="15">
        <f>SUM('Fiscal Forecasts'!F$275,'Fiscal Forecasts'!F$277:F$280)-SUM('Fiscal Forecasts'!E$275,'Fiscal Forecasts'!E$277:E$280)</f>
        <v>0</v>
      </c>
      <c r="G246" s="15">
        <f>SUM('Fiscal Forecasts'!G$275,'Fiscal Forecasts'!G$277:G$280)-SUM('Fiscal Forecasts'!F$275,'Fiscal Forecasts'!F$277:F$280)</f>
        <v>3.0790000000000002</v>
      </c>
      <c r="H246" s="15">
        <f>SUM('Fiscal Forecasts'!H$275,'Fiscal Forecasts'!H$277:H$280)-SUM('Fiscal Forecasts'!G$275,'Fiscal Forecasts'!G$277:G$280)</f>
        <v>1.0299999999999998</v>
      </c>
      <c r="I246" s="15">
        <f>SUM('Fiscal Forecasts'!I$275,'Fiscal Forecasts'!I$277:I$280)-SUM('Fiscal Forecasts'!H$275,'Fiscal Forecasts'!H$277:H$280)</f>
        <v>2.633</v>
      </c>
      <c r="J246" s="176">
        <f>SUM('Fiscal Forecasts'!J$275,'Fiscal Forecasts'!J$277:J$280)-SUM('Fiscal Forecasts'!I$275,'Fiscal Forecasts'!I$277:I$280)</f>
        <v>2.6740000000000004</v>
      </c>
      <c r="K246" s="131">
        <f ca="1">IF(K$6=OFFSET(Assumptions!$B$8,0,$C$1),OFFSET(Assumptions!$B$60,0,$C$1),J$246*(1+OFFSET(Assumptions!$B$61,0,$C$1)))</f>
        <v>2</v>
      </c>
      <c r="L246" s="131">
        <f ca="1">IF(L$6=OFFSET(Assumptions!$B$8,0,$C$1),OFFSET(Assumptions!$B$60,0,$C$1),K$246*(1+OFFSET(Assumptions!$B$61,0,$C$1)))</f>
        <v>2.04</v>
      </c>
      <c r="M246" s="131">
        <f ca="1">IF(M$6=OFFSET(Assumptions!$B$8,0,$C$1),OFFSET(Assumptions!$B$60,0,$C$1),L$246*(1+OFFSET(Assumptions!$B$61,0,$C$1)))</f>
        <v>2.0808</v>
      </c>
      <c r="N246" s="131">
        <f ca="1">IF(N$6=OFFSET(Assumptions!$B$8,0,$C$1),OFFSET(Assumptions!$B$60,0,$C$1),M$246*(1+OFFSET(Assumptions!$B$61,0,$C$1)))</f>
        <v>2.1224159999999999</v>
      </c>
      <c r="O246" s="131">
        <f ca="1">IF(O$6=OFFSET(Assumptions!$B$8,0,$C$1),OFFSET(Assumptions!$B$60,0,$C$1),N$246*(1+OFFSET(Assumptions!$B$61,0,$C$1)))</f>
        <v>2.16486432</v>
      </c>
      <c r="P246" s="131">
        <f ca="1">IF(P$6=OFFSET(Assumptions!$B$8,0,$C$1),OFFSET(Assumptions!$B$60,0,$C$1),O$246*(1+OFFSET(Assumptions!$B$61,0,$C$1)))</f>
        <v>2.2081616064</v>
      </c>
      <c r="Q246" s="131">
        <f ca="1">IF(Q$6=OFFSET(Assumptions!$B$8,0,$C$1),OFFSET(Assumptions!$B$60,0,$C$1),P$246*(1+OFFSET(Assumptions!$B$61,0,$C$1)))</f>
        <v>2.2523248385280001</v>
      </c>
      <c r="R246" s="131">
        <f ca="1">IF(R$6=OFFSET(Assumptions!$B$8,0,$C$1),OFFSET(Assumptions!$B$60,0,$C$1),Q$246*(1+OFFSET(Assumptions!$B$61,0,$C$1)))</f>
        <v>2.2973713352985601</v>
      </c>
      <c r="S246" s="131">
        <f ca="1">IF(S$6=OFFSET(Assumptions!$B$8,0,$C$1),OFFSET(Assumptions!$B$60,0,$C$1),R$246*(1+OFFSET(Assumptions!$B$61,0,$C$1)))</f>
        <v>2.3433187620045315</v>
      </c>
      <c r="T246" s="171">
        <f ca="1">IF(T$6=OFFSET(Assumptions!$B$8,0,$C$1),OFFSET(Assumptions!$B$60,0,$C$1),S$246*(1+OFFSET(Assumptions!$B$61,0,$C$1)))</f>
        <v>2.3901851372446221</v>
      </c>
    </row>
    <row r="247" spans="1:20">
      <c r="A247" s="1" t="s">
        <v>1165</v>
      </c>
      <c r="B247" s="4" t="str">
        <f>$B$39</f>
        <v>From Fiscal Forecasts</v>
      </c>
      <c r="D247" s="14">
        <f>'Fiscal Forecasts'!D$276-'Fiscal Forecasts'!C$276</f>
        <v>0</v>
      </c>
      <c r="E247" s="175">
        <f>'Fiscal Forecasts'!E$276-'Fiscal Forecasts'!D$276</f>
        <v>0</v>
      </c>
      <c r="F247" s="15">
        <f>'Fiscal Forecasts'!F$276-'Fiscal Forecasts'!E$276</f>
        <v>0.5</v>
      </c>
      <c r="G247" s="15">
        <f>'Fiscal Forecasts'!G$276-'Fiscal Forecasts'!F$276</f>
        <v>0.6419999999999999</v>
      </c>
      <c r="H247" s="15">
        <f>'Fiscal Forecasts'!H$276-'Fiscal Forecasts'!G$276</f>
        <v>0</v>
      </c>
      <c r="I247" s="15">
        <f>'Fiscal Forecasts'!I$276-'Fiscal Forecasts'!H$276</f>
        <v>0</v>
      </c>
      <c r="J247" s="176">
        <f>'Fiscal Forecasts'!J$276-'Fiscal Forecasts'!I$276</f>
        <v>0</v>
      </c>
      <c r="K247" s="131">
        <f ca="1">IF(K$6=OFFSET(Assumptions!$B$8,0,$C$1),OFFSET(Assumptions!$B$62,0,$C$1),J$247*(1+OFFSET(Assumptions!$B$63,0,$C$1)))</f>
        <v>-1.1419999999999999</v>
      </c>
      <c r="L247" s="131">
        <f ca="1">IF(L$6=OFFSET(Assumptions!$B$8,0,$C$1),OFFSET(Assumptions!$B$62,0,$C$1),K$247*(1+OFFSET(Assumptions!$B$63,0,$C$1)))</f>
        <v>0</v>
      </c>
      <c r="M247" s="131">
        <f ca="1">IF(M$6=OFFSET(Assumptions!$B$8,0,$C$1),OFFSET(Assumptions!$B$62,0,$C$1),L$247*(1+OFFSET(Assumptions!$B$63,0,$C$1)))</f>
        <v>0</v>
      </c>
      <c r="N247" s="131">
        <f ca="1">IF(N$6=OFFSET(Assumptions!$B$8,0,$C$1),OFFSET(Assumptions!$B$62,0,$C$1),M$247*(1+OFFSET(Assumptions!$B$63,0,$C$1)))</f>
        <v>0</v>
      </c>
      <c r="O247" s="131">
        <f ca="1">IF(O$6=OFFSET(Assumptions!$B$8,0,$C$1),OFFSET(Assumptions!$B$62,0,$C$1),N$247*(1+OFFSET(Assumptions!$B$63,0,$C$1)))</f>
        <v>0</v>
      </c>
      <c r="P247" s="131">
        <f ca="1">IF(P$6=OFFSET(Assumptions!$B$8,0,$C$1),OFFSET(Assumptions!$B$62,0,$C$1),O$247*(1+OFFSET(Assumptions!$B$63,0,$C$1)))</f>
        <v>0</v>
      </c>
      <c r="Q247" s="131">
        <f ca="1">IF(Q$6=OFFSET(Assumptions!$B$8,0,$C$1),OFFSET(Assumptions!$B$62,0,$C$1),P$247*(1+OFFSET(Assumptions!$B$63,0,$C$1)))</f>
        <v>0</v>
      </c>
      <c r="R247" s="131">
        <f ca="1">IF(R$6=OFFSET(Assumptions!$B$8,0,$C$1),OFFSET(Assumptions!$B$62,0,$C$1),Q$247*(1+OFFSET(Assumptions!$B$63,0,$C$1)))</f>
        <v>0</v>
      </c>
      <c r="S247" s="131">
        <f ca="1">IF(S$6=OFFSET(Assumptions!$B$8,0,$C$1),OFFSET(Assumptions!$B$62,0,$C$1),R$247*(1+OFFSET(Assumptions!$B$63,0,$C$1)))</f>
        <v>0</v>
      </c>
      <c r="T247" s="171">
        <f ca="1">IF(T$6=OFFSET(Assumptions!$B$8,0,$C$1),OFFSET(Assumptions!$B$62,0,$C$1),S$247*(1+OFFSET(Assumptions!$B$63,0,$C$1)))</f>
        <v>0</v>
      </c>
    </row>
    <row r="248" spans="1:20" ht="15">
      <c r="A248" s="2" t="s">
        <v>139</v>
      </c>
      <c r="B248" s="4"/>
      <c r="D248" s="39">
        <f>SUM($D$249:D$249)</f>
        <v>0</v>
      </c>
      <c r="E248" s="142">
        <f>SUM($D$249:E$249)</f>
        <v>0</v>
      </c>
      <c r="F248" s="38">
        <f>SUM($D$249:F$249)</f>
        <v>-2.0249999999999999</v>
      </c>
      <c r="G248" s="38">
        <f>SUM($D$249:G$249)</f>
        <v>-2.7749999999999999</v>
      </c>
      <c r="H248" s="38">
        <f>SUM($D$249:H$249)</f>
        <v>-0.8</v>
      </c>
      <c r="I248" s="38">
        <f>SUM($D$249:I$249)</f>
        <v>-0.7</v>
      </c>
      <c r="J248" s="141">
        <f>SUM($D$249:J$249)</f>
        <v>-0.7</v>
      </c>
      <c r="K248" s="7">
        <f ca="1">SUM($D$249:K$249)</f>
        <v>-0.71399999999999997</v>
      </c>
      <c r="L248" s="7">
        <f ca="1">SUM($D$249:L$249)</f>
        <v>-0.72827999999999993</v>
      </c>
      <c r="M248" s="7">
        <f ca="1">SUM($D$249:M$249)</f>
        <v>-0.74284559999999988</v>
      </c>
      <c r="N248" s="7">
        <f ca="1">SUM($D$249:N$249)</f>
        <v>-0.75770251199999983</v>
      </c>
      <c r="O248" s="7">
        <f ca="1">SUM($D$249:O$249)</f>
        <v>-0.77285656223999988</v>
      </c>
      <c r="P248" s="7">
        <f ca="1">SUM($D$249:P$249)</f>
        <v>-0.78831369348479985</v>
      </c>
      <c r="Q248" s="7">
        <f ca="1">SUM($D$249:Q$249)</f>
        <v>-0.80407996735449583</v>
      </c>
      <c r="R248" s="7">
        <f ca="1">SUM($D$249:R$249)</f>
        <v>-0.8201615667015858</v>
      </c>
      <c r="S248" s="7">
        <f ca="1">SUM($D$249:S$249)</f>
        <v>-0.83656479803561756</v>
      </c>
      <c r="T248" s="134">
        <f ca="1">SUM($D$249:T$249)</f>
        <v>-0.85329609399632989</v>
      </c>
    </row>
    <row r="249" spans="1:20">
      <c r="A249" s="1" t="s">
        <v>728</v>
      </c>
      <c r="B249" s="4" t="str">
        <f>$B$39</f>
        <v>From Fiscal Forecasts</v>
      </c>
      <c r="D249" s="14">
        <f>'Fiscal Forecasts'!D$22-'Fiscal Forecasts'!C$22</f>
        <v>0</v>
      </c>
      <c r="E249" s="175">
        <f>'Fiscal Forecasts'!E$22-'Fiscal Forecasts'!D$22</f>
        <v>0</v>
      </c>
      <c r="F249" s="15">
        <f>'Fiscal Forecasts'!F$22-'Fiscal Forecasts'!E$22</f>
        <v>-2.0249999999999999</v>
      </c>
      <c r="G249" s="15">
        <f>'Fiscal Forecasts'!G$22-'Fiscal Forecasts'!F$22</f>
        <v>-0.75</v>
      </c>
      <c r="H249" s="15">
        <f>'Fiscal Forecasts'!H$22-'Fiscal Forecasts'!G$22</f>
        <v>1.9749999999999999</v>
      </c>
      <c r="I249" s="15">
        <f>'Fiscal Forecasts'!I$22-'Fiscal Forecasts'!H$22</f>
        <v>0.10000000000000009</v>
      </c>
      <c r="J249" s="176">
        <f>'Fiscal Forecasts'!J$22-'Fiscal Forecasts'!I$22</f>
        <v>0</v>
      </c>
      <c r="K249" s="6">
        <f ca="1">SUM($D$249:J$249)*OFFSET(Assumptions!$B$61,0,$C$1)</f>
        <v>-1.3999999999999999E-2</v>
      </c>
      <c r="L249" s="6">
        <f ca="1">SUM($D$249:K$249)*OFFSET(Assumptions!$B$61,0,$C$1)</f>
        <v>-1.4279999999999999E-2</v>
      </c>
      <c r="M249" s="6">
        <f ca="1">SUM($D$249:L$249)*OFFSET(Assumptions!$B$61,0,$C$1)</f>
        <v>-1.4565599999999998E-2</v>
      </c>
      <c r="N249" s="6">
        <f ca="1">SUM($D$249:M$249)*OFFSET(Assumptions!$B$61,0,$C$1)</f>
        <v>-1.4856911999999998E-2</v>
      </c>
      <c r="O249" s="6">
        <f ca="1">SUM($D$249:N$249)*OFFSET(Assumptions!$B$61,0,$C$1)</f>
        <v>-1.5154050239999996E-2</v>
      </c>
      <c r="P249" s="6">
        <f ca="1">SUM($D$249:O$249)*OFFSET(Assumptions!$B$61,0,$C$1)</f>
        <v>-1.5457131244799999E-2</v>
      </c>
      <c r="Q249" s="6">
        <f ca="1">SUM($D$249:P$249)*OFFSET(Assumptions!$B$61,0,$C$1)</f>
        <v>-1.5766273869695997E-2</v>
      </c>
      <c r="R249" s="104">
        <f ca="1">SUM($D$249:Q$249)*OFFSET(Assumptions!$B$61,0,$C$1)</f>
        <v>-1.6081599347089918E-2</v>
      </c>
      <c r="S249" s="104">
        <f ca="1">SUM($D$249:R$249)*OFFSET(Assumptions!$B$61,0,$C$1)</f>
        <v>-1.6403231334031716E-2</v>
      </c>
      <c r="T249" s="171">
        <f ca="1">SUM($D$249:S$249)*OFFSET(Assumptions!$B$61,0,$C$1)</f>
        <v>-1.673129596071235E-2</v>
      </c>
    </row>
    <row r="250" spans="1:20">
      <c r="B250" s="4"/>
      <c r="D250" s="14"/>
      <c r="E250" s="175"/>
      <c r="F250" s="15"/>
      <c r="G250" s="15"/>
      <c r="H250" s="15"/>
      <c r="I250" s="15"/>
      <c r="J250" s="176"/>
      <c r="K250" s="6"/>
      <c r="L250" s="6"/>
      <c r="M250" s="6"/>
      <c r="N250" s="6"/>
      <c r="O250" s="6"/>
      <c r="P250" s="6"/>
      <c r="Q250" s="6"/>
      <c r="R250" s="104"/>
      <c r="S250" s="104"/>
      <c r="T250" s="171"/>
    </row>
    <row r="251" spans="1:20">
      <c r="A251" s="18" t="s">
        <v>506</v>
      </c>
      <c r="E251" s="167"/>
      <c r="J251" s="167"/>
    </row>
    <row r="252" spans="1:20" ht="15">
      <c r="A252" s="2" t="s">
        <v>507</v>
      </c>
      <c r="B252" s="4" t="str">
        <f>$B$39</f>
        <v>From Fiscal Forecasts</v>
      </c>
      <c r="D252" s="39">
        <f>'Fiscal Forecasts'!D$66</f>
        <v>6.6000000000000003E-2</v>
      </c>
      <c r="E252" s="142">
        <f>'Fiscal Forecasts'!E$66</f>
        <v>7.2999999999999995E-2</v>
      </c>
      <c r="F252" s="38">
        <f>'Fiscal Forecasts'!F$66</f>
        <v>7.3999999999999996E-2</v>
      </c>
      <c r="G252" s="38">
        <f>'Fiscal Forecasts'!G$66</f>
        <v>7.0999999999999994E-2</v>
      </c>
      <c r="H252" s="38">
        <f>'Fiscal Forecasts'!H$66</f>
        <v>6.5000000000000002E-2</v>
      </c>
      <c r="I252" s="38">
        <f>'Fiscal Forecasts'!I$66</f>
        <v>6.0999999999999999E-2</v>
      </c>
      <c r="J252" s="141">
        <f>'Fiscal Forecasts'!J$66</f>
        <v>5.7000000000000002E-2</v>
      </c>
      <c r="K252" s="7">
        <f>J$252*Exogenous!V$32/Exogenous!U$32</f>
        <v>5.7277372262773726E-2</v>
      </c>
      <c r="L252" s="7">
        <f>K$252*Exogenous!W$32/Exogenous!V$32</f>
        <v>5.7416058394160585E-2</v>
      </c>
      <c r="M252" s="7">
        <f>L$252*Exogenous!X$32/Exogenous!W$32</f>
        <v>5.6722627737226278E-2</v>
      </c>
      <c r="N252" s="7">
        <f>M$252*Exogenous!Y$32/Exogenous!X$32</f>
        <v>5.4503649635036504E-2</v>
      </c>
      <c r="O252" s="7">
        <f>N$252*Exogenous!Z$32/Exogenous!Y$32</f>
        <v>5.2423357664233582E-2</v>
      </c>
      <c r="P252" s="7">
        <f>O$252*Exogenous!AA$32/Exogenous!Z$32</f>
        <v>5.0065693430656935E-2</v>
      </c>
      <c r="Q252" s="7">
        <f>P$252*Exogenous!AB$32/Exogenous!AA$32</f>
        <v>4.7708029197080296E-2</v>
      </c>
      <c r="R252" s="7">
        <f>Q$252*Exogenous!AC$32/Exogenous!AB$32</f>
        <v>4.5350364963503663E-2</v>
      </c>
      <c r="S252" s="7">
        <f>R$252*Exogenous!AD$32/Exogenous!AC$32</f>
        <v>4.2992700729927016E-2</v>
      </c>
      <c r="T252" s="134">
        <f>S$252*Exogenous!AE$32/Exogenous!AD$32</f>
        <v>4.0496350364963511E-2</v>
      </c>
    </row>
    <row r="253" spans="1:20" ht="15">
      <c r="A253" s="2" t="s">
        <v>508</v>
      </c>
      <c r="B253" s="4" t="str">
        <f>$B$39</f>
        <v>From Fiscal Forecasts</v>
      </c>
      <c r="D253" s="39">
        <f>'Fiscal Forecasts'!D$49</f>
        <v>0.08</v>
      </c>
      <c r="E253" s="142">
        <f>'Fiscal Forecasts'!E$49</f>
        <v>8.6999999999999994E-2</v>
      </c>
      <c r="F253" s="38">
        <f>'Fiscal Forecasts'!F$49</f>
        <v>0.106</v>
      </c>
      <c r="G253" s="38">
        <f>'Fiscal Forecasts'!G$49</f>
        <v>0.10299999999999999</v>
      </c>
      <c r="H253" s="38">
        <f>'Fiscal Forecasts'!H$49</f>
        <v>9.8000000000000004E-2</v>
      </c>
      <c r="I253" s="38">
        <f>'Fiscal Forecasts'!I$49</f>
        <v>9.5000000000000001E-2</v>
      </c>
      <c r="J253" s="141">
        <f>'Fiscal Forecasts'!J$49</f>
        <v>9.0999999999999998E-2</v>
      </c>
      <c r="K253" s="7">
        <f>J$253*Exogenous!V$32/Exogenous!U$32</f>
        <v>9.1442822384428218E-2</v>
      </c>
      <c r="L253" s="7">
        <f>K$253*Exogenous!W$32/Exogenous!V$32</f>
        <v>9.1664233576642343E-2</v>
      </c>
      <c r="M253" s="7">
        <f>L$253*Exogenous!X$32/Exogenous!W$32</f>
        <v>9.0557177615571777E-2</v>
      </c>
      <c r="N253" s="7">
        <f>M$253*Exogenous!Y$32/Exogenous!X$32</f>
        <v>8.7014598540145996E-2</v>
      </c>
      <c r="O253" s="7">
        <f>N$253*Exogenous!Z$32/Exogenous!Y$32</f>
        <v>8.3693430656934312E-2</v>
      </c>
      <c r="P253" s="7">
        <f>O$253*Exogenous!AA$32/Exogenous!Z$32</f>
        <v>7.9929440389294407E-2</v>
      </c>
      <c r="Q253" s="7">
        <f>P$253*Exogenous!AB$32/Exogenous!AA$32</f>
        <v>7.6165450121654502E-2</v>
      </c>
      <c r="R253" s="7">
        <f>Q$253*Exogenous!AC$32/Exogenous!AB$32</f>
        <v>7.240145985401461E-2</v>
      </c>
      <c r="S253" s="7">
        <f>R$253*Exogenous!AD$32/Exogenous!AC$32</f>
        <v>6.8637469586374705E-2</v>
      </c>
      <c r="T253" s="134">
        <f>S$253*Exogenous!AE$32/Exogenous!AD$32</f>
        <v>6.465206812652069E-2</v>
      </c>
    </row>
    <row r="254" spans="1:20" ht="15">
      <c r="A254" s="2"/>
      <c r="B254" s="4"/>
      <c r="D254" s="14"/>
      <c r="E254" s="175"/>
      <c r="F254" s="38"/>
      <c r="G254" s="38"/>
      <c r="H254" s="38"/>
      <c r="I254" s="38"/>
      <c r="J254" s="141"/>
      <c r="K254" s="7"/>
      <c r="L254" s="7"/>
      <c r="M254" s="7"/>
      <c r="N254" s="7"/>
      <c r="O254" s="7"/>
      <c r="P254" s="7"/>
      <c r="Q254" s="7"/>
      <c r="R254" s="7"/>
      <c r="S254" s="7"/>
      <c r="T254" s="134"/>
    </row>
    <row r="255" spans="1:20">
      <c r="A255" s="18" t="s">
        <v>431</v>
      </c>
      <c r="D255" s="14"/>
      <c r="E255" s="175"/>
      <c r="J255" s="167"/>
    </row>
    <row r="256" spans="1:20">
      <c r="A256" s="1" t="s">
        <v>279</v>
      </c>
      <c r="B256" s="4" t="str">
        <f>$B$39</f>
        <v>From Fiscal Forecasts</v>
      </c>
      <c r="D256" s="14">
        <f>'Fiscal Forecasts'!D$55</f>
        <v>18.268000000000001</v>
      </c>
      <c r="E256" s="175">
        <f>'Fiscal Forecasts'!E$55</f>
        <v>19.890999999999998</v>
      </c>
      <c r="F256" s="15">
        <f>'Fiscal Forecasts'!F$55</f>
        <v>23.837</v>
      </c>
      <c r="G256" s="15">
        <f>'Fiscal Forecasts'!G$55</f>
        <v>25.047999999999998</v>
      </c>
      <c r="H256" s="15">
        <f>'Fiscal Forecasts'!H$55</f>
        <v>22.538</v>
      </c>
      <c r="I256" s="15">
        <f>'Fiscal Forecasts'!I$55</f>
        <v>22.609000000000002</v>
      </c>
      <c r="J256" s="176">
        <f>'Fiscal Forecasts'!J$55</f>
        <v>22.74</v>
      </c>
      <c r="K256" s="6">
        <f t="shared" ref="K256:T256" si="155">J$256</f>
        <v>22.74</v>
      </c>
      <c r="L256" s="6">
        <f t="shared" si="155"/>
        <v>22.74</v>
      </c>
      <c r="M256" s="6">
        <f t="shared" si="155"/>
        <v>22.74</v>
      </c>
      <c r="N256" s="6">
        <f t="shared" si="155"/>
        <v>22.74</v>
      </c>
      <c r="O256" s="6">
        <f t="shared" si="155"/>
        <v>22.74</v>
      </c>
      <c r="P256" s="6">
        <f t="shared" si="155"/>
        <v>22.74</v>
      </c>
      <c r="Q256" s="6">
        <f t="shared" si="155"/>
        <v>22.74</v>
      </c>
      <c r="R256" s="104">
        <f t="shared" si="155"/>
        <v>22.74</v>
      </c>
      <c r="S256" s="104">
        <f t="shared" si="155"/>
        <v>22.74</v>
      </c>
      <c r="T256" s="171">
        <f t="shared" si="155"/>
        <v>22.74</v>
      </c>
    </row>
    <row r="257" spans="1:20">
      <c r="A257" s="1" t="s">
        <v>256</v>
      </c>
      <c r="B257" s="4" t="str">
        <f>$B$39</f>
        <v>From Fiscal Forecasts</v>
      </c>
      <c r="D257" s="14">
        <f>'Fiscal Forecasts'!D$198</f>
        <v>16.579000000000001</v>
      </c>
      <c r="E257" s="175">
        <f>'Fiscal Forecasts'!E$198</f>
        <v>17.788</v>
      </c>
      <c r="F257" s="15">
        <f>'Fiscal Forecasts'!F$198</f>
        <v>19.521000000000001</v>
      </c>
      <c r="G257" s="15">
        <f>'Fiscal Forecasts'!G$198</f>
        <v>20.029</v>
      </c>
      <c r="H257" s="15">
        <f>'Fiscal Forecasts'!H$198</f>
        <v>19.13</v>
      </c>
      <c r="I257" s="15">
        <f>'Fiscal Forecasts'!I$198</f>
        <v>19.079999999999998</v>
      </c>
      <c r="J257" s="176">
        <f>'Fiscal Forecasts'!J$198</f>
        <v>19.071999999999999</v>
      </c>
      <c r="K257" s="131">
        <f t="shared" ref="K257:T257" si="156">SUM(J$257,K$256-J$256)</f>
        <v>19.071999999999999</v>
      </c>
      <c r="L257" s="131">
        <f t="shared" si="156"/>
        <v>19.071999999999999</v>
      </c>
      <c r="M257" s="131">
        <f t="shared" si="156"/>
        <v>19.071999999999999</v>
      </c>
      <c r="N257" s="131">
        <f t="shared" si="156"/>
        <v>19.071999999999999</v>
      </c>
      <c r="O257" s="131">
        <f t="shared" si="156"/>
        <v>19.071999999999999</v>
      </c>
      <c r="P257" s="131">
        <f t="shared" si="156"/>
        <v>19.071999999999999</v>
      </c>
      <c r="Q257" s="131">
        <f t="shared" si="156"/>
        <v>19.071999999999999</v>
      </c>
      <c r="R257" s="131">
        <f t="shared" si="156"/>
        <v>19.071999999999999</v>
      </c>
      <c r="S257" s="131">
        <f t="shared" si="156"/>
        <v>19.071999999999999</v>
      </c>
      <c r="T257" s="171">
        <f t="shared" si="156"/>
        <v>19.071999999999999</v>
      </c>
    </row>
    <row r="258" spans="1:20">
      <c r="A258" s="1" t="s">
        <v>419</v>
      </c>
      <c r="B258" s="4" t="str">
        <f>$B$39</f>
        <v>From Fiscal Forecasts</v>
      </c>
      <c r="D258" s="14">
        <f>'Fiscal Forecasts'!D$38-SUM(D$256:D$257)</f>
        <v>-16.187000000000001</v>
      </c>
      <c r="E258" s="175">
        <f>'Fiscal Forecasts'!E$38-SUM(E$256:E$257)</f>
        <v>-17.21</v>
      </c>
      <c r="F258" s="15">
        <f>'Fiscal Forecasts'!F$38-SUM(F$256:F$257)</f>
        <v>-19.578000000000003</v>
      </c>
      <c r="G258" s="15">
        <f>'Fiscal Forecasts'!G$38-SUM(G$256:G$257)</f>
        <v>-20.467999999999996</v>
      </c>
      <c r="H258" s="15">
        <f>'Fiscal Forecasts'!H$38-SUM(H$256:H$257)</f>
        <v>-19.779</v>
      </c>
      <c r="I258" s="15">
        <f>'Fiscal Forecasts'!I$38-SUM(I$256:I$257)</f>
        <v>-19.872</v>
      </c>
      <c r="J258" s="176">
        <f>'Fiscal Forecasts'!J$38-SUM(J$256:J$257)</f>
        <v>-20.048999999999996</v>
      </c>
      <c r="K258" s="131">
        <f t="shared" ref="K258:T258" si="157">J$258-(K$256-J$256)</f>
        <v>-20.048999999999996</v>
      </c>
      <c r="L258" s="131">
        <f t="shared" si="157"/>
        <v>-20.048999999999996</v>
      </c>
      <c r="M258" s="131">
        <f t="shared" si="157"/>
        <v>-20.048999999999996</v>
      </c>
      <c r="N258" s="131">
        <f t="shared" si="157"/>
        <v>-20.048999999999996</v>
      </c>
      <c r="O258" s="131">
        <f t="shared" si="157"/>
        <v>-20.048999999999996</v>
      </c>
      <c r="P258" s="131">
        <f t="shared" si="157"/>
        <v>-20.048999999999996</v>
      </c>
      <c r="Q258" s="131">
        <f t="shared" si="157"/>
        <v>-20.048999999999996</v>
      </c>
      <c r="R258" s="131">
        <f t="shared" si="157"/>
        <v>-20.048999999999996</v>
      </c>
      <c r="S258" s="131">
        <f t="shared" si="157"/>
        <v>-20.048999999999996</v>
      </c>
      <c r="T258" s="171">
        <f t="shared" si="157"/>
        <v>-20.048999999999996</v>
      </c>
    </row>
    <row r="259" spans="1:20" ht="15">
      <c r="A259" s="2" t="s">
        <v>432</v>
      </c>
      <c r="D259" s="34">
        <f t="shared" ref="D259:T259" si="158">SUM(D$256:D$258)</f>
        <v>18.66</v>
      </c>
      <c r="E259" s="138">
        <f t="shared" si="158"/>
        <v>20.469000000000001</v>
      </c>
      <c r="F259" s="33">
        <f t="shared" si="158"/>
        <v>23.78</v>
      </c>
      <c r="G259" s="33">
        <f t="shared" si="158"/>
        <v>24.609000000000002</v>
      </c>
      <c r="H259" s="33">
        <f t="shared" si="158"/>
        <v>21.888999999999999</v>
      </c>
      <c r="I259" s="33">
        <f t="shared" si="158"/>
        <v>21.817</v>
      </c>
      <c r="J259" s="137">
        <f t="shared" si="158"/>
        <v>21.763000000000002</v>
      </c>
      <c r="K259" s="37">
        <f t="shared" si="158"/>
        <v>21.763000000000002</v>
      </c>
      <c r="L259" s="37">
        <f t="shared" si="158"/>
        <v>21.763000000000002</v>
      </c>
      <c r="M259" s="37">
        <f t="shared" si="158"/>
        <v>21.763000000000002</v>
      </c>
      <c r="N259" s="37">
        <f t="shared" si="158"/>
        <v>21.763000000000002</v>
      </c>
      <c r="O259" s="37">
        <f t="shared" si="158"/>
        <v>21.763000000000002</v>
      </c>
      <c r="P259" s="37">
        <f t="shared" si="158"/>
        <v>21.763000000000002</v>
      </c>
      <c r="Q259" s="37">
        <f t="shared" si="158"/>
        <v>21.763000000000002</v>
      </c>
      <c r="R259" s="37">
        <f t="shared" si="158"/>
        <v>21.763000000000002</v>
      </c>
      <c r="S259" s="37">
        <f t="shared" si="158"/>
        <v>21.763000000000002</v>
      </c>
      <c r="T259" s="140">
        <f t="shared" si="158"/>
        <v>21.763000000000002</v>
      </c>
    </row>
    <row r="260" spans="1:20" ht="15">
      <c r="A260" s="2"/>
      <c r="D260" s="47"/>
      <c r="E260" s="145"/>
      <c r="F260" s="47"/>
      <c r="G260" s="47"/>
      <c r="H260" s="48"/>
      <c r="I260" s="48"/>
      <c r="J260" s="146"/>
      <c r="K260" s="48"/>
      <c r="L260" s="48"/>
      <c r="M260" s="48"/>
      <c r="N260" s="48"/>
      <c r="O260" s="48"/>
      <c r="P260" s="48"/>
      <c r="Q260" s="48"/>
      <c r="R260" s="48"/>
      <c r="S260" s="48"/>
      <c r="T260" s="146"/>
    </row>
    <row r="261" spans="1:20">
      <c r="A261" s="18" t="s">
        <v>433</v>
      </c>
      <c r="E261" s="167"/>
      <c r="J261" s="167"/>
    </row>
    <row r="262" spans="1:20">
      <c r="A262" s="1" t="s">
        <v>274</v>
      </c>
      <c r="D262" s="14">
        <f t="shared" ref="D262:T262" si="159">D$182</f>
        <v>0.58299999999999996</v>
      </c>
      <c r="E262" s="175">
        <f t="shared" si="159"/>
        <v>0.56699999999999995</v>
      </c>
      <c r="F262" s="15">
        <f t="shared" si="159"/>
        <v>0.61</v>
      </c>
      <c r="G262" s="15">
        <f t="shared" si="159"/>
        <v>0.65600000000000003</v>
      </c>
      <c r="H262" s="15">
        <f t="shared" si="159"/>
        <v>0.66700000000000004</v>
      </c>
      <c r="I262" s="15">
        <f t="shared" si="159"/>
        <v>0.63600000000000001</v>
      </c>
      <c r="J262" s="176">
        <f t="shared" si="159"/>
        <v>0.66700000000000004</v>
      </c>
      <c r="K262" s="6">
        <f t="shared" ca="1" si="159"/>
        <v>0.69127586262740748</v>
      </c>
      <c r="L262" s="6">
        <f t="shared" ca="1" si="159"/>
        <v>0.71558469329157248</v>
      </c>
      <c r="M262" s="6">
        <f t="shared" ca="1" si="159"/>
        <v>0.73985342132839926</v>
      </c>
      <c r="N262" s="6">
        <f t="shared" ca="1" si="159"/>
        <v>0.7641595663449624</v>
      </c>
      <c r="O262" s="6">
        <f t="shared" ca="1" si="159"/>
        <v>0.78870638457576181</v>
      </c>
      <c r="P262" s="6">
        <f t="shared" ca="1" si="159"/>
        <v>0.8133948962458909</v>
      </c>
      <c r="Q262" s="6">
        <f t="shared" ca="1" si="159"/>
        <v>0.83828277884857372</v>
      </c>
      <c r="R262" s="104">
        <f t="shared" ca="1" si="159"/>
        <v>0.86310429630377561</v>
      </c>
      <c r="S262" s="104">
        <f t="shared" ca="1" si="159"/>
        <v>0.88803453134551136</v>
      </c>
      <c r="T262" s="171">
        <f t="shared" ca="1" si="159"/>
        <v>0.91334269020999082</v>
      </c>
    </row>
    <row r="263" spans="1:20">
      <c r="A263" s="1" t="s">
        <v>434</v>
      </c>
      <c r="D263" s="14">
        <f>D$403</f>
        <v>0.56299999999999994</v>
      </c>
      <c r="E263" s="175">
        <f>E$403</f>
        <v>0.50600000000000001</v>
      </c>
      <c r="F263" s="15">
        <f t="shared" ref="F263:T263" si="160">F$403</f>
        <v>0.47599999999999998</v>
      </c>
      <c r="G263" s="15">
        <f t="shared" si="160"/>
        <v>0.51500000000000001</v>
      </c>
      <c r="H263" s="15">
        <f t="shared" si="160"/>
        <v>0.53900000000000003</v>
      </c>
      <c r="I263" s="15">
        <f t="shared" si="160"/>
        <v>0.55300000000000005</v>
      </c>
      <c r="J263" s="176">
        <f t="shared" si="160"/>
        <v>0.58799999999999997</v>
      </c>
      <c r="K263" s="131">
        <f t="shared" si="160"/>
        <v>0.61699999999999999</v>
      </c>
      <c r="L263" s="131">
        <f t="shared" si="160"/>
        <v>0.65100000000000002</v>
      </c>
      <c r="M263" s="131">
        <f t="shared" si="160"/>
        <v>0.68600000000000005</v>
      </c>
      <c r="N263" s="131">
        <f t="shared" si="160"/>
        <v>0.72</v>
      </c>
      <c r="O263" s="131">
        <f t="shared" si="160"/>
        <v>0.753</v>
      </c>
      <c r="P263" s="131">
        <f t="shared" si="160"/>
        <v>0.78400000000000003</v>
      </c>
      <c r="Q263" s="131">
        <f t="shared" si="160"/>
        <v>0.81299999999999994</v>
      </c>
      <c r="R263" s="131">
        <f t="shared" si="160"/>
        <v>0.84</v>
      </c>
      <c r="S263" s="131">
        <f t="shared" si="160"/>
        <v>0.86499999999999999</v>
      </c>
      <c r="T263" s="171">
        <f t="shared" si="160"/>
        <v>0.88800000000000001</v>
      </c>
    </row>
    <row r="264" spans="1:20">
      <c r="A264" s="1" t="s">
        <v>437</v>
      </c>
      <c r="B264" s="4" t="str">
        <f>$B$39</f>
        <v>From Fiscal Forecasts</v>
      </c>
      <c r="D264" s="14">
        <f>'Fiscal Forecasts'!D$56-SUM(D$262:D$263)</f>
        <v>13.146999999999998</v>
      </c>
      <c r="E264" s="175">
        <f>'Fiscal Forecasts'!E$56-SUM(E$262:E$263)</f>
        <v>15.248999999999999</v>
      </c>
      <c r="F264" s="15">
        <f>'Fiscal Forecasts'!F$56-SUM(F$262:F$263)</f>
        <v>15.24</v>
      </c>
      <c r="G264" s="15">
        <f>'Fiscal Forecasts'!G$56-SUM(G$262:G$263)</f>
        <v>16.698</v>
      </c>
      <c r="H264" s="15">
        <f>'Fiscal Forecasts'!H$56-SUM(H$262:H$263)</f>
        <v>16.358000000000001</v>
      </c>
      <c r="I264" s="15">
        <f>'Fiscal Forecasts'!I$56-SUM(I$262:I$263)</f>
        <v>16.218</v>
      </c>
      <c r="J264" s="176">
        <f>'Fiscal Forecasts'!J$56-SUM(J$262:J$263)</f>
        <v>15.964000000000002</v>
      </c>
      <c r="K264" s="6">
        <f t="shared" ref="K264:T264" si="161">J$264</f>
        <v>15.964000000000002</v>
      </c>
      <c r="L264" s="6">
        <f t="shared" si="161"/>
        <v>15.964000000000002</v>
      </c>
      <c r="M264" s="6">
        <f t="shared" si="161"/>
        <v>15.964000000000002</v>
      </c>
      <c r="N264" s="6">
        <f t="shared" si="161"/>
        <v>15.964000000000002</v>
      </c>
      <c r="O264" s="6">
        <f t="shared" si="161"/>
        <v>15.964000000000002</v>
      </c>
      <c r="P264" s="6">
        <f t="shared" si="161"/>
        <v>15.964000000000002</v>
      </c>
      <c r="Q264" s="6">
        <f t="shared" si="161"/>
        <v>15.964000000000002</v>
      </c>
      <c r="R264" s="104">
        <f t="shared" si="161"/>
        <v>15.964000000000002</v>
      </c>
      <c r="S264" s="104">
        <f t="shared" si="161"/>
        <v>15.964000000000002</v>
      </c>
      <c r="T264" s="171">
        <f t="shared" si="161"/>
        <v>15.964000000000002</v>
      </c>
    </row>
    <row r="265" spans="1:20" ht="15">
      <c r="A265" s="2" t="s">
        <v>438</v>
      </c>
      <c r="D265" s="34">
        <f t="shared" ref="D265:T265" si="162">SUM(D$262:D$264)</f>
        <v>14.292999999999999</v>
      </c>
      <c r="E265" s="138">
        <f t="shared" si="162"/>
        <v>16.321999999999999</v>
      </c>
      <c r="F265" s="33">
        <f t="shared" si="162"/>
        <v>16.326000000000001</v>
      </c>
      <c r="G265" s="33">
        <f t="shared" si="162"/>
        <v>17.869</v>
      </c>
      <c r="H265" s="33">
        <f t="shared" si="162"/>
        <v>17.564</v>
      </c>
      <c r="I265" s="33">
        <f t="shared" si="162"/>
        <v>17.407</v>
      </c>
      <c r="J265" s="137">
        <f t="shared" si="162"/>
        <v>17.219000000000001</v>
      </c>
      <c r="K265" s="37">
        <f t="shared" ca="1" si="162"/>
        <v>17.27227586262741</v>
      </c>
      <c r="L265" s="37">
        <f t="shared" ca="1" si="162"/>
        <v>17.330584693291573</v>
      </c>
      <c r="M265" s="37">
        <f t="shared" ca="1" si="162"/>
        <v>17.3898534213284</v>
      </c>
      <c r="N265" s="37">
        <f t="shared" ca="1" si="162"/>
        <v>17.448159566344966</v>
      </c>
      <c r="O265" s="37">
        <f t="shared" ca="1" si="162"/>
        <v>17.505706384575763</v>
      </c>
      <c r="P265" s="37">
        <f t="shared" ca="1" si="162"/>
        <v>17.561394896245893</v>
      </c>
      <c r="Q265" s="37">
        <f t="shared" ca="1" si="162"/>
        <v>17.615282778848577</v>
      </c>
      <c r="R265" s="37">
        <f t="shared" ca="1" si="162"/>
        <v>17.667104296303776</v>
      </c>
      <c r="S265" s="37">
        <f t="shared" ca="1" si="162"/>
        <v>17.717034531345515</v>
      </c>
      <c r="T265" s="140">
        <f t="shared" ca="1" si="162"/>
        <v>17.765342690209994</v>
      </c>
    </row>
    <row r="266" spans="1:20">
      <c r="A266" s="1" t="s">
        <v>256</v>
      </c>
      <c r="B266" s="4" t="str">
        <f>$B$39</f>
        <v>From Fiscal Forecasts</v>
      </c>
      <c r="D266" s="14">
        <f>'Fiscal Forecasts'!D$199</f>
        <v>11.428000000000001</v>
      </c>
      <c r="E266" s="175">
        <f>'Fiscal Forecasts'!E$199</f>
        <v>13.705</v>
      </c>
      <c r="F266" s="15">
        <f>'Fiscal Forecasts'!F$199</f>
        <v>13.486000000000001</v>
      </c>
      <c r="G266" s="15">
        <f>'Fiscal Forecasts'!G$199</f>
        <v>14.49</v>
      </c>
      <c r="H266" s="15">
        <f>'Fiscal Forecasts'!H$199</f>
        <v>14.371</v>
      </c>
      <c r="I266" s="15">
        <f>'Fiscal Forecasts'!I$199</f>
        <v>14.266</v>
      </c>
      <c r="J266" s="176">
        <f>'Fiscal Forecasts'!J$199</f>
        <v>14.077</v>
      </c>
      <c r="K266" s="131">
        <f t="shared" ref="K266:T266" si="163">SUM(J$266,K$264-J$264)</f>
        <v>14.077</v>
      </c>
      <c r="L266" s="131">
        <f t="shared" si="163"/>
        <v>14.077</v>
      </c>
      <c r="M266" s="131">
        <f t="shared" si="163"/>
        <v>14.077</v>
      </c>
      <c r="N266" s="131">
        <f t="shared" si="163"/>
        <v>14.077</v>
      </c>
      <c r="O266" s="131">
        <f t="shared" si="163"/>
        <v>14.077</v>
      </c>
      <c r="P266" s="131">
        <f t="shared" si="163"/>
        <v>14.077</v>
      </c>
      <c r="Q266" s="131">
        <f t="shared" si="163"/>
        <v>14.077</v>
      </c>
      <c r="R266" s="131">
        <f t="shared" si="163"/>
        <v>14.077</v>
      </c>
      <c r="S266" s="131">
        <f t="shared" si="163"/>
        <v>14.077</v>
      </c>
      <c r="T266" s="171">
        <f t="shared" si="163"/>
        <v>14.077</v>
      </c>
    </row>
    <row r="267" spans="1:20">
      <c r="A267" s="1" t="s">
        <v>419</v>
      </c>
      <c r="B267" s="4" t="str">
        <f>$B$39</f>
        <v>From Fiscal Forecasts</v>
      </c>
      <c r="D267" s="14">
        <f>'Fiscal Forecasts'!D$39-SUM(D$265:D$266)</f>
        <v>-10.441000000000001</v>
      </c>
      <c r="E267" s="175">
        <f>'Fiscal Forecasts'!E$39-SUM(E$265:E$266)</f>
        <v>-12.446000000000002</v>
      </c>
      <c r="F267" s="15">
        <f>'Fiscal Forecasts'!F$39-SUM(F$265:F$266)</f>
        <v>-11.975000000000001</v>
      </c>
      <c r="G267" s="15">
        <f>'Fiscal Forecasts'!G$39-SUM(G$265:G$266)</f>
        <v>-13.193000000000001</v>
      </c>
      <c r="H267" s="15">
        <f>'Fiscal Forecasts'!H$39-SUM(H$265:H$266)</f>
        <v>-13.009000000000004</v>
      </c>
      <c r="I267" s="15">
        <f>'Fiscal Forecasts'!I$39-SUM(I$265:I$266)</f>
        <v>-12.860000000000003</v>
      </c>
      <c r="J267" s="176">
        <f>'Fiscal Forecasts'!J$39-SUM(J$265:J$266)</f>
        <v>-12.602</v>
      </c>
      <c r="K267" s="131">
        <f t="shared" ref="K267:T267" si="164">J$267-(K$264-J$264)</f>
        <v>-12.602</v>
      </c>
      <c r="L267" s="131">
        <f t="shared" si="164"/>
        <v>-12.602</v>
      </c>
      <c r="M267" s="131">
        <f t="shared" si="164"/>
        <v>-12.602</v>
      </c>
      <c r="N267" s="131">
        <f t="shared" si="164"/>
        <v>-12.602</v>
      </c>
      <c r="O267" s="131">
        <f t="shared" si="164"/>
        <v>-12.602</v>
      </c>
      <c r="P267" s="131">
        <f t="shared" si="164"/>
        <v>-12.602</v>
      </c>
      <c r="Q267" s="131">
        <f t="shared" si="164"/>
        <v>-12.602</v>
      </c>
      <c r="R267" s="131">
        <f t="shared" si="164"/>
        <v>-12.602</v>
      </c>
      <c r="S267" s="131">
        <f t="shared" si="164"/>
        <v>-12.602</v>
      </c>
      <c r="T267" s="171">
        <f t="shared" si="164"/>
        <v>-12.602</v>
      </c>
    </row>
    <row r="268" spans="1:20" ht="15">
      <c r="A268" s="2" t="s">
        <v>439</v>
      </c>
      <c r="D268" s="34">
        <f t="shared" ref="D268:T268" si="165">SUM(D$265:D$267)</f>
        <v>15.28</v>
      </c>
      <c r="E268" s="138">
        <f t="shared" si="165"/>
        <v>17.581</v>
      </c>
      <c r="F268" s="33">
        <f t="shared" si="165"/>
        <v>17.837</v>
      </c>
      <c r="G268" s="33">
        <f t="shared" si="165"/>
        <v>19.166</v>
      </c>
      <c r="H268" s="33">
        <f t="shared" si="165"/>
        <v>18.925999999999998</v>
      </c>
      <c r="I268" s="33">
        <f t="shared" si="165"/>
        <v>18.812999999999999</v>
      </c>
      <c r="J268" s="137">
        <f t="shared" si="165"/>
        <v>18.693999999999999</v>
      </c>
      <c r="K268" s="37">
        <f t="shared" ca="1" si="165"/>
        <v>18.747275862627408</v>
      </c>
      <c r="L268" s="37">
        <f t="shared" ca="1" si="165"/>
        <v>18.805584693291575</v>
      </c>
      <c r="M268" s="37">
        <f t="shared" ca="1" si="165"/>
        <v>18.864853421328402</v>
      </c>
      <c r="N268" s="37">
        <f t="shared" ca="1" si="165"/>
        <v>18.923159566344967</v>
      </c>
      <c r="O268" s="37">
        <f t="shared" ca="1" si="165"/>
        <v>18.980706384575765</v>
      </c>
      <c r="P268" s="37">
        <f t="shared" ca="1" si="165"/>
        <v>19.036394896245891</v>
      </c>
      <c r="Q268" s="37">
        <f t="shared" ca="1" si="165"/>
        <v>19.090282778848579</v>
      </c>
      <c r="R268" s="37">
        <f t="shared" ca="1" si="165"/>
        <v>19.142104296303774</v>
      </c>
      <c r="S268" s="37">
        <f t="shared" ca="1" si="165"/>
        <v>19.192034531345517</v>
      </c>
      <c r="T268" s="140">
        <f t="shared" ca="1" si="165"/>
        <v>19.240342690209996</v>
      </c>
    </row>
    <row r="269" spans="1:20" ht="15">
      <c r="A269" s="2"/>
      <c r="D269" s="46"/>
      <c r="E269" s="46"/>
      <c r="F269" s="47"/>
      <c r="G269" s="47"/>
      <c r="H269" s="47"/>
      <c r="I269" s="47"/>
      <c r="J269" s="145"/>
      <c r="K269" s="48"/>
      <c r="L269" s="48"/>
      <c r="M269" s="48"/>
      <c r="N269" s="48"/>
      <c r="O269" s="48"/>
      <c r="P269" s="48"/>
      <c r="Q269" s="48"/>
      <c r="R269" s="48"/>
      <c r="S269" s="48"/>
      <c r="T269" s="146"/>
    </row>
    <row r="270" spans="1:20">
      <c r="A270" s="18" t="s">
        <v>440</v>
      </c>
      <c r="E270" s="167"/>
      <c r="J270" s="167"/>
    </row>
    <row r="271" spans="1:20">
      <c r="A271" s="1" t="s">
        <v>943</v>
      </c>
      <c r="D271" s="14">
        <f t="shared" ref="D271:T271" si="166">D$377</f>
        <v>0.13</v>
      </c>
      <c r="E271" s="175">
        <f t="shared" si="166"/>
        <v>0.15</v>
      </c>
      <c r="F271" s="15">
        <f t="shared" si="166"/>
        <v>0.125</v>
      </c>
      <c r="G271" s="15">
        <f t="shared" si="166"/>
        <v>0.217</v>
      </c>
      <c r="H271" s="15">
        <f t="shared" si="166"/>
        <v>0.23799999999999999</v>
      </c>
      <c r="I271" s="15">
        <f t="shared" si="166"/>
        <v>0.254</v>
      </c>
      <c r="J271" s="176">
        <f t="shared" si="166"/>
        <v>0.27200000000000002</v>
      </c>
      <c r="K271" s="6">
        <f t="shared" ca="1" si="166"/>
        <v>0.30073147669843048</v>
      </c>
      <c r="L271" s="6">
        <f t="shared" ca="1" si="166"/>
        <v>0.32476199905446596</v>
      </c>
      <c r="M271" s="6">
        <f t="shared" ca="1" si="166"/>
        <v>0.34918723130873974</v>
      </c>
      <c r="N271" s="6">
        <f t="shared" ca="1" si="166"/>
        <v>0.3740696924558311</v>
      </c>
      <c r="O271" s="6">
        <f t="shared" ca="1" si="166"/>
        <v>0.3995672895217004</v>
      </c>
      <c r="P271" s="6">
        <f t="shared" ca="1" si="166"/>
        <v>0.42581009501129147</v>
      </c>
      <c r="Q271" s="6">
        <f t="shared" ca="1" si="166"/>
        <v>0.45286526960434687</v>
      </c>
      <c r="R271" s="104">
        <f t="shared" ca="1" si="166"/>
        <v>0.48070102820018806</v>
      </c>
      <c r="S271" s="104">
        <f t="shared" ca="1" si="166"/>
        <v>0.50923270396773679</v>
      </c>
      <c r="T271" s="171">
        <f t="shared" ca="1" si="166"/>
        <v>0.53845930775018458</v>
      </c>
    </row>
    <row r="272" spans="1:20">
      <c r="A272" s="1" t="s">
        <v>277</v>
      </c>
      <c r="B272" s="4"/>
      <c r="D272" s="14">
        <f t="shared" ref="D272:T272" si="167">D$185</f>
        <v>0.70799999999999996</v>
      </c>
      <c r="E272" s="175">
        <f t="shared" si="167"/>
        <v>0.73599999999999999</v>
      </c>
      <c r="F272" s="15">
        <f t="shared" si="167"/>
        <v>0.82499999999999996</v>
      </c>
      <c r="G272" s="15">
        <f t="shared" si="167"/>
        <v>0.82</v>
      </c>
      <c r="H272" s="15">
        <f t="shared" si="167"/>
        <v>0.85799999999999998</v>
      </c>
      <c r="I272" s="15">
        <f t="shared" si="167"/>
        <v>0.86099999999999999</v>
      </c>
      <c r="J272" s="176">
        <f t="shared" si="167"/>
        <v>0.86099999999999999</v>
      </c>
      <c r="K272" s="6">
        <f t="shared" ca="1" si="167"/>
        <v>0.86575349968469673</v>
      </c>
      <c r="L272" s="6">
        <f t="shared" ca="1" si="167"/>
        <v>0.90271134323379465</v>
      </c>
      <c r="M272" s="6">
        <f t="shared" ca="1" si="167"/>
        <v>0.94008368380153817</v>
      </c>
      <c r="N272" s="6">
        <f t="shared" ca="1" si="167"/>
        <v>0.97921832809989462</v>
      </c>
      <c r="O272" s="6">
        <f t="shared" ca="1" si="167"/>
        <v>1.0192005815218856</v>
      </c>
      <c r="P272" s="6">
        <f t="shared" ca="1" si="167"/>
        <v>1.0600257962329862</v>
      </c>
      <c r="Q272" s="6">
        <f t="shared" ca="1" si="167"/>
        <v>1.1016909680646265</v>
      </c>
      <c r="R272" s="104">
        <f t="shared" ca="1" si="167"/>
        <v>1.1440838734844734</v>
      </c>
      <c r="S272" s="104">
        <f t="shared" ca="1" si="167"/>
        <v>1.1871706914816971</v>
      </c>
      <c r="T272" s="171">
        <f t="shared" ca="1" si="167"/>
        <v>1.2315349564190123</v>
      </c>
    </row>
    <row r="273" spans="1:20">
      <c r="A273" s="1" t="s">
        <v>446</v>
      </c>
      <c r="B273" s="4" t="s">
        <v>447</v>
      </c>
      <c r="D273" s="14">
        <f>Exogenous!O$38</f>
        <v>0.82899999999999996</v>
      </c>
      <c r="E273" s="175">
        <f>Exogenous!P$38</f>
        <v>1.3560000000000001</v>
      </c>
      <c r="F273" s="15">
        <f>Exogenous!Q$38</f>
        <v>1.0409999999999999</v>
      </c>
      <c r="G273" s="15">
        <f>Exogenous!R$38</f>
        <v>0.84099999999999997</v>
      </c>
      <c r="H273" s="15">
        <f>Exogenous!S$38</f>
        <v>0.84099999999999997</v>
      </c>
      <c r="I273" s="15">
        <f>Exogenous!T$38</f>
        <v>0.84099999999999997</v>
      </c>
      <c r="J273" s="176">
        <f>Exogenous!U$38</f>
        <v>0.84099999999999997</v>
      </c>
      <c r="K273" s="6">
        <f t="shared" ref="K273:T273" ca="1" si="168">J$273*K$135/J$135</f>
        <v>0.8837104862687315</v>
      </c>
      <c r="L273" s="6">
        <f t="shared" ca="1" si="168"/>
        <v>0.92293318628635934</v>
      </c>
      <c r="M273" s="6">
        <f t="shared" ca="1" si="168"/>
        <v>0.96165222223832603</v>
      </c>
      <c r="N273" s="6">
        <f t="shared" ca="1" si="168"/>
        <v>1.003502751923762</v>
      </c>
      <c r="O273" s="6">
        <f t="shared" ca="1" si="168"/>
        <v>1.0445174717671155</v>
      </c>
      <c r="P273" s="6">
        <f t="shared" ca="1" si="168"/>
        <v>1.0863567827207199</v>
      </c>
      <c r="Q273" s="6">
        <f t="shared" ca="1" si="168"/>
        <v>1.129056915286718</v>
      </c>
      <c r="R273" s="104">
        <f t="shared" ca="1" si="168"/>
        <v>1.1725028583059822</v>
      </c>
      <c r="S273" s="104">
        <f t="shared" ca="1" si="168"/>
        <v>1.2166599506555058</v>
      </c>
      <c r="T273" s="171">
        <f t="shared" ca="1" si="168"/>
        <v>1.2621262216616866</v>
      </c>
    </row>
    <row r="274" spans="1:20">
      <c r="A274" s="1" t="s">
        <v>450</v>
      </c>
      <c r="B274" s="4" t="str">
        <f>$B$39</f>
        <v>From Fiscal Forecasts</v>
      </c>
      <c r="D274" s="14">
        <f>'Fiscal Forecasts'!D$57-SUM('Fiscal Forecasts'!D$346,D$272:D$273)</f>
        <v>3.4990000000000006</v>
      </c>
      <c r="E274" s="175">
        <f>'Fiscal Forecasts'!E$57-SUM('Fiscal Forecasts'!E$346,E$272:E$273)</f>
        <v>3.8410000000000002</v>
      </c>
      <c r="F274" s="15">
        <f>'Fiscal Forecasts'!F$57-SUM('Fiscal Forecasts'!F$346,F$272:F$273)</f>
        <v>4.17</v>
      </c>
      <c r="G274" s="15">
        <f>'Fiscal Forecasts'!G$57-SUM('Fiscal Forecasts'!G$346,G$272:G$273)</f>
        <v>3.7610000000000001</v>
      </c>
      <c r="H274" s="15">
        <f>'Fiscal Forecasts'!H$57-SUM('Fiscal Forecasts'!H$346,H$272:H$273)</f>
        <v>3.9189999999999996</v>
      </c>
      <c r="I274" s="15">
        <f>'Fiscal Forecasts'!I$57-SUM('Fiscal Forecasts'!I$346,I$272:I$273)</f>
        <v>3.302</v>
      </c>
      <c r="J274" s="176">
        <f>'Fiscal Forecasts'!J$57-SUM('Fiscal Forecasts'!J$346,J$272:J$273)</f>
        <v>3.157</v>
      </c>
      <c r="K274" s="6">
        <f t="shared" ref="K274:T274" si="169">J$274</f>
        <v>3.157</v>
      </c>
      <c r="L274" s="6">
        <f t="shared" si="169"/>
        <v>3.157</v>
      </c>
      <c r="M274" s="6">
        <f t="shared" si="169"/>
        <v>3.157</v>
      </c>
      <c r="N274" s="6">
        <f t="shared" si="169"/>
        <v>3.157</v>
      </c>
      <c r="O274" s="6">
        <f t="shared" si="169"/>
        <v>3.157</v>
      </c>
      <c r="P274" s="6">
        <f t="shared" si="169"/>
        <v>3.157</v>
      </c>
      <c r="Q274" s="6">
        <f t="shared" si="169"/>
        <v>3.157</v>
      </c>
      <c r="R274" s="104">
        <f t="shared" si="169"/>
        <v>3.157</v>
      </c>
      <c r="S274" s="104">
        <f t="shared" si="169"/>
        <v>3.157</v>
      </c>
      <c r="T274" s="171">
        <f t="shared" si="169"/>
        <v>3.157</v>
      </c>
    </row>
    <row r="275" spans="1:20" ht="15">
      <c r="A275" s="2" t="s">
        <v>451</v>
      </c>
      <c r="D275" s="34">
        <f t="shared" ref="D275:T275" si="170">SUM(D$271:D$274)</f>
        <v>5.1660000000000004</v>
      </c>
      <c r="E275" s="138">
        <f t="shared" si="170"/>
        <v>6.0830000000000002</v>
      </c>
      <c r="F275" s="33">
        <f t="shared" si="170"/>
        <v>6.1609999999999996</v>
      </c>
      <c r="G275" s="33">
        <f t="shared" si="170"/>
        <v>5.6390000000000002</v>
      </c>
      <c r="H275" s="33">
        <f t="shared" si="170"/>
        <v>5.8559999999999999</v>
      </c>
      <c r="I275" s="33">
        <f t="shared" si="170"/>
        <v>5.258</v>
      </c>
      <c r="J275" s="137">
        <f t="shared" si="170"/>
        <v>5.1310000000000002</v>
      </c>
      <c r="K275" s="37">
        <f t="shared" ca="1" si="170"/>
        <v>5.2071954626518586</v>
      </c>
      <c r="L275" s="37">
        <f t="shared" ca="1" si="170"/>
        <v>5.3074065285746199</v>
      </c>
      <c r="M275" s="37">
        <f t="shared" ca="1" si="170"/>
        <v>5.4079231373486039</v>
      </c>
      <c r="N275" s="37">
        <f t="shared" ca="1" si="170"/>
        <v>5.5137907724794877</v>
      </c>
      <c r="O275" s="37">
        <f t="shared" ca="1" si="170"/>
        <v>5.6202853428107016</v>
      </c>
      <c r="P275" s="37">
        <f t="shared" ca="1" si="170"/>
        <v>5.7291926739649979</v>
      </c>
      <c r="Q275" s="37">
        <f t="shared" ca="1" si="170"/>
        <v>5.8406131529556919</v>
      </c>
      <c r="R275" s="37">
        <f t="shared" ca="1" si="170"/>
        <v>5.9542877599906436</v>
      </c>
      <c r="S275" s="37">
        <f t="shared" ca="1" si="170"/>
        <v>6.0700633461049396</v>
      </c>
      <c r="T275" s="140">
        <f t="shared" ca="1" si="170"/>
        <v>6.1891204858308839</v>
      </c>
    </row>
    <row r="276" spans="1:20" ht="15">
      <c r="A276" s="2" t="s">
        <v>452</v>
      </c>
      <c r="B276" s="4" t="str">
        <f>$B$39</f>
        <v>From Fiscal Forecasts</v>
      </c>
      <c r="D276" s="39">
        <f>'Fiscal Forecasts'!D$40 +D$377-'Fiscal Forecasts'!D$346</f>
        <v>4.7320000000000002</v>
      </c>
      <c r="E276" s="142">
        <f>'Fiscal Forecasts'!E$40 +E$377-'Fiscal Forecasts'!E$346</f>
        <v>5.8689999999999998</v>
      </c>
      <c r="F276" s="38">
        <f>'Fiscal Forecasts'!F$40 +F$377-'Fiscal Forecasts'!F$346</f>
        <v>5.0110000000000001</v>
      </c>
      <c r="G276" s="38">
        <f>'Fiscal Forecasts'!G$40 +G$377-'Fiscal Forecasts'!G$346</f>
        <v>5.641</v>
      </c>
      <c r="H276" s="38">
        <f>'Fiscal Forecasts'!H$40 +H$377-'Fiscal Forecasts'!H$346</f>
        <v>5.7670000000000012</v>
      </c>
      <c r="I276" s="38">
        <f>'Fiscal Forecasts'!I$40 +I$377-'Fiscal Forecasts'!I$346</f>
        <v>5.1650000000000009</v>
      </c>
      <c r="J276" s="141">
        <f>'Fiscal Forecasts'!J$40 +J$377-'Fiscal Forecasts'!J$346</f>
        <v>4.952</v>
      </c>
      <c r="K276" s="7">
        <f t="shared" ref="K276:T276" ca="1" si="171">SUM(J$276,K$275-J$275)</f>
        <v>5.0281954626518583</v>
      </c>
      <c r="L276" s="7">
        <f t="shared" ca="1" si="171"/>
        <v>5.1284065285746196</v>
      </c>
      <c r="M276" s="7">
        <f t="shared" ca="1" si="171"/>
        <v>5.2289231373486036</v>
      </c>
      <c r="N276" s="7">
        <f t="shared" ca="1" si="171"/>
        <v>5.3347907724794874</v>
      </c>
      <c r="O276" s="7">
        <f t="shared" ca="1" si="171"/>
        <v>5.4412853428107013</v>
      </c>
      <c r="P276" s="7">
        <f t="shared" ca="1" si="171"/>
        <v>5.5501926739649976</v>
      </c>
      <c r="Q276" s="7">
        <f t="shared" ca="1" si="171"/>
        <v>5.6616131529556917</v>
      </c>
      <c r="R276" s="7">
        <f t="shared" ca="1" si="171"/>
        <v>5.7752877599906434</v>
      </c>
      <c r="S276" s="7">
        <f t="shared" ca="1" si="171"/>
        <v>5.8910633461049393</v>
      </c>
      <c r="T276" s="134">
        <f t="shared" ca="1" si="171"/>
        <v>6.0101204858308837</v>
      </c>
    </row>
    <row r="277" spans="1:20" ht="15">
      <c r="A277" s="2"/>
      <c r="B277" s="4"/>
      <c r="D277" s="39"/>
      <c r="E277" s="142"/>
      <c r="F277" s="38"/>
      <c r="G277" s="38"/>
      <c r="H277" s="38"/>
      <c r="I277" s="38"/>
      <c r="J277" s="141"/>
      <c r="K277" s="7"/>
      <c r="L277" s="7"/>
      <c r="M277" s="7"/>
      <c r="N277" s="7"/>
      <c r="O277" s="7"/>
      <c r="P277" s="7"/>
      <c r="Q277" s="7"/>
      <c r="R277" s="7"/>
      <c r="S277" s="7"/>
      <c r="T277" s="134"/>
    </row>
    <row r="278" spans="1:20" ht="15">
      <c r="A278" s="18" t="s">
        <v>509</v>
      </c>
      <c r="B278" s="4"/>
      <c r="C278" s="7"/>
      <c r="D278" s="7"/>
      <c r="E278" s="134"/>
      <c r="F278" s="7"/>
      <c r="G278" s="7"/>
      <c r="H278" s="7"/>
      <c r="I278" s="7"/>
      <c r="J278" s="134"/>
      <c r="K278" s="7"/>
      <c r="L278" s="7"/>
      <c r="M278" s="7"/>
      <c r="N278" s="7"/>
      <c r="O278" s="7"/>
      <c r="P278" s="7"/>
      <c r="Q278" s="7"/>
      <c r="R278" s="7"/>
      <c r="S278" s="7"/>
      <c r="T278" s="134"/>
    </row>
    <row r="279" spans="1:20" ht="15">
      <c r="A279" s="2" t="s">
        <v>453</v>
      </c>
      <c r="B279" s="4" t="str">
        <f>$B$39</f>
        <v>From Fiscal Forecasts</v>
      </c>
      <c r="D279" s="39">
        <f>'Fiscal Forecasts'!D$58</f>
        <v>4.625</v>
      </c>
      <c r="E279" s="142">
        <f>'Fiscal Forecasts'!E$58</f>
        <v>4.9109999999999996</v>
      </c>
      <c r="F279" s="38">
        <f>'Fiscal Forecasts'!F$58</f>
        <v>5.45</v>
      </c>
      <c r="G279" s="38">
        <f>'Fiscal Forecasts'!G$58</f>
        <v>5.3609999999999998</v>
      </c>
      <c r="H279" s="38">
        <f>'Fiscal Forecasts'!H$58</f>
        <v>5.4269999999999996</v>
      </c>
      <c r="I279" s="38">
        <f>'Fiscal Forecasts'!I$58</f>
        <v>5.3849999999999998</v>
      </c>
      <c r="J279" s="141">
        <f>'Fiscal Forecasts'!J$58</f>
        <v>5.3840000000000003</v>
      </c>
      <c r="K279" s="7">
        <f t="shared" ref="K279:T279" si="172">J$279</f>
        <v>5.3840000000000003</v>
      </c>
      <c r="L279" s="7">
        <f t="shared" si="172"/>
        <v>5.3840000000000003</v>
      </c>
      <c r="M279" s="7">
        <f t="shared" si="172"/>
        <v>5.3840000000000003</v>
      </c>
      <c r="N279" s="7">
        <f t="shared" si="172"/>
        <v>5.3840000000000003</v>
      </c>
      <c r="O279" s="7">
        <f t="shared" si="172"/>
        <v>5.3840000000000003</v>
      </c>
      <c r="P279" s="7">
        <f t="shared" si="172"/>
        <v>5.3840000000000003</v>
      </c>
      <c r="Q279" s="7">
        <f t="shared" si="172"/>
        <v>5.3840000000000003</v>
      </c>
      <c r="R279" s="7">
        <f t="shared" si="172"/>
        <v>5.3840000000000003</v>
      </c>
      <c r="S279" s="7">
        <f t="shared" si="172"/>
        <v>5.3840000000000003</v>
      </c>
      <c r="T279" s="134">
        <f t="shared" si="172"/>
        <v>5.3840000000000003</v>
      </c>
    </row>
    <row r="280" spans="1:20" ht="15">
      <c r="A280" s="2" t="s">
        <v>454</v>
      </c>
      <c r="B280" s="4" t="str">
        <f>$B$39</f>
        <v>From Fiscal Forecasts</v>
      </c>
      <c r="D280" s="39">
        <f>'Fiscal Forecasts'!D$41</f>
        <v>5.05</v>
      </c>
      <c r="E280" s="142">
        <f>'Fiscal Forecasts'!E$41</f>
        <v>5.3040000000000003</v>
      </c>
      <c r="F280" s="38">
        <f>'Fiscal Forecasts'!F$41</f>
        <v>5.8029999999999999</v>
      </c>
      <c r="G280" s="38">
        <f>'Fiscal Forecasts'!G$41</f>
        <v>5.8479999999999999</v>
      </c>
      <c r="H280" s="38">
        <f>'Fiscal Forecasts'!H$41</f>
        <v>5.9039999999999999</v>
      </c>
      <c r="I280" s="38">
        <f>'Fiscal Forecasts'!I$41</f>
        <v>5.843</v>
      </c>
      <c r="J280" s="141">
        <f>'Fiscal Forecasts'!J$41</f>
        <v>5.8970000000000002</v>
      </c>
      <c r="K280" s="7">
        <f t="shared" ref="K280:T280" si="173">SUM(J$280,K$279-J$279)</f>
        <v>5.8970000000000002</v>
      </c>
      <c r="L280" s="7">
        <f t="shared" si="173"/>
        <v>5.8970000000000002</v>
      </c>
      <c r="M280" s="7">
        <f t="shared" si="173"/>
        <v>5.8970000000000002</v>
      </c>
      <c r="N280" s="7">
        <f t="shared" si="173"/>
        <v>5.8970000000000002</v>
      </c>
      <c r="O280" s="7">
        <f t="shared" si="173"/>
        <v>5.8970000000000002</v>
      </c>
      <c r="P280" s="7">
        <f t="shared" si="173"/>
        <v>5.8970000000000002</v>
      </c>
      <c r="Q280" s="7">
        <f t="shared" si="173"/>
        <v>5.8970000000000002</v>
      </c>
      <c r="R280" s="7">
        <f t="shared" si="173"/>
        <v>5.8970000000000002</v>
      </c>
      <c r="S280" s="7">
        <f t="shared" si="173"/>
        <v>5.8970000000000002</v>
      </c>
      <c r="T280" s="134">
        <f t="shared" si="173"/>
        <v>5.8970000000000002</v>
      </c>
    </row>
    <row r="281" spans="1:20" ht="15">
      <c r="A281" s="2"/>
      <c r="B281" s="4"/>
      <c r="D281" s="39"/>
      <c r="E281" s="142"/>
      <c r="F281" s="38"/>
      <c r="G281" s="38"/>
      <c r="H281" s="38"/>
      <c r="I281" s="38"/>
      <c r="J281" s="141"/>
      <c r="K281" s="7"/>
      <c r="L281" s="7"/>
      <c r="M281" s="7"/>
      <c r="N281" s="7"/>
      <c r="O281" s="7"/>
      <c r="P281" s="7"/>
      <c r="Q281" s="7"/>
      <c r="R281" s="7"/>
      <c r="S281" s="7"/>
      <c r="T281" s="134"/>
    </row>
    <row r="282" spans="1:20" ht="15">
      <c r="A282" s="18" t="s">
        <v>510</v>
      </c>
      <c r="B282" s="4"/>
      <c r="D282" s="39"/>
      <c r="E282" s="142"/>
      <c r="F282" s="39"/>
      <c r="G282" s="39"/>
      <c r="H282" s="39"/>
      <c r="I282" s="39"/>
      <c r="J282" s="142"/>
      <c r="K282" s="7"/>
      <c r="L282" s="7"/>
      <c r="M282" s="7"/>
      <c r="N282" s="7"/>
      <c r="O282" s="7"/>
      <c r="P282" s="7"/>
      <c r="Q282" s="7"/>
      <c r="R282" s="7"/>
      <c r="S282" s="7"/>
      <c r="T282" s="134"/>
    </row>
    <row r="283" spans="1:20" ht="15">
      <c r="A283" s="2" t="s">
        <v>455</v>
      </c>
      <c r="B283" s="4" t="str">
        <f>$B$39</f>
        <v>From Fiscal Forecasts</v>
      </c>
      <c r="D283" s="39">
        <f>'Fiscal Forecasts'!D$61</f>
        <v>2.395</v>
      </c>
      <c r="E283" s="142">
        <f>'Fiscal Forecasts'!E$61</f>
        <v>2.4990000000000001</v>
      </c>
      <c r="F283" s="38">
        <f>'Fiscal Forecasts'!F$61</f>
        <v>2.6589999999999998</v>
      </c>
      <c r="G283" s="38">
        <f>'Fiscal Forecasts'!G$61</f>
        <v>2.7519999999999998</v>
      </c>
      <c r="H283" s="38">
        <f>'Fiscal Forecasts'!H$61</f>
        <v>2.7440000000000002</v>
      </c>
      <c r="I283" s="38">
        <f>'Fiscal Forecasts'!I$61</f>
        <v>2.85</v>
      </c>
      <c r="J283" s="141">
        <f>'Fiscal Forecasts'!J$61</f>
        <v>2.8769999999999998</v>
      </c>
      <c r="K283" s="7">
        <f t="shared" ref="K283:T283" si="174">J$283</f>
        <v>2.8769999999999998</v>
      </c>
      <c r="L283" s="7">
        <f t="shared" si="174"/>
        <v>2.8769999999999998</v>
      </c>
      <c r="M283" s="7">
        <f t="shared" si="174"/>
        <v>2.8769999999999998</v>
      </c>
      <c r="N283" s="7">
        <f t="shared" si="174"/>
        <v>2.8769999999999998</v>
      </c>
      <c r="O283" s="7">
        <f t="shared" si="174"/>
        <v>2.8769999999999998</v>
      </c>
      <c r="P283" s="7">
        <f t="shared" si="174"/>
        <v>2.8769999999999998</v>
      </c>
      <c r="Q283" s="7">
        <f t="shared" si="174"/>
        <v>2.8769999999999998</v>
      </c>
      <c r="R283" s="7">
        <f t="shared" si="174"/>
        <v>2.8769999999999998</v>
      </c>
      <c r="S283" s="7">
        <f t="shared" si="174"/>
        <v>2.8769999999999998</v>
      </c>
      <c r="T283" s="134">
        <f t="shared" si="174"/>
        <v>2.8769999999999998</v>
      </c>
    </row>
    <row r="284" spans="1:20" ht="15">
      <c r="A284" s="2" t="s">
        <v>456</v>
      </c>
      <c r="B284" s="4" t="str">
        <f>$B$39</f>
        <v>From Fiscal Forecasts</v>
      </c>
      <c r="D284" s="39">
        <f>'Fiscal Forecasts'!D$44</f>
        <v>2.39</v>
      </c>
      <c r="E284" s="142">
        <f>'Fiscal Forecasts'!E$44</f>
        <v>2.4820000000000002</v>
      </c>
      <c r="F284" s="38">
        <f>'Fiscal Forecasts'!F$44</f>
        <v>2.6429999999999998</v>
      </c>
      <c r="G284" s="38">
        <f>'Fiscal Forecasts'!G$44</f>
        <v>2.7349999999999999</v>
      </c>
      <c r="H284" s="38">
        <f>'Fiscal Forecasts'!H$44</f>
        <v>2.7269999999999999</v>
      </c>
      <c r="I284" s="38">
        <f>'Fiscal Forecasts'!I$44</f>
        <v>2.8319999999999999</v>
      </c>
      <c r="J284" s="141">
        <f>'Fiscal Forecasts'!J$44</f>
        <v>2.86</v>
      </c>
      <c r="K284" s="7">
        <f t="shared" ref="K284:T284" si="175">K$283</f>
        <v>2.8769999999999998</v>
      </c>
      <c r="L284" s="7">
        <f t="shared" si="175"/>
        <v>2.8769999999999998</v>
      </c>
      <c r="M284" s="7">
        <f t="shared" si="175"/>
        <v>2.8769999999999998</v>
      </c>
      <c r="N284" s="7">
        <f t="shared" si="175"/>
        <v>2.8769999999999998</v>
      </c>
      <c r="O284" s="7">
        <f t="shared" si="175"/>
        <v>2.8769999999999998</v>
      </c>
      <c r="P284" s="7">
        <f t="shared" si="175"/>
        <v>2.8769999999999998</v>
      </c>
      <c r="Q284" s="7">
        <f t="shared" si="175"/>
        <v>2.8769999999999998</v>
      </c>
      <c r="R284" s="7">
        <f t="shared" si="175"/>
        <v>2.8769999999999998</v>
      </c>
      <c r="S284" s="7">
        <f t="shared" si="175"/>
        <v>2.8769999999999998</v>
      </c>
      <c r="T284" s="134">
        <f t="shared" si="175"/>
        <v>2.8769999999999998</v>
      </c>
    </row>
    <row r="285" spans="1:20" ht="15">
      <c r="A285" s="2"/>
      <c r="B285" s="4"/>
      <c r="D285" s="38"/>
      <c r="E285" s="141"/>
      <c r="F285" s="38"/>
      <c r="G285" s="38"/>
      <c r="H285" s="7"/>
      <c r="I285" s="7"/>
      <c r="J285" s="134"/>
      <c r="K285" s="7"/>
      <c r="L285" s="7"/>
      <c r="M285" s="7"/>
      <c r="N285" s="7"/>
      <c r="O285" s="7"/>
      <c r="P285" s="7"/>
      <c r="Q285" s="7"/>
      <c r="R285" s="7"/>
      <c r="S285" s="7"/>
      <c r="T285" s="134"/>
    </row>
    <row r="286" spans="1:20" ht="15">
      <c r="A286" s="18" t="s">
        <v>457</v>
      </c>
      <c r="B286" s="4"/>
      <c r="D286" s="7"/>
      <c r="E286" s="134"/>
      <c r="F286" s="7"/>
      <c r="G286" s="7"/>
      <c r="H286" s="7"/>
      <c r="I286" s="7"/>
      <c r="J286" s="134"/>
      <c r="K286" s="7"/>
      <c r="L286" s="7"/>
      <c r="M286" s="7"/>
      <c r="N286" s="7"/>
      <c r="O286" s="7"/>
      <c r="P286" s="7"/>
      <c r="Q286" s="7"/>
      <c r="R286" s="7"/>
      <c r="S286" s="7"/>
      <c r="T286" s="134"/>
    </row>
    <row r="287" spans="1:20">
      <c r="A287" s="1" t="s">
        <v>279</v>
      </c>
      <c r="B287" s="4" t="str">
        <f>$B$39</f>
        <v>From Fiscal Forecasts</v>
      </c>
      <c r="D287" s="14">
        <f>'Fiscal Forecasts'!D$59</f>
        <v>2.8889999999999998</v>
      </c>
      <c r="E287" s="175">
        <f>'Fiscal Forecasts'!E$59</f>
        <v>3.1789999999999998</v>
      </c>
      <c r="F287" s="15">
        <f>'Fiscal Forecasts'!F$59</f>
        <v>5.859</v>
      </c>
      <c r="G287" s="15">
        <f>'Fiscal Forecasts'!G$59</f>
        <v>4.3710000000000004</v>
      </c>
      <c r="H287" s="15">
        <f>'Fiscal Forecasts'!H$59</f>
        <v>4.2910000000000004</v>
      </c>
      <c r="I287" s="15">
        <f>'Fiscal Forecasts'!I$59</f>
        <v>4.0140000000000002</v>
      </c>
      <c r="J287" s="176">
        <f>'Fiscal Forecasts'!J$59</f>
        <v>3.677</v>
      </c>
      <c r="K287" s="131">
        <f ca="1">IF(K$6=OFFSET(Assumptions!$B$8,0,$C$1),AVERAGE(H$287/H$131,I$287/I$131,J$287/J$131),J$287/J$131)*K$131</f>
        <v>4.0771150621193071</v>
      </c>
      <c r="L287" s="131">
        <f ca="1">IF(L$6=OFFSET(Assumptions!$B$8,0,$C$1),AVERAGE(I$287/I$131,J$287/J$131,K$287/K$131),K$287/K$131)*L$131</f>
        <v>4.0553284057436114</v>
      </c>
      <c r="M287" s="131">
        <f ca="1">IF(M$6=OFFSET(Assumptions!$B$8,0,$C$1),AVERAGE(J$287/J$131,K$287/K$131,L$287/L$131),L$287/L$131)*M$131</f>
        <v>4.0788137152031725</v>
      </c>
      <c r="N287" s="131">
        <f ca="1">IF(N$6=OFFSET(Assumptions!$B$8,0,$C$1),AVERAGE(K$287/K$131,L$287/L$131,M$287/M$131),M$287/M$131)*N$131</f>
        <v>4.2486102201890334</v>
      </c>
      <c r="O287" s="131">
        <f ca="1">IF(O$6=OFFSET(Assumptions!$B$8,0,$C$1),AVERAGE(L$287/L$131,M$287/M$131,N$287/N$131),N$287/N$131)*O$131</f>
        <v>4.4220843123707825</v>
      </c>
      <c r="P287" s="131">
        <f ca="1">IF(P$6=OFFSET(Assumptions!$B$8,0,$C$1),AVERAGE(M$287/M$131,N$287/N$131,O$287/O$131),O$287/O$131)*P$131</f>
        <v>4.5992158258296483</v>
      </c>
      <c r="Q287" s="131">
        <f ca="1">IF(Q$6=OFFSET(Assumptions!$B$8,0,$C$1),AVERAGE(N$287/N$131,O$287/O$131,P$287/P$131),P$287/P$131)*Q$131</f>
        <v>4.779991726147335</v>
      </c>
      <c r="R287" s="131">
        <f ca="1">IF(R$6=OFFSET(Assumptions!$B$8,0,$C$1),AVERAGE(O$287/O$131,P$287/P$131,Q$287/Q$131),Q$287/Q$131)*R$131</f>
        <v>4.963925100413074</v>
      </c>
      <c r="S287" s="131">
        <f ca="1">IF(S$6=OFFSET(Assumptions!$B$8,0,$C$1),AVERAGE(P$287/P$131,Q$287/Q$131,R$287/R$131),R$287/R$131)*S$131</f>
        <v>5.1508692067939696</v>
      </c>
      <c r="T287" s="171">
        <f ca="1">IF(T$6=OFFSET(Assumptions!$B$8,0,$C$1),AVERAGE(Q$287/Q$131,R$287/R$131,S$287/S$131),S$287/S$131)*T$131</f>
        <v>5.343355870916767</v>
      </c>
    </row>
    <row r="288" spans="1:20">
      <c r="A288" s="1" t="s">
        <v>256</v>
      </c>
      <c r="B288" s="4" t="str">
        <f>$B$39</f>
        <v>From Fiscal Forecasts</v>
      </c>
      <c r="D288" s="14">
        <f>'Fiscal Forecasts'!D$200</f>
        <v>3.21</v>
      </c>
      <c r="E288" s="175">
        <f>'Fiscal Forecasts'!E$200</f>
        <v>3.8239999999999998</v>
      </c>
      <c r="F288" s="15">
        <f>'Fiscal Forecasts'!F$200</f>
        <v>4.5199999999999996</v>
      </c>
      <c r="G288" s="15">
        <f>'Fiscal Forecasts'!G$200</f>
        <v>4.5030000000000001</v>
      </c>
      <c r="H288" s="15">
        <f>'Fiscal Forecasts'!H$200</f>
        <v>4.4749999999999996</v>
      </c>
      <c r="I288" s="15">
        <f>'Fiscal Forecasts'!I$200</f>
        <v>3.8809999999999998</v>
      </c>
      <c r="J288" s="176">
        <f>'Fiscal Forecasts'!J$200</f>
        <v>3.6230000000000002</v>
      </c>
      <c r="K288" s="131">
        <f t="shared" ref="K288:T288" ca="1" si="176">SUM(J$288,K$287-J$287)</f>
        <v>4.0231150621193077</v>
      </c>
      <c r="L288" s="131">
        <f t="shared" ca="1" si="176"/>
        <v>4.001328405743612</v>
      </c>
      <c r="M288" s="131">
        <f t="shared" ca="1" si="176"/>
        <v>4.0248137152031731</v>
      </c>
      <c r="N288" s="131">
        <f t="shared" ca="1" si="176"/>
        <v>4.1946102201890341</v>
      </c>
      <c r="O288" s="131">
        <f t="shared" ca="1" si="176"/>
        <v>4.3680843123707831</v>
      </c>
      <c r="P288" s="131">
        <f t="shared" ca="1" si="176"/>
        <v>4.5452158258296489</v>
      </c>
      <c r="Q288" s="131">
        <f t="shared" ca="1" si="176"/>
        <v>4.7259917261473356</v>
      </c>
      <c r="R288" s="131">
        <f t="shared" ca="1" si="176"/>
        <v>4.9099251004130746</v>
      </c>
      <c r="S288" s="131">
        <f t="shared" ca="1" si="176"/>
        <v>5.0968692067939703</v>
      </c>
      <c r="T288" s="171">
        <f t="shared" ca="1" si="176"/>
        <v>5.2893558709167676</v>
      </c>
    </row>
    <row r="289" spans="1:20">
      <c r="A289" s="1" t="s">
        <v>418</v>
      </c>
      <c r="B289" s="4" t="str">
        <f>$B$39</f>
        <v>From Fiscal Forecasts</v>
      </c>
      <c r="D289" s="14">
        <f>'Fiscal Forecasts'!D$201</f>
        <v>5.4009999999999998</v>
      </c>
      <c r="E289" s="175">
        <f>'Fiscal Forecasts'!E$201</f>
        <v>8.9149999999999991</v>
      </c>
      <c r="F289" s="15">
        <f>'Fiscal Forecasts'!F$201</f>
        <v>5.601</v>
      </c>
      <c r="G289" s="15">
        <f>'Fiscal Forecasts'!G$201</f>
        <v>7.1349999999999998</v>
      </c>
      <c r="H289" s="15">
        <f>'Fiscal Forecasts'!H$201</f>
        <v>7.6390000000000002</v>
      </c>
      <c r="I289" s="15">
        <f>'Fiscal Forecasts'!I$201</f>
        <v>8.1020000000000003</v>
      </c>
      <c r="J289" s="176">
        <f>'Fiscal Forecasts'!J$201</f>
        <v>8.0470000000000006</v>
      </c>
      <c r="K289" s="131">
        <f ca="1">IF(K$6=OFFSET(Assumptions!$B$8,0,$C$1),AVERAGE(H$289/H$13,I$289/I$13,J$289/J$13),J$289/J$13)*K$13</f>
        <v>8.7433476834797226</v>
      </c>
      <c r="L289" s="131">
        <f ca="1">IF(L$6=OFFSET(Assumptions!$B$8,0,$C$1),AVERAGE(I$289/I$13,J$289/J$13,K$289/K$13),K$289/K$13)*L$13</f>
        <v>9.1165893462614438</v>
      </c>
      <c r="M289" s="131">
        <f ca="1">IF(M$6=OFFSET(Assumptions!$B$8,0,$C$1),AVERAGE(J$289/J$13,K$289/K$13,L$289/L$13),L$289/L$13)*M$13</f>
        <v>9.494017063790972</v>
      </c>
      <c r="N289" s="131">
        <f ca="1">IF(N$6=OFFSET(Assumptions!$B$8,0,$C$1),AVERAGE(K$289/K$13,L$289/L$13,M$289/M$13),M$289/M$13)*N$13</f>
        <v>9.889242496543428</v>
      </c>
      <c r="O289" s="131">
        <f ca="1">IF(O$6=OFFSET(Assumptions!$B$8,0,$C$1),AVERAGE(L$289/L$13,M$289/M$13,N$289/N$13),N$289/N$13)*O$13</f>
        <v>10.293028034765079</v>
      </c>
      <c r="P289" s="131">
        <f ca="1">IF(P$6=OFFSET(Assumptions!$B$8,0,$C$1),AVERAGE(M$289/M$13,N$289/N$13,O$289/O$13),O$289/O$13)*P$13</f>
        <v>10.705326739421617</v>
      </c>
      <c r="Q289" s="131">
        <f ca="1">IF(Q$6=OFFSET(Assumptions!$B$8,0,$C$1),AVERAGE(N$289/N$13,O$289/O$13,P$289/P$13),P$289/P$13)*Q$13</f>
        <v>11.126108271056927</v>
      </c>
      <c r="R289" s="131">
        <f ca="1">IF(R$6=OFFSET(Assumptions!$B$8,0,$C$1),AVERAGE(O$289/O$13,P$289/P$13,Q$289/Q$13),Q$289/Q$13)*R$13</f>
        <v>11.554239270854886</v>
      </c>
      <c r="S289" s="131">
        <f ca="1">IF(S$6=OFFSET(Assumptions!$B$8,0,$C$1),AVERAGE(P$289/P$13,Q$289/Q$13,R$289/R$13),R$289/R$13)*S$13</f>
        <v>11.989378176399871</v>
      </c>
      <c r="T289" s="171">
        <f ca="1">IF(T$6=OFFSET(Assumptions!$B$8,0,$C$1),AVERAGE(Q$289/Q$13,R$289/R$13,S$289/S$13),S$289/S$13)*T$13</f>
        <v>12.437418170705669</v>
      </c>
    </row>
    <row r="290" spans="1:20">
      <c r="A290" s="1" t="s">
        <v>419</v>
      </c>
      <c r="B290" s="4" t="str">
        <f>$B$39</f>
        <v>From Fiscal Forecasts</v>
      </c>
      <c r="D290" s="14">
        <f>'Fiscal Forecasts'!D$42-SUM(D$287:D$289)</f>
        <v>-3.0709999999999997</v>
      </c>
      <c r="E290" s="175">
        <f>'Fiscal Forecasts'!E$42-SUM(E$287:E$289)</f>
        <v>-2.9559999999999995</v>
      </c>
      <c r="F290" s="15">
        <f>'Fiscal Forecasts'!F$42-SUM(F$287:F$289)</f>
        <v>-4.3789999999999996</v>
      </c>
      <c r="G290" s="15">
        <f>'Fiscal Forecasts'!G$42-SUM(G$287:G$289)</f>
        <v>-4.0489999999999995</v>
      </c>
      <c r="H290" s="15">
        <f>'Fiscal Forecasts'!H$42-SUM(H$287:H$289)</f>
        <v>-4.4640000000000004</v>
      </c>
      <c r="I290" s="15">
        <f>'Fiscal Forecasts'!I$42-SUM(I$287:I$289)</f>
        <v>-4.2219999999999995</v>
      </c>
      <c r="J290" s="176">
        <f>'Fiscal Forecasts'!J$42-SUM(J$287:J$289)</f>
        <v>-3.9010000000000016</v>
      </c>
      <c r="K290" s="131">
        <f t="shared" ref="K290:T290" ca="1" si="177">J$290-(K$287-J$287)</f>
        <v>-4.3011150621193082</v>
      </c>
      <c r="L290" s="131">
        <f t="shared" ca="1" si="177"/>
        <v>-4.2793284057436125</v>
      </c>
      <c r="M290" s="131">
        <f t="shared" ca="1" si="177"/>
        <v>-4.3028137152031736</v>
      </c>
      <c r="N290" s="131">
        <f t="shared" ca="1" si="177"/>
        <v>-4.4726102201890345</v>
      </c>
      <c r="O290" s="131">
        <f t="shared" ca="1" si="177"/>
        <v>-4.6460843123707836</v>
      </c>
      <c r="P290" s="131">
        <f t="shared" ca="1" si="177"/>
        <v>-4.8232158258296494</v>
      </c>
      <c r="Q290" s="131">
        <f t="shared" ca="1" si="177"/>
        <v>-5.0039917261473361</v>
      </c>
      <c r="R290" s="131">
        <f t="shared" ca="1" si="177"/>
        <v>-5.1879251004130751</v>
      </c>
      <c r="S290" s="131">
        <f t="shared" ca="1" si="177"/>
        <v>-5.3748692067939707</v>
      </c>
      <c r="T290" s="171">
        <f t="shared" ca="1" si="177"/>
        <v>-5.5673558709167681</v>
      </c>
    </row>
    <row r="291" spans="1:20" ht="15">
      <c r="A291" s="2" t="s">
        <v>458</v>
      </c>
      <c r="D291" s="34">
        <f t="shared" ref="D291:T291" si="178">SUM(D$287:D$290)</f>
        <v>8.4290000000000003</v>
      </c>
      <c r="E291" s="138">
        <f t="shared" si="178"/>
        <v>12.962</v>
      </c>
      <c r="F291" s="33">
        <f t="shared" si="178"/>
        <v>11.601000000000001</v>
      </c>
      <c r="G291" s="33">
        <f t="shared" si="178"/>
        <v>11.96</v>
      </c>
      <c r="H291" s="33">
        <f t="shared" si="178"/>
        <v>11.941000000000001</v>
      </c>
      <c r="I291" s="33">
        <f t="shared" si="178"/>
        <v>11.775</v>
      </c>
      <c r="J291" s="137">
        <f t="shared" si="178"/>
        <v>11.446</v>
      </c>
      <c r="K291" s="37">
        <f t="shared" ca="1" si="178"/>
        <v>12.542462745599028</v>
      </c>
      <c r="L291" s="37">
        <f t="shared" ca="1" si="178"/>
        <v>12.893917752005052</v>
      </c>
      <c r="M291" s="37">
        <f t="shared" ca="1" si="178"/>
        <v>13.294830778994145</v>
      </c>
      <c r="N291" s="37">
        <f t="shared" ca="1" si="178"/>
        <v>13.85985271673246</v>
      </c>
      <c r="O291" s="37">
        <f t="shared" ca="1" si="178"/>
        <v>14.43711234713586</v>
      </c>
      <c r="P291" s="37">
        <f t="shared" ca="1" si="178"/>
        <v>15.026542565251262</v>
      </c>
      <c r="Q291" s="37">
        <f t="shared" ca="1" si="178"/>
        <v>15.628099997204263</v>
      </c>
      <c r="R291" s="37">
        <f t="shared" ca="1" si="178"/>
        <v>16.240164371267959</v>
      </c>
      <c r="S291" s="37">
        <f t="shared" ca="1" si="178"/>
        <v>16.862247383193839</v>
      </c>
      <c r="T291" s="140">
        <f t="shared" ca="1" si="178"/>
        <v>17.502774041622438</v>
      </c>
    </row>
    <row r="292" spans="1:20" ht="15">
      <c r="A292" s="2"/>
      <c r="D292" s="46"/>
      <c r="E292" s="46"/>
      <c r="F292" s="47"/>
      <c r="G292" s="47"/>
      <c r="H292" s="47"/>
      <c r="I292" s="47"/>
      <c r="J292" s="145"/>
      <c r="K292" s="48"/>
      <c r="L292" s="48"/>
      <c r="M292" s="48"/>
      <c r="N292" s="48"/>
      <c r="O292" s="48"/>
      <c r="P292" s="48"/>
      <c r="Q292" s="48"/>
      <c r="R292" s="48"/>
      <c r="S292" s="48"/>
      <c r="T292" s="146"/>
    </row>
    <row r="293" spans="1:20" ht="15">
      <c r="A293" s="18" t="s">
        <v>459</v>
      </c>
      <c r="D293" s="46"/>
      <c r="E293" s="46"/>
      <c r="F293" s="47"/>
      <c r="G293" s="47"/>
      <c r="H293" s="47"/>
      <c r="I293" s="47"/>
      <c r="J293" s="145"/>
      <c r="K293" s="48"/>
      <c r="L293" s="48"/>
      <c r="M293" s="48"/>
      <c r="N293" s="48"/>
      <c r="O293" s="48"/>
      <c r="P293" s="48"/>
      <c r="Q293" s="48"/>
      <c r="R293" s="48"/>
      <c r="S293" s="48"/>
      <c r="T293" s="146"/>
    </row>
    <row r="294" spans="1:20">
      <c r="A294" s="1" t="s">
        <v>948</v>
      </c>
      <c r="D294" s="14">
        <f t="shared" ref="D294:T294" si="179">D$237</f>
        <v>0</v>
      </c>
      <c r="E294" s="175">
        <f t="shared" si="179"/>
        <v>0</v>
      </c>
      <c r="F294" s="15">
        <f t="shared" si="179"/>
        <v>3.0000000000000001E-3</v>
      </c>
      <c r="G294" s="15">
        <f t="shared" si="179"/>
        <v>2E-3</v>
      </c>
      <c r="H294" s="15">
        <f t="shared" si="179"/>
        <v>2E-3</v>
      </c>
      <c r="I294" s="15">
        <f t="shared" si="179"/>
        <v>2E-3</v>
      </c>
      <c r="J294" s="176">
        <f t="shared" si="179"/>
        <v>2E-3</v>
      </c>
      <c r="K294" s="6">
        <f t="shared" ca="1" si="179"/>
        <v>0</v>
      </c>
      <c r="L294" s="6">
        <f t="shared" ca="1" si="179"/>
        <v>0</v>
      </c>
      <c r="M294" s="6">
        <f t="shared" ca="1" si="179"/>
        <v>0</v>
      </c>
      <c r="N294" s="6">
        <f t="shared" ca="1" si="179"/>
        <v>0</v>
      </c>
      <c r="O294" s="6">
        <f t="shared" ca="1" si="179"/>
        <v>0</v>
      </c>
      <c r="P294" s="6">
        <f t="shared" ca="1" si="179"/>
        <v>0</v>
      </c>
      <c r="Q294" s="6">
        <f t="shared" ca="1" si="179"/>
        <v>0</v>
      </c>
      <c r="R294" s="104">
        <f t="shared" ca="1" si="179"/>
        <v>0</v>
      </c>
      <c r="S294" s="104">
        <f t="shared" ca="1" si="179"/>
        <v>0</v>
      </c>
      <c r="T294" s="171">
        <f t="shared" ca="1" si="179"/>
        <v>0</v>
      </c>
    </row>
    <row r="295" spans="1:20">
      <c r="A295" s="1" t="s">
        <v>409</v>
      </c>
      <c r="D295" s="14">
        <f t="shared" ref="D295:T295" si="180">D$184</f>
        <v>0.95099999999999996</v>
      </c>
      <c r="E295" s="175">
        <f t="shared" si="180"/>
        <v>0.89300000000000002</v>
      </c>
      <c r="F295" s="15">
        <f t="shared" si="180"/>
        <v>0.92900000000000005</v>
      </c>
      <c r="G295" s="15">
        <f t="shared" si="180"/>
        <v>0.97399999999999998</v>
      </c>
      <c r="H295" s="15">
        <f t="shared" si="180"/>
        <v>1.0149999999999999</v>
      </c>
      <c r="I295" s="15">
        <f t="shared" si="180"/>
        <v>1.0509999999999999</v>
      </c>
      <c r="J295" s="176">
        <f t="shared" si="180"/>
        <v>1.083</v>
      </c>
      <c r="K295" s="6">
        <f t="shared" ca="1" si="180"/>
        <v>1.1100000000000001</v>
      </c>
      <c r="L295" s="6">
        <f t="shared" ca="1" si="180"/>
        <v>1.141</v>
      </c>
      <c r="M295" s="6">
        <f t="shared" ca="1" si="180"/>
        <v>1.169</v>
      </c>
      <c r="N295" s="6">
        <f t="shared" ca="1" si="180"/>
        <v>1.1930000000000001</v>
      </c>
      <c r="O295" s="6">
        <f t="shared" ca="1" si="180"/>
        <v>1.2150000000000001</v>
      </c>
      <c r="P295" s="6">
        <f t="shared" ca="1" si="180"/>
        <v>1.2310000000000003</v>
      </c>
      <c r="Q295" s="6">
        <f t="shared" ca="1" si="180"/>
        <v>1.2440000000000002</v>
      </c>
      <c r="R295" s="104">
        <f t="shared" ca="1" si="180"/>
        <v>1.2550000000000001</v>
      </c>
      <c r="S295" s="104">
        <f t="shared" ca="1" si="180"/>
        <v>1.2650000000000001</v>
      </c>
      <c r="T295" s="171">
        <f t="shared" ca="1" si="180"/>
        <v>1.2740000000000002</v>
      </c>
    </row>
    <row r="296" spans="1:20">
      <c r="A296" s="1" t="s">
        <v>460</v>
      </c>
      <c r="B296" s="4" t="str">
        <f>$B$39</f>
        <v>From Fiscal Forecasts</v>
      </c>
      <c r="D296" s="14">
        <f>'Fiscal Forecasts'!D$60-SUM(D$294:D$295)</f>
        <v>2.0549999999999997</v>
      </c>
      <c r="E296" s="175">
        <f>'Fiscal Forecasts'!E$60-SUM(E$294:E$295)</f>
        <v>3.0949999999999998</v>
      </c>
      <c r="F296" s="15">
        <f>'Fiscal Forecasts'!F$60-SUM(F$294:F$295)</f>
        <v>4.0269999999999992</v>
      </c>
      <c r="G296" s="15">
        <f>'Fiscal Forecasts'!G$60-SUM(G$294:G$295)</f>
        <v>3.4269999999999996</v>
      </c>
      <c r="H296" s="15">
        <f>'Fiscal Forecasts'!H$60-SUM(H$294:H$295)</f>
        <v>2.79</v>
      </c>
      <c r="I296" s="15">
        <f>'Fiscal Forecasts'!I$60-SUM(I$294:I$295)</f>
        <v>2.5310000000000001</v>
      </c>
      <c r="J296" s="176">
        <f>'Fiscal Forecasts'!J$60-SUM(J$294:J$295)</f>
        <v>2.302</v>
      </c>
      <c r="K296" s="6">
        <f t="shared" ref="K296:T296" si="181">J$296</f>
        <v>2.302</v>
      </c>
      <c r="L296" s="6">
        <f t="shared" si="181"/>
        <v>2.302</v>
      </c>
      <c r="M296" s="6">
        <f t="shared" si="181"/>
        <v>2.302</v>
      </c>
      <c r="N296" s="6">
        <f t="shared" si="181"/>
        <v>2.302</v>
      </c>
      <c r="O296" s="6">
        <f t="shared" si="181"/>
        <v>2.302</v>
      </c>
      <c r="P296" s="6">
        <f t="shared" si="181"/>
        <v>2.302</v>
      </c>
      <c r="Q296" s="6">
        <f t="shared" si="181"/>
        <v>2.302</v>
      </c>
      <c r="R296" s="104">
        <f t="shared" si="181"/>
        <v>2.302</v>
      </c>
      <c r="S296" s="104">
        <f t="shared" si="181"/>
        <v>2.302</v>
      </c>
      <c r="T296" s="171">
        <f t="shared" si="181"/>
        <v>2.302</v>
      </c>
    </row>
    <row r="297" spans="1:20" ht="15">
      <c r="A297" s="2" t="s">
        <v>461</v>
      </c>
      <c r="D297" s="34">
        <f t="shared" ref="D297:T297" si="182">SUM(D$294:D$296)</f>
        <v>3.0059999999999998</v>
      </c>
      <c r="E297" s="138">
        <f t="shared" si="182"/>
        <v>3.9879999999999995</v>
      </c>
      <c r="F297" s="33">
        <f t="shared" si="182"/>
        <v>4.9589999999999996</v>
      </c>
      <c r="G297" s="33">
        <f t="shared" si="182"/>
        <v>4.4029999999999996</v>
      </c>
      <c r="H297" s="33">
        <f t="shared" si="182"/>
        <v>3.8069999999999999</v>
      </c>
      <c r="I297" s="33">
        <f t="shared" si="182"/>
        <v>3.5840000000000001</v>
      </c>
      <c r="J297" s="137">
        <f t="shared" si="182"/>
        <v>3.387</v>
      </c>
      <c r="K297" s="37">
        <f t="shared" ca="1" si="182"/>
        <v>3.4119999999999999</v>
      </c>
      <c r="L297" s="37">
        <f t="shared" ca="1" si="182"/>
        <v>3.4430000000000001</v>
      </c>
      <c r="M297" s="37">
        <f t="shared" ca="1" si="182"/>
        <v>3.4710000000000001</v>
      </c>
      <c r="N297" s="37">
        <f t="shared" ca="1" si="182"/>
        <v>3.4950000000000001</v>
      </c>
      <c r="O297" s="37">
        <f t="shared" ca="1" si="182"/>
        <v>3.5170000000000003</v>
      </c>
      <c r="P297" s="37">
        <f t="shared" ca="1" si="182"/>
        <v>3.5330000000000004</v>
      </c>
      <c r="Q297" s="37">
        <f t="shared" ca="1" si="182"/>
        <v>3.5460000000000003</v>
      </c>
      <c r="R297" s="37">
        <f t="shared" ca="1" si="182"/>
        <v>3.5570000000000004</v>
      </c>
      <c r="S297" s="37">
        <f t="shared" ca="1" si="182"/>
        <v>3.5670000000000002</v>
      </c>
      <c r="T297" s="140">
        <f t="shared" ca="1" si="182"/>
        <v>3.5760000000000005</v>
      </c>
    </row>
    <row r="298" spans="1:20" ht="15">
      <c r="A298" s="2" t="s">
        <v>462</v>
      </c>
      <c r="B298" s="4" t="str">
        <f>$B$39</f>
        <v>From Fiscal Forecasts</v>
      </c>
      <c r="D298" s="39">
        <f>'Fiscal Forecasts'!D$43</f>
        <v>10.433</v>
      </c>
      <c r="E298" s="142">
        <f>'Fiscal Forecasts'!E$43</f>
        <v>11.246</v>
      </c>
      <c r="F298" s="38">
        <f>'Fiscal Forecasts'!F$43</f>
        <v>12.612</v>
      </c>
      <c r="G298" s="38">
        <f>'Fiscal Forecasts'!G$43</f>
        <v>11.01</v>
      </c>
      <c r="H298" s="38">
        <f>'Fiscal Forecasts'!H$43</f>
        <v>10.497999999999999</v>
      </c>
      <c r="I298" s="38">
        <f>'Fiscal Forecasts'!I$43</f>
        <v>10.35</v>
      </c>
      <c r="J298" s="141">
        <f>'Fiscal Forecasts'!J$43</f>
        <v>10.262</v>
      </c>
      <c r="K298" s="7">
        <f ca="1">SUM(K$297,IF(K$6=OFFSET(Assumptions!$B$8,0,$C$1),AVERAGE((H$298-H$297)/H$13,(I$298-I$297)/I$13,(J$298-J$297)/J$13),(J$298-J$297)/J$13)*K$13)</f>
        <v>10.88852802580622</v>
      </c>
      <c r="L298" s="7">
        <f ca="1">SUM(L$297,IF(L$6=OFFSET(Assumptions!$B$8,0,$C$1),AVERAGE((I$298-I$297)/I$13,(J$298-J$297)/J$13,(K$298-K$297)/K$13),(K$298-K$297)/K$13)*L$13)</f>
        <v>11.238690874317749</v>
      </c>
      <c r="M298" s="7">
        <f ca="1">SUM(M$297,IF(M$6=OFFSET(Assumptions!$B$8,0,$C$1),AVERAGE((J$298-J$297)/J$13,(K$298-K$297)/K$13,(L$298-L$297)/L$13),(L$298-L$297)/L$13)*M$13)</f>
        <v>11.589433262014097</v>
      </c>
      <c r="N298" s="7">
        <f ca="1">SUM(N$297,IF(N$6=OFFSET(Assumptions!$B$8,0,$C$1),AVERAGE((K$298-K$297)/K$13,(L$298-L$297)/L$13,(M$298-M$297)/M$13),(M$298-M$297)/M$13)*N$13)</f>
        <v>11.951394662092966</v>
      </c>
      <c r="O298" s="7">
        <f ca="1">SUM(O$297,IF(O$6=OFFSET(Assumptions!$B$8,0,$C$1),AVERAGE((L$298-L$297)/L$13,(M$298-M$297)/M$13,(N$298-N$297)/N$13),(N$298-N$297)/N$13)*O$13)</f>
        <v>12.3186758978642</v>
      </c>
      <c r="P298" s="7">
        <f ca="1">SUM(P$297,IF(P$6=OFFSET(Assumptions!$B$8,0,$C$1),AVERAGE((M$298-M$297)/M$13,(N$298-N$297)/N$13,(O$298-O$297)/O$13),(O$298-O$297)/O$13)*P$13)</f>
        <v>12.687236831268759</v>
      </c>
      <c r="Q298" s="7">
        <f ca="1">SUM(Q$297,IF(Q$6=OFFSET(Assumptions!$B$8,0,$C$1),AVERAGE((N$298-N$297)/N$13,(O$298-O$297)/O$13,(P$298-P$297)/P$13),(P$298-P$297)/P$13)*Q$13)</f>
        <v>13.060051518720488</v>
      </c>
      <c r="R298" s="7">
        <f ca="1">SUM(R$297,IF(R$6=OFFSET(Assumptions!$B$8,0,$C$1),AVERAGE((O$298-O$297)/O$13,(P$298-P$297)/P$13,(Q$298-Q$297)/Q$13),(Q$298-Q$297)/Q$13)*R$13)</f>
        <v>13.437150813245166</v>
      </c>
      <c r="S298" s="7">
        <f ca="1">SUM(S$297,IF(S$6=OFFSET(Assumptions!$B$8,0,$C$1),AVERAGE((P$298-P$297)/P$13,(Q$298-Q$297)/Q$13,(R$298-R$297)/R$13),(R$298-R$297)/R$13)*S$13)</f>
        <v>13.819242641249762</v>
      </c>
      <c r="T298" s="134">
        <f ca="1">SUM(T$297,IF(T$6=OFFSET(Assumptions!$B$8,0,$C$1),AVERAGE((Q$298-Q$297)/Q$13,(R$298-R$297)/R$13,(S$298-S$297)/S$13),(S$298-S$297)/S$13)*T$13)</f>
        <v>14.211366325149314</v>
      </c>
    </row>
    <row r="299" spans="1:20" ht="15">
      <c r="A299" s="2"/>
      <c r="B299" s="4"/>
      <c r="D299" s="39"/>
      <c r="E299" s="142"/>
      <c r="F299" s="38"/>
      <c r="G299" s="38"/>
      <c r="H299" s="38"/>
      <c r="I299" s="38"/>
      <c r="J299" s="141"/>
      <c r="K299" s="7"/>
      <c r="L299" s="7"/>
      <c r="M299" s="7"/>
      <c r="N299" s="7"/>
      <c r="O299" s="7"/>
      <c r="P299" s="7"/>
      <c r="Q299" s="7"/>
      <c r="R299" s="7"/>
      <c r="S299" s="7"/>
      <c r="T299" s="134"/>
    </row>
    <row r="300" spans="1:20" ht="15">
      <c r="A300" s="18" t="s">
        <v>511</v>
      </c>
      <c r="D300" s="46"/>
      <c r="E300" s="46"/>
      <c r="F300" s="47"/>
      <c r="G300" s="47"/>
      <c r="H300" s="47"/>
      <c r="I300" s="47"/>
      <c r="J300" s="145"/>
      <c r="K300" s="48"/>
      <c r="L300" s="48"/>
      <c r="M300" s="48"/>
      <c r="N300" s="48"/>
      <c r="O300" s="48"/>
      <c r="P300" s="48"/>
      <c r="Q300" s="48"/>
      <c r="R300" s="48"/>
      <c r="S300" s="48"/>
      <c r="T300" s="146"/>
    </row>
    <row r="301" spans="1:20" ht="15">
      <c r="A301" s="2" t="s">
        <v>463</v>
      </c>
      <c r="B301" s="4" t="str">
        <f>$B$39</f>
        <v>From Fiscal Forecasts</v>
      </c>
      <c r="D301" s="39">
        <f>'Fiscal Forecasts'!D$62</f>
        <v>0.91800000000000004</v>
      </c>
      <c r="E301" s="142">
        <f>'Fiscal Forecasts'!E$62</f>
        <v>1.1060000000000001</v>
      </c>
      <c r="F301" s="38">
        <f>'Fiscal Forecasts'!F$62</f>
        <v>1.55</v>
      </c>
      <c r="G301" s="38">
        <f>'Fiscal Forecasts'!G$62</f>
        <v>1.3919999999999999</v>
      </c>
      <c r="H301" s="38">
        <f>'Fiscal Forecasts'!H$62</f>
        <v>1.141</v>
      </c>
      <c r="I301" s="38">
        <f>'Fiscal Forecasts'!I$62</f>
        <v>1.0509999999999999</v>
      </c>
      <c r="J301" s="141">
        <f>'Fiscal Forecasts'!J$62</f>
        <v>1.0449999999999999</v>
      </c>
      <c r="K301" s="48">
        <f t="shared" ref="K301:T301" si="183">J$301</f>
        <v>1.0449999999999999</v>
      </c>
      <c r="L301" s="48">
        <f t="shared" si="183"/>
        <v>1.0449999999999999</v>
      </c>
      <c r="M301" s="48">
        <f t="shared" si="183"/>
        <v>1.0449999999999999</v>
      </c>
      <c r="N301" s="48">
        <f t="shared" si="183"/>
        <v>1.0449999999999999</v>
      </c>
      <c r="O301" s="48">
        <f t="shared" si="183"/>
        <v>1.0449999999999999</v>
      </c>
      <c r="P301" s="48">
        <f t="shared" si="183"/>
        <v>1.0449999999999999</v>
      </c>
      <c r="Q301" s="48">
        <f t="shared" si="183"/>
        <v>1.0449999999999999</v>
      </c>
      <c r="R301" s="48">
        <f t="shared" si="183"/>
        <v>1.0449999999999999</v>
      </c>
      <c r="S301" s="48">
        <f t="shared" si="183"/>
        <v>1.0449999999999999</v>
      </c>
      <c r="T301" s="146">
        <f t="shared" si="183"/>
        <v>1.0449999999999999</v>
      </c>
    </row>
    <row r="302" spans="1:20" ht="15">
      <c r="A302" s="2" t="s">
        <v>464</v>
      </c>
      <c r="B302" s="4" t="str">
        <f>$B$39</f>
        <v>From Fiscal Forecasts</v>
      </c>
      <c r="D302" s="39">
        <f>'Fiscal Forecasts'!D$45</f>
        <v>2.5030000000000001</v>
      </c>
      <c r="E302" s="142">
        <f>'Fiscal Forecasts'!E$45</f>
        <v>2.9039999999999999</v>
      </c>
      <c r="F302" s="38">
        <f>'Fiscal Forecasts'!F$45</f>
        <v>3.4279999999999999</v>
      </c>
      <c r="G302" s="38">
        <f>'Fiscal Forecasts'!G$45</f>
        <v>3.1789999999999998</v>
      </c>
      <c r="H302" s="38">
        <f>'Fiscal Forecasts'!H$45</f>
        <v>2.9689999999999999</v>
      </c>
      <c r="I302" s="38">
        <f>'Fiscal Forecasts'!I$45</f>
        <v>2.919</v>
      </c>
      <c r="J302" s="141">
        <f>'Fiscal Forecasts'!J$45</f>
        <v>2.9350000000000001</v>
      </c>
      <c r="K302" s="7">
        <f ca="1">SUM(K$301,IF(K$6=OFFSET(Assumptions!$B$8,0,$C$1),AVERAGE((H$302-H$301)/H$13,(I$302-I$301)/I$13,(J$302-J$301)/J$13),(J$302-J$301)/J$13)*K$13)</f>
        <v>3.0988587838594115</v>
      </c>
      <c r="L302" s="7">
        <f ca="1">SUM(L$301,IF(L$6=OFFSET(Assumptions!$B$8,0,$C$1),AVERAGE((I$302-I$301)/I$13,(J$302-J$301)/J$13,(K$302-K$301)/K$13),(K$302-K$301)/K$13)*L$13)</f>
        <v>3.1865352317553324</v>
      </c>
      <c r="M302" s="7">
        <f ca="1">SUM(M$301,IF(M$6=OFFSET(Assumptions!$B$8,0,$C$1),AVERAGE((J$302-J$301)/J$13,(K$302-K$301)/K$13,(L$302-L$301)/L$13),(L$302-L$301)/L$13)*M$13)</f>
        <v>3.2751950061326816</v>
      </c>
      <c r="N302" s="7">
        <f ca="1">SUM(N$301,IF(N$6=OFFSET(Assumptions!$B$8,0,$C$1),AVERAGE((K$302-K$301)/K$13,(L$302-L$301)/L$13,(M$302-M$301)/M$13),(M$302-M$301)/M$13)*N$13)</f>
        <v>3.3680355582929278</v>
      </c>
      <c r="O302" s="7">
        <f ca="1">SUM(O$301,IF(O$6=OFFSET(Assumptions!$B$8,0,$C$1),AVERAGE((L$302-L$301)/L$13,(M$302-M$301)/M$13,(N$302-N$301)/N$13),(N$302-N$301)/N$13)*O$13)</f>
        <v>3.462886924668179</v>
      </c>
      <c r="P302" s="7">
        <f ca="1">SUM(P$301,IF(P$6=OFFSET(Assumptions!$B$8,0,$C$1),AVERAGE((M$302-M$301)/M$13,(N$302-N$301)/N$13,(O$302-O$301)/O$13),(O$302-O$301)/O$13)*P$13)</f>
        <v>3.5597380790301054</v>
      </c>
      <c r="Q302" s="7">
        <f ca="1">SUM(Q$301,IF(Q$6=OFFSET(Assumptions!$B$8,0,$C$1),AVERAGE((N$302-N$301)/N$13,(O$302-O$301)/O$13,(P$302-P$301)/P$13),(P$302-P$301)/P$13)*Q$13)</f>
        <v>3.6585818944794131</v>
      </c>
      <c r="R302" s="7">
        <f ca="1">SUM(R$301,IF(R$6=OFFSET(Assumptions!$B$8,0,$C$1),AVERAGE((O$302-O$301)/O$13,(P$302-P$301)/P$13,(Q$302-Q$301)/Q$13),(Q$302-Q$301)/Q$13)*R$13)</f>
        <v>3.7591521390138949</v>
      </c>
      <c r="S302" s="7">
        <f ca="1">SUM(S$301,IF(S$6=OFFSET(Assumptions!$B$8,0,$C$1),AVERAGE((P$302-P$301)/P$13,(Q$302-Q$301)/Q$13,(R$302-R$301)/R$13),(R$302-R$301)/R$13)*S$13)</f>
        <v>3.8613685778089781</v>
      </c>
      <c r="T302" s="134">
        <f ca="1">SUM(T$301,IF(T$6=OFFSET(Assumptions!$B$8,0,$C$1),AVERAGE((Q$302-Q$301)/Q$13,(R$302-R$301)/R$13,(S$302-S$301)/S$13),(S$302-S$301)/S$13)*T$13)</f>
        <v>3.9666155508378549</v>
      </c>
    </row>
    <row r="303" spans="1:20" ht="15">
      <c r="A303" s="2"/>
      <c r="B303" s="4"/>
      <c r="D303" s="39"/>
      <c r="E303" s="142"/>
      <c r="F303" s="38"/>
      <c r="G303" s="38"/>
      <c r="H303" s="38"/>
      <c r="I303" s="38"/>
      <c r="J303" s="141"/>
      <c r="K303" s="7"/>
      <c r="L303" s="7"/>
      <c r="M303" s="7"/>
      <c r="N303" s="7"/>
      <c r="O303" s="7"/>
      <c r="P303" s="7"/>
      <c r="Q303" s="7"/>
      <c r="R303" s="7"/>
      <c r="S303" s="7"/>
      <c r="T303" s="134"/>
    </row>
    <row r="304" spans="1:20" ht="15">
      <c r="A304" s="18" t="s">
        <v>512</v>
      </c>
      <c r="B304" s="4"/>
      <c r="D304" s="39"/>
      <c r="E304" s="142"/>
      <c r="F304" s="38"/>
      <c r="G304" s="38"/>
      <c r="H304" s="38"/>
      <c r="I304" s="38"/>
      <c r="J304" s="141"/>
      <c r="K304" s="7"/>
      <c r="L304" s="7"/>
      <c r="M304" s="7"/>
      <c r="N304" s="7"/>
      <c r="O304" s="7"/>
      <c r="P304" s="7"/>
      <c r="Q304" s="7"/>
      <c r="R304" s="7"/>
      <c r="S304" s="7"/>
      <c r="T304" s="134"/>
    </row>
    <row r="305" spans="1:20" ht="15">
      <c r="A305" s="2" t="s">
        <v>465</v>
      </c>
      <c r="B305" s="4" t="str">
        <f>$B$39</f>
        <v>From Fiscal Forecasts</v>
      </c>
      <c r="D305" s="39">
        <f>'Fiscal Forecasts'!D$63</f>
        <v>0.96</v>
      </c>
      <c r="E305" s="142">
        <f>'Fiscal Forecasts'!E$63</f>
        <v>0.96099999999999997</v>
      </c>
      <c r="F305" s="38">
        <f>'Fiscal Forecasts'!F$63</f>
        <v>1.304</v>
      </c>
      <c r="G305" s="38">
        <f>'Fiscal Forecasts'!G$63</f>
        <v>1.0629999999999999</v>
      </c>
      <c r="H305" s="38">
        <f>'Fiscal Forecasts'!H$63</f>
        <v>0.91</v>
      </c>
      <c r="I305" s="38">
        <f>'Fiscal Forecasts'!I$63</f>
        <v>0.84499999999999997</v>
      </c>
      <c r="J305" s="141">
        <f>'Fiscal Forecasts'!J$63</f>
        <v>0.82299999999999995</v>
      </c>
      <c r="K305" s="48">
        <f t="shared" ref="K305:T305" si="184">J$305</f>
        <v>0.82299999999999995</v>
      </c>
      <c r="L305" s="48">
        <f t="shared" si="184"/>
        <v>0.82299999999999995</v>
      </c>
      <c r="M305" s="48">
        <f t="shared" si="184"/>
        <v>0.82299999999999995</v>
      </c>
      <c r="N305" s="48">
        <f t="shared" si="184"/>
        <v>0.82299999999999995</v>
      </c>
      <c r="O305" s="48">
        <f t="shared" si="184"/>
        <v>0.82299999999999995</v>
      </c>
      <c r="P305" s="48">
        <f t="shared" si="184"/>
        <v>0.82299999999999995</v>
      </c>
      <c r="Q305" s="48">
        <f t="shared" si="184"/>
        <v>0.82299999999999995</v>
      </c>
      <c r="R305" s="48">
        <f t="shared" si="184"/>
        <v>0.82299999999999995</v>
      </c>
      <c r="S305" s="48">
        <f t="shared" si="184"/>
        <v>0.82299999999999995</v>
      </c>
      <c r="T305" s="146">
        <f t="shared" si="184"/>
        <v>0.82299999999999995</v>
      </c>
    </row>
    <row r="306" spans="1:20" ht="15">
      <c r="A306" s="2" t="s">
        <v>466</v>
      </c>
      <c r="B306" s="4" t="str">
        <f>$B$39</f>
        <v>From Fiscal Forecasts</v>
      </c>
      <c r="D306" s="39">
        <f>'Fiscal Forecasts'!D$46</f>
        <v>2.395</v>
      </c>
      <c r="E306" s="142">
        <f>'Fiscal Forecasts'!E$46</f>
        <v>2.4300000000000002</v>
      </c>
      <c r="F306" s="38">
        <f>'Fiscal Forecasts'!F$46</f>
        <v>2.794</v>
      </c>
      <c r="G306" s="38">
        <f>'Fiscal Forecasts'!G$46</f>
        <v>2.4390000000000001</v>
      </c>
      <c r="H306" s="38">
        <f>'Fiscal Forecasts'!H$46</f>
        <v>2.242</v>
      </c>
      <c r="I306" s="38">
        <f>'Fiscal Forecasts'!I$46</f>
        <v>2.1640000000000001</v>
      </c>
      <c r="J306" s="141">
        <f>'Fiscal Forecasts'!J$46</f>
        <v>2.0299999999999998</v>
      </c>
      <c r="K306" s="7">
        <f ca="1">SUM(K$305,IF(K$6=OFFSET(Assumptions!$B$8,0,$C$1),AVERAGE((H$306-H$305)/H$13,(I$306-I$305)/I$13,(J$306-J$305)/J$13),(J$306-J$305)/J$13)*K$13)</f>
        <v>2.244839233758948</v>
      </c>
      <c r="L306" s="7">
        <f ca="1">SUM(L$305,IF(L$6=OFFSET(Assumptions!$B$8,0,$C$1),AVERAGE((I$306-I$305)/I$13,(J$306-J$305)/J$13,(K$306-K$305)/K$13),(K$306-K$305)/K$13)*L$13)</f>
        <v>2.3055356236347846</v>
      </c>
      <c r="M306" s="7">
        <f ca="1">SUM(M$305,IF(M$6=OFFSET(Assumptions!$B$8,0,$C$1),AVERAGE((J$306-J$305)/J$13,(K$306-K$305)/K$13,(L$306-L$305)/L$13),(L$306-L$305)/L$13)*M$13)</f>
        <v>2.3669127478346539</v>
      </c>
      <c r="N306" s="7">
        <f ca="1">SUM(N$305,IF(N$6=OFFSET(Assumptions!$B$8,0,$C$1),AVERAGE((K$306-K$305)/K$13,(L$306-L$305)/L$13,(M$306-M$305)/M$13),(M$306-M$305)/M$13)*N$13)</f>
        <v>2.4311841284099205</v>
      </c>
      <c r="O306" s="7">
        <f ca="1">SUM(O$305,IF(O$6=OFFSET(Assumptions!$B$8,0,$C$1),AVERAGE((L$306-L$305)/L$13,(M$306-M$305)/M$13,(N$306-N$305)/N$13),(N$306-N$305)/N$13)*O$13)</f>
        <v>2.496847549453189</v>
      </c>
      <c r="P306" s="7">
        <f ca="1">SUM(P$305,IF(P$6=OFFSET(Assumptions!$B$8,0,$C$1),AVERAGE((M$306-M$305)/M$13,(N$306-N$305)/N$13,(O$306-O$305)/O$13),(O$306-O$305)/O$13)*P$13)</f>
        <v>2.5638953777599953</v>
      </c>
      <c r="Q306" s="7">
        <f ca="1">SUM(Q$305,IF(Q$6=OFFSET(Assumptions!$B$8,0,$C$1),AVERAGE((N$306-N$305)/N$13,(O$306-O$305)/O$13,(P$306-P$305)/P$13),(P$306-P$305)/P$13)*Q$13)</f>
        <v>2.6323226795417494</v>
      </c>
      <c r="R306" s="7">
        <f ca="1">SUM(R$305,IF(R$6=OFFSET(Assumptions!$B$8,0,$C$1),AVERAGE((O$306-O$305)/O$13,(P$306-P$305)/P$13,(Q$306-Q$305)/Q$13),(Q$306-Q$305)/Q$13)*R$13)</f>
        <v>2.7019451485019359</v>
      </c>
      <c r="S306" s="7">
        <f ca="1">SUM(S$305,IF(S$6=OFFSET(Assumptions!$B$8,0,$C$1),AVERAGE((P$306-P$305)/P$13,(Q$306-Q$305)/Q$13,(R$306-R$305)/R$13),(R$306-R$305)/R$13)*S$13)</f>
        <v>2.7727072399154795</v>
      </c>
      <c r="T306" s="134">
        <f ca="1">SUM(T$305,IF(T$6=OFFSET(Assumptions!$B$8,0,$C$1),AVERAGE((Q$306-Q$305)/Q$13,(R$306-R$305)/R$13,(S$306-S$305)/S$13),(S$306-S$305)/S$13)*T$13)</f>
        <v>2.8455673005305675</v>
      </c>
    </row>
    <row r="307" spans="1:20" ht="15">
      <c r="A307" s="2"/>
      <c r="B307" s="4"/>
      <c r="D307" s="38"/>
      <c r="E307" s="141"/>
      <c r="F307" s="38"/>
      <c r="G307" s="38"/>
      <c r="H307" s="7"/>
      <c r="I307" s="7"/>
      <c r="J307" s="134"/>
      <c r="K307" s="7"/>
      <c r="L307" s="7"/>
      <c r="M307" s="7"/>
      <c r="N307" s="7"/>
      <c r="O307" s="7"/>
      <c r="P307" s="7"/>
      <c r="Q307" s="7"/>
      <c r="R307" s="7"/>
      <c r="S307" s="7"/>
      <c r="T307" s="134"/>
    </row>
    <row r="308" spans="1:20" ht="15">
      <c r="A308" s="18" t="s">
        <v>513</v>
      </c>
      <c r="B308" s="4"/>
      <c r="D308" s="38"/>
      <c r="E308" s="141"/>
      <c r="F308" s="38"/>
      <c r="G308" s="38"/>
      <c r="H308" s="7"/>
      <c r="I308" s="7"/>
      <c r="J308" s="134"/>
      <c r="K308" s="7"/>
      <c r="L308" s="7"/>
      <c r="M308" s="7"/>
      <c r="N308" s="7"/>
      <c r="O308" s="7"/>
      <c r="P308" s="7"/>
      <c r="Q308" s="7"/>
      <c r="R308" s="7"/>
      <c r="S308" s="7"/>
      <c r="T308" s="134"/>
    </row>
    <row r="309" spans="1:20" ht="15">
      <c r="A309" s="2" t="s">
        <v>467</v>
      </c>
      <c r="B309" s="4" t="str">
        <f>$B$39</f>
        <v>From Fiscal Forecasts</v>
      </c>
      <c r="D309" s="39">
        <f>'Fiscal Forecasts'!D$64</f>
        <v>0.72699999999999998</v>
      </c>
      <c r="E309" s="142">
        <f>'Fiscal Forecasts'!E$64</f>
        <v>1.0149999999999999</v>
      </c>
      <c r="F309" s="38">
        <f>'Fiscal Forecasts'!F$64</f>
        <v>2</v>
      </c>
      <c r="G309" s="38">
        <f>'Fiscal Forecasts'!G$64</f>
        <v>2.5649999999999999</v>
      </c>
      <c r="H309" s="38">
        <f>'Fiscal Forecasts'!H$64</f>
        <v>2.4849999999999999</v>
      </c>
      <c r="I309" s="38">
        <f>'Fiscal Forecasts'!I$64</f>
        <v>2.133</v>
      </c>
      <c r="J309" s="141">
        <f>'Fiscal Forecasts'!J$64</f>
        <v>2.08</v>
      </c>
      <c r="K309" s="48">
        <f t="shared" ref="K309:T309" si="185">J$309</f>
        <v>2.08</v>
      </c>
      <c r="L309" s="48">
        <f t="shared" si="185"/>
        <v>2.08</v>
      </c>
      <c r="M309" s="48">
        <f t="shared" si="185"/>
        <v>2.08</v>
      </c>
      <c r="N309" s="48">
        <f t="shared" si="185"/>
        <v>2.08</v>
      </c>
      <c r="O309" s="48">
        <f t="shared" si="185"/>
        <v>2.08</v>
      </c>
      <c r="P309" s="48">
        <f t="shared" si="185"/>
        <v>2.08</v>
      </c>
      <c r="Q309" s="48">
        <f t="shared" si="185"/>
        <v>2.08</v>
      </c>
      <c r="R309" s="48">
        <f t="shared" si="185"/>
        <v>2.08</v>
      </c>
      <c r="S309" s="48">
        <f t="shared" si="185"/>
        <v>2.08</v>
      </c>
      <c r="T309" s="146">
        <f t="shared" si="185"/>
        <v>2.08</v>
      </c>
    </row>
    <row r="310" spans="1:20" ht="15">
      <c r="A310" s="2" t="s">
        <v>468</v>
      </c>
      <c r="B310" s="4" t="str">
        <f>$B$39</f>
        <v>From Fiscal Forecasts</v>
      </c>
      <c r="D310" s="39">
        <f>'Fiscal Forecasts'!D$47</f>
        <v>2.02</v>
      </c>
      <c r="E310" s="142">
        <f>'Fiscal Forecasts'!E$47</f>
        <v>2.3929999999999998</v>
      </c>
      <c r="F310" s="38">
        <f>'Fiscal Forecasts'!F$47</f>
        <v>3.4980000000000002</v>
      </c>
      <c r="G310" s="38">
        <f>'Fiscal Forecasts'!G$47</f>
        <v>4.3890000000000002</v>
      </c>
      <c r="H310" s="38">
        <f>'Fiscal Forecasts'!H$47</f>
        <v>4.4829999999999997</v>
      </c>
      <c r="I310" s="38">
        <f>'Fiscal Forecasts'!I$47</f>
        <v>4.5529999999999999</v>
      </c>
      <c r="J310" s="141">
        <f>'Fiscal Forecasts'!J$47</f>
        <v>4.6470000000000002</v>
      </c>
      <c r="K310" s="7">
        <f ca="1">SUM(K$309,IF(K$6=OFFSET(Assumptions!$B$8,0,$C$1),AVERAGE((H$310-H$309)/H$13,(I$310-I$309)/I$13,(J$310-J$309)/J$13),(J$310-J$309)/J$13)*K$13)</f>
        <v>4.638331415537789</v>
      </c>
      <c r="L310" s="7">
        <f ca="1">SUM(L$309,IF(L$6=OFFSET(Assumptions!$B$8,0,$C$1),AVERAGE((I$310-I$309)/I$13,(J$310-J$309)/J$13,(K$310-K$309)/K$13),(K$310-K$309)/K$13)*L$13)</f>
        <v>4.7475431163702115</v>
      </c>
      <c r="M310" s="7">
        <f ca="1">SUM(M$309,IF(M$6=OFFSET(Assumptions!$B$8,0,$C$1),AVERAGE((J$310-J$309)/J$13,(K$310-K$309)/K$13,(L$310-L$309)/L$13),(L$310-L$309)/L$13)*M$13)</f>
        <v>4.8579796701715612</v>
      </c>
      <c r="N310" s="7">
        <f ca="1">SUM(N$309,IF(N$6=OFFSET(Assumptions!$B$8,0,$C$1),AVERAGE((K$310-K$309)/K$13,(L$310-L$309)/L$13,(M$310-M$309)/M$13),(M$310-M$309)/M$13)*N$13)</f>
        <v>4.9736238922057137</v>
      </c>
      <c r="O310" s="7">
        <f ca="1">SUM(O$309,IF(O$6=OFFSET(Assumptions!$B$8,0,$C$1),AVERAGE((L$310-L$309)/L$13,(M$310-M$309)/M$13,(N$310-N$309)/N$13),(N$310-N$309)/N$13)*O$13)</f>
        <v>5.0917728283991277</v>
      </c>
      <c r="P310" s="7">
        <f ca="1">SUM(P$309,IF(P$6=OFFSET(Assumptions!$B$8,0,$C$1),AVERAGE((M$310-M$309)/M$13,(N$310-N$309)/N$13,(O$310-O$309)/O$13),(O$310-O$309)/O$13)*P$13)</f>
        <v>5.2124127442406722</v>
      </c>
      <c r="Q310" s="7">
        <f ca="1">SUM(Q$309,IF(Q$6=OFFSET(Assumptions!$B$8,0,$C$1),AVERAGE((N$310-N$309)/N$13,(O$310-O$309)/O$13,(P$310-P$309)/P$13),(P$310-P$309)/P$13)*Q$13)</f>
        <v>5.3355347623087326</v>
      </c>
      <c r="R310" s="7">
        <f ca="1">SUM(R$309,IF(R$6=OFFSET(Assumptions!$B$8,0,$C$1),AVERAGE((O$310-O$309)/O$13,(P$310-P$309)/P$13,(Q$310-Q$309)/Q$13),(Q$310-Q$309)/Q$13)*R$13)</f>
        <v>5.4608072581993241</v>
      </c>
      <c r="S310" s="7">
        <f ca="1">SUM(S$309,IF(S$6=OFFSET(Assumptions!$B$8,0,$C$1),AVERAGE((P$310-P$309)/P$13,(Q$310-Q$309)/Q$13,(R$310-R$309)/R$13),(R$310-R$309)/R$13)*S$13)</f>
        <v>5.5881302896603593</v>
      </c>
      <c r="T310" s="134">
        <f ca="1">SUM(T$309,IF(T$6=OFFSET(Assumptions!$B$8,0,$C$1),AVERAGE((Q$310-Q$309)/Q$13,(R$310-R$309)/R$13,(S$310-S$309)/S$13),(S$310-S$309)/S$13)*T$13)</f>
        <v>5.7192282208355856</v>
      </c>
    </row>
    <row r="311" spans="1:20" ht="15">
      <c r="A311" s="2"/>
      <c r="B311" s="4"/>
      <c r="D311" s="39"/>
      <c r="E311" s="142"/>
      <c r="F311" s="38"/>
      <c r="G311" s="38"/>
      <c r="H311" s="38"/>
      <c r="I311" s="38"/>
      <c r="J311" s="141"/>
      <c r="K311" s="7"/>
      <c r="L311" s="7"/>
      <c r="M311" s="7"/>
      <c r="N311" s="7"/>
      <c r="O311" s="7"/>
      <c r="P311" s="7"/>
      <c r="Q311" s="7"/>
      <c r="R311" s="7"/>
      <c r="S311" s="7"/>
      <c r="T311" s="134"/>
    </row>
    <row r="312" spans="1:20" ht="15">
      <c r="A312" s="18" t="s">
        <v>514</v>
      </c>
      <c r="B312" s="4"/>
      <c r="D312" s="39"/>
      <c r="E312" s="142"/>
      <c r="F312" s="38"/>
      <c r="G312" s="38"/>
      <c r="H312" s="38"/>
      <c r="I312" s="38"/>
      <c r="J312" s="141"/>
      <c r="K312" s="141"/>
      <c r="L312" s="7"/>
      <c r="M312" s="7"/>
      <c r="N312" s="7"/>
      <c r="O312" s="7"/>
      <c r="P312" s="7"/>
      <c r="Q312" s="7"/>
      <c r="R312" s="7"/>
      <c r="S312" s="7"/>
      <c r="T312" s="134"/>
    </row>
    <row r="313" spans="1:20">
      <c r="A313" s="1" t="s">
        <v>970</v>
      </c>
      <c r="B313" s="4" t="str">
        <f>$B$39</f>
        <v>From Fiscal Forecasts</v>
      </c>
      <c r="D313" s="49">
        <f>'Fiscal Forecasts'!D$363</f>
        <v>0.54300000000000004</v>
      </c>
      <c r="E313" s="49">
        <f>'Fiscal Forecasts'!E$363</f>
        <v>0.65</v>
      </c>
      <c r="F313" s="15">
        <f>'Fiscal Forecasts'!F$363</f>
        <v>0.85599999999999998</v>
      </c>
      <c r="G313" s="15">
        <f>'Fiscal Forecasts'!G$363</f>
        <v>0.84399999999999997</v>
      </c>
      <c r="H313" s="15">
        <f>'Fiscal Forecasts'!H$363</f>
        <v>0.84199999999999997</v>
      </c>
      <c r="I313" s="15">
        <f>'Fiscal Forecasts'!I$363</f>
        <v>0.83799999999999997</v>
      </c>
      <c r="J313" s="176">
        <f>'Fiscal Forecasts'!J$363</f>
        <v>0.80200000000000005</v>
      </c>
      <c r="K313" s="171">
        <f ca="1">J$313*(1+K$30)</f>
        <v>0.81866772603706983</v>
      </c>
      <c r="L313" s="171">
        <f t="shared" ref="L313:T313" ca="1" si="186">K$313*(1+L$30)</f>
        <v>0.83535438534687545</v>
      </c>
      <c r="M313" s="171">
        <f t="shared" ca="1" si="186"/>
        <v>0.85206147305381297</v>
      </c>
      <c r="N313" s="171">
        <f t="shared" ca="1" si="186"/>
        <v>0.86910270251488919</v>
      </c>
      <c r="O313" s="171">
        <f t="shared" ca="1" si="186"/>
        <v>0.88648475656518699</v>
      </c>
      <c r="P313" s="171">
        <f t="shared" ca="1" si="186"/>
        <v>0.90421445169649073</v>
      </c>
      <c r="Q313" s="171">
        <f t="shared" ca="1" si="186"/>
        <v>0.92229874073042051</v>
      </c>
      <c r="R313" s="171">
        <f t="shared" ca="1" si="186"/>
        <v>0.94074471554502892</v>
      </c>
      <c r="S313" s="171">
        <f t="shared" ca="1" si="186"/>
        <v>0.95955960985592947</v>
      </c>
      <c r="T313" s="171">
        <f t="shared" ca="1" si="186"/>
        <v>0.9787508020530481</v>
      </c>
    </row>
    <row r="314" spans="1:20">
      <c r="A314" s="1" t="s">
        <v>971</v>
      </c>
      <c r="B314" s="4" t="str">
        <f>$B$39</f>
        <v>From Fiscal Forecasts</v>
      </c>
      <c r="D314" s="14">
        <f>'Fiscal Forecasts'!D$65-D$313</f>
        <v>0.57599999999999996</v>
      </c>
      <c r="E314" s="175">
        <f>'Fiscal Forecasts'!E$65-E$313</f>
        <v>0.83500000000000008</v>
      </c>
      <c r="F314" s="15">
        <f>'Fiscal Forecasts'!F$65-F$313</f>
        <v>1.1779999999999999</v>
      </c>
      <c r="G314" s="15">
        <f>'Fiscal Forecasts'!G$65-G$313</f>
        <v>1.0739999999999998</v>
      </c>
      <c r="H314" s="15">
        <f>'Fiscal Forecasts'!H$65-H$313</f>
        <v>0.94499999999999995</v>
      </c>
      <c r="I314" s="15">
        <f>'Fiscal Forecasts'!I$65-I$313</f>
        <v>0.876</v>
      </c>
      <c r="J314" s="176">
        <f>'Fiscal Forecasts'!J$65-J$313</f>
        <v>0.74499999999999988</v>
      </c>
      <c r="K314" s="6">
        <f t="shared" ref="K314:T314" si="187">J$314</f>
        <v>0.74499999999999988</v>
      </c>
      <c r="L314" s="6">
        <f t="shared" si="187"/>
        <v>0.74499999999999988</v>
      </c>
      <c r="M314" s="6">
        <f t="shared" si="187"/>
        <v>0.74499999999999988</v>
      </c>
      <c r="N314" s="6">
        <f t="shared" si="187"/>
        <v>0.74499999999999988</v>
      </c>
      <c r="O314" s="6">
        <f t="shared" si="187"/>
        <v>0.74499999999999988</v>
      </c>
      <c r="P314" s="6">
        <f t="shared" si="187"/>
        <v>0.74499999999999988</v>
      </c>
      <c r="Q314" s="6">
        <f t="shared" si="187"/>
        <v>0.74499999999999988</v>
      </c>
      <c r="R314" s="104">
        <f t="shared" si="187"/>
        <v>0.74499999999999988</v>
      </c>
      <c r="S314" s="104">
        <f t="shared" si="187"/>
        <v>0.74499999999999988</v>
      </c>
      <c r="T314" s="171">
        <f t="shared" si="187"/>
        <v>0.74499999999999988</v>
      </c>
    </row>
    <row r="315" spans="1:20" ht="15">
      <c r="A315" s="2" t="s">
        <v>469</v>
      </c>
      <c r="B315" s="4"/>
      <c r="D315" s="34">
        <f t="shared" ref="D315:T315" si="188">SUM(D$313:D$314)</f>
        <v>1.119</v>
      </c>
      <c r="E315" s="138">
        <f t="shared" si="188"/>
        <v>1.4850000000000001</v>
      </c>
      <c r="F315" s="33">
        <f t="shared" si="188"/>
        <v>2.0339999999999998</v>
      </c>
      <c r="G315" s="33">
        <f t="shared" si="188"/>
        <v>1.9179999999999997</v>
      </c>
      <c r="H315" s="33">
        <f t="shared" si="188"/>
        <v>1.7869999999999999</v>
      </c>
      <c r="I315" s="33">
        <f t="shared" si="188"/>
        <v>1.714</v>
      </c>
      <c r="J315" s="137">
        <f t="shared" si="188"/>
        <v>1.5469999999999999</v>
      </c>
      <c r="K315" s="37">
        <f t="shared" ca="1" si="188"/>
        <v>1.5636677260370697</v>
      </c>
      <c r="L315" s="37">
        <f t="shared" ca="1" si="188"/>
        <v>1.5803543853468753</v>
      </c>
      <c r="M315" s="37">
        <f t="shared" ca="1" si="188"/>
        <v>1.5970614730538129</v>
      </c>
      <c r="N315" s="37">
        <f t="shared" ca="1" si="188"/>
        <v>1.6141027025148891</v>
      </c>
      <c r="O315" s="37">
        <f t="shared" ca="1" si="188"/>
        <v>1.6314847565651869</v>
      </c>
      <c r="P315" s="37">
        <f t="shared" ca="1" si="188"/>
        <v>1.6492144516964906</v>
      </c>
      <c r="Q315" s="37">
        <f t="shared" ca="1" si="188"/>
        <v>1.6672987407304203</v>
      </c>
      <c r="R315" s="37">
        <f t="shared" ca="1" si="188"/>
        <v>1.6857447155450287</v>
      </c>
      <c r="S315" s="37">
        <f t="shared" ca="1" si="188"/>
        <v>1.7045596098559295</v>
      </c>
      <c r="T315" s="140">
        <f t="shared" ca="1" si="188"/>
        <v>1.7237508020530479</v>
      </c>
    </row>
    <row r="316" spans="1:20" ht="15">
      <c r="A316" s="2" t="s">
        <v>470</v>
      </c>
      <c r="B316" s="4" t="str">
        <f>$B$39</f>
        <v>From Fiscal Forecasts</v>
      </c>
      <c r="D316" s="39">
        <f>'Fiscal Forecasts'!D$48</f>
        <v>1.1080000000000001</v>
      </c>
      <c r="E316" s="142">
        <f>'Fiscal Forecasts'!E$48</f>
        <v>1.472</v>
      </c>
      <c r="F316" s="38">
        <f>'Fiscal Forecasts'!F$48</f>
        <v>1.8819999999999999</v>
      </c>
      <c r="G316" s="38">
        <f>'Fiscal Forecasts'!G$48</f>
        <v>1.905</v>
      </c>
      <c r="H316" s="38">
        <f>'Fiscal Forecasts'!H$48</f>
        <v>1.774</v>
      </c>
      <c r="I316" s="38">
        <f>'Fiscal Forecasts'!I$48</f>
        <v>1.7010000000000001</v>
      </c>
      <c r="J316" s="141">
        <f>'Fiscal Forecasts'!J$48</f>
        <v>1.534</v>
      </c>
      <c r="K316" s="7">
        <f t="shared" ref="K316:T316" ca="1" si="189">K$315</f>
        <v>1.5636677260370697</v>
      </c>
      <c r="L316" s="7">
        <f t="shared" ca="1" si="189"/>
        <v>1.5803543853468753</v>
      </c>
      <c r="M316" s="7">
        <f t="shared" ca="1" si="189"/>
        <v>1.5970614730538129</v>
      </c>
      <c r="N316" s="7">
        <f t="shared" ca="1" si="189"/>
        <v>1.6141027025148891</v>
      </c>
      <c r="O316" s="7">
        <f t="shared" ca="1" si="189"/>
        <v>1.6314847565651869</v>
      </c>
      <c r="P316" s="7">
        <f t="shared" ca="1" si="189"/>
        <v>1.6492144516964906</v>
      </c>
      <c r="Q316" s="7">
        <f t="shared" ca="1" si="189"/>
        <v>1.6672987407304203</v>
      </c>
      <c r="R316" s="7">
        <f t="shared" ca="1" si="189"/>
        <v>1.6857447155450287</v>
      </c>
      <c r="S316" s="7">
        <f t="shared" ca="1" si="189"/>
        <v>1.7045596098559295</v>
      </c>
      <c r="T316" s="134">
        <f t="shared" ca="1" si="189"/>
        <v>1.7237508020530479</v>
      </c>
    </row>
    <row r="317" spans="1:20" ht="15">
      <c r="A317" s="2"/>
      <c r="B317" s="4"/>
      <c r="D317" s="39"/>
      <c r="E317" s="142"/>
      <c r="F317" s="38"/>
      <c r="G317" s="38"/>
      <c r="H317" s="38"/>
      <c r="I317" s="38"/>
      <c r="J317" s="141"/>
      <c r="K317" s="7"/>
      <c r="L317" s="7"/>
      <c r="M317" s="7"/>
      <c r="N317" s="7"/>
      <c r="O317" s="7"/>
      <c r="P317" s="7"/>
      <c r="Q317" s="7"/>
      <c r="R317" s="7"/>
      <c r="S317" s="7"/>
      <c r="T317" s="134"/>
    </row>
    <row r="318" spans="1:20" ht="15">
      <c r="A318" s="18" t="s">
        <v>515</v>
      </c>
      <c r="B318" s="4"/>
      <c r="D318" s="39"/>
      <c r="E318" s="142"/>
      <c r="F318" s="38"/>
      <c r="G318" s="38"/>
      <c r="H318" s="38"/>
      <c r="I318" s="38"/>
      <c r="J318" s="141"/>
      <c r="K318" s="7"/>
      <c r="L318" s="7"/>
      <c r="M318" s="7"/>
      <c r="N318" s="7"/>
      <c r="O318" s="7"/>
      <c r="P318" s="7"/>
      <c r="Q318" s="7"/>
      <c r="R318" s="7"/>
      <c r="S318" s="7"/>
      <c r="T318" s="134"/>
    </row>
    <row r="319" spans="1:20" ht="15">
      <c r="A319" s="2" t="s">
        <v>471</v>
      </c>
      <c r="B319" s="4" t="str">
        <f>$B$39</f>
        <v>From Fiscal Forecasts</v>
      </c>
      <c r="D319" s="39">
        <f>'Fiscal Forecasts'!D$67</f>
        <v>9.6000000000000002E-2</v>
      </c>
      <c r="E319" s="142">
        <f>'Fiscal Forecasts'!E$67</f>
        <v>6.3E-2</v>
      </c>
      <c r="F319" s="38">
        <f>'Fiscal Forecasts'!F$67</f>
        <v>0.67900000000000005</v>
      </c>
      <c r="G319" s="38">
        <f>'Fiscal Forecasts'!G$67</f>
        <v>0.214</v>
      </c>
      <c r="H319" s="38">
        <f>'Fiscal Forecasts'!H$67</f>
        <v>0.29799999999999999</v>
      </c>
      <c r="I319" s="38">
        <f>'Fiscal Forecasts'!I$67</f>
        <v>0.312</v>
      </c>
      <c r="J319" s="141">
        <f>'Fiscal Forecasts'!J$67</f>
        <v>0.312</v>
      </c>
      <c r="K319" s="7">
        <f ca="1">IF(K$6=OFFSET(Assumptions!$B$8,0,$C$1),0,J$319)</f>
        <v>0</v>
      </c>
      <c r="L319" s="7">
        <f ca="1">IF(L$6=OFFSET(Assumptions!$B$8,0,$C$1),0,K$319)</f>
        <v>0</v>
      </c>
      <c r="M319" s="7">
        <f ca="1">IF(M$6=OFFSET(Assumptions!$B$8,0,$C$1),0,L$319)</f>
        <v>0</v>
      </c>
      <c r="N319" s="7">
        <f ca="1">IF(N$6=OFFSET(Assumptions!$B$8,0,$C$1),0,M$319)</f>
        <v>0</v>
      </c>
      <c r="O319" s="7">
        <f ca="1">IF(O$6=OFFSET(Assumptions!$B$8,0,$C$1),0,N$319)</f>
        <v>0</v>
      </c>
      <c r="P319" s="7">
        <f ca="1">IF(P$6=OFFSET(Assumptions!$B$8,0,$C$1),0,O$319)</f>
        <v>0</v>
      </c>
      <c r="Q319" s="7">
        <f ca="1">IF(Q$6=OFFSET(Assumptions!$B$8,0,$C$1),0,P$319)</f>
        <v>0</v>
      </c>
      <c r="R319" s="7">
        <f ca="1">IF(R$6=OFFSET(Assumptions!$B$8,0,$C$1),0,Q$319)</f>
        <v>0</v>
      </c>
      <c r="S319" s="7">
        <f ca="1">IF(S$6=OFFSET(Assumptions!$B$8,0,$C$1),0,R$319)</f>
        <v>0</v>
      </c>
      <c r="T319" s="134">
        <f ca="1">IF(T$6=OFFSET(Assumptions!$B$8,0,$C$1),0,S$319)</f>
        <v>0</v>
      </c>
    </row>
    <row r="320" spans="1:20" ht="15">
      <c r="A320" s="2" t="s">
        <v>472</v>
      </c>
      <c r="B320" s="4" t="str">
        <f>$B$39</f>
        <v>From Fiscal Forecasts</v>
      </c>
      <c r="D320" s="39">
        <f>'Fiscal Forecasts'!D$50</f>
        <v>9.6000000000000002E-2</v>
      </c>
      <c r="E320" s="142">
        <f>'Fiscal Forecasts'!E$50</f>
        <v>6.3E-2</v>
      </c>
      <c r="F320" s="38">
        <f>'Fiscal Forecasts'!F$50</f>
        <v>0.67900000000000005</v>
      </c>
      <c r="G320" s="38">
        <f>'Fiscal Forecasts'!G$50</f>
        <v>0.214</v>
      </c>
      <c r="H320" s="38">
        <f>'Fiscal Forecasts'!H$50</f>
        <v>0.29799999999999999</v>
      </c>
      <c r="I320" s="38">
        <f>'Fiscal Forecasts'!I$50</f>
        <v>0.312</v>
      </c>
      <c r="J320" s="141">
        <f>'Fiscal Forecasts'!J$50</f>
        <v>0.312</v>
      </c>
      <c r="K320" s="7">
        <f ca="1">IF(K$6=OFFSET(Assumptions!$B$8,0,$C$1),0,J$320)</f>
        <v>0</v>
      </c>
      <c r="L320" s="7">
        <f ca="1">IF(L$6=OFFSET(Assumptions!$B$8,0,$C$1),0,K$320)</f>
        <v>0</v>
      </c>
      <c r="M320" s="7">
        <f ca="1">IF(M$6=OFFSET(Assumptions!$B$8,0,$C$1),0,L$320)</f>
        <v>0</v>
      </c>
      <c r="N320" s="7">
        <f ca="1">IF(N$6=OFFSET(Assumptions!$B$8,0,$C$1),0,M$320)</f>
        <v>0</v>
      </c>
      <c r="O320" s="7">
        <f ca="1">IF(O$6=OFFSET(Assumptions!$B$8,0,$C$1),0,N$320)</f>
        <v>0</v>
      </c>
      <c r="P320" s="7">
        <f ca="1">IF(P$6=OFFSET(Assumptions!$B$8,0,$C$1),0,O$320)</f>
        <v>0</v>
      </c>
      <c r="Q320" s="7">
        <f ca="1">IF(Q$6=OFFSET(Assumptions!$B$8,0,$C$1),0,P$320)</f>
        <v>0</v>
      </c>
      <c r="R320" s="7">
        <f ca="1">IF(R$6=OFFSET(Assumptions!$B$8,0,$C$1),0,Q$320)</f>
        <v>0</v>
      </c>
      <c r="S320" s="7">
        <f ca="1">IF(S$6=OFFSET(Assumptions!$B$8,0,$C$1),0,R$320)</f>
        <v>0</v>
      </c>
      <c r="T320" s="134">
        <f ca="1">IF(T$6=OFFSET(Assumptions!$B$8,0,$C$1),0,S$320)</f>
        <v>0</v>
      </c>
    </row>
    <row r="321" spans="1:20" ht="15">
      <c r="A321" s="2"/>
      <c r="B321" s="4"/>
      <c r="D321" s="39"/>
      <c r="E321" s="142"/>
      <c r="F321" s="38"/>
      <c r="G321" s="38"/>
      <c r="H321" s="38"/>
      <c r="I321" s="38"/>
      <c r="J321" s="141"/>
      <c r="K321" s="7"/>
      <c r="L321" s="7"/>
      <c r="M321" s="7"/>
      <c r="N321" s="7"/>
      <c r="O321" s="7"/>
      <c r="P321" s="7"/>
      <c r="Q321" s="7"/>
      <c r="R321" s="7"/>
      <c r="S321" s="7"/>
      <c r="T321" s="134"/>
    </row>
    <row r="322" spans="1:20" ht="15">
      <c r="A322" s="18" t="s">
        <v>946</v>
      </c>
      <c r="B322" s="4"/>
      <c r="D322" s="39"/>
      <c r="E322" s="142"/>
      <c r="F322" s="38"/>
      <c r="G322" s="38"/>
      <c r="H322" s="38"/>
      <c r="I322" s="38"/>
      <c r="J322" s="141"/>
      <c r="K322" s="7"/>
      <c r="L322" s="7"/>
      <c r="M322" s="7"/>
      <c r="N322" s="7"/>
      <c r="O322" s="7"/>
      <c r="P322" s="7"/>
      <c r="Q322" s="7"/>
      <c r="R322" s="7"/>
      <c r="S322" s="7"/>
      <c r="T322" s="134"/>
    </row>
    <row r="323" spans="1:20" ht="15">
      <c r="A323" s="2" t="s">
        <v>947</v>
      </c>
      <c r="B323" s="4"/>
      <c r="D323" s="39">
        <f t="shared" ref="D323:T323" si="190">SUM(D$188,D$256,D$264,D$274,D$279,D$283,D$296,D$301,D$305,D$309,D$315)</f>
        <v>50.608999999999995</v>
      </c>
      <c r="E323" s="142">
        <f t="shared" si="190"/>
        <v>57.669999999999995</v>
      </c>
      <c r="F323" s="38">
        <f t="shared" si="190"/>
        <v>66.410000000000011</v>
      </c>
      <c r="G323" s="38">
        <f t="shared" si="190"/>
        <v>68.39700000000002</v>
      </c>
      <c r="H323" s="38">
        <f t="shared" si="190"/>
        <v>64.507999999999996</v>
      </c>
      <c r="I323" s="38">
        <f t="shared" si="190"/>
        <v>62.841999999999992</v>
      </c>
      <c r="J323" s="141">
        <f t="shared" si="190"/>
        <v>62.23</v>
      </c>
      <c r="K323" s="48">
        <f t="shared" ca="1" si="190"/>
        <v>62.246667726037067</v>
      </c>
      <c r="L323" s="48">
        <f t="shared" ca="1" si="190"/>
        <v>62.263354385346872</v>
      </c>
      <c r="M323" s="48">
        <f t="shared" ca="1" si="190"/>
        <v>62.280061473053813</v>
      </c>
      <c r="N323" s="48">
        <f t="shared" ca="1" si="190"/>
        <v>62.297102702514891</v>
      </c>
      <c r="O323" s="48">
        <f t="shared" ca="1" si="190"/>
        <v>62.314484756565186</v>
      </c>
      <c r="P323" s="48">
        <f t="shared" ca="1" si="190"/>
        <v>62.332214451696487</v>
      </c>
      <c r="Q323" s="48">
        <f t="shared" ca="1" si="190"/>
        <v>62.350298740730423</v>
      </c>
      <c r="R323" s="48">
        <f t="shared" ca="1" si="190"/>
        <v>62.368744715545027</v>
      </c>
      <c r="S323" s="48">
        <f t="shared" ca="1" si="190"/>
        <v>62.387559609855927</v>
      </c>
      <c r="T323" s="146">
        <f t="shared" ca="1" si="190"/>
        <v>62.406750802053047</v>
      </c>
    </row>
    <row r="324" spans="1:20" ht="15">
      <c r="A324" s="2" t="s">
        <v>1002</v>
      </c>
      <c r="B324" s="4"/>
      <c r="D324" s="39">
        <f t="shared" ref="D324:T324" si="191">SUM(D$256,D$263,D$264,D$271,D$273,D$287,D$319)</f>
        <v>35.921999999999997</v>
      </c>
      <c r="E324" s="142">
        <f t="shared" si="191"/>
        <v>40.394000000000005</v>
      </c>
      <c r="F324" s="38">
        <f t="shared" si="191"/>
        <v>47.256999999999998</v>
      </c>
      <c r="G324" s="38">
        <f t="shared" si="191"/>
        <v>47.903999999999996</v>
      </c>
      <c r="H324" s="38">
        <f t="shared" si="191"/>
        <v>45.103000000000009</v>
      </c>
      <c r="I324" s="38">
        <f t="shared" si="191"/>
        <v>44.801000000000002</v>
      </c>
      <c r="J324" s="141">
        <f t="shared" si="191"/>
        <v>44.393999999999998</v>
      </c>
      <c r="K324" s="48">
        <f t="shared" ca="1" si="191"/>
        <v>44.582557025086466</v>
      </c>
      <c r="L324" s="48">
        <f t="shared" ca="1" si="191"/>
        <v>44.658023591084437</v>
      </c>
      <c r="M324" s="48">
        <f t="shared" ca="1" si="191"/>
        <v>44.779653168750244</v>
      </c>
      <c r="N324" s="48">
        <f t="shared" ca="1" si="191"/>
        <v>45.050182664568631</v>
      </c>
      <c r="O324" s="48">
        <f t="shared" ca="1" si="191"/>
        <v>45.323169073659599</v>
      </c>
      <c r="P324" s="48">
        <f t="shared" ca="1" si="191"/>
        <v>45.599382703561659</v>
      </c>
      <c r="Q324" s="48">
        <f t="shared" ca="1" si="191"/>
        <v>45.878913911038396</v>
      </c>
      <c r="R324" s="48">
        <f t="shared" ca="1" si="191"/>
        <v>46.161128986919238</v>
      </c>
      <c r="S324" s="48">
        <f t="shared" ca="1" si="191"/>
        <v>46.445761861417218</v>
      </c>
      <c r="T324" s="146">
        <f t="shared" ca="1" si="191"/>
        <v>46.735941400328642</v>
      </c>
    </row>
    <row r="325" spans="1:20" ht="15">
      <c r="A325" s="18" t="s">
        <v>473</v>
      </c>
      <c r="B325" s="4"/>
      <c r="D325" s="39"/>
      <c r="E325" s="142"/>
      <c r="F325" s="38"/>
      <c r="G325" s="38"/>
      <c r="H325" s="38"/>
      <c r="I325" s="38"/>
      <c r="J325" s="141"/>
      <c r="K325" s="7"/>
      <c r="L325" s="7"/>
      <c r="M325" s="7"/>
      <c r="N325" s="7"/>
      <c r="O325" s="7"/>
      <c r="P325" s="7"/>
      <c r="Q325" s="7"/>
      <c r="R325" s="7"/>
      <c r="S325" s="7"/>
      <c r="T325" s="134"/>
    </row>
    <row r="326" spans="1:20" ht="15">
      <c r="A326" s="2" t="s">
        <v>940</v>
      </c>
      <c r="B326" s="4" t="str">
        <f>$B$39</f>
        <v>From Fiscal Forecasts</v>
      </c>
      <c r="D326" s="39">
        <f>'Fiscal Forecasts'!D$202</f>
        <v>6.7160000000000002</v>
      </c>
      <c r="E326" s="142">
        <f>'Fiscal Forecasts'!E$202</f>
        <v>7.5140000000000002</v>
      </c>
      <c r="F326" s="38">
        <f>'Fiscal Forecasts'!F$202</f>
        <v>8.298</v>
      </c>
      <c r="G326" s="38">
        <f>'Fiscal Forecasts'!G$202</f>
        <v>8.2850000000000001</v>
      </c>
      <c r="H326" s="38">
        <f>'Fiscal Forecasts'!H$202</f>
        <v>8.077</v>
      </c>
      <c r="I326" s="38">
        <f>'Fiscal Forecasts'!I$202</f>
        <v>8.3840000000000003</v>
      </c>
      <c r="J326" s="141">
        <f>'Fiscal Forecasts'!J$202</f>
        <v>8.2620000000000005</v>
      </c>
      <c r="K326" s="7">
        <f ca="1">IF(K$6=OFFSET(Assumptions!$B$8,0,$C$1),AVERAGE(H$326/SUM(H$253-H$252,H$276-H$275,H$280-H$279,H$284-H$283,H$302-H$301,H$306-H$305,H$310-H$309,H$316-H$315),I$326/SUM(I$253-I$252,I$276-I$275,I$280-I$279,I$284-I$283,I$302-I$301,I$306-I$305,I$310-I$309,I$316-I$315),J$326/SUM(J$253-J$252,J$276-J$275,J$280-J$279,J$284-J$283,J$302-J$301,J$306-J$305,J$310-J$309,J$316-J$315)),J$326/SUM(J$253-J$252,J$276-J$275,J$280-J$279,J$284-J$283,J$302-J$301,J$306-J$305,J$310-J$309,J$316-J$315))*SUM(K$253-K$252,K$276-K$275,K$280-K$279,K$284-K$283,K$302-K$301,K$306-K$305,K$310-K$309,K$316-K$315)</f>
        <v>9.0384024504632876</v>
      </c>
      <c r="L326" s="7">
        <f ca="1">IF(L$6=OFFSET(Assumptions!$B$8,0,$C$1),AVERAGE(I$326/SUM(I$253-I$252,I$276-I$275,I$280-I$279,I$284-I$283,I$302-I$301,I$306-I$305,I$310-I$309,I$316-I$315),J$326/SUM(J$253-J$252,J$276-J$275,J$280-J$279,J$284-J$283,J$302-J$301,J$306-J$305,J$310-J$309,J$316-J$315),K$326/SUM(K$253-K$252,K$276-K$275,K$280-K$279,K$284-K$283,K$302-K$301,K$306-K$305,K$310-K$309,K$316-K$315)),K$326/SUM(K$253-K$252,K$276-K$275,K$280-K$279,K$284-K$283,K$302-K$301,K$306-K$305,K$310-K$309,K$316-K$315))*SUM(L$253-L$252,L$276-L$275,L$280-L$279,L$284-L$283,L$302-L$301,L$306-L$305,L$310-L$309,L$316-L$315)</f>
        <v>9.402168388516337</v>
      </c>
      <c r="M326" s="7">
        <f ca="1">IF(M$6=OFFSET(Assumptions!$B$8,0,$C$1),AVERAGE(J$326/SUM(J$253-J$252,J$276-J$275,J$280-J$279,J$284-J$283,J$302-J$301,J$306-J$305,J$310-J$309,J$316-J$315),K$326/SUM(K$253-K$252,K$276-K$275,K$280-K$279,K$284-K$283,K$302-K$301,K$306-K$305,K$310-K$309,K$316-K$315),L$326/SUM(L$253-L$252,L$276-L$275,L$280-L$279,L$284-L$283,L$302-L$301,L$306-L$305,L$310-L$309,L$316-L$315)),L$326/SUM(L$253-L$252,L$276-L$275,L$280-L$279,L$284-L$283,L$302-L$301,L$306-L$305,L$310-L$309,L$316-L$315))*SUM(M$253-M$252,M$276-M$275,M$280-M$279,M$284-M$283,M$302-M$301,M$306-M$305,M$310-M$309,M$316-M$315)</f>
        <v>9.7693120667626907</v>
      </c>
      <c r="N326" s="7">
        <f ca="1">IF(N$6=OFFSET(Assumptions!$B$8,0,$C$1),AVERAGE(K$326/SUM(K$253-K$252,K$276-K$275,K$280-K$279,K$284-K$283,K$302-K$301,K$306-K$305,K$310-K$309,K$316-K$315),L$326/SUM(L$253-L$252,L$276-L$275,L$280-L$279,L$284-L$283,L$302-L$301,L$306-L$305,L$310-L$309,L$316-L$315),M$326/SUM(M$253-M$252,M$276-M$275,M$280-M$279,M$284-M$283,M$302-M$301,M$306-M$305,M$310-M$309,M$316-M$315)),M$326/SUM(M$253-M$252,M$276-M$275,M$280-M$279,M$284-M$283,M$302-M$301,M$306-M$305,M$310-M$309,M$316-M$315))*SUM(N$253-N$252,N$276-N$275,N$280-N$279,N$284-N$283,N$302-N$301,N$306-N$305,N$310-N$309,N$316-N$315)</f>
        <v>10.152511376389624</v>
      </c>
      <c r="O326" s="7">
        <f ca="1">IF(O$6=OFFSET(Assumptions!$B$8,0,$C$1),AVERAGE(L$326/SUM(L$253-L$252,L$276-L$275,L$280-L$279,L$284-L$283,L$302-L$301,L$306-L$305,L$310-L$309,L$316-L$315),M$326/SUM(M$253-M$252,M$276-M$275,M$280-M$279,M$284-M$283,M$302-M$301,M$306-M$305,M$310-M$309,M$316-M$315),N$326/SUM(N$253-N$252,N$276-N$275,N$280-N$279,N$284-N$283,N$302-N$301,N$306-N$305,N$310-N$309,N$316-N$315)),N$326/SUM(N$253-N$252,N$276-N$275,N$280-N$279,N$284-N$283,N$302-N$301,N$306-N$305,N$310-N$309,N$316-N$315))*SUM(O$253-O$252,O$276-O$275,O$280-O$279,O$284-O$283,O$302-O$301,O$306-O$305,O$310-O$309,O$316-O$315)</f>
        <v>10.544167580578479</v>
      </c>
      <c r="P326" s="7">
        <f ca="1">IF(P$6=OFFSET(Assumptions!$B$8,0,$C$1),AVERAGE(M$326/SUM(M$253-M$252,M$276-M$275,M$280-M$279,M$284-M$283,M$302-M$301,M$306-M$305,M$310-M$309,M$316-M$315),N$326/SUM(N$253-N$252,N$276-N$275,N$280-N$279,N$284-N$283,N$302-N$301,N$306-N$305,N$310-N$309,N$316-N$315),O$326/SUM(O$253-O$252,O$276-O$275,O$280-O$279,O$284-O$283,O$302-O$301,O$306-O$305,O$310-O$309,O$316-O$315)),O$326/SUM(O$253-O$252,O$276-O$275,O$280-O$279,O$284-O$283,O$302-O$301,O$306-O$305,O$310-O$309,O$316-O$315))*SUM(P$253-P$252,P$276-P$275,P$280-P$279,P$284-P$283,P$302-P$301,P$306-P$305,P$310-P$309,P$316-P$315)</f>
        <v>10.943884581315075</v>
      </c>
      <c r="Q326" s="7">
        <f ca="1">IF(Q$6=OFFSET(Assumptions!$B$8,0,$C$1),AVERAGE(N$326/SUM(N$253-N$252,N$276-N$275,N$280-N$279,N$284-N$283,N$302-N$301,N$306-N$305,N$310-N$309,N$316-N$315),O$326/SUM(O$253-O$252,O$276-O$275,O$280-O$279,O$284-O$283,O$302-O$301,O$306-O$305,O$310-O$309,O$316-O$315),P$326/SUM(P$253-P$252,P$276-P$275,P$280-P$279,P$284-P$283,P$302-P$301,P$306-P$305,P$310-P$309,P$316-P$315)),P$326/SUM(P$253-P$252,P$276-P$275,P$280-P$279,P$284-P$283,P$302-P$301,P$306-P$305,P$310-P$309,P$316-P$315))*SUM(Q$253-Q$252,Q$276-Q$275,Q$280-Q$279,Q$284-Q$283,Q$302-Q$301,Q$306-Q$305,Q$310-Q$309,Q$316-Q$315)</f>
        <v>11.351866395776117</v>
      </c>
      <c r="R326" s="7">
        <f ca="1">IF(R$6=OFFSET(Assumptions!$B$8,0,$C$1),AVERAGE(O$326/SUM(O$253-O$252,O$276-O$275,O$280-O$279,O$284-O$283,O$302-O$301,O$306-O$305,O$310-O$309,O$316-O$315),P$326/SUM(P$253-P$252,P$276-P$275,P$280-P$279,P$284-P$283,P$302-P$301,P$306-P$305,P$310-P$309,P$316-P$315),Q$326/SUM(Q$253-Q$252,Q$276-Q$275,Q$280-Q$279,Q$284-Q$283,Q$302-Q$301,Q$306-Q$305,Q$310-Q$309,Q$316-Q$315)),Q$326/SUM(Q$253-Q$252,Q$276-Q$275,Q$280-Q$279,Q$284-Q$283,Q$302-Q$301,Q$306-Q$305,Q$310-Q$309,Q$316-Q$315))*SUM(R$253-R$252,R$276-R$275,R$280-R$279,R$284-R$283,R$302-R$301,R$306-R$305,R$310-R$309,R$316-R$315)</f>
        <v>11.767008793081773</v>
      </c>
      <c r="S326" s="7">
        <f ca="1">IF(S$6=OFFSET(Assumptions!$B$8,0,$C$1),AVERAGE(P$326/SUM(P$253-P$252,P$276-P$275,P$280-P$279,P$284-P$283,P$302-P$301,P$306-P$305,P$310-P$309,P$316-P$315),Q$326/SUM(Q$253-Q$252,Q$276-Q$275,Q$280-Q$279,Q$284-Q$283,Q$302-Q$301,Q$306-Q$305,Q$310-Q$309,Q$316-Q$315),R$326/SUM(R$253-R$252,R$276-R$275,R$280-R$279,R$284-R$283,R$302-R$301,R$306-R$305,R$310-R$309,R$316-R$315)),R$326/SUM(R$253-R$252,R$276-R$275,R$280-R$279,R$284-R$283,R$302-R$301,R$306-R$305,R$310-R$309,R$316-R$315))*SUM(S$253-S$252,S$276-S$275,S$280-S$279,S$284-S$283,S$302-S$301,S$306-S$305,S$310-S$309,S$316-S$315)</f>
        <v>12.188978989155759</v>
      </c>
      <c r="T326" s="134">
        <f ca="1">IF(T$6=OFFSET(Assumptions!$B$8,0,$C$1),AVERAGE(Q$326/SUM(Q$253-Q$252,Q$276-Q$275,Q$280-Q$279,Q$284-Q$283,Q$302-Q$301,Q$306-Q$305,Q$310-Q$309,Q$316-Q$315),R$326/SUM(R$253-R$252,R$276-R$275,R$280-R$279,R$284-R$283,R$302-R$301,R$306-R$305,R$310-R$309,R$316-R$315),S$326/SUM(S$253-S$252,S$276-S$275,S$280-S$279,S$284-S$283,S$302-S$301,S$306-S$305,S$310-S$309,S$316-S$315)),S$326/SUM(S$253-S$252,S$276-S$275,S$280-S$279,S$284-S$283,S$302-S$301,S$306-S$305,S$310-S$309,S$316-S$315))*SUM(T$253-T$252,T$276-T$275,T$280-T$279,T$284-T$283,T$302-T$301,T$306-T$305,T$310-T$309,T$316-T$315)</f>
        <v>12.623401920565856</v>
      </c>
    </row>
    <row r="327" spans="1:20" ht="15">
      <c r="A327" s="2" t="s">
        <v>474</v>
      </c>
      <c r="B327" s="4" t="str">
        <f>$B$39</f>
        <v>From Fiscal Forecasts</v>
      </c>
      <c r="D327" s="39">
        <f>'Fiscal Forecasts'!D$203</f>
        <v>8.64</v>
      </c>
      <c r="E327" s="142">
        <f>'Fiscal Forecasts'!E$203</f>
        <v>8.3070000000000004</v>
      </c>
      <c r="F327" s="38">
        <f>'Fiscal Forecasts'!F$203</f>
        <v>8.9169999999999998</v>
      </c>
      <c r="G327" s="38">
        <f>'Fiscal Forecasts'!G$203</f>
        <v>7.8719999999999999</v>
      </c>
      <c r="H327" s="38">
        <f>'Fiscal Forecasts'!H$203</f>
        <v>7.827</v>
      </c>
      <c r="I327" s="38">
        <f>'Fiscal Forecasts'!I$203</f>
        <v>8.0129999999999999</v>
      </c>
      <c r="J327" s="141">
        <f>'Fiscal Forecasts'!J$203</f>
        <v>7.9850000000000003</v>
      </c>
      <c r="K327" s="7">
        <f ca="1">IF(K$6=OFFSET(Assumptions!$B$8,0,$C$1),AVERAGE(H$327/(H$298-H$297),I$327/(I$298-I$297),J$327/(J$298-J$297)),J$327/(J$298-J$297))*(K$298-K$297)</f>
        <v>8.7613412544366085</v>
      </c>
      <c r="L327" s="7">
        <f ca="1">IF(L$6=OFFSET(Assumptions!$B$8,0,$C$1),AVERAGE(I$327/(I$298-I$297),J$327/(J$298-J$297),K$327/(K$298-K$297)),K$327/(K$298-K$297))*(L$298-L$297)</f>
        <v>9.1353510383758625</v>
      </c>
      <c r="M327" s="7">
        <f ca="1">IF(M$6=OFFSET(Assumptions!$B$8,0,$C$1),AVERAGE(J$327/(J$298-J$297),K$327/(K$298-K$297),L$327/(L$298-L$297)),L$327/(L$298-L$297))*(M$298-M$297)</f>
        <v>9.5135554918493686</v>
      </c>
      <c r="N327" s="7">
        <f ca="1">IF(N$6=OFFSET(Assumptions!$B$8,0,$C$1),AVERAGE(K$327/(K$298-K$297),L$327/(L$298-L$297),M$327/(M$298-M$297)),M$327/(M$298-M$297))*(N$298-N$297)</f>
        <v>9.9095942877580931</v>
      </c>
      <c r="O327" s="7">
        <f ca="1">IF(O$6=OFFSET(Assumptions!$B$8,0,$C$1),AVERAGE(L$327/(L$298-L$297),M$327/(M$298-M$297),N$327/(N$298-N$297)),N$327/(N$298-N$297))*(O$298-O$297)</f>
        <v>10.314210805599497</v>
      </c>
      <c r="P327" s="7">
        <f ca="1">IF(P$6=OFFSET(Assumptions!$B$8,0,$C$1),AVERAGE(M$327/(M$298-M$297),N$327/(N$298-N$297),O$327/(O$298-O$297)),O$327/(O$298-O$297))*(P$298-P$297)</f>
        <v>10.72735800974001</v>
      </c>
      <c r="Q327" s="7">
        <f ca="1">IF(Q$6=OFFSET(Assumptions!$B$8,0,$C$1),AVERAGE(N$327/(N$298-N$297),O$327/(O$298-O$297),P$327/(P$298-P$297)),P$327/(P$298-P$297))*(Q$298-Q$297)</f>
        <v>11.149005498285755</v>
      </c>
      <c r="R327" s="7">
        <f ca="1">IF(R$6=OFFSET(Assumptions!$B$8,0,$C$1),AVERAGE(O$327/(O$298-O$297),P$327/(P$298-P$297),Q$327/(Q$298-Q$297)),Q$327/(Q$298-Q$297))*(R$298-R$297)</f>
        <v>11.578017579999086</v>
      </c>
      <c r="S327" s="7">
        <f ca="1">IF(S$6=OFFSET(Assumptions!$B$8,0,$C$1),AVERAGE(P$327/(P$298-P$297),Q$327/(Q$298-Q$297),R$327/(R$298-R$297)),R$327/(R$298-R$297))*(S$298-S$297)</f>
        <v>12.014051989538245</v>
      </c>
      <c r="T327" s="134">
        <f ca="1">IF(T$6=OFFSET(Assumptions!$B$8,0,$C$1),AVERAGE(Q$327/(Q$298-Q$297),R$327/(R$298-R$297),S$327/(S$298-S$297)),S$327/(S$298-S$297))*(T$298-T$297)</f>
        <v>12.463014037926865</v>
      </c>
    </row>
    <row r="328" spans="1:20" ht="15">
      <c r="A328" s="2" t="s">
        <v>475</v>
      </c>
      <c r="B328" s="4" t="str">
        <f>$B$39</f>
        <v>From Fiscal Forecasts</v>
      </c>
      <c r="D328" s="39">
        <f>'Fiscal Forecasts'!D$204</f>
        <v>-3.629</v>
      </c>
      <c r="E328" s="142">
        <f>'Fiscal Forecasts'!E$204</f>
        <v>-3.7549999999999999</v>
      </c>
      <c r="F328" s="38">
        <f>'Fiscal Forecasts'!F$204</f>
        <v>-5.6289999999999996</v>
      </c>
      <c r="G328" s="38">
        <f>'Fiscal Forecasts'!G$204</f>
        <v>-4.0720000000000001</v>
      </c>
      <c r="H328" s="38">
        <f>'Fiscal Forecasts'!H$204</f>
        <v>-3.6640000000000001</v>
      </c>
      <c r="I328" s="38">
        <f>'Fiscal Forecasts'!I$204</f>
        <v>-3.6560000000000001</v>
      </c>
      <c r="J328" s="141">
        <f>'Fiscal Forecasts'!J$204</f>
        <v>-3.37</v>
      </c>
      <c r="K328" s="7">
        <f t="shared" ref="K328:T328" ca="1" si="192">SUM(K$253-K$252,K$276-K$275,K$280-K$279,K$284-K$283,K$298-K$297,K$302-K$301,K$306-K$305,K$310-K$309,K$316-K$315,-K$326,-K$327)</f>
        <v>-3.921020795815874</v>
      </c>
      <c r="L328" s="7">
        <f t="shared" ca="1" si="192"/>
        <v>-4.0819664056316398</v>
      </c>
      <c r="M328" s="7">
        <f t="shared" ca="1" si="192"/>
        <v>-4.2445123225807198</v>
      </c>
      <c r="N328" s="7">
        <f t="shared" ca="1" si="192"/>
        <v>-4.4143564742410817</v>
      </c>
      <c r="O328" s="7">
        <f t="shared" ca="1" si="192"/>
        <v>-4.587925112800578</v>
      </c>
      <c r="P328" s="7">
        <f t="shared" ca="1" si="192"/>
        <v>-4.7650958117969164</v>
      </c>
      <c r="Q328" s="7">
        <f t="shared" ca="1" si="192"/>
        <v>-4.9459236180869137</v>
      </c>
      <c r="R328" s="7">
        <f t="shared" ca="1" si="192"/>
        <v>-5.1299199192300264</v>
      </c>
      <c r="S328" s="7">
        <f t="shared" ca="1" si="192"/>
        <v>-5.3169374612029774</v>
      </c>
      <c r="T328" s="134">
        <f t="shared" ca="1" si="192"/>
        <v>-5.5094828433778442</v>
      </c>
    </row>
    <row r="329" spans="1:20" ht="15">
      <c r="A329" s="2"/>
      <c r="B329" s="4"/>
      <c r="D329" s="39"/>
      <c r="E329" s="142"/>
      <c r="F329" s="38"/>
      <c r="G329" s="38"/>
      <c r="H329" s="38"/>
      <c r="I329" s="38"/>
      <c r="J329" s="141"/>
      <c r="K329" s="7"/>
      <c r="L329" s="7"/>
      <c r="M329" s="7"/>
      <c r="N329" s="7"/>
      <c r="O329" s="7"/>
      <c r="P329" s="7"/>
      <c r="Q329" s="7"/>
      <c r="R329" s="7"/>
      <c r="S329" s="7"/>
      <c r="T329" s="134"/>
    </row>
    <row r="330" spans="1:20" ht="15">
      <c r="A330" s="18" t="s">
        <v>476</v>
      </c>
      <c r="B330" s="4"/>
      <c r="D330" s="39"/>
      <c r="E330" s="142"/>
      <c r="F330" s="38"/>
      <c r="G330" s="38"/>
      <c r="H330" s="38"/>
      <c r="I330" s="38"/>
      <c r="J330" s="141"/>
      <c r="K330" s="7"/>
      <c r="L330" s="7"/>
      <c r="M330" s="7"/>
      <c r="N330" s="7"/>
      <c r="O330" s="7"/>
      <c r="P330" s="7"/>
      <c r="Q330" s="7"/>
      <c r="R330" s="7"/>
      <c r="S330" s="7"/>
      <c r="T330" s="134"/>
    </row>
    <row r="331" spans="1:20">
      <c r="A331" s="1" t="s">
        <v>949</v>
      </c>
      <c r="B331" s="4"/>
      <c r="D331" s="49">
        <f t="shared" ref="D331:T331" si="193">D$378</f>
        <v>1.9550000000000001</v>
      </c>
      <c r="E331" s="49">
        <f t="shared" si="193"/>
        <v>1.7000000000000001E-2</v>
      </c>
      <c r="F331" s="15">
        <f t="shared" si="193"/>
        <v>9.0579999999999998</v>
      </c>
      <c r="G331" s="15">
        <f t="shared" si="193"/>
        <v>3.5139999999999998</v>
      </c>
      <c r="H331" s="15">
        <f t="shared" si="193"/>
        <v>3.9049999999999998</v>
      </c>
      <c r="I331" s="15">
        <f t="shared" si="193"/>
        <v>4.218</v>
      </c>
      <c r="J331" s="176">
        <f t="shared" si="193"/>
        <v>4.5860000000000003</v>
      </c>
      <c r="K331" s="6">
        <f t="shared" ca="1" si="193"/>
        <v>4.9988572077473217</v>
      </c>
      <c r="L331" s="6">
        <f t="shared" ca="1" si="193"/>
        <v>5.3983004293355332</v>
      </c>
      <c r="M331" s="6">
        <f t="shared" ca="1" si="193"/>
        <v>5.8043046482674194</v>
      </c>
      <c r="N331" s="6">
        <f t="shared" ca="1" si="193"/>
        <v>6.2179090757692359</v>
      </c>
      <c r="O331" s="6">
        <f t="shared" ca="1" si="193"/>
        <v>6.6417384942001227</v>
      </c>
      <c r="P331" s="6">
        <f t="shared" ca="1" si="193"/>
        <v>7.0779550113846641</v>
      </c>
      <c r="Q331" s="6">
        <f t="shared" ca="1" si="193"/>
        <v>7.5276749941617886</v>
      </c>
      <c r="R331" s="104">
        <f t="shared" ca="1" si="193"/>
        <v>7.9903701001665057</v>
      </c>
      <c r="S331" s="104">
        <f t="shared" ca="1" si="193"/>
        <v>8.4646329695725697</v>
      </c>
      <c r="T331" s="171">
        <f t="shared" ca="1" si="193"/>
        <v>8.9504471602911924</v>
      </c>
    </row>
    <row r="332" spans="1:20">
      <c r="A332" s="1" t="s">
        <v>950</v>
      </c>
      <c r="B332" s="4" t="str">
        <f>$B$39</f>
        <v>From Fiscal Forecasts</v>
      </c>
      <c r="D332" s="14">
        <f>SUM('Fiscal Forecasts'!D$287,'Fiscal Forecasts'!D$293,-'Fiscal Forecasts'!D$347)</f>
        <v>1.2330000000000001</v>
      </c>
      <c r="E332" s="175">
        <f>SUM('Fiscal Forecasts'!E$287,'Fiscal Forecasts'!E$293,-'Fiscal Forecasts'!E$347)</f>
        <v>-3.9489999999999994</v>
      </c>
      <c r="F332" s="176">
        <f>SUM('Fiscal Forecasts'!F$287,'Fiscal Forecasts'!F$293,-'Fiscal Forecasts'!F$347)</f>
        <v>-4.8319999999999999</v>
      </c>
      <c r="G332" s="176">
        <f>SUM('Fiscal Forecasts'!G$287,'Fiscal Forecasts'!G$293,-'Fiscal Forecasts'!G$347)</f>
        <v>-0.71199999999999974</v>
      </c>
      <c r="H332" s="176">
        <f>SUM('Fiscal Forecasts'!H$287,'Fiscal Forecasts'!H$293,-'Fiscal Forecasts'!H$347)</f>
        <v>8.1000000000000405E-2</v>
      </c>
      <c r="I332" s="176">
        <f>SUM('Fiscal Forecasts'!I$287,'Fiscal Forecasts'!I$293,-'Fiscal Forecasts'!I$347)</f>
        <v>0.10299999999999976</v>
      </c>
      <c r="J332" s="176">
        <f>SUM('Fiscal Forecasts'!J$287,'Fiscal Forecasts'!J$293,-'Fiscal Forecasts'!J$347)</f>
        <v>9.9999999999999645E-2</v>
      </c>
      <c r="K332" s="6">
        <f ca="1">IF(K$6=OFFSET(Assumptions!$B$8,0,$C$1),AVERAGE(H$332/H$13,I$332/I$13,J$332/J$13),J$332/J$13)*K$13</f>
        <v>0.10409651287087537</v>
      </c>
      <c r="L332" s="6">
        <f ca="1">IF(L$6=OFFSET(Assumptions!$B$8,0,$C$1),AVERAGE(I$332/I$13,J$332/J$13,K$332/K$13),K$332/K$13)*L$13</f>
        <v>0.10854025192372309</v>
      </c>
      <c r="M332" s="6">
        <f ca="1">IF(M$6=OFFSET(Assumptions!$B$8,0,$C$1),AVERAGE(J$332/J$13,K$332/K$13,L$332/L$13),L$332/L$13)*M$13</f>
        <v>0.1130338292899615</v>
      </c>
      <c r="N332" s="6">
        <f ca="1">IF(N$6=OFFSET(Assumptions!$B$8,0,$C$1),AVERAGE(K$332/K$13,L$332/L$13,M$332/M$13),M$332/M$13)*N$13</f>
        <v>0.11773930262086302</v>
      </c>
      <c r="O332" s="6">
        <f ca="1">IF(O$6=OFFSET(Assumptions!$B$8,0,$C$1),AVERAGE(L$332/L$13,M$332/M$13,N$332/N$13),N$332/N$13)*O$13</f>
        <v>0.12254669082023462</v>
      </c>
      <c r="P332" s="6">
        <f ca="1">IF(P$6=OFFSET(Assumptions!$B$8,0,$C$1),AVERAGE(M$332/M$13,N$332/N$13,O$332/O$13),O$332/O$13)*P$13</f>
        <v>0.1274554350415148</v>
      </c>
      <c r="Q332" s="6">
        <f ca="1">IF(Q$6=OFFSET(Assumptions!$B$8,0,$C$1),AVERAGE(N$332/N$13,O$332/O$13,P$332/P$13),P$332/P$13)*Q$13</f>
        <v>0.13246517406933181</v>
      </c>
      <c r="R332" s="104">
        <f ca="1">IF(R$6=OFFSET(Assumptions!$B$8,0,$C$1),AVERAGE(O$332/O$13,P$332/P$13,Q$332/Q$13),Q$332/Q$13)*R$13</f>
        <v>0.13756241436495645</v>
      </c>
      <c r="S332" s="104">
        <f ca="1">IF(S$6=OFFSET(Assumptions!$B$8,0,$C$1),AVERAGE(P$332/P$13,Q$332/Q$13,R$332/R$13),R$332/R$13)*S$13</f>
        <v>0.14274308935598629</v>
      </c>
      <c r="T332" s="171">
        <f ca="1">IF(T$6=OFFSET(Assumptions!$B$8,0,$C$1),AVERAGE(Q$332/Q$13,R$332/R$13,S$332/S$13),S$332/S$13)*T$13</f>
        <v>0.1480773620764963</v>
      </c>
    </row>
    <row r="333" spans="1:20" ht="15">
      <c r="A333" s="2" t="s">
        <v>951</v>
      </c>
      <c r="B333" s="4"/>
      <c r="D333" s="34">
        <f t="shared" ref="D333:T333" si="194">SUM(D$331:D$332)</f>
        <v>3.1880000000000002</v>
      </c>
      <c r="E333" s="138">
        <f t="shared" si="194"/>
        <v>-3.9319999999999995</v>
      </c>
      <c r="F333" s="33">
        <f t="shared" si="194"/>
        <v>4.226</v>
      </c>
      <c r="G333" s="33">
        <f t="shared" si="194"/>
        <v>2.802</v>
      </c>
      <c r="H333" s="33">
        <f t="shared" si="194"/>
        <v>3.9860000000000002</v>
      </c>
      <c r="I333" s="33">
        <f t="shared" si="194"/>
        <v>4.3209999999999997</v>
      </c>
      <c r="J333" s="137">
        <f t="shared" si="194"/>
        <v>4.6859999999999999</v>
      </c>
      <c r="K333" s="37">
        <f t="shared" ca="1" si="194"/>
        <v>5.1029537206181974</v>
      </c>
      <c r="L333" s="37">
        <f t="shared" ca="1" si="194"/>
        <v>5.5068406812592565</v>
      </c>
      <c r="M333" s="37">
        <f t="shared" ca="1" si="194"/>
        <v>5.9173384775573812</v>
      </c>
      <c r="N333" s="37">
        <f t="shared" ca="1" si="194"/>
        <v>6.3356483783900988</v>
      </c>
      <c r="O333" s="37">
        <f t="shared" ca="1" si="194"/>
        <v>6.7642851850203574</v>
      </c>
      <c r="P333" s="37">
        <f t="shared" ca="1" si="194"/>
        <v>7.2054104464261792</v>
      </c>
      <c r="Q333" s="37">
        <f t="shared" ca="1" si="194"/>
        <v>7.6601401682311208</v>
      </c>
      <c r="R333" s="37">
        <f t="shared" ca="1" si="194"/>
        <v>8.1279325145314623</v>
      </c>
      <c r="S333" s="37">
        <f t="shared" ca="1" si="194"/>
        <v>8.6073760589285566</v>
      </c>
      <c r="T333" s="140">
        <f t="shared" ca="1" si="194"/>
        <v>9.098524522367688</v>
      </c>
    </row>
    <row r="334" spans="1:20">
      <c r="A334" s="1" t="s">
        <v>256</v>
      </c>
      <c r="B334" s="4" t="str">
        <f>$B$39</f>
        <v>From Fiscal Forecasts</v>
      </c>
      <c r="D334" s="14">
        <f>SUM('Fiscal Forecasts'!D$288,'Fiscal Forecasts'!D$294)</f>
        <v>-7.8920000000000003</v>
      </c>
      <c r="E334" s="175">
        <f>SUM('Fiscal Forecasts'!E$288,'Fiscal Forecasts'!E$294)</f>
        <v>-4.32</v>
      </c>
      <c r="F334" s="15">
        <f>SUM('Fiscal Forecasts'!F$288,'Fiscal Forecasts'!F$294)</f>
        <v>11.09</v>
      </c>
      <c r="G334" s="15">
        <f>SUM('Fiscal Forecasts'!G$288,'Fiscal Forecasts'!G$294)</f>
        <v>0.12300000000000003</v>
      </c>
      <c r="H334" s="15">
        <f>SUM('Fiscal Forecasts'!H$288,'Fiscal Forecasts'!H$294)</f>
        <v>0.32500000000000001</v>
      </c>
      <c r="I334" s="15">
        <f>SUM('Fiscal Forecasts'!I$288,'Fiscal Forecasts'!I$294)</f>
        <v>0.47900000000000004</v>
      </c>
      <c r="J334" s="176">
        <f>SUM('Fiscal Forecasts'!J$288,'Fiscal Forecasts'!J$294)</f>
        <v>0.66300000000000003</v>
      </c>
      <c r="K334" s="6">
        <f>J$334*Exogenous!V$27/Exogenous!U$27</f>
        <v>0.71132862008444664</v>
      </c>
      <c r="L334" s="6">
        <f>K$334*Exogenous!W$27/Exogenous!V$27</f>
        <v>0.765297967137474</v>
      </c>
      <c r="M334" s="6">
        <f>L$334*Exogenous!X$27/Exogenous!W$27</f>
        <v>0.82322455772562819</v>
      </c>
      <c r="N334" s="6">
        <f>M$334*Exogenous!Y$27/Exogenous!X$27</f>
        <v>0.88271029107882504</v>
      </c>
      <c r="O334" s="6">
        <f>N$334*Exogenous!Z$27/Exogenous!Y$27</f>
        <v>0.94207406002013128</v>
      </c>
      <c r="P334" s="6">
        <f>O$334*Exogenous!AA$27/Exogenous!Z$27</f>
        <v>0.99478034794810921</v>
      </c>
      <c r="Q334" s="6">
        <f>P$334*Exogenous!AB$27/Exogenous!AA$27</f>
        <v>1.0468215997482637</v>
      </c>
      <c r="R334" s="104">
        <f>Q$334*Exogenous!AC$27/Exogenous!AB$27</f>
        <v>1.1130892558714796</v>
      </c>
      <c r="S334" s="104">
        <f>R$334*Exogenous!AD$27/Exogenous!AC$27</f>
        <v>1.1875685879065774</v>
      </c>
      <c r="T334" s="171">
        <f>S$334*Exogenous!AE$27/Exogenous!AD$27</f>
        <v>1.2533184985255628</v>
      </c>
    </row>
    <row r="335" spans="1:20">
      <c r="A335" s="1" t="s">
        <v>418</v>
      </c>
      <c r="B335" s="4" t="str">
        <f>$B$39</f>
        <v>From Fiscal Forecasts</v>
      </c>
      <c r="D335" s="14">
        <f>SUM('Fiscal Forecasts'!D$289,'Fiscal Forecasts'!D$295)</f>
        <v>0.254</v>
      </c>
      <c r="E335" s="175">
        <f>SUM('Fiscal Forecasts'!E$289,'Fiscal Forecasts'!E$295)</f>
        <v>-6.9000000000000006E-2</v>
      </c>
      <c r="F335" s="15">
        <f>SUM('Fiscal Forecasts'!F$289,'Fiscal Forecasts'!F$295)</f>
        <v>0.26400000000000001</v>
      </c>
      <c r="G335" s="15">
        <f>SUM('Fiscal Forecasts'!G$289,'Fiscal Forecasts'!G$295)</f>
        <v>4.9999999999999992E-3</v>
      </c>
      <c r="H335" s="15">
        <f>SUM('Fiscal Forecasts'!H$289,'Fiscal Forecasts'!H$295)</f>
        <v>1.9E-2</v>
      </c>
      <c r="I335" s="15">
        <f>SUM('Fiscal Forecasts'!I$289,'Fiscal Forecasts'!I$295)</f>
        <v>1.9E-2</v>
      </c>
      <c r="J335" s="176">
        <f>SUM('Fiscal Forecasts'!J$289,'Fiscal Forecasts'!J$295)</f>
        <v>1.9E-2</v>
      </c>
      <c r="K335" s="6">
        <f ca="1">IF(K$6=OFFSET(Assumptions!$B$8,0,$C$1),AVERAGE(H$335/H$13,I$335/I$13,J$335/J$13),J$335/J$13)*K$13</f>
        <v>2.09704574027153E-2</v>
      </c>
      <c r="L335" s="6">
        <f ca="1">IF(L$6=OFFSET(Assumptions!$B$8,0,$C$1),AVERAGE(I$335/I$13,J$335/J$13,K$335/K$13),K$335/K$13)*L$13</f>
        <v>2.1865657808055657E-2</v>
      </c>
      <c r="M335" s="6">
        <f ca="1">IF(M$6=OFFSET(Assumptions!$B$8,0,$C$1),AVERAGE(J$335/J$13,K$335/K$13,L$335/L$13),L$335/L$13)*M$13</f>
        <v>2.277089824450906E-2</v>
      </c>
      <c r="N335" s="6">
        <f ca="1">IF(N$6=OFFSET(Assumptions!$B$8,0,$C$1),AVERAGE(K$335/K$13,L$335/L$13,M$335/M$13),M$335/M$13)*N$13</f>
        <v>2.371882556045752E-2</v>
      </c>
      <c r="O335" s="6">
        <f ca="1">IF(O$6=OFFSET(Assumptions!$B$8,0,$C$1),AVERAGE(L$335/L$13,M$335/M$13,N$335/N$13),N$335/N$13)*O$13</f>
        <v>2.4687283837040618E-2</v>
      </c>
      <c r="P335" s="6">
        <f ca="1">IF(P$6=OFFSET(Assumptions!$B$8,0,$C$1),AVERAGE(M$335/M$13,N$335/N$13,O$335/O$13),O$335/O$13)*P$13</f>
        <v>2.5676160493464925E-2</v>
      </c>
      <c r="Q335" s="6">
        <f ca="1">IF(Q$6=OFFSET(Assumptions!$B$8,0,$C$1),AVERAGE(N$335/N$13,O$335/O$13,P$335/P$13),P$335/P$13)*Q$13</f>
        <v>2.668538276214814E-2</v>
      </c>
      <c r="R335" s="104">
        <f ca="1">IF(R$6=OFFSET(Assumptions!$B$8,0,$C$1),AVERAGE(O$335/O$13,P$335/P$13,Q$335/Q$13),Q$335/Q$13)*R$13</f>
        <v>2.771223234185877E-2</v>
      </c>
      <c r="S335" s="104">
        <f ca="1">IF(S$6=OFFSET(Assumptions!$B$8,0,$C$1),AVERAGE(P$335/P$13,Q$335/Q$13,R$335/R$13),R$335/R$13)*S$13</f>
        <v>2.875589001319177E-2</v>
      </c>
      <c r="T335" s="171">
        <f ca="1">IF(T$6=OFFSET(Assumptions!$B$8,0,$C$1),AVERAGE(Q$335/Q$13,R$335/R$13,S$335/S$13),S$335/S$13)*T$13</f>
        <v>2.9830490264198057E-2</v>
      </c>
    </row>
    <row r="336" spans="1:20">
      <c r="A336" s="1" t="s">
        <v>419</v>
      </c>
      <c r="B336" s="4" t="str">
        <f>$B$39</f>
        <v>From Fiscal Forecasts</v>
      </c>
      <c r="D336" s="14">
        <f>SUM('Fiscal Forecasts'!D$24:D$26)-SUM('Fiscal Forecasts'!D$347,D$332,D$334:D$335)</f>
        <v>-2.6809999999999983</v>
      </c>
      <c r="E336" s="175">
        <f>SUM('Fiscal Forecasts'!E$24:E$26)-SUM('Fiscal Forecasts'!E$347,E$332,E$334:E$335)</f>
        <v>-0.4009999999999998</v>
      </c>
      <c r="F336" s="15">
        <f>SUM('Fiscal Forecasts'!F$24:F$26)-SUM('Fiscal Forecasts'!F$347,F$332,F$334:F$335)</f>
        <v>1.463000000000001</v>
      </c>
      <c r="G336" s="15">
        <f>SUM('Fiscal Forecasts'!G$24:G$26)-SUM('Fiscal Forecasts'!G$347,G$332,G$334:G$335)</f>
        <v>-8.7000000000000188E-2</v>
      </c>
      <c r="H336" s="15">
        <f>SUM('Fiscal Forecasts'!H$24:H$26)-SUM('Fiscal Forecasts'!H$347,H$332,H$334:H$335)</f>
        <v>-8.1999999999999851E-2</v>
      </c>
      <c r="I336" s="15">
        <f>SUM('Fiscal Forecasts'!I$24:I$26)-SUM('Fiscal Forecasts'!I$347,I$332,I$334:I$335)</f>
        <v>-9.7999999999999865E-2</v>
      </c>
      <c r="J336" s="176">
        <f>SUM('Fiscal Forecasts'!J$24:J$26)-SUM('Fiscal Forecasts'!J$347,J$332,J$334:J$335)</f>
        <v>-0.11500000000000021</v>
      </c>
      <c r="K336" s="6">
        <f ca="1">IF(K$6=OFFSET(Assumptions!$B$8,0,$C$1),AVERAGE(H$336/SUM(H$334,H$335),I$336/SUM(I$334,I$335),J$336/SUM(J$334,J$335)),J$336/SUM(J$334,J$335))*SUM(K$334,K$335)</f>
        <v>-0.1473827423983913</v>
      </c>
      <c r="L336" s="6">
        <f ca="1">IF(L$6=OFFSET(Assumptions!$B$8,0,$C$1),AVERAGE(I$336/SUM(I$334,I$335),J$336/SUM(J$334,J$335),K$336/SUM(K$334,K$335)),K$336/SUM(K$334,K$335))*SUM(L$334,L$335)</f>
        <v>-0.15842479845642679</v>
      </c>
      <c r="M336" s="6">
        <f ca="1">IF(M$6=OFFSET(Assumptions!$B$8,0,$C$1),AVERAGE(J$336/SUM(J$334,J$335),K$336/SUM(K$334,K$335),L$336/SUM(L$334,L$335)),L$336/SUM(L$334,L$335))*SUM(M$334,M$335)</f>
        <v>-0.17026531125138855</v>
      </c>
      <c r="N336" s="6">
        <f ca="1">IF(N$6=OFFSET(Assumptions!$B$8,0,$C$1),AVERAGE(K$336/SUM(K$334,K$335),L$336/SUM(L$334,L$335),M$336/SUM(M$334,M$335)),M$336/SUM(M$334,M$335))*SUM(N$334,N$335)</f>
        <v>-0.18242820878385008</v>
      </c>
      <c r="O336" s="6">
        <f ca="1">IF(O$6=OFFSET(Assumptions!$B$8,0,$C$1),AVERAGE(L$336/SUM(L$334,L$335),M$336/SUM(M$334,M$335),N$336/SUM(N$334,N$335)),N$336/SUM(N$334,N$335))*SUM(O$334,O$335)</f>
        <v>-0.19457069178804487</v>
      </c>
      <c r="P336" s="6">
        <f ca="1">IF(P$6=OFFSET(Assumptions!$B$8,0,$C$1),AVERAGE(M$336/SUM(M$334,M$335),N$336/SUM(N$334,N$335),O$336/SUM(O$334,O$335)),O$336/SUM(O$334,O$335))*SUM(P$334,P$335)</f>
        <v>-0.20537739748148598</v>
      </c>
      <c r="Q336" s="6">
        <f ca="1">IF(Q$6=OFFSET(Assumptions!$B$8,0,$C$1),AVERAGE(N$336/SUM(N$334,N$335),O$336/SUM(O$334,O$335),P$336/SUM(P$334,P$335)),P$336/SUM(P$334,P$335))*SUM(Q$334,Q$335)</f>
        <v>-0.21605435255922481</v>
      </c>
      <c r="R336" s="104">
        <f ca="1">IF(R$6=OFFSET(Assumptions!$B$8,0,$C$1),AVERAGE(O$336/SUM(O$334,O$335),P$336/SUM(P$334,P$335),Q$336/SUM(Q$334,Q$335)),Q$336/SUM(Q$334,Q$335))*SUM(R$334,R$335)</f>
        <v>-0.22959806591862802</v>
      </c>
      <c r="S336" s="104">
        <f ca="1">IF(S$6=OFFSET(Assumptions!$B$8,0,$C$1),AVERAGE(P$336/SUM(P$334,P$335),Q$336/SUM(Q$334,Q$335),R$336/SUM(R$334,R$335)),R$336/SUM(R$334,R$335))*SUM(S$334,S$335)</f>
        <v>-0.24479784655368469</v>
      </c>
      <c r="T336" s="171">
        <f ca="1">IF(T$6=OFFSET(Assumptions!$B$8,0,$C$1),AVERAGE(Q$336/SUM(Q$334,Q$335),R$336/SUM(R$334,R$335),S$336/SUM(S$334,S$335)),S$336/SUM(S$334,S$335))*SUM(T$334,T$335)</f>
        <v>-0.25824696860535512</v>
      </c>
    </row>
    <row r="337" spans="1:20" ht="15">
      <c r="A337" s="2" t="s">
        <v>477</v>
      </c>
      <c r="B337" s="4"/>
      <c r="D337" s="34">
        <f t="shared" ref="D337:T337" si="195">SUM(D$333:D$336)</f>
        <v>-7.1309999999999993</v>
      </c>
      <c r="E337" s="138">
        <f t="shared" si="195"/>
        <v>-8.7219999999999995</v>
      </c>
      <c r="F337" s="33">
        <f t="shared" si="195"/>
        <v>17.042999999999999</v>
      </c>
      <c r="G337" s="33">
        <f t="shared" si="195"/>
        <v>2.843</v>
      </c>
      <c r="H337" s="33">
        <f t="shared" si="195"/>
        <v>4.2480000000000002</v>
      </c>
      <c r="I337" s="33">
        <f t="shared" si="195"/>
        <v>4.7210000000000001</v>
      </c>
      <c r="J337" s="137">
        <f t="shared" si="195"/>
        <v>5.2530000000000001</v>
      </c>
      <c r="K337" s="37">
        <f t="shared" ca="1" si="195"/>
        <v>5.6878700557069681</v>
      </c>
      <c r="L337" s="37">
        <f t="shared" ca="1" si="195"/>
        <v>6.1355795077483597</v>
      </c>
      <c r="M337" s="37">
        <f t="shared" ca="1" si="195"/>
        <v>6.5930686222761299</v>
      </c>
      <c r="N337" s="37">
        <f t="shared" ca="1" si="195"/>
        <v>7.0596492862455316</v>
      </c>
      <c r="O337" s="37">
        <f t="shared" ca="1" si="195"/>
        <v>7.5364758370894833</v>
      </c>
      <c r="P337" s="37">
        <f t="shared" ca="1" si="195"/>
        <v>8.0204895573862665</v>
      </c>
      <c r="Q337" s="37">
        <f t="shared" ca="1" si="195"/>
        <v>8.5175927981823083</v>
      </c>
      <c r="R337" s="37">
        <f t="shared" ca="1" si="195"/>
        <v>9.0391359368261721</v>
      </c>
      <c r="S337" s="37">
        <f t="shared" ca="1" si="195"/>
        <v>9.5789026902946421</v>
      </c>
      <c r="T337" s="140">
        <f t="shared" ca="1" si="195"/>
        <v>10.123426542552092</v>
      </c>
    </row>
    <row r="338" spans="1:20" ht="15">
      <c r="A338" s="2"/>
      <c r="B338" s="4"/>
      <c r="D338" s="48"/>
      <c r="E338" s="146"/>
      <c r="F338" s="48"/>
      <c r="G338" s="48"/>
      <c r="H338" s="48"/>
      <c r="I338" s="48"/>
      <c r="J338" s="146"/>
      <c r="K338" s="48"/>
      <c r="L338" s="48"/>
      <c r="M338" s="48"/>
      <c r="N338" s="48"/>
      <c r="O338" s="48"/>
      <c r="P338" s="48"/>
      <c r="Q338" s="48"/>
      <c r="R338" s="48"/>
      <c r="S338" s="48"/>
      <c r="T338" s="146"/>
    </row>
    <row r="339" spans="1:20" ht="15">
      <c r="A339" s="18" t="s">
        <v>245</v>
      </c>
      <c r="B339" s="4"/>
      <c r="D339" s="39"/>
      <c r="E339" s="142"/>
      <c r="F339" s="38"/>
      <c r="G339" s="38"/>
      <c r="H339" s="38"/>
      <c r="I339" s="38"/>
      <c r="J339" s="141"/>
      <c r="K339" s="7"/>
      <c r="L339" s="7"/>
      <c r="M339" s="7"/>
      <c r="N339" s="7"/>
      <c r="O339" s="7"/>
      <c r="P339" s="7"/>
      <c r="Q339" s="7"/>
      <c r="R339" s="7"/>
      <c r="S339" s="7"/>
      <c r="T339" s="134"/>
    </row>
    <row r="340" spans="1:20" ht="15">
      <c r="A340" s="2" t="s">
        <v>478</v>
      </c>
      <c r="B340" s="4" t="str">
        <f>$B$39</f>
        <v>From Fiscal Forecasts</v>
      </c>
      <c r="D340" s="39">
        <f>'Fiscal Forecasts'!D$168-D$333</f>
        <v>4.0000000000000036E-3</v>
      </c>
      <c r="E340" s="142">
        <f>'Fiscal Forecasts'!E$168-E$333</f>
        <v>-4.2000000000000703E-2</v>
      </c>
      <c r="F340" s="141">
        <f>'Fiscal Forecasts'!F$168-F$333</f>
        <v>1.2000000000000455E-2</v>
      </c>
      <c r="G340" s="141">
        <f>'Fiscal Forecasts'!G$168-G$333</f>
        <v>1.7999999999999794E-2</v>
      </c>
      <c r="H340" s="141">
        <f>'Fiscal Forecasts'!H$168-H$333</f>
        <v>1.8999999999999684E-2</v>
      </c>
      <c r="I340" s="141">
        <f>'Fiscal Forecasts'!I$168-I$333</f>
        <v>1.8000000000000682E-2</v>
      </c>
      <c r="J340" s="141">
        <f>'Fiscal Forecasts'!J$168-J$333</f>
        <v>1.6000000000000014E-2</v>
      </c>
      <c r="K340" s="7">
        <f ca="1">IF(K$6=OFFSET(Assumptions!$B$8,0,$C$1),AVERAGE(H$340/H$13,I$340/I$13,J$340/J$13),J$340/J$13)*K$13</f>
        <v>1.9558560620821199E-2</v>
      </c>
      <c r="L340" s="7">
        <f ca="1">IF(L$6=OFFSET(Assumptions!$B$8,0,$C$1),AVERAGE(I$340/I$13,J$340/J$13,K$340/K$13),K$340/K$13)*L$13</f>
        <v>2.0393489066080864E-2</v>
      </c>
      <c r="M340" s="7">
        <f ca="1">IF(M$6=OFFSET(Assumptions!$B$8,0,$C$1),AVERAGE(J$340/J$13,K$340/K$13,L$340/L$13),L$340/L$13)*M$13</f>
        <v>2.1237781568279695E-2</v>
      </c>
      <c r="N340" s="7">
        <f ca="1">IF(N$6=OFFSET(Assumptions!$B$8,0,$C$1),AVERAGE(K$340/K$13,L$340/L$13,M$340/M$13),M$340/M$13)*N$13</f>
        <v>2.212188693217651E-2</v>
      </c>
      <c r="O340" s="7">
        <f ca="1">IF(O$6=OFFSET(Assumptions!$B$8,0,$C$1),AVERAGE(L$340/L$13,M$340/M$13,N$340/N$13),N$340/N$13)*O$13</f>
        <v>2.3025140950318906E-2</v>
      </c>
      <c r="P340" s="7">
        <f ca="1">IF(P$6=OFFSET(Assumptions!$B$8,0,$C$1),AVERAGE(M$340/M$13,N$340/N$13,O$340/O$13),O$340/O$13)*P$13</f>
        <v>2.3947438621741441E-2</v>
      </c>
      <c r="Q340" s="7">
        <f ca="1">IF(Q$6=OFFSET(Assumptions!$B$8,0,$C$1),AVERAGE(N$340/N$13,O$340/O$13,P$340/P$13),P$340/P$13)*Q$13</f>
        <v>2.4888712078150056E-2</v>
      </c>
      <c r="R340" s="7">
        <f ca="1">IF(R$6=OFFSET(Assumptions!$B$8,0,$C$1),AVERAGE(O$340/O$13,P$340/P$13,Q$340/Q$13),Q$340/Q$13)*R$13</f>
        <v>2.5846426035816737E-2</v>
      </c>
      <c r="S340" s="7">
        <f ca="1">IF(S$6=OFFSET(Assumptions!$B$8,0,$C$1),AVERAGE(P$340/P$13,Q$340/Q$13,R$340/R$13),R$340/R$13)*S$13</f>
        <v>2.6819816431655628E-2</v>
      </c>
      <c r="T340" s="134">
        <f ca="1">IF(T$6=OFFSET(Assumptions!$B$8,0,$C$1),AVERAGE(Q$340/Q$13,R$340/R$13,S$340/S$13),S$340/S$13)*T$13</f>
        <v>2.7822066108371537E-2</v>
      </c>
    </row>
    <row r="341" spans="1:20" ht="15">
      <c r="A341" s="2" t="s">
        <v>479</v>
      </c>
      <c r="B341" s="4" t="str">
        <f>$B$39</f>
        <v>From Fiscal Forecasts</v>
      </c>
      <c r="D341" s="142">
        <f>'Fiscal Forecasts'!D$28</f>
        <v>0.20599999999999999</v>
      </c>
      <c r="E341" s="142">
        <f>'Fiscal Forecasts'!E$28</f>
        <v>1.1930000000000001</v>
      </c>
      <c r="F341" s="141">
        <f>'Fiscal Forecasts'!F$28</f>
        <v>-0.53500000000000003</v>
      </c>
      <c r="G341" s="141">
        <f>'Fiscal Forecasts'!G$28</f>
        <v>-9.8000000000000004E-2</v>
      </c>
      <c r="H341" s="141">
        <f>'Fiscal Forecasts'!H$28</f>
        <v>-1E-3</v>
      </c>
      <c r="I341" s="141">
        <f>'Fiscal Forecasts'!I$28</f>
        <v>5.8999999999999997E-2</v>
      </c>
      <c r="J341" s="141">
        <f>'Fiscal Forecasts'!J$28</f>
        <v>0.13800000000000001</v>
      </c>
      <c r="K341" s="7">
        <f ca="1">SUM(K$340,IF(K$6=OFFSET(Assumptions!$B$8,0,$C$1),AVERAGE((H$341-H$340)/H$13,(I$341-I$340)/I$13,(J$341-J$340)/J$13),(J$341-J$340)/J$13)*K$13)</f>
        <v>6.9333735184609654E-2</v>
      </c>
      <c r="L341" s="7">
        <f ca="1">SUM(L$340,IF(L$6=OFFSET(Assumptions!$B$8,0,$C$1),AVERAGE((I$341-I$340)/I$13,(J$341-J$340)/J$13,(K$341-K$340)/K$13),(K$341-K$340)/K$13)*L$13)</f>
        <v>7.2293498371891723E-2</v>
      </c>
      <c r="M341" s="7">
        <f ca="1">SUM(M$340,IF(M$6=OFFSET(Assumptions!$B$8,0,$C$1),AVERAGE((J$341-J$340)/J$13,(K$341-K$340)/K$13,(L$341-L$340)/L$13),(L$341-L$340)/L$13)*M$13)</f>
        <v>7.5286456488834558E-2</v>
      </c>
      <c r="N341" s="7">
        <f ca="1">SUM(N$340,IF(N$6=OFFSET(Assumptions!$B$8,0,$C$1),AVERAGE((K$341-K$340)/K$13,(L$341-L$340)/L$13,(M$341-M$340)/M$13),(M$341-M$340)/M$13)*N$13)</f>
        <v>7.8420548427607345E-2</v>
      </c>
      <c r="O341" s="7">
        <f ca="1">SUM(O$340,IF(O$6=OFFSET(Assumptions!$B$8,0,$C$1),AVERAGE((L$341-L$340)/L$13,(M$341-M$340)/M$13,(N$341-N$340)/N$13),(N$341-N$340)/N$13)*O$13)</f>
        <v>8.1622521012013727E-2</v>
      </c>
      <c r="P341" s="7">
        <f ca="1">SUM(P$340,IF(P$6=OFFSET(Assumptions!$B$8,0,$C$1),AVERAGE((M$341-M$340)/M$13,(N$341-N$340)/N$13,(O$341-O$340)/O$13),(O$341-O$340)/O$13)*P$13)</f>
        <v>8.4892002020944296E-2</v>
      </c>
      <c r="Q341" s="7">
        <f ca="1">SUM(Q$340,IF(Q$6=OFFSET(Assumptions!$B$8,0,$C$1),AVERAGE((N$341-N$340)/N$13,(O$341-O$340)/O$13,(P$341-P$340)/P$13),(P$341-P$340)/P$13)*Q$13)</f>
        <v>8.8228750866023525E-2</v>
      </c>
      <c r="R341" s="7">
        <f ca="1">SUM(R$340,IF(R$6=OFFSET(Assumptions!$B$8,0,$C$1),AVERAGE((O$341-O$340)/O$13,(P$341-P$340)/P$13,(Q$341-Q$340)/Q$13),(Q$341-Q$340)/Q$13)*R$13)</f>
        <v>9.1623780143013256E-2</v>
      </c>
      <c r="S341" s="7">
        <f ca="1">SUM(S$340,IF(S$6=OFFSET(Assumptions!$B$8,0,$C$1),AVERAGE((P$341-P$340)/P$13,(Q$341-Q$340)/Q$13,(R$341-R$340)/R$13),(R$341-R$340)/R$13)*S$13)</f>
        <v>9.5074381301489624E-2</v>
      </c>
      <c r="T341" s="134">
        <f ca="1">SUM(T$340,IF(T$6=OFFSET(Assumptions!$B$8,0,$C$1),AVERAGE((Q$341-Q$340)/Q$13,(R$341-R$340)/R$13,(S$341-S$340)/S$13),(S$341-S$340)/S$13)*T$13)</f>
        <v>9.8627286600681527E-2</v>
      </c>
    </row>
    <row r="342" spans="1:20" ht="15">
      <c r="A342" s="2"/>
      <c r="B342" s="4"/>
      <c r="D342" s="39"/>
      <c r="E342" s="142"/>
      <c r="F342" s="38"/>
      <c r="G342" s="38"/>
      <c r="H342" s="38"/>
      <c r="I342" s="38"/>
      <c r="J342" s="141"/>
      <c r="K342" s="7"/>
      <c r="L342" s="7"/>
      <c r="M342" s="7"/>
      <c r="N342" s="7"/>
      <c r="O342" s="7"/>
      <c r="P342" s="7"/>
      <c r="Q342" s="7"/>
      <c r="R342" s="7"/>
      <c r="S342" s="7"/>
      <c r="T342" s="134"/>
    </row>
    <row r="343" spans="1:20" ht="15">
      <c r="A343" s="18" t="s">
        <v>198</v>
      </c>
      <c r="B343" s="4"/>
      <c r="D343" s="39"/>
      <c r="E343" s="142"/>
      <c r="F343" s="7"/>
      <c r="G343" s="7"/>
      <c r="H343" s="7"/>
      <c r="I343" s="7"/>
      <c r="J343" s="134"/>
      <c r="K343" s="7"/>
      <c r="L343" s="7"/>
      <c r="M343" s="7"/>
      <c r="N343" s="7"/>
      <c r="O343" s="7"/>
      <c r="P343" s="7"/>
      <c r="Q343" s="7"/>
      <c r="R343" s="7"/>
      <c r="S343" s="7"/>
      <c r="T343" s="134"/>
    </row>
    <row r="344" spans="1:20">
      <c r="A344" s="1" t="s">
        <v>480</v>
      </c>
      <c r="B344" s="4"/>
      <c r="D344" s="14">
        <f ca="1">OFFSET(Assumptions!$B$75,0,$C$1)*'Fiscal Forecasts'!D$351</f>
        <v>1.32921</v>
      </c>
      <c r="E344" s="175">
        <f ca="1">OFFSET(Assumptions!$B$75,0,$C$1)*'Fiscal Forecasts'!E$351</f>
        <v>1.4466299999999999</v>
      </c>
      <c r="F344" s="15">
        <f ca="1">OFFSET(Assumptions!$B$75,0,$C$1)*'Fiscal Forecasts'!F$351</f>
        <v>1.8377999999999999</v>
      </c>
      <c r="G344" s="15">
        <f ca="1">OFFSET(Assumptions!$B$75,0,$C$1)*'Fiscal Forecasts'!G$351</f>
        <v>1.9458599999999997</v>
      </c>
      <c r="H344" s="15">
        <f ca="1">OFFSET(Assumptions!$B$75,0,$C$1)*'Fiscal Forecasts'!H$351</f>
        <v>2.0897399999999999</v>
      </c>
      <c r="I344" s="15">
        <f ca="1">OFFSET(Assumptions!$B$75,0,$C$1)*'Fiscal Forecasts'!I$351</f>
        <v>2.2568999999999999</v>
      </c>
      <c r="J344" s="176">
        <f ca="1">OFFSET(Assumptions!$B$75,0,$C$1)*'Fiscal Forecasts'!J$351</f>
        <v>2.4422099999999998</v>
      </c>
      <c r="K344" s="131">
        <f ca="1">OFFSET(Assumptions!$B$75,0,$C$1)*K$384</f>
        <v>2.6308369262168583</v>
      </c>
      <c r="L344" s="131">
        <f ca="1">OFFSET(Assumptions!$B$75,0,$C$1)*L$384</f>
        <v>2.8239852413841251</v>
      </c>
      <c r="M344" s="131">
        <f ca="1">OFFSET(Assumptions!$B$75,0,$C$1)*M$384</f>
        <v>3.0297854927898902</v>
      </c>
      <c r="N344" s="131">
        <f ca="1">OFFSET(Assumptions!$B$75,0,$C$1)*N$384</f>
        <v>3.2401792552769915</v>
      </c>
      <c r="O344" s="131">
        <f ca="1">OFFSET(Assumptions!$B$75,0,$C$1)*O$384</f>
        <v>3.4563697029166871</v>
      </c>
      <c r="P344" s="131">
        <f ca="1">OFFSET(Assumptions!$B$75,0,$C$1)*P$384</f>
        <v>3.6793032309547224</v>
      </c>
      <c r="Q344" s="131">
        <f ca="1">OFFSET(Assumptions!$B$75,0,$C$1)*Q$384</f>
        <v>3.9090767636024535</v>
      </c>
      <c r="R344" s="131">
        <f ca="1">OFFSET(Assumptions!$B$75,0,$C$1)*R$384</f>
        <v>4.1449880569741824</v>
      </c>
      <c r="S344" s="131">
        <f ca="1">OFFSET(Assumptions!$B$75,0,$C$1)*S$384</f>
        <v>4.3863235876403257</v>
      </c>
      <c r="T344" s="171">
        <f ca="1">OFFSET(Assumptions!$B$75,0,$C$1)*T$384</f>
        <v>4.6339247471847491</v>
      </c>
    </row>
    <row r="345" spans="1:20">
      <c r="A345" s="1" t="s">
        <v>481</v>
      </c>
      <c r="B345" s="4" t="str">
        <f>$B$39</f>
        <v>From Fiscal Forecasts</v>
      </c>
      <c r="D345" s="49">
        <f ca="1">'Fiscal Forecasts'!D$171-D$344</f>
        <v>16.04879</v>
      </c>
      <c r="E345" s="49">
        <f ca="1">'Fiscal Forecasts'!E$171-E$344</f>
        <v>16.734370000000002</v>
      </c>
      <c r="F345" s="15">
        <f ca="1">'Fiscal Forecasts'!F$171-F$344</f>
        <v>7.6232000000000006</v>
      </c>
      <c r="G345" s="15">
        <f ca="1">'Fiscal Forecasts'!G$171-G$344</f>
        <v>5.2991400000000004</v>
      </c>
      <c r="H345" s="15">
        <f ca="1">'Fiscal Forecasts'!H$171-H$344</f>
        <v>4.5172600000000003</v>
      </c>
      <c r="I345" s="15">
        <f ca="1">'Fiscal Forecasts'!I$171-I$344</f>
        <v>3.7210999999999999</v>
      </c>
      <c r="J345" s="176">
        <f ca="1">'Fiscal Forecasts'!J$171-J$344</f>
        <v>3.1117900000000005</v>
      </c>
      <c r="K345" s="6">
        <f ca="1">(J$345/J$13+ IF(K$2&gt;0,K$2*IF(K$6=OFFSET(Assumptions!$B$8,0,$C$1),SUMPRODUCT(OFFSET(J$345,0,0,1,-OFFSET(Assumptions!$B$86,0,$C$1)),OFFSET(J$15,0,0,1,-OFFSET(Assumptions!$B$86,0,$C$1)))/OFFSET(Assumptions!$B$86,0,$C$1)-J$345/J$13,(J$345/J$13-I$345/I$13)/J$2),0))*K$13</f>
        <v>3.5683852138375403</v>
      </c>
      <c r="L345" s="6">
        <f ca="1">(K$345/K$13+ IF(L$2&gt;0,L$2*IF(L$6=OFFSET(Assumptions!$B$8,0,$C$1),SUMPRODUCT(OFFSET(K$345,0,0,1,-OFFSET(Assumptions!$B$86,0,$C$1)),OFFSET(K$15,0,0,1,-OFFSET(Assumptions!$B$86,0,$C$1)))/OFFSET(Assumptions!$B$86,0,$C$1)-K$345/K$13,(K$345/K$13-J$345/J$13)/K$2),0))*L$13</f>
        <v>3.9857846846666818</v>
      </c>
      <c r="M345" s="6">
        <f ca="1">(L$345/L$13+ IF(M$2&gt;0,M$2*IF(M$6=OFFSET(Assumptions!$B$8,0,$C$1),SUMPRODUCT(OFFSET(L$345,0,0,1,-OFFSET(Assumptions!$B$86,0,$C$1)),OFFSET(L$15,0,0,1,-OFFSET(Assumptions!$B$86,0,$C$1)))/OFFSET(Assumptions!$B$86,0,$C$1)-L$345/L$13,(L$345/L$13-K$345/K$13)/L$2),0))*M$13</f>
        <v>4.3578294706634955</v>
      </c>
      <c r="N345" s="6">
        <f ca="1">(M$345/M$13+ IF(N$2&gt;0,N$2*IF(N$6=OFFSET(Assumptions!$B$8,0,$C$1),SUMPRODUCT(OFFSET(M$345,0,0,1,-OFFSET(Assumptions!$B$86,0,$C$1)),OFFSET(M$15,0,0,1,-OFFSET(Assumptions!$B$86,0,$C$1)))/OFFSET(Assumptions!$B$86,0,$C$1)-M$345/M$13,(M$345/M$13-L$345/L$13)/M$2),0))*N$13</f>
        <v>4.6830087257625435</v>
      </c>
      <c r="O345" s="6">
        <f ca="1">(N$345/N$13+ IF(O$2&gt;0,O$2*IF(O$6=OFFSET(Assumptions!$B$8,0,$C$1),SUMPRODUCT(OFFSET(N$345,0,0,1,-OFFSET(Assumptions!$B$86,0,$C$1)),OFFSET(N$15,0,0,1,-OFFSET(Assumptions!$B$86,0,$C$1)))/OFFSET(Assumptions!$B$86,0,$C$1)-N$345/N$13,(N$345/N$13-M$345/M$13)/N$2),0))*O$13</f>
        <v>4.9490385391486704</v>
      </c>
      <c r="P345" s="6">
        <f ca="1">(O$345/O$13+ IF(P$2&gt;0,P$2*IF(P$6=OFFSET(Assumptions!$B$8,0,$C$1),SUMPRODUCT(OFFSET(O$345,0,0,1,-OFFSET(Assumptions!$B$86,0,$C$1)),OFFSET(O$15,0,0,1,-OFFSET(Assumptions!$B$86,0,$C$1)))/OFFSET(Assumptions!$B$86,0,$C$1)-O$345/O$13,(O$345/O$13-N$345/N$13)/O$2),0))*P$13</f>
        <v>5.1472777912030203</v>
      </c>
      <c r="Q345" s="6">
        <f ca="1">(P$345/P$13+ IF(Q$2&gt;0,Q$2*IF(Q$6=OFFSET(Assumptions!$B$8,0,$C$1),SUMPRODUCT(OFFSET(P$345,0,0,1,-OFFSET(Assumptions!$B$86,0,$C$1)),OFFSET(P$15,0,0,1,-OFFSET(Assumptions!$B$86,0,$C$1)))/OFFSET(Assumptions!$B$86,0,$C$1)-P$345/P$13,(P$345/P$13-O$345/O$13)/P$2),0))*Q$13</f>
        <v>5.3495957106327117</v>
      </c>
      <c r="R345" s="104">
        <f ca="1">(Q$345/Q$13+ IF(R$2&gt;0,R$2*IF(R$6=OFFSET(Assumptions!$B$8,0,$C$1),SUMPRODUCT(OFFSET(Q$345,0,0,1,-OFFSET(Assumptions!$B$86,0,$C$1)),OFFSET(Q$15,0,0,1,-OFFSET(Assumptions!$B$86,0,$C$1)))/OFFSET(Assumptions!$B$86,0,$C$1)-Q$345/Q$13,(Q$345/Q$13-P$345/P$13)/Q$2),0))*R$13</f>
        <v>5.5554473619298719</v>
      </c>
      <c r="S345" s="104">
        <f ca="1">(R$345/R$13+ IF(S$2&gt;0,S$2*IF(S$6=OFFSET(Assumptions!$B$8,0,$C$1),SUMPRODUCT(OFFSET(R$345,0,0,1,-OFFSET(Assumptions!$B$86,0,$C$1)),OFFSET(R$15,0,0,1,-OFFSET(Assumptions!$B$86,0,$C$1)))/OFFSET(Assumptions!$B$86,0,$C$1)-R$345/R$13,(R$345/R$13-Q$345/Q$13)/R$2),0))*S$13</f>
        <v>5.7646685168855862</v>
      </c>
      <c r="T345" s="171">
        <f ca="1">(S$345/S$13+ IF(T$2&gt;0,T$2*IF(T$6=OFFSET(Assumptions!$B$8,0,$C$1),SUMPRODUCT(OFFSET(S$345,0,0,1,-OFFSET(Assumptions!$B$86,0,$C$1)),OFFSET(S$15,0,0,1,-OFFSET(Assumptions!$B$86,0,$C$1)))/OFFSET(Assumptions!$B$86,0,$C$1)-S$345/S$13,(S$345/S$13-R$345/R$13)/S$2),0))*T$13</f>
        <v>5.9800927041519678</v>
      </c>
    </row>
    <row r="346" spans="1:20" ht="15">
      <c r="A346" s="2" t="s">
        <v>482</v>
      </c>
      <c r="B346" s="4"/>
      <c r="D346" s="34">
        <f t="shared" ref="D346:T346" ca="1" si="196">SUM(D$344:D$345)</f>
        <v>17.378</v>
      </c>
      <c r="E346" s="138">
        <f t="shared" ca="1" si="196"/>
        <v>18.181000000000001</v>
      </c>
      <c r="F346" s="33">
        <f t="shared" ca="1" si="196"/>
        <v>9.4610000000000003</v>
      </c>
      <c r="G346" s="33">
        <f t="shared" ca="1" si="196"/>
        <v>7.2450000000000001</v>
      </c>
      <c r="H346" s="33">
        <f t="shared" ca="1" si="196"/>
        <v>6.6070000000000002</v>
      </c>
      <c r="I346" s="33">
        <f t="shared" ca="1" si="196"/>
        <v>5.9779999999999998</v>
      </c>
      <c r="J346" s="137">
        <f t="shared" ca="1" si="196"/>
        <v>5.5540000000000003</v>
      </c>
      <c r="K346" s="37">
        <f t="shared" ca="1" si="196"/>
        <v>6.199222140054399</v>
      </c>
      <c r="L346" s="37">
        <f t="shared" ca="1" si="196"/>
        <v>6.8097699260508069</v>
      </c>
      <c r="M346" s="37">
        <f t="shared" ca="1" si="196"/>
        <v>7.3876149634533856</v>
      </c>
      <c r="N346" s="37">
        <f t="shared" ca="1" si="196"/>
        <v>7.9231879810395345</v>
      </c>
      <c r="O346" s="37">
        <f t="shared" ca="1" si="196"/>
        <v>8.4054082420653575</v>
      </c>
      <c r="P346" s="37">
        <f t="shared" ca="1" si="196"/>
        <v>8.8265810221577432</v>
      </c>
      <c r="Q346" s="37">
        <f t="shared" ca="1" si="196"/>
        <v>9.2586724742351656</v>
      </c>
      <c r="R346" s="37">
        <f t="shared" ca="1" si="196"/>
        <v>9.7004354189040534</v>
      </c>
      <c r="S346" s="37">
        <f t="shared" ca="1" si="196"/>
        <v>10.150992104525912</v>
      </c>
      <c r="T346" s="140">
        <f t="shared" ca="1" si="196"/>
        <v>10.614017451336718</v>
      </c>
    </row>
    <row r="347" spans="1:20" ht="15">
      <c r="A347" s="2" t="s">
        <v>483</v>
      </c>
      <c r="B347" s="4" t="str">
        <f>$B$39</f>
        <v>From Fiscal Forecasts</v>
      </c>
      <c r="D347" s="39">
        <f>'Fiscal Forecasts'!D$116</f>
        <v>20.248000000000001</v>
      </c>
      <c r="E347" s="142">
        <f>'Fiscal Forecasts'!E$116</f>
        <v>21.927</v>
      </c>
      <c r="F347" s="38">
        <f>'Fiscal Forecasts'!F$116</f>
        <v>14.946999999999999</v>
      </c>
      <c r="G347" s="38">
        <f>'Fiscal Forecasts'!G$116</f>
        <v>12.422000000000001</v>
      </c>
      <c r="H347" s="38">
        <f>'Fiscal Forecasts'!H$116</f>
        <v>11.834</v>
      </c>
      <c r="I347" s="38">
        <f>'Fiscal Forecasts'!I$116</f>
        <v>11.064</v>
      </c>
      <c r="J347" s="141">
        <f>'Fiscal Forecasts'!J$116</f>
        <v>10.814</v>
      </c>
      <c r="K347" s="7">
        <f ca="1">SUM(K$346,((J$347-J$346)/J$13+ IF(K$2&gt;0,K$2*IF(K$6=OFFSET(Assumptions!$B$8,0,$C$1),(SUMPRODUCT(OFFSET(J$347,0,0,1,-OFFSET(Assumptions!$B$86,0,$C$1)),OFFSET(J$15,0,0,1,-OFFSET(Assumptions!$B$86,0,$C$1)))-SUMPRODUCT(OFFSET(J$346,0,0,1,-OFFSET(Assumptions!$B$86,0,$C$1)),OFFSET(J$15,0,0,1,-OFFSET(Assumptions!$B$86,0,$C$1))))/OFFSET(Assumptions!$B$86,0,$C$1)-(J$347-J$346)/J$13,((J$347-J$346)/J$13-(I$347-I$346)/I$13)/J$2),0))*K$13)</f>
        <v>11.771923668867592</v>
      </c>
      <c r="L347" s="7">
        <f ca="1">SUM(L$346,((K$347-K$346)/K$13+ IF(L$2&gt;0,L$2*IF(L$6=OFFSET(Assumptions!$B$8,0,$C$1),(SUMPRODUCT(OFFSET(K$347,0,0,1,-OFFSET(Assumptions!$B$86,0,$C$1)),OFFSET(K$15,0,0,1,-OFFSET(Assumptions!$B$86,0,$C$1)))-SUMPRODUCT(OFFSET(K$346,0,0,1,-OFFSET(Assumptions!$B$86,0,$C$1)),OFFSET(K$15,0,0,1,-OFFSET(Assumptions!$B$86,0,$C$1))))/OFFSET(Assumptions!$B$86,0,$C$1)-(K$347-K$346)/K$13,((K$347-K$346)/K$13-(J$347-J$346)/J$13)/K$2),0))*L$13)</f>
        <v>12.68546185552762</v>
      </c>
      <c r="M347" s="7">
        <f ca="1">SUM(M$346,((L$347-L$346)/L$13+ IF(M$2&gt;0,M$2*IF(M$6=OFFSET(Assumptions!$B$8,0,$C$1),(SUMPRODUCT(OFFSET(L$347,0,0,1,-OFFSET(Assumptions!$B$86,0,$C$1)),OFFSET(L$15,0,0,1,-OFFSET(Assumptions!$B$86,0,$C$1)))-SUMPRODUCT(OFFSET(L$346,0,0,1,-OFFSET(Assumptions!$B$86,0,$C$1)),OFFSET(L$15,0,0,1,-OFFSET(Assumptions!$B$86,0,$C$1))))/OFFSET(Assumptions!$B$86,0,$C$1)-(L$347-L$346)/L$13,((L$347-L$346)/L$13-(K$347-K$346)/K$13)/L$2),0))*M$13)</f>
        <v>13.557406963607226</v>
      </c>
      <c r="N347" s="7">
        <f ca="1">SUM(N$346,((M$347-M$346)/M$13+ IF(N$2&gt;0,N$2*IF(N$6=OFFSET(Assumptions!$B$8,0,$C$1),(SUMPRODUCT(OFFSET(M$347,0,0,1,-OFFSET(Assumptions!$B$86,0,$C$1)),OFFSET(M$15,0,0,1,-OFFSET(Assumptions!$B$86,0,$C$1)))-SUMPRODUCT(OFFSET(M$346,0,0,1,-OFFSET(Assumptions!$B$86,0,$C$1)),OFFSET(M$15,0,0,1,-OFFSET(Assumptions!$B$86,0,$C$1))))/OFFSET(Assumptions!$B$86,0,$C$1)-(M$347-M$346)/M$13,((M$347-M$346)/M$13-(L$347-L$346)/L$13)/M$2),0))*N$13)</f>
        <v>14.385129925872857</v>
      </c>
      <c r="O347" s="7">
        <f ca="1">SUM(O$346,((N$347-N$346)/N$13+ IF(O$2&gt;0,O$2*IF(O$6=OFFSET(Assumptions!$B$8,0,$C$1),(SUMPRODUCT(OFFSET(N$347,0,0,1,-OFFSET(Assumptions!$B$86,0,$C$1)),OFFSET(N$15,0,0,1,-OFFSET(Assumptions!$B$86,0,$C$1)))-SUMPRODUCT(OFFSET(N$346,0,0,1,-OFFSET(Assumptions!$B$86,0,$C$1)),OFFSET(N$15,0,0,1,-OFFSET(Assumptions!$B$86,0,$C$1))))/OFFSET(Assumptions!$B$86,0,$C$1)-(N$347-N$346)/N$13,((N$347-N$346)/N$13-(M$347-M$346)/M$13)/N$2),0))*O$13)</f>
        <v>15.149571347952058</v>
      </c>
      <c r="P347" s="7">
        <f ca="1">SUM(P$346,((O$347-O$346)/O$13+ IF(P$2&gt;0,P$2*IF(P$6=OFFSET(Assumptions!$B$8,0,$C$1),(SUMPRODUCT(OFFSET(O$347,0,0,1,-OFFSET(Assumptions!$B$86,0,$C$1)),OFFSET(O$15,0,0,1,-OFFSET(Assumptions!$B$86,0,$C$1)))-SUMPRODUCT(OFFSET(O$346,0,0,1,-OFFSET(Assumptions!$B$86,0,$C$1)),OFFSET(O$15,0,0,1,-OFFSET(Assumptions!$B$86,0,$C$1))))/OFFSET(Assumptions!$B$86,0,$C$1)-(O$347-O$346)/O$13,((O$347-O$346)/O$13-(N$347-N$346)/N$13)/O$2),0))*P$13)</f>
        <v>15.840889094438968</v>
      </c>
      <c r="Q347" s="7">
        <f ca="1">SUM(Q$346,((P$347-P$346)/P$13+ IF(Q$2&gt;0,Q$2*IF(Q$6=OFFSET(Assumptions!$B$8,0,$C$1),(SUMPRODUCT(OFFSET(P$347,0,0,1,-OFFSET(Assumptions!$B$86,0,$C$1)),OFFSET(P$15,0,0,1,-OFFSET(Assumptions!$B$86,0,$C$1)))-SUMPRODUCT(OFFSET(P$346,0,0,1,-OFFSET(Assumptions!$B$86,0,$C$1)),OFFSET(P$15,0,0,1,-OFFSET(Assumptions!$B$86,0,$C$1))))/OFFSET(Assumptions!$B$86,0,$C$1)-(P$347-P$346)/P$13,((P$347-P$346)/P$13-(O$347-O$346)/O$13)/P$2),0))*Q$13)</f>
        <v>16.54868360218752</v>
      </c>
      <c r="R347" s="7">
        <f ca="1">SUM(R$346,((Q$347-Q$346)/Q$13+ IF(R$2&gt;0,R$2*IF(R$6=OFFSET(Assumptions!$B$8,0,$C$1),(SUMPRODUCT(OFFSET(Q$347,0,0,1,-OFFSET(Assumptions!$B$86,0,$C$1)),OFFSET(Q$15,0,0,1,-OFFSET(Assumptions!$B$86,0,$C$1)))-SUMPRODUCT(OFFSET(Q$346,0,0,1,-OFFSET(Assumptions!$B$86,0,$C$1)),OFFSET(Q$15,0,0,1,-OFFSET(Assumptions!$B$86,0,$C$1))))/OFFSET(Assumptions!$B$86,0,$C$1)-(Q$347-Q$346)/Q$13,((Q$347-Q$346)/Q$13-(P$347-P$346)/P$13)/Q$2),0))*R$13)</f>
        <v>17.270965096263982</v>
      </c>
      <c r="S347" s="7">
        <f ca="1">SUM(S$346,((R$347-R$346)/R$13+ IF(S$2&gt;0,S$2*IF(S$6=OFFSET(Assumptions!$B$8,0,$C$1),(SUMPRODUCT(OFFSET(R$347,0,0,1,-OFFSET(Assumptions!$B$86,0,$C$1)),OFFSET(R$15,0,0,1,-OFFSET(Assumptions!$B$86,0,$C$1)))-SUMPRODUCT(OFFSET(R$346,0,0,1,-OFFSET(Assumptions!$B$86,0,$C$1)),OFFSET(R$15,0,0,1,-OFFSET(Assumptions!$B$86,0,$C$1))))/OFFSET(Assumptions!$B$86,0,$C$1)-(R$347-R$346)/R$13,((R$347-R$346)/R$13-(Q$347-Q$346)/Q$13)/R$2),0))*S$13)</f>
        <v>18.006632027656135</v>
      </c>
      <c r="T347" s="134">
        <f ca="1">SUM(T$346,((S$347-S$346)/S$13+ IF(T$2&gt;0,T$2*IF(T$6=OFFSET(Assumptions!$B$8,0,$C$1),(SUMPRODUCT(OFFSET(S$347,0,0,1,-OFFSET(Assumptions!$B$86,0,$C$1)),OFFSET(S$15,0,0,1,-OFFSET(Assumptions!$B$86,0,$C$1)))-SUMPRODUCT(OFFSET(S$346,0,0,1,-OFFSET(Assumptions!$B$86,0,$C$1)),OFFSET(S$15,0,0,1,-OFFSET(Assumptions!$B$86,0,$C$1))))/OFFSET(Assumptions!$B$86,0,$C$1)-(S$347-S$346)/S$13,((S$347-S$346)/S$13-(R$347-R$346)/R$13)/S$2),0))*T$13)</f>
        <v>18.763220628093869</v>
      </c>
    </row>
    <row r="348" spans="1:20" ht="15">
      <c r="A348" s="2"/>
      <c r="B348" s="4"/>
      <c r="D348" s="7"/>
      <c r="E348" s="134"/>
      <c r="F348" s="7"/>
      <c r="G348" s="7"/>
      <c r="H348" s="7"/>
      <c r="I348" s="7"/>
      <c r="J348" s="134"/>
      <c r="K348" s="7"/>
      <c r="L348" s="7"/>
      <c r="M348" s="7"/>
      <c r="N348" s="7"/>
      <c r="O348" s="7"/>
      <c r="P348" s="7"/>
      <c r="Q348" s="7"/>
      <c r="R348" s="7"/>
      <c r="S348" s="7"/>
      <c r="T348" s="134"/>
    </row>
    <row r="349" spans="1:20">
      <c r="A349" s="18" t="s">
        <v>199</v>
      </c>
      <c r="B349" s="4"/>
      <c r="E349" s="167"/>
      <c r="J349" s="167"/>
    </row>
    <row r="350" spans="1:20">
      <c r="A350" s="1" t="s">
        <v>484</v>
      </c>
      <c r="B350" s="4"/>
      <c r="D350" s="14">
        <f>'Fiscal Forecasts'!D$351-D$75</f>
        <v>0.63100000000000023</v>
      </c>
      <c r="E350" s="175">
        <f>'Fiscal Forecasts'!E$351-E$75</f>
        <v>1.377999999999993</v>
      </c>
      <c r="F350" s="176">
        <f>'Fiscal Forecasts'!F$351-F$75</f>
        <v>2.8969999999999985</v>
      </c>
      <c r="G350" s="176">
        <f>'Fiscal Forecasts'!G$351-G$75</f>
        <v>2.9669999999999916</v>
      </c>
      <c r="H350" s="176">
        <f>'Fiscal Forecasts'!H$351-H$75</f>
        <v>2.6839999999999975</v>
      </c>
      <c r="I350" s="176">
        <f>'Fiscal Forecasts'!I$351-I$75</f>
        <v>2.5090000000000003</v>
      </c>
      <c r="J350" s="176">
        <f>'Fiscal Forecasts'!J$351-J$75</f>
        <v>2.3719999999999999</v>
      </c>
      <c r="K350" s="6">
        <f t="shared" ref="K350:T350" ca="1" si="197">SUM(J$350,K$449-J$449)</f>
        <v>2.4341455128597498</v>
      </c>
      <c r="L350" s="6">
        <f t="shared" ca="1" si="197"/>
        <v>2.4902893071263428</v>
      </c>
      <c r="M350" s="6">
        <f t="shared" ca="1" si="197"/>
        <v>2.6698035451126794</v>
      </c>
      <c r="N350" s="6">
        <f t="shared" ca="1" si="197"/>
        <v>2.8533245840422374</v>
      </c>
      <c r="O350" s="6">
        <f t="shared" ca="1" si="197"/>
        <v>3.0419019215472667</v>
      </c>
      <c r="P350" s="6">
        <f t="shared" ca="1" si="197"/>
        <v>3.2363610737299799</v>
      </c>
      <c r="Q350" s="6">
        <f t="shared" ca="1" si="197"/>
        <v>3.4367865850737891</v>
      </c>
      <c r="R350" s="104">
        <f t="shared" ca="1" si="197"/>
        <v>3.6425659063949318</v>
      </c>
      <c r="S350" s="104">
        <f t="shared" ca="1" si="197"/>
        <v>3.853076649655113</v>
      </c>
      <c r="T350" s="171">
        <f t="shared" ca="1" si="197"/>
        <v>4.0690527389773496</v>
      </c>
    </row>
    <row r="351" spans="1:20">
      <c r="A351" s="1" t="s">
        <v>322</v>
      </c>
      <c r="B351" s="4" t="str">
        <f>$B$39</f>
        <v>From Fiscal Forecasts</v>
      </c>
      <c r="D351" s="14">
        <f>'Fiscal Forecasts'!D$305</f>
        <v>13.763999999999999</v>
      </c>
      <c r="E351" s="175">
        <f>'Fiscal Forecasts'!E$305</f>
        <v>14.29</v>
      </c>
      <c r="F351" s="15">
        <f>'Fiscal Forecasts'!F$305</f>
        <v>14.612</v>
      </c>
      <c r="G351" s="15">
        <f>'Fiscal Forecasts'!G$305</f>
        <v>13.942</v>
      </c>
      <c r="H351" s="15">
        <f>'Fiscal Forecasts'!H$305</f>
        <v>14.606999999999999</v>
      </c>
      <c r="I351" s="15">
        <f>'Fiscal Forecasts'!I$305</f>
        <v>14.678000000000001</v>
      </c>
      <c r="J351" s="176">
        <f>'Fiscal Forecasts'!J$305</f>
        <v>14.933</v>
      </c>
      <c r="K351" s="6">
        <f t="shared" ref="K351:T351" ca="1" si="198">J$351*K$135/J$135</f>
        <v>15.691377754400675</v>
      </c>
      <c r="L351" s="6">
        <f t="shared" ca="1" si="198"/>
        <v>16.387825530100123</v>
      </c>
      <c r="M351" s="6">
        <f t="shared" ca="1" si="198"/>
        <v>17.075330124476721</v>
      </c>
      <c r="N351" s="6">
        <f t="shared" ca="1" si="198"/>
        <v>17.818438281186133</v>
      </c>
      <c r="O351" s="6">
        <f t="shared" ca="1" si="198"/>
        <v>18.5467055955985</v>
      </c>
      <c r="P351" s="6">
        <f t="shared" ca="1" si="198"/>
        <v>19.289614549784201</v>
      </c>
      <c r="Q351" s="6">
        <f t="shared" ca="1" si="198"/>
        <v>20.047808461327662</v>
      </c>
      <c r="R351" s="104">
        <f t="shared" ca="1" si="198"/>
        <v>20.819245164189343</v>
      </c>
      <c r="S351" s="104">
        <f t="shared" ca="1" si="198"/>
        <v>21.603309207061443</v>
      </c>
      <c r="T351" s="171">
        <f t="shared" ca="1" si="198"/>
        <v>22.410619343726484</v>
      </c>
    </row>
    <row r="352" spans="1:20">
      <c r="A352" s="1" t="s">
        <v>485</v>
      </c>
      <c r="B352" s="4" t="str">
        <f>$B$39</f>
        <v>From Fiscal Forecasts</v>
      </c>
      <c r="D352" s="14">
        <f>'Fiscal Forecasts'!D$172-SUM(D$350:D$351)</f>
        <v>2.1780000000000008</v>
      </c>
      <c r="E352" s="175">
        <f>'Fiscal Forecasts'!E$172-SUM(E$350:E$351)</f>
        <v>2.4320000000000093</v>
      </c>
      <c r="F352" s="15">
        <f>'Fiscal Forecasts'!F$172-SUM(F$350:F$351)</f>
        <v>0.9789999999999992</v>
      </c>
      <c r="G352" s="15">
        <f>'Fiscal Forecasts'!G$172-SUM(G$350:G$351)</f>
        <v>1.1510000000000069</v>
      </c>
      <c r="H352" s="15">
        <f>'Fiscal Forecasts'!H$172-SUM(H$350:H$351)</f>
        <v>1.6220000000000034</v>
      </c>
      <c r="I352" s="15">
        <f>'Fiscal Forecasts'!I$172-SUM(I$350:I$351)</f>
        <v>2.286999999999999</v>
      </c>
      <c r="J352" s="176">
        <f>'Fiscal Forecasts'!J$172-SUM(J$350:J$351)</f>
        <v>2.91</v>
      </c>
      <c r="K352" s="131">
        <f t="shared" ref="K352:T352" ca="1" si="199">SUM(J$352,K$451-J$451,K$472-J$472)</f>
        <v>3.2499026443478836</v>
      </c>
      <c r="L352" s="131">
        <f t="shared" ca="1" si="199"/>
        <v>3.590052522675534</v>
      </c>
      <c r="M352" s="131">
        <f t="shared" ca="1" si="199"/>
        <v>3.9296599388015183</v>
      </c>
      <c r="N352" s="131">
        <f t="shared" ca="1" si="199"/>
        <v>4.2724502823584789</v>
      </c>
      <c r="O352" s="131">
        <f t="shared" ca="1" si="199"/>
        <v>4.6184229687465814</v>
      </c>
      <c r="P352" s="131">
        <f t="shared" ca="1" si="199"/>
        <v>4.9674701217626449</v>
      </c>
      <c r="Q352" s="131">
        <f t="shared" ca="1" si="199"/>
        <v>5.31898885243828</v>
      </c>
      <c r="R352" s="131">
        <f t="shared" ca="1" si="199"/>
        <v>5.6729858642414035</v>
      </c>
      <c r="S352" s="131">
        <f t="shared" ca="1" si="199"/>
        <v>6.0297024403126649</v>
      </c>
      <c r="T352" s="171">
        <f t="shared" ca="1" si="199"/>
        <v>6.3935210454728821</v>
      </c>
    </row>
    <row r="353" spans="1:20" ht="15">
      <c r="A353" s="2" t="s">
        <v>486</v>
      </c>
      <c r="B353" s="4"/>
      <c r="D353" s="34">
        <f t="shared" ref="D353:T353" si="200">SUM(D$350:D$352)</f>
        <v>16.573</v>
      </c>
      <c r="E353" s="138">
        <f t="shared" si="200"/>
        <v>18.100000000000001</v>
      </c>
      <c r="F353" s="33">
        <f t="shared" si="200"/>
        <v>18.488</v>
      </c>
      <c r="G353" s="33">
        <f t="shared" si="200"/>
        <v>18.059999999999999</v>
      </c>
      <c r="H353" s="33">
        <f t="shared" si="200"/>
        <v>18.913</v>
      </c>
      <c r="I353" s="33">
        <f t="shared" si="200"/>
        <v>19.474</v>
      </c>
      <c r="J353" s="137">
        <f t="shared" si="200"/>
        <v>20.215</v>
      </c>
      <c r="K353" s="37">
        <f t="shared" ca="1" si="200"/>
        <v>21.375425911608307</v>
      </c>
      <c r="L353" s="37">
        <f t="shared" ca="1" si="200"/>
        <v>22.468167359902001</v>
      </c>
      <c r="M353" s="37">
        <f t="shared" ca="1" si="200"/>
        <v>23.674793608390917</v>
      </c>
      <c r="N353" s="37">
        <f t="shared" ca="1" si="200"/>
        <v>24.944213147586851</v>
      </c>
      <c r="O353" s="37">
        <f t="shared" ca="1" si="200"/>
        <v>26.20703048589235</v>
      </c>
      <c r="P353" s="37">
        <f t="shared" ca="1" si="200"/>
        <v>27.493445745276826</v>
      </c>
      <c r="Q353" s="37">
        <f t="shared" ca="1" si="200"/>
        <v>28.803583898839733</v>
      </c>
      <c r="R353" s="37">
        <f t="shared" ca="1" si="200"/>
        <v>30.13479693482568</v>
      </c>
      <c r="S353" s="37">
        <f t="shared" ca="1" si="200"/>
        <v>31.48608829702922</v>
      </c>
      <c r="T353" s="140">
        <f t="shared" ca="1" si="200"/>
        <v>32.873193128176716</v>
      </c>
    </row>
    <row r="354" spans="1:20" ht="15">
      <c r="A354" s="2" t="s">
        <v>487</v>
      </c>
      <c r="B354" s="4" t="str">
        <f>$B$39</f>
        <v>From Fiscal Forecasts</v>
      </c>
      <c r="D354" s="39">
        <f>'Fiscal Forecasts'!D$117</f>
        <v>23.327000000000002</v>
      </c>
      <c r="E354" s="142">
        <f>'Fiscal Forecasts'!E$117</f>
        <v>24.742999999999999</v>
      </c>
      <c r="F354" s="38">
        <f>'Fiscal Forecasts'!F$117</f>
        <v>25.001000000000001</v>
      </c>
      <c r="G354" s="38">
        <f>'Fiscal Forecasts'!G$117</f>
        <v>24.66</v>
      </c>
      <c r="H354" s="38">
        <f>'Fiscal Forecasts'!H$117</f>
        <v>25.73</v>
      </c>
      <c r="I354" s="38">
        <f>'Fiscal Forecasts'!I$117</f>
        <v>26.594999999999999</v>
      </c>
      <c r="J354" s="141">
        <f>'Fiscal Forecasts'!J$117</f>
        <v>27.579000000000001</v>
      </c>
      <c r="K354" s="7">
        <f t="shared" ref="K354:T354" ca="1" si="201">J$354+K$353-J$353+K$453-K$452-(J$453-J$452)+K$474-K$473-(J$474-J$473)</f>
        <v>29.085416462743339</v>
      </c>
      <c r="L354" s="7">
        <f t="shared" ca="1" si="201"/>
        <v>30.524400124294552</v>
      </c>
      <c r="M354" s="7">
        <f t="shared" ca="1" si="201"/>
        <v>32.076716407941625</v>
      </c>
      <c r="N354" s="7">
        <f t="shared" ca="1" si="201"/>
        <v>33.695065918302028</v>
      </c>
      <c r="O354" s="7">
        <f t="shared" ca="1" si="201"/>
        <v>35.310052568707874</v>
      </c>
      <c r="P354" s="7">
        <f t="shared" ca="1" si="201"/>
        <v>36.951766672783123</v>
      </c>
      <c r="Q354" s="7">
        <f t="shared" ca="1" si="201"/>
        <v>38.619719516473204</v>
      </c>
      <c r="R354" s="7">
        <f t="shared" ca="1" si="201"/>
        <v>40.31126991155471</v>
      </c>
      <c r="S354" s="7">
        <f t="shared" ca="1" si="201"/>
        <v>42.025666906521657</v>
      </c>
      <c r="T354" s="134">
        <f t="shared" ca="1" si="201"/>
        <v>43.783106602094982</v>
      </c>
    </row>
    <row r="355" spans="1:20" ht="15">
      <c r="A355" s="2"/>
      <c r="B355" s="4"/>
      <c r="D355" s="104"/>
      <c r="E355" s="171"/>
      <c r="J355" s="167"/>
    </row>
    <row r="356" spans="1:20" ht="15">
      <c r="A356" s="18" t="s">
        <v>200</v>
      </c>
      <c r="B356" s="4"/>
      <c r="D356" s="39"/>
      <c r="E356" s="142"/>
      <c r="F356" s="38"/>
      <c r="G356" s="38"/>
      <c r="H356" s="38"/>
      <c r="I356" s="38"/>
      <c r="J356" s="141"/>
      <c r="K356" s="7"/>
      <c r="L356" s="7"/>
      <c r="M356" s="7"/>
      <c r="N356" s="7"/>
      <c r="O356" s="7"/>
      <c r="P356" s="7"/>
      <c r="Q356" s="7"/>
      <c r="R356" s="7"/>
      <c r="S356" s="7"/>
      <c r="T356" s="134"/>
    </row>
    <row r="357" spans="1:20">
      <c r="A357" s="1" t="s">
        <v>492</v>
      </c>
      <c r="B357" s="4"/>
      <c r="D357" s="14">
        <f ca="1">OFFSET(Assumptions!$B$76,0,$C$1)*D$384</f>
        <v>17.722800000000003</v>
      </c>
      <c r="E357" s="175">
        <f ca="1">OFFSET(Assumptions!$B$76,0,$C$1)*E$384</f>
        <v>19.288399999999999</v>
      </c>
      <c r="F357" s="15">
        <f ca="1">OFFSET(Assumptions!$B$76,0,$C$1)*F$384</f>
        <v>24.504000000000001</v>
      </c>
      <c r="G357" s="15">
        <f ca="1">OFFSET(Assumptions!$B$76,0,$C$1)*G$384</f>
        <v>25.944800000000001</v>
      </c>
      <c r="H357" s="15">
        <f ca="1">OFFSET(Assumptions!$B$76,0,$C$1)*H$384</f>
        <v>27.863200000000003</v>
      </c>
      <c r="I357" s="15">
        <f ca="1">OFFSET(Assumptions!$B$76,0,$C$1)*I$384</f>
        <v>30.092000000000002</v>
      </c>
      <c r="J357" s="176">
        <f ca="1">OFFSET(Assumptions!$B$76,0,$C$1)*J$384</f>
        <v>32.562800000000003</v>
      </c>
      <c r="K357" s="131">
        <f ca="1">OFFSET(Assumptions!$B$76,0,$C$1)*K$384</f>
        <v>35.077825682891444</v>
      </c>
      <c r="L357" s="131">
        <f ca="1">OFFSET(Assumptions!$B$76,0,$C$1)*L$384</f>
        <v>37.653136551788343</v>
      </c>
      <c r="M357" s="131">
        <f ca="1">OFFSET(Assumptions!$B$76,0,$C$1)*M$384</f>
        <v>40.397139903865209</v>
      </c>
      <c r="N357" s="131">
        <f ca="1">OFFSET(Assumptions!$B$76,0,$C$1)*N$384</f>
        <v>43.20239007035989</v>
      </c>
      <c r="O357" s="131">
        <f ca="1">OFFSET(Assumptions!$B$76,0,$C$1)*O$384</f>
        <v>46.084929372222497</v>
      </c>
      <c r="P357" s="131">
        <f ca="1">OFFSET(Assumptions!$B$76,0,$C$1)*P$384</f>
        <v>49.057376412729639</v>
      </c>
      <c r="Q357" s="131">
        <f ca="1">OFFSET(Assumptions!$B$76,0,$C$1)*Q$384</f>
        <v>52.121023514699381</v>
      </c>
      <c r="R357" s="131">
        <f ca="1">OFFSET(Assumptions!$B$76,0,$C$1)*R$384</f>
        <v>55.266507426322441</v>
      </c>
      <c r="S357" s="131">
        <f ca="1">OFFSET(Assumptions!$B$76,0,$C$1)*S$384</f>
        <v>58.484314501871012</v>
      </c>
      <c r="T357" s="171">
        <f ca="1">OFFSET(Assumptions!$B$76,0,$C$1)*T$384</f>
        <v>61.78566329579666</v>
      </c>
    </row>
    <row r="358" spans="1:20">
      <c r="A358" s="1" t="s">
        <v>493</v>
      </c>
      <c r="B358" s="4" t="str">
        <f>$B$39</f>
        <v>From Fiscal Forecasts</v>
      </c>
      <c r="D358" s="14">
        <f ca="1">'Fiscal Forecasts'!D$173-OFFSET(Assumptions!$B$76,0,$C$1)*'Fiscal Forecasts'!D$351</f>
        <v>9.6831999999999958</v>
      </c>
      <c r="E358" s="175">
        <f ca="1">'Fiscal Forecasts'!E$173-OFFSET(Assumptions!$B$76,0,$C$1)*'Fiscal Forecasts'!E$351</f>
        <v>24.377599999999997</v>
      </c>
      <c r="F358" s="15">
        <f ca="1">'Fiscal Forecasts'!F$173-OFFSET(Assumptions!$B$76,0,$C$1)*'Fiscal Forecasts'!F$351</f>
        <v>13.886999999999997</v>
      </c>
      <c r="G358" s="15">
        <f ca="1">'Fiscal Forecasts'!G$173-OFFSET(Assumptions!$B$76,0,$C$1)*'Fiscal Forecasts'!G$351</f>
        <v>12.601199999999999</v>
      </c>
      <c r="H358" s="15">
        <f ca="1">'Fiscal Forecasts'!H$173-OFFSET(Assumptions!$B$76,0,$C$1)*'Fiscal Forecasts'!H$351</f>
        <v>11.817799999999995</v>
      </c>
      <c r="I358" s="15">
        <f ca="1">'Fiscal Forecasts'!I$173-OFFSET(Assumptions!$B$76,0,$C$1)*'Fiscal Forecasts'!I$351</f>
        <v>10.995999999999999</v>
      </c>
      <c r="J358" s="176">
        <f ca="1">'Fiscal Forecasts'!J$173-OFFSET(Assumptions!$B$76,0,$C$1)*'Fiscal Forecasts'!J$351</f>
        <v>11.588200000000001</v>
      </c>
      <c r="K358" s="6">
        <f ca="1">(J$358/J$13+ IF(K$2&gt;0,K$2*IF(K$6=OFFSET(Assumptions!$B$8,0,$C$1),SUMPRODUCT(OFFSET(J$358,0,0,1,-OFFSET(Assumptions!$B$86,0,$C$1)),OFFSET(J$15,0,0,1,-OFFSET(Assumptions!$B$86,0,$C$1)))/OFFSET(Assumptions!$B$86,0,$C$1)-J$358/J$13,(J$358/J$13-I$358/I$13)/J$2),0))*K$13</f>
        <v>12.290655358492378</v>
      </c>
      <c r="L358" s="6">
        <f ca="1">(K$358/K$13+ IF(L$2&gt;0,L$2*IF(L$6=OFFSET(Assumptions!$B$8,0,$C$1),SUMPRODUCT(OFFSET(K$358,0,0,1,-OFFSET(Assumptions!$B$86,0,$C$1)),OFFSET(K$15,0,0,1,-OFFSET(Assumptions!$B$86,0,$C$1)))/OFFSET(Assumptions!$B$86,0,$C$1)-K$358/K$13,(K$358/K$13-J$358/J$13)/K$2),0))*L$13</f>
        <v>12.970047635074945</v>
      </c>
      <c r="M358" s="6">
        <f ca="1">(L$358/L$13+ IF(M$2&gt;0,M$2*IF(M$6=OFFSET(Assumptions!$B$8,0,$C$1),SUMPRODUCT(OFFSET(L$358,0,0,1,-OFFSET(Assumptions!$B$86,0,$C$1)),OFFSET(L$15,0,0,1,-OFFSET(Assumptions!$B$86,0,$C$1)))/OFFSET(Assumptions!$B$86,0,$C$1)-L$358/L$13,(L$358/L$13-K$358/K$13)/L$2),0))*M$13</f>
        <v>13.627853650940288</v>
      </c>
      <c r="N358" s="6">
        <f ca="1">(M$358/M$13+ IF(N$2&gt;0,N$2*IF(N$6=OFFSET(Assumptions!$B$8,0,$C$1),SUMPRODUCT(OFFSET(M$358,0,0,1,-OFFSET(Assumptions!$B$86,0,$C$1)),OFFSET(M$15,0,0,1,-OFFSET(Assumptions!$B$86,0,$C$1)))/OFFSET(Assumptions!$B$86,0,$C$1)-M$358/M$13,(M$358/M$13-L$358/L$13)/M$2),0))*N$13</f>
        <v>14.279083043118353</v>
      </c>
      <c r="O358" s="6">
        <f ca="1">(N$358/N$13+ IF(O$2&gt;0,O$2*IF(O$6=OFFSET(Assumptions!$B$8,0,$C$1),SUMPRODUCT(OFFSET(N$358,0,0,1,-OFFSET(Assumptions!$B$86,0,$C$1)),OFFSET(N$15,0,0,1,-OFFSET(Assumptions!$B$86,0,$C$1)))/OFFSET(Assumptions!$B$86,0,$C$1)-N$358/N$13,(N$358/N$13-M$358/M$13)/N$2),0))*O$13</f>
        <v>14.905780871967258</v>
      </c>
      <c r="P358" s="6">
        <f ca="1">(O$358/O$13+ IF(P$2&gt;0,P$2*IF(P$6=OFFSET(Assumptions!$B$8,0,$C$1),SUMPRODUCT(OFFSET(O$358,0,0,1,-OFFSET(Assumptions!$B$86,0,$C$1)),OFFSET(O$15,0,0,1,-OFFSET(Assumptions!$B$86,0,$C$1)))/OFFSET(Assumptions!$B$86,0,$C$1)-O$358/O$13,(O$358/O$13-N$358/N$13)/O$2),0))*P$13</f>
        <v>15.502848530254907</v>
      </c>
      <c r="Q358" s="6">
        <f ca="1">(P$358/P$13+ IF(Q$2&gt;0,Q$2*IF(Q$6=OFFSET(Assumptions!$B$8,0,$C$1),SUMPRODUCT(OFFSET(P$358,0,0,1,-OFFSET(Assumptions!$B$86,0,$C$1)),OFFSET(P$15,0,0,1,-OFFSET(Assumptions!$B$86,0,$C$1)))/OFFSET(Assumptions!$B$86,0,$C$1)-P$358/P$13,(P$358/P$13-O$358/O$13)/P$2),0))*Q$13</f>
        <v>16.112200538657344</v>
      </c>
      <c r="R358" s="104">
        <f ca="1">(Q$358/Q$13+ IF(R$2&gt;0,R$2*IF(R$6=OFFSET(Assumptions!$B$8,0,$C$1),SUMPRODUCT(OFFSET(Q$358,0,0,1,-OFFSET(Assumptions!$B$86,0,$C$1)),OFFSET(Q$15,0,0,1,-OFFSET(Assumptions!$B$86,0,$C$1)))/OFFSET(Assumptions!$B$86,0,$C$1)-Q$358/Q$13,(Q$358/Q$13-P$358/P$13)/Q$2),0))*R$13</f>
        <v>16.732195631056829</v>
      </c>
      <c r="S358" s="104">
        <f ca="1">(R$358/R$13+ IF(S$2&gt;0,S$2*IF(S$6=OFFSET(Assumptions!$B$8,0,$C$1),SUMPRODUCT(OFFSET(R$358,0,0,1,-OFFSET(Assumptions!$B$86,0,$C$1)),OFFSET(R$15,0,0,1,-OFFSET(Assumptions!$B$86,0,$C$1)))/OFFSET(Assumptions!$B$86,0,$C$1)-R$358/R$13,(R$358/R$13-Q$358/Q$13)/R$2),0))*S$13</f>
        <v>17.362339176086941</v>
      </c>
      <c r="T358" s="171">
        <f ca="1">(S$358/S$13+ IF(T$2&gt;0,T$2*IF(T$6=OFFSET(Assumptions!$B$8,0,$C$1),SUMPRODUCT(OFFSET(S$358,0,0,1,-OFFSET(Assumptions!$B$86,0,$C$1)),OFFSET(S$15,0,0,1,-OFFSET(Assumptions!$B$86,0,$C$1)))/OFFSET(Assumptions!$B$86,0,$C$1)-S$358/S$13,(S$358/S$13-R$358/R$13)/S$2),0))*T$13</f>
        <v>18.011165347981471</v>
      </c>
    </row>
    <row r="359" spans="1:20" ht="15">
      <c r="A359" s="2" t="s">
        <v>494</v>
      </c>
      <c r="B359" s="4"/>
      <c r="D359" s="34">
        <f t="shared" ref="D359:T359" ca="1" si="202">SUM(D$357:D$358)</f>
        <v>27.405999999999999</v>
      </c>
      <c r="E359" s="138">
        <f t="shared" ca="1" si="202"/>
        <v>43.665999999999997</v>
      </c>
      <c r="F359" s="33">
        <f t="shared" ca="1" si="202"/>
        <v>38.390999999999998</v>
      </c>
      <c r="G359" s="33">
        <f t="shared" ca="1" si="202"/>
        <v>38.545999999999999</v>
      </c>
      <c r="H359" s="33">
        <f t="shared" ca="1" si="202"/>
        <v>39.680999999999997</v>
      </c>
      <c r="I359" s="33">
        <f t="shared" ca="1" si="202"/>
        <v>41.088000000000001</v>
      </c>
      <c r="J359" s="137">
        <f t="shared" ca="1" si="202"/>
        <v>44.151000000000003</v>
      </c>
      <c r="K359" s="37">
        <f t="shared" ca="1" si="202"/>
        <v>47.368481041383824</v>
      </c>
      <c r="L359" s="37">
        <f t="shared" ca="1" si="202"/>
        <v>50.623184186863284</v>
      </c>
      <c r="M359" s="37">
        <f t="shared" ca="1" si="202"/>
        <v>54.024993554805498</v>
      </c>
      <c r="N359" s="37">
        <f t="shared" ca="1" si="202"/>
        <v>57.481473113478245</v>
      </c>
      <c r="O359" s="37">
        <f t="shared" ca="1" si="202"/>
        <v>60.990710244189756</v>
      </c>
      <c r="P359" s="37">
        <f t="shared" ca="1" si="202"/>
        <v>64.560224942984547</v>
      </c>
      <c r="Q359" s="37">
        <f t="shared" ca="1" si="202"/>
        <v>68.233224053356722</v>
      </c>
      <c r="R359" s="37">
        <f t="shared" ca="1" si="202"/>
        <v>71.998703057379274</v>
      </c>
      <c r="S359" s="37">
        <f t="shared" ca="1" si="202"/>
        <v>75.84665367795796</v>
      </c>
      <c r="T359" s="140">
        <f t="shared" ca="1" si="202"/>
        <v>79.796828643778127</v>
      </c>
    </row>
    <row r="360" spans="1:20">
      <c r="A360" s="1" t="s">
        <v>256</v>
      </c>
      <c r="B360" s="4" t="str">
        <f>$B$39</f>
        <v>From Fiscal Forecasts</v>
      </c>
      <c r="D360" s="14">
        <f>'Fiscal Forecasts'!D$205</f>
        <v>33.838000000000001</v>
      </c>
      <c r="E360" s="175">
        <f>'Fiscal Forecasts'!E$205</f>
        <v>34.494</v>
      </c>
      <c r="F360" s="15">
        <f>'Fiscal Forecasts'!F$205</f>
        <v>32.215000000000003</v>
      </c>
      <c r="G360" s="15">
        <f>'Fiscal Forecasts'!G$205</f>
        <v>31.315000000000001</v>
      </c>
      <c r="H360" s="15">
        <f>'Fiscal Forecasts'!H$205</f>
        <v>31.106999999999999</v>
      </c>
      <c r="I360" s="15">
        <f>'Fiscal Forecasts'!I$205</f>
        <v>31.552</v>
      </c>
      <c r="J360" s="176">
        <f>'Fiscal Forecasts'!J$205</f>
        <v>31.445</v>
      </c>
      <c r="K360" s="6">
        <f>J$360*Exogenous!V$28/Exogenous!U$28</f>
        <v>32.647242358462464</v>
      </c>
      <c r="L360" s="6">
        <f>K$360*Exogenous!W$28/Exogenous!V$28</f>
        <v>33.928832420365069</v>
      </c>
      <c r="M360" s="6">
        <f>L$360*Exogenous!X$28/Exogenous!W$28</f>
        <v>35.294116517426495</v>
      </c>
      <c r="N360" s="6">
        <f>M$360*Exogenous!Y$28/Exogenous!X$28</f>
        <v>36.743068916695741</v>
      </c>
      <c r="O360" s="6">
        <f>N$360*Exogenous!Z$28/Exogenous!Y$28</f>
        <v>38.280651552208418</v>
      </c>
      <c r="P360" s="6">
        <f>O$360*Exogenous!AA$28/Exogenous!Z$28</f>
        <v>39.879939391445888</v>
      </c>
      <c r="Q360" s="6">
        <f>P$360*Exogenous!AB$28/Exogenous!AA$28</f>
        <v>41.52495142885148</v>
      </c>
      <c r="R360" s="104">
        <f>Q$360*Exogenous!AC$28/Exogenous!AB$28</f>
        <v>43.247383838315685</v>
      </c>
      <c r="S360" s="104">
        <f>R$360*Exogenous!AD$28/Exogenous!AC$28</f>
        <v>45.063218238664483</v>
      </c>
      <c r="T360" s="171">
        <f>S$360*Exogenous!AE$28/Exogenous!AD$28</f>
        <v>46.951986952242621</v>
      </c>
    </row>
    <row r="361" spans="1:20">
      <c r="A361" s="1" t="s">
        <v>418</v>
      </c>
      <c r="B361" s="4" t="str">
        <f>$B$39</f>
        <v>From Fiscal Forecasts</v>
      </c>
      <c r="D361" s="14">
        <f>'Fiscal Forecasts'!D$206</f>
        <v>3.3879999999999999</v>
      </c>
      <c r="E361" s="175">
        <f>'Fiscal Forecasts'!E$206</f>
        <v>3.88</v>
      </c>
      <c r="F361" s="15">
        <f>'Fiscal Forecasts'!F$206</f>
        <v>4.2850000000000001</v>
      </c>
      <c r="G361" s="15">
        <f>'Fiscal Forecasts'!G$206</f>
        <v>3.927</v>
      </c>
      <c r="H361" s="15">
        <f>'Fiscal Forecasts'!H$206</f>
        <v>3.7989999999999999</v>
      </c>
      <c r="I361" s="15">
        <f>'Fiscal Forecasts'!I$206</f>
        <v>3.8959999999999999</v>
      </c>
      <c r="J361" s="176">
        <f>'Fiscal Forecasts'!J$206</f>
        <v>3.9369999999999998</v>
      </c>
      <c r="K361" s="6">
        <f ca="1">(J$361/J$13+ IF(K$2&gt;0,K$2*IF(K$6=OFFSET(Assumptions!$B$8,0,$C$1),SUMPRODUCT(OFFSET(J$361,0,0,1,-OFFSET(Assumptions!$B$86,0,$C$1)),OFFSET(J$15,0,0,1,-OFFSET(Assumptions!$B$86,0,$C$1)))/OFFSET(Assumptions!$B$86,0,$C$1)-J$361/J$13,(J$361/J$13-I$361/I$13)/J$2),0))*K$13</f>
        <v>4.1673137060784482</v>
      </c>
      <c r="L361" s="6">
        <f ca="1">(K$361/K$13+ IF(L$2&gt;0,L$2*IF(L$6=OFFSET(Assumptions!$B$8,0,$C$1),SUMPRODUCT(OFFSET(K$361,0,0,1,-OFFSET(Assumptions!$B$86,0,$C$1)),OFFSET(K$15,0,0,1,-OFFSET(Assumptions!$B$86,0,$C$1)))/OFFSET(Assumptions!$B$86,0,$C$1)-K$361/K$13,(K$361/K$13-J$361/J$13)/K$2),0))*L$13</f>
        <v>4.3908190677685308</v>
      </c>
      <c r="M361" s="6">
        <f ca="1">(L$361/L$13+ IF(M$2&gt;0,M$2*IF(M$6=OFFSET(Assumptions!$B$8,0,$C$1),SUMPRODUCT(OFFSET(L$361,0,0,1,-OFFSET(Assumptions!$B$86,0,$C$1)),OFFSET(L$15,0,0,1,-OFFSET(Assumptions!$B$86,0,$C$1)))/OFFSET(Assumptions!$B$86,0,$C$1)-L$361/L$13,(L$361/L$13-K$361/K$13)/L$2),0))*M$13</f>
        <v>4.6082218541171125</v>
      </c>
      <c r="N361" s="6">
        <f ca="1">(M$361/M$13+ IF(N$2&gt;0,N$2*IF(N$6=OFFSET(Assumptions!$B$8,0,$C$1),SUMPRODUCT(OFFSET(M$361,0,0,1,-OFFSET(Assumptions!$B$86,0,$C$1)),OFFSET(M$15,0,0,1,-OFFSET(Assumptions!$B$86,0,$C$1)))/OFFSET(Assumptions!$B$86,0,$C$1)-M$361/M$13,(M$361/M$13-L$361/L$13)/M$2),0))*N$13</f>
        <v>4.8247939392762431</v>
      </c>
      <c r="O361" s="6">
        <f ca="1">(N$361/N$13+ IF(O$2&gt;0,O$2*IF(O$6=OFFSET(Assumptions!$B$8,0,$C$1),SUMPRODUCT(OFFSET(N$361,0,0,1,-OFFSET(Assumptions!$B$86,0,$C$1)),OFFSET(N$15,0,0,1,-OFFSET(Assumptions!$B$86,0,$C$1)))/OFFSET(Assumptions!$B$86,0,$C$1)-N$361/N$13,(N$361/N$13-M$361/M$13)/N$2),0))*O$13</f>
        <v>5.0346675312322668</v>
      </c>
      <c r="P361" s="6">
        <f ca="1">(O$361/O$13+ IF(P$2&gt;0,P$2*IF(P$6=OFFSET(Assumptions!$B$8,0,$C$1),SUMPRODUCT(OFFSET(O$361,0,0,1,-OFFSET(Assumptions!$B$86,0,$C$1)),OFFSET(O$15,0,0,1,-OFFSET(Assumptions!$B$86,0,$C$1)))/OFFSET(Assumptions!$B$86,0,$C$1)-O$361/O$13,(O$361/O$13-N$361/N$13)/O$2),0))*P$13</f>
        <v>5.2363367479576413</v>
      </c>
      <c r="Q361" s="6">
        <f ca="1">(P$361/P$13+ IF(Q$2&gt;0,Q$2*IF(Q$6=OFFSET(Assumptions!$B$8,0,$C$1),SUMPRODUCT(OFFSET(P$361,0,0,1,-OFFSET(Assumptions!$B$86,0,$C$1)),OFFSET(P$15,0,0,1,-OFFSET(Assumptions!$B$86,0,$C$1)))/OFFSET(Assumptions!$B$86,0,$C$1)-P$361/P$13,(P$361/P$13-O$361/O$13)/P$2),0))*Q$13</f>
        <v>5.4421552017606603</v>
      </c>
      <c r="R361" s="104">
        <f ca="1">(Q$361/Q$13+ IF(R$2&gt;0,R$2*IF(R$6=OFFSET(Assumptions!$B$8,0,$C$1),SUMPRODUCT(OFFSET(Q$361,0,0,1,-OFFSET(Assumptions!$B$86,0,$C$1)),OFFSET(Q$15,0,0,1,-OFFSET(Assumptions!$B$86,0,$C$1)))/OFFSET(Assumptions!$B$86,0,$C$1)-Q$361/Q$13,(Q$361/Q$13-P$361/P$13)/Q$2),0))*R$13</f>
        <v>5.6515685285792143</v>
      </c>
      <c r="S361" s="104">
        <f ca="1">(R$361/R$13+ IF(S$2&gt;0,S$2*IF(S$6=OFFSET(Assumptions!$B$8,0,$C$1),SUMPRODUCT(OFFSET(R$361,0,0,1,-OFFSET(Assumptions!$B$86,0,$C$1)),OFFSET(R$15,0,0,1,-OFFSET(Assumptions!$B$86,0,$C$1)))/OFFSET(Assumptions!$B$86,0,$C$1)-R$361/R$13,(R$361/R$13-Q$361/Q$13)/R$2),0))*S$13</f>
        <v>5.8644096587037842</v>
      </c>
      <c r="T361" s="171">
        <f ca="1">(S$361/S$13+ IF(T$2&gt;0,T$2*IF(T$6=OFFSET(Assumptions!$B$8,0,$C$1),SUMPRODUCT(OFFSET(S$361,0,0,1,-OFFSET(Assumptions!$B$86,0,$C$1)),OFFSET(S$15,0,0,1,-OFFSET(Assumptions!$B$86,0,$C$1)))/OFFSET(Assumptions!$B$86,0,$C$1)-S$361/S$13,(S$361/S$13-R$361/R$13)/S$2),0))*T$13</f>
        <v>6.083561146915617</v>
      </c>
    </row>
    <row r="362" spans="1:20">
      <c r="A362" s="1" t="s">
        <v>419</v>
      </c>
      <c r="B362" s="4" t="str">
        <f>$B$39</f>
        <v>From Fiscal Forecasts</v>
      </c>
      <c r="D362" s="14">
        <f ca="1">'Fiscal Forecasts'!D$118-SUM(OFFSET(Assumptions!$B$76,0,$C$1)*'Fiscal Forecasts'!D$351,D$358,D$360:D$361)</f>
        <v>-21.016000000000005</v>
      </c>
      <c r="E362" s="175">
        <f ca="1">'Fiscal Forecasts'!E$118-SUM(OFFSET(Assumptions!$B$76,0,$C$1)*'Fiscal Forecasts'!E$351,E$358,E$360:E$361)</f>
        <v>-21.034999999999989</v>
      </c>
      <c r="F362" s="15">
        <f ca="1">'Fiscal Forecasts'!F$118-SUM(OFFSET(Assumptions!$B$76,0,$C$1)*'Fiscal Forecasts'!F$351,F$358,F$360:F$361)</f>
        <v>-17.149999999999991</v>
      </c>
      <c r="G362" s="15">
        <f ca="1">'Fiscal Forecasts'!G$118-SUM(OFFSET(Assumptions!$B$76,0,$C$1)*'Fiscal Forecasts'!G$351,G$358,G$360:G$361)</f>
        <v>-16.580000000000013</v>
      </c>
      <c r="H362" s="15">
        <f ca="1">'Fiscal Forecasts'!H$118-SUM(OFFSET(Assumptions!$B$76,0,$C$1)*'Fiscal Forecasts'!H$351,H$358,H$360:H$361)</f>
        <v>-16.284000000000006</v>
      </c>
      <c r="I362" s="15">
        <f ca="1">'Fiscal Forecasts'!I$118-SUM(OFFSET(Assumptions!$B$76,0,$C$1)*'Fiscal Forecasts'!I$351,I$358,I$360:I$361)</f>
        <v>-16.496000000000002</v>
      </c>
      <c r="J362" s="176">
        <f ca="1">'Fiscal Forecasts'!J$118-SUM(OFFSET(Assumptions!$B$76,0,$C$1)*'Fiscal Forecasts'!J$351,J$358,J$360:J$361)</f>
        <v>-16.834000000000003</v>
      </c>
      <c r="K362" s="6">
        <f ca="1">IF(K$6=OFFSET(Assumptions!$B$8,0,$C$1),AVERAGE(H$362/H$360,I$362/I$360,J$362/J$360),J$362/J$360)*K$360</f>
        <v>-17.212174263681018</v>
      </c>
      <c r="L362" s="6">
        <f ca="1">IF(L$6=OFFSET(Assumptions!$B$8,0,$C$1),AVERAGE(I$362/I$360,J$362/J$360,K$362/K$360),K$362/K$360)*L$360</f>
        <v>-17.887850060058089</v>
      </c>
      <c r="M362" s="6">
        <f ca="1">IF(M$6=OFFSET(Assumptions!$B$8,0,$C$1),AVERAGE(J$362/J$360,K$362/K$360,L$362/L$360),L$362/L$360)*M$360</f>
        <v>-18.607650756853001</v>
      </c>
      <c r="N362" s="6">
        <f ca="1">IF(N$6=OFFSET(Assumptions!$B$8,0,$C$1),AVERAGE(K$362/K$360,L$362/L$360,M$362/M$360),M$362/M$360)*N$360</f>
        <v>-19.371562787221976</v>
      </c>
      <c r="O362" s="6">
        <f ca="1">IF(O$6=OFFSET(Assumptions!$B$8,0,$C$1),AVERAGE(L$362/L$360,M$362/M$360,N$362/N$360),N$362/N$360)*O$360</f>
        <v>-20.182202166091109</v>
      </c>
      <c r="P362" s="6">
        <f ca="1">IF(P$6=OFFSET(Assumptions!$B$8,0,$C$1),AVERAGE(M$362/M$360,N$362/N$360,O$362/O$360),O$362/O$360)*P$360</f>
        <v>-21.025373564290561</v>
      </c>
      <c r="Q362" s="6">
        <f ca="1">IF(Q$6=OFFSET(Assumptions!$B$8,0,$C$1),AVERAGE(N$362/N$360,O$362/O$360,P$362/P$360),P$362/P$360)*Q$360</f>
        <v>-21.892651527396648</v>
      </c>
      <c r="R362" s="104">
        <f ca="1">IF(R$6=OFFSET(Assumptions!$B$8,0,$C$1),AVERAGE(O$362/O$360,P$362/P$360,Q$362/Q$360),Q$362/Q$360)*R$360</f>
        <v>-22.80074681040989</v>
      </c>
      <c r="S362" s="104">
        <f ca="1">IF(S$6=OFFSET(Assumptions!$B$8,0,$C$1),AVERAGE(P$362/P$360,Q$362/Q$360,R$362/R$360),R$362/R$360)*S$360</f>
        <v>-23.75808519107985</v>
      </c>
      <c r="T362" s="171">
        <f ca="1">IF(T$6=OFFSET(Assumptions!$B$8,0,$C$1),AVERAGE(Q$362/Q$360,R$362/R$360,S$362/S$360),S$362/S$360)*T$360</f>
        <v>-24.753875766128793</v>
      </c>
    </row>
    <row r="363" spans="1:20" ht="15">
      <c r="A363" s="2" t="s">
        <v>504</v>
      </c>
      <c r="B363" s="4"/>
      <c r="D363" s="34">
        <f t="shared" ref="D363:T363" ca="1" si="203">SUM(D$359:D$362)</f>
        <v>43.616</v>
      </c>
      <c r="E363" s="138">
        <f t="shared" ca="1" si="203"/>
        <v>61.005000000000003</v>
      </c>
      <c r="F363" s="33">
        <f t="shared" ca="1" si="203"/>
        <v>57.741</v>
      </c>
      <c r="G363" s="33">
        <f t="shared" ca="1" si="203"/>
        <v>57.207999999999998</v>
      </c>
      <c r="H363" s="33">
        <f t="shared" ca="1" si="203"/>
        <v>58.302999999999997</v>
      </c>
      <c r="I363" s="33">
        <f t="shared" ca="1" si="203"/>
        <v>60.04</v>
      </c>
      <c r="J363" s="137">
        <f t="shared" ca="1" si="203"/>
        <v>62.698999999999998</v>
      </c>
      <c r="K363" s="37">
        <f t="shared" ca="1" si="203"/>
        <v>66.970862842243704</v>
      </c>
      <c r="L363" s="37">
        <f t="shared" ca="1" si="203"/>
        <v>71.054985614938801</v>
      </c>
      <c r="M363" s="37">
        <f t="shared" ca="1" si="203"/>
        <v>75.319681169496107</v>
      </c>
      <c r="N363" s="37">
        <f t="shared" ca="1" si="203"/>
        <v>79.67777318222825</v>
      </c>
      <c r="O363" s="37">
        <f t="shared" ca="1" si="203"/>
        <v>84.123827161539339</v>
      </c>
      <c r="P363" s="37">
        <f t="shared" ca="1" si="203"/>
        <v>88.65112751809751</v>
      </c>
      <c r="Q363" s="37">
        <f t="shared" ca="1" si="203"/>
        <v>93.307679156572206</v>
      </c>
      <c r="R363" s="37">
        <f t="shared" ca="1" si="203"/>
        <v>98.096908613864287</v>
      </c>
      <c r="S363" s="37">
        <f t="shared" ca="1" si="203"/>
        <v>103.01619638424637</v>
      </c>
      <c r="T363" s="140">
        <f t="shared" ca="1" si="203"/>
        <v>108.07850097680756</v>
      </c>
    </row>
    <row r="364" spans="1:20" ht="15">
      <c r="A364" s="2"/>
      <c r="B364" s="4"/>
      <c r="D364" s="47"/>
      <c r="E364" s="145"/>
      <c r="F364" s="47"/>
      <c r="G364" s="47"/>
      <c r="H364" s="48"/>
      <c r="I364" s="48"/>
      <c r="J364" s="146"/>
      <c r="K364" s="48"/>
      <c r="L364" s="48"/>
      <c r="M364" s="48"/>
      <c r="N364" s="48"/>
      <c r="O364" s="48"/>
      <c r="P364" s="48"/>
      <c r="Q364" s="48"/>
      <c r="R364" s="48"/>
      <c r="S364" s="48"/>
      <c r="T364" s="146"/>
    </row>
    <row r="365" spans="1:20" ht="15">
      <c r="A365" s="18" t="s">
        <v>201</v>
      </c>
      <c r="B365" s="4"/>
      <c r="D365" s="47"/>
      <c r="E365" s="145"/>
      <c r="F365" s="47"/>
      <c r="G365" s="47"/>
      <c r="H365" s="7"/>
      <c r="I365" s="7"/>
      <c r="J365" s="134"/>
      <c r="K365" s="7"/>
      <c r="L365" s="7"/>
      <c r="M365" s="7"/>
      <c r="N365" s="7"/>
      <c r="O365" s="7"/>
      <c r="P365" s="7"/>
      <c r="Q365" s="7"/>
      <c r="R365" s="7"/>
      <c r="S365" s="7"/>
      <c r="T365" s="134"/>
    </row>
    <row r="366" spans="1:20">
      <c r="A366" s="1" t="s">
        <v>516</v>
      </c>
      <c r="B366" s="4"/>
      <c r="D366" s="14">
        <f t="shared" ref="D366:T366" ca="1" si="204">D$384-SUM(D$344,D$350,D$357,D$388,D$391)</f>
        <v>18.93299</v>
      </c>
      <c r="E366" s="175">
        <f t="shared" ca="1" si="204"/>
        <v>18.201970000000003</v>
      </c>
      <c r="F366" s="15">
        <f t="shared" ca="1" si="204"/>
        <v>22.558200000000006</v>
      </c>
      <c r="G366" s="176">
        <f t="shared" ca="1" si="204"/>
        <v>23.690339999999999</v>
      </c>
      <c r="H366" s="176">
        <f t="shared" ca="1" si="204"/>
        <v>25.617060000000002</v>
      </c>
      <c r="I366" s="176">
        <f t="shared" ca="1" si="204"/>
        <v>27.675100000000008</v>
      </c>
      <c r="J366" s="176">
        <f t="shared" ca="1" si="204"/>
        <v>30.183990000000001</v>
      </c>
      <c r="K366" s="131">
        <f t="shared" ca="1" si="204"/>
        <v>34.511171393597607</v>
      </c>
      <c r="L366" s="131">
        <f t="shared" ca="1" si="204"/>
        <v>37.638108392255404</v>
      </c>
      <c r="M366" s="131">
        <f t="shared" ca="1" si="204"/>
        <v>40.887948450869317</v>
      </c>
      <c r="N366" s="131">
        <f t="shared" ca="1" si="204"/>
        <v>44.269186051529857</v>
      </c>
      <c r="O366" s="131">
        <f t="shared" ca="1" si="204"/>
        <v>47.800766958430344</v>
      </c>
      <c r="P366" s="131">
        <f t="shared" ca="1" si="204"/>
        <v>51.498843059681008</v>
      </c>
      <c r="Q366" s="131">
        <f t="shared" ca="1" si="204"/>
        <v>55.199364868963016</v>
      </c>
      <c r="R366" s="131">
        <f t="shared" ca="1" si="204"/>
        <v>58.532254948217812</v>
      </c>
      <c r="S366" s="131">
        <f t="shared" ca="1" si="204"/>
        <v>61.941777164949769</v>
      </c>
      <c r="T366" s="171">
        <f t="shared" ca="1" si="204"/>
        <v>65.439818468793874</v>
      </c>
    </row>
    <row r="367" spans="1:20">
      <c r="A367" s="1" t="s">
        <v>517</v>
      </c>
      <c r="B367" s="4" t="str">
        <f>$B$39</f>
        <v>From Fiscal Forecasts</v>
      </c>
      <c r="D367" s="14">
        <f ca="1">'Fiscal Forecasts'!D$174 -(1-OFFSET(Assumptions!$B$76,0,$C$1))*'Fiscal Forecasts'!D$351 +SUM(D$344,D$350,D$388,D$391)</f>
        <v>7.4620100000000011</v>
      </c>
      <c r="E367" s="175">
        <f ca="1">'Fiscal Forecasts'!E$174 -(1-OFFSET(Assumptions!$B$76,0,$C$1))*'Fiscal Forecasts'!E$351 +SUM(E$344,E$350,E$388,E$391)</f>
        <v>-0.34197000000000344</v>
      </c>
      <c r="F367" s="15">
        <f ca="1">'Fiscal Forecasts'!F$174 -(1-OFFSET(Assumptions!$B$76,0,$C$1))*'Fiscal Forecasts'!F$351 +SUM(F$344,F$350,F$388,F$391)</f>
        <v>1.7538</v>
      </c>
      <c r="G367" s="176">
        <f ca="1">'Fiscal Forecasts'!G$174 -(1-OFFSET(Assumptions!$B$76,0,$C$1))*'Fiscal Forecasts'!G$351 +SUM(G$344,G$350,G$388,G$391)</f>
        <v>3.2836600000000011</v>
      </c>
      <c r="H367" s="176">
        <f ca="1">'Fiscal Forecasts'!H$174 -(1-OFFSET(Assumptions!$B$76,0,$C$1))*'Fiscal Forecasts'!H$351 +SUM(H$344,H$350,H$388,H$391)</f>
        <v>3.6159399999999948</v>
      </c>
      <c r="I367" s="176">
        <f ca="1">'Fiscal Forecasts'!I$174 -(1-OFFSET(Assumptions!$B$76,0,$C$1))*'Fiscal Forecasts'!I$351 +SUM(I$344,I$350,I$388,I$391)</f>
        <v>4.0008999999999943</v>
      </c>
      <c r="J367" s="176">
        <f ca="1">'Fiscal Forecasts'!J$174 -(1-OFFSET(Assumptions!$B$76,0,$C$1))*'Fiscal Forecasts'!J$351 +SUM(J$344,J$350,J$388,J$391)</f>
        <v>4.3510100000000023</v>
      </c>
      <c r="K367" s="6">
        <f ca="1">(J$367/J$13+ IF(K$2&gt;0,K$2*IF(K$6=OFFSET(Assumptions!$B$8,0,$C$1),SUMPRODUCT(OFFSET(J$367,0,0,1,-OFFSET(Assumptions!$B$86,0,$C$1)),OFFSET(J$15,0,0,1,-OFFSET(Assumptions!$B$86,0,$C$1)))/OFFSET(Assumptions!$B$86,0,$C$1)-J$367/J$13,(J$367/J$13-I$367/I$13)/J$2),0))*K$13</f>
        <v>4.4928404553283849</v>
      </c>
      <c r="L367" s="6">
        <f ca="1">(K$367/K$13+ IF(L$2&gt;0,L$2*IF(L$6=OFFSET(Assumptions!$B$8,0,$C$1),SUMPRODUCT(OFFSET(K$367,0,0,1,-OFFSET(Assumptions!$B$86,0,$C$1)),OFFSET(K$15,0,0,1,-OFFSET(Assumptions!$B$86,0,$C$1)))/OFFSET(Assumptions!$B$86,0,$C$1)-K$367/K$13,(K$367/K$13-J$367/J$13)/K$2),0))*L$13</f>
        <v>4.6410271297860106</v>
      </c>
      <c r="M367" s="6">
        <f ca="1">(L$367/L$13+ IF(M$2&gt;0,M$2*IF(M$6=OFFSET(Assumptions!$B$8,0,$C$1),SUMPRODUCT(OFFSET(L$367,0,0,1,-OFFSET(Assumptions!$B$86,0,$C$1)),OFFSET(L$15,0,0,1,-OFFSET(Assumptions!$B$86,0,$C$1)))/OFFSET(Assumptions!$B$86,0,$C$1)-L$367/L$13,(L$367/L$13-K$367/K$13)/L$2),0))*M$13</f>
        <v>4.7991071859203611</v>
      </c>
      <c r="N367" s="6">
        <f ca="1">(M$367/M$13+ IF(N$2&gt;0,N$2*IF(N$6=OFFSET(Assumptions!$B$8,0,$C$1),SUMPRODUCT(OFFSET(M$367,0,0,1,-OFFSET(Assumptions!$B$86,0,$C$1)),OFFSET(M$15,0,0,1,-OFFSET(Assumptions!$B$86,0,$C$1)))/OFFSET(Assumptions!$B$86,0,$C$1)-M$367/M$13,(M$367/M$13-L$367/L$13)/M$2),0))*N$13</f>
        <v>4.9752375313488786</v>
      </c>
      <c r="O367" s="6">
        <f ca="1">(N$367/N$13+ IF(O$2&gt;0,O$2*IF(O$6=OFFSET(Assumptions!$B$8,0,$C$1),SUMPRODUCT(OFFSET(N$367,0,0,1,-OFFSET(Assumptions!$B$86,0,$C$1)),OFFSET(N$15,0,0,1,-OFFSET(Assumptions!$B$86,0,$C$1)))/OFFSET(Assumptions!$B$86,0,$C$1)-N$367/N$13,(N$367/N$13-M$367/M$13)/N$2),0))*O$13</f>
        <v>5.1660719490556684</v>
      </c>
      <c r="P367" s="6">
        <f ca="1">(O$367/O$13+ IF(P$2&gt;0,P$2*IF(P$6=OFFSET(Assumptions!$B$8,0,$C$1),SUMPRODUCT(OFFSET(O$367,0,0,1,-OFFSET(Assumptions!$B$86,0,$C$1)),OFFSET(O$15,0,0,1,-OFFSET(Assumptions!$B$86,0,$C$1)))/OFFSET(Assumptions!$B$86,0,$C$1)-O$367/O$13,(O$367/O$13-N$367/N$13)/O$2),0))*P$13</f>
        <v>5.3730047161251928</v>
      </c>
      <c r="Q367" s="6">
        <f ca="1">(P$367/P$13+ IF(Q$2&gt;0,Q$2*IF(Q$6=OFFSET(Assumptions!$B$8,0,$C$1),SUMPRODUCT(OFFSET(P$367,0,0,1,-OFFSET(Assumptions!$B$86,0,$C$1)),OFFSET(P$15,0,0,1,-OFFSET(Assumptions!$B$86,0,$C$1)))/OFFSET(Assumptions!$B$86,0,$C$1)-P$367/P$13,(P$367/P$13-O$367/O$13)/P$2),0))*Q$13</f>
        <v>5.5841950150265278</v>
      </c>
      <c r="R367" s="104">
        <f ca="1">(Q$367/Q$13+ IF(R$2&gt;0,R$2*IF(R$6=OFFSET(Assumptions!$B$8,0,$C$1),SUMPRODUCT(OFFSET(Q$367,0,0,1,-OFFSET(Assumptions!$B$86,0,$C$1)),OFFSET(Q$15,0,0,1,-OFFSET(Assumptions!$B$86,0,$C$1)))/OFFSET(Assumptions!$B$86,0,$C$1)-Q$367/Q$13,(Q$367/Q$13-P$367/P$13)/Q$2),0))*R$13</f>
        <v>5.7990740128401077</v>
      </c>
      <c r="S367" s="104">
        <f ca="1">(R$367/R$13+ IF(S$2&gt;0,S$2*IF(S$6=OFFSET(Assumptions!$B$8,0,$C$1),SUMPRODUCT(OFFSET(R$367,0,0,1,-OFFSET(Assumptions!$B$86,0,$C$1)),OFFSET(R$15,0,0,1,-OFFSET(Assumptions!$B$86,0,$C$1)))/OFFSET(Assumptions!$B$86,0,$C$1)-R$367/R$13,(R$367/R$13-Q$367/Q$13)/R$2),0))*S$13</f>
        <v>6.0174702793504249</v>
      </c>
      <c r="T367" s="171">
        <f ca="1">(S$367/S$13+ IF(T$2&gt;0,T$2*IF(T$6=OFFSET(Assumptions!$B$8,0,$C$1),SUMPRODUCT(OFFSET(S$367,0,0,1,-OFFSET(Assumptions!$B$86,0,$C$1)),OFFSET(S$15,0,0,1,-OFFSET(Assumptions!$B$86,0,$C$1)))/OFFSET(Assumptions!$B$86,0,$C$1)-S$367/S$13,(S$367/S$13-R$367/R$13)/S$2),0))*T$13</f>
        <v>6.2423416037867892</v>
      </c>
    </row>
    <row r="368" spans="1:20" ht="15">
      <c r="A368" s="2" t="s">
        <v>518</v>
      </c>
      <c r="B368" s="4"/>
      <c r="D368" s="34">
        <f t="shared" ref="D368:T368" ca="1" si="205">SUM(D$366:D$367)</f>
        <v>26.395000000000003</v>
      </c>
      <c r="E368" s="138">
        <f t="shared" ca="1" si="205"/>
        <v>17.86</v>
      </c>
      <c r="F368" s="33">
        <f t="shared" ca="1" si="205"/>
        <v>24.312000000000005</v>
      </c>
      <c r="G368" s="137">
        <f t="shared" ca="1" si="205"/>
        <v>26.974</v>
      </c>
      <c r="H368" s="137">
        <f t="shared" ca="1" si="205"/>
        <v>29.232999999999997</v>
      </c>
      <c r="I368" s="137">
        <f t="shared" ca="1" si="205"/>
        <v>31.676000000000002</v>
      </c>
      <c r="J368" s="137">
        <f t="shared" ca="1" si="205"/>
        <v>34.535000000000004</v>
      </c>
      <c r="K368" s="37">
        <f t="shared" ca="1" si="205"/>
        <v>39.004011848925991</v>
      </c>
      <c r="L368" s="37">
        <f t="shared" ca="1" si="205"/>
        <v>42.279135522041415</v>
      </c>
      <c r="M368" s="37">
        <f t="shared" ca="1" si="205"/>
        <v>45.68705563678968</v>
      </c>
      <c r="N368" s="37">
        <f t="shared" ca="1" si="205"/>
        <v>49.244423582878738</v>
      </c>
      <c r="O368" s="37">
        <f t="shared" ca="1" si="205"/>
        <v>52.966838907486014</v>
      </c>
      <c r="P368" s="37">
        <f t="shared" ca="1" si="205"/>
        <v>56.871847775806202</v>
      </c>
      <c r="Q368" s="37">
        <f t="shared" ca="1" si="205"/>
        <v>60.783559883989547</v>
      </c>
      <c r="R368" s="37">
        <f t="shared" ca="1" si="205"/>
        <v>64.33132896105792</v>
      </c>
      <c r="S368" s="37">
        <f t="shared" ca="1" si="205"/>
        <v>67.959247444300189</v>
      </c>
      <c r="T368" s="140">
        <f t="shared" ca="1" si="205"/>
        <v>71.682160072580658</v>
      </c>
    </row>
    <row r="369" spans="1:20">
      <c r="A369" s="1" t="s">
        <v>256</v>
      </c>
      <c r="B369" s="4" t="str">
        <f>$B$39</f>
        <v>From Fiscal Forecasts</v>
      </c>
      <c r="D369" s="14">
        <f>'Fiscal Forecasts'!D$207</f>
        <v>14.254</v>
      </c>
      <c r="E369" s="175">
        <f>'Fiscal Forecasts'!E$207</f>
        <v>17.135000000000002</v>
      </c>
      <c r="F369" s="15">
        <f>'Fiscal Forecasts'!F$207</f>
        <v>20.414000000000001</v>
      </c>
      <c r="G369" s="176">
        <f>'Fiscal Forecasts'!G$207</f>
        <v>20.54</v>
      </c>
      <c r="H369" s="176">
        <f>'Fiscal Forecasts'!H$207</f>
        <v>20.719000000000001</v>
      </c>
      <c r="I369" s="176">
        <f>'Fiscal Forecasts'!I$207</f>
        <v>21.042000000000002</v>
      </c>
      <c r="J369" s="176">
        <f>'Fiscal Forecasts'!J$207</f>
        <v>21.54</v>
      </c>
      <c r="K369" s="6">
        <f>J$369*Exogenous!V$28/Exogenous!U$28</f>
        <v>22.363542706353364</v>
      </c>
      <c r="L369" s="6">
        <f>K$369*Exogenous!W$28/Exogenous!V$28</f>
        <v>23.24143903115483</v>
      </c>
      <c r="M369" s="6">
        <f>L$369*Exogenous!X$28/Exogenous!W$28</f>
        <v>24.176666235820221</v>
      </c>
      <c r="N369" s="6">
        <f>M$369*Exogenous!Y$28/Exogenous!X$28</f>
        <v>25.169206693134885</v>
      </c>
      <c r="O369" s="6">
        <f>N$369*Exogenous!Z$28/Exogenous!Y$28</f>
        <v>26.222459355527732</v>
      </c>
      <c r="P369" s="6">
        <f>O$369*Exogenous!AA$28/Exogenous!Z$28</f>
        <v>27.317980425878346</v>
      </c>
      <c r="Q369" s="6">
        <f>P$369*Exogenous!AB$28/Exogenous!AA$28</f>
        <v>28.444822826441758</v>
      </c>
      <c r="R369" s="104">
        <f>Q$369*Exogenous!AC$28/Exogenous!AB$28</f>
        <v>29.6246986127308</v>
      </c>
      <c r="S369" s="104">
        <f>R$369*Exogenous!AD$28/Exogenous!AC$28</f>
        <v>30.86855528258334</v>
      </c>
      <c r="T369" s="171">
        <f>S$369*Exogenous!AE$28/Exogenous!AD$28</f>
        <v>32.162372362897315</v>
      </c>
    </row>
    <row r="370" spans="1:20">
      <c r="A370" s="1" t="s">
        <v>418</v>
      </c>
      <c r="B370" s="4" t="str">
        <f>$B$39</f>
        <v>From Fiscal Forecasts</v>
      </c>
      <c r="D370" s="14">
        <f>'Fiscal Forecasts'!D$208</f>
        <v>0.27900000000000003</v>
      </c>
      <c r="E370" s="175">
        <f>'Fiscal Forecasts'!E$208</f>
        <v>3.7999999999999999E-2</v>
      </c>
      <c r="F370" s="15">
        <f>'Fiscal Forecasts'!F$208</f>
        <v>3.3000000000000002E-2</v>
      </c>
      <c r="G370" s="176">
        <f>'Fiscal Forecasts'!G$208</f>
        <v>0.03</v>
      </c>
      <c r="H370" s="176">
        <f>'Fiscal Forecasts'!H$208</f>
        <v>0.03</v>
      </c>
      <c r="I370" s="176">
        <f>'Fiscal Forecasts'!I$208</f>
        <v>0.03</v>
      </c>
      <c r="J370" s="176">
        <f>'Fiscal Forecasts'!J$208</f>
        <v>0.03</v>
      </c>
      <c r="K370" s="6">
        <f ca="1">(J$370/J$13+ IF(K$2&gt;0,K$2*IF(K$6=OFFSET(Assumptions!$B$8,0,$C$1),SUMPRODUCT(OFFSET(J$370,0,0,1,-OFFSET(Assumptions!$B$86,0,$C$1)),OFFSET(J$15,0,0,1,-OFFSET(Assumptions!$B$86,0,$C$1)))/OFFSET(Assumptions!$B$86,0,$C$1)-J$370/J$13,(J$370/J$13-I$370/I$13)/J$2),0))*K$13</f>
        <v>3.1929322030886782E-2</v>
      </c>
      <c r="L370" s="6">
        <f ca="1">(K$370/K$13+ IF(L$2&gt;0,L$2*IF(L$6=OFFSET(Assumptions!$B$8,0,$C$1),SUMPRODUCT(OFFSET(K$370,0,0,1,-OFFSET(Assumptions!$B$86,0,$C$1)),OFFSET(K$15,0,0,1,-OFFSET(Assumptions!$B$86,0,$C$1)))/OFFSET(Assumptions!$B$86,0,$C$1)-K$370/K$13,(K$370/K$13-J$370/J$13)/K$2),0))*L$13</f>
        <v>3.3785294050747504E-2</v>
      </c>
      <c r="M370" s="6">
        <f ca="1">(L$370/L$13+ IF(M$2&gt;0,M$2*IF(M$6=OFFSET(Assumptions!$B$8,0,$C$1),SUMPRODUCT(OFFSET(L$370,0,0,1,-OFFSET(Assumptions!$B$86,0,$C$1)),OFFSET(L$15,0,0,1,-OFFSET(Assumptions!$B$86,0,$C$1)))/OFFSET(Assumptions!$B$86,0,$C$1)-L$370/L$13,(L$370/L$13-K$370/K$13)/L$2),0))*M$13</f>
        <v>3.5569029244215442E-2</v>
      </c>
      <c r="N370" s="6">
        <f ca="1">(M$370/M$13+ IF(N$2&gt;0,N$2*IF(N$6=OFFSET(Assumptions!$B$8,0,$C$1),SUMPRODUCT(OFFSET(M$370,0,0,1,-OFFSET(Assumptions!$B$86,0,$C$1)),OFFSET(M$15,0,0,1,-OFFSET(Assumptions!$B$86,0,$C$1)))/OFFSET(Assumptions!$B$86,0,$C$1)-M$370/M$13,(M$370/M$13-L$370/L$13)/M$2),0))*N$13</f>
        <v>3.7317094334709075E-2</v>
      </c>
      <c r="O370" s="6">
        <f ca="1">(N$370/N$13+ IF(O$2&gt;0,O$2*IF(O$6=OFFSET(Assumptions!$B$8,0,$C$1),SUMPRODUCT(OFFSET(N$370,0,0,1,-OFFSET(Assumptions!$B$86,0,$C$1)),OFFSET(N$15,0,0,1,-OFFSET(Assumptions!$B$86,0,$C$1)))/OFFSET(Assumptions!$B$86,0,$C$1)-N$370/N$13,(N$370/N$13-M$370/M$13)/N$2),0))*O$13</f>
        <v>3.8979921847958877E-2</v>
      </c>
      <c r="P370" s="6">
        <f ca="1">(O$370/O$13+ IF(P$2&gt;0,P$2*IF(P$6=OFFSET(Assumptions!$B$8,0,$C$1),SUMPRODUCT(OFFSET(O$370,0,0,1,-OFFSET(Assumptions!$B$86,0,$C$1)),OFFSET(O$15,0,0,1,-OFFSET(Assumptions!$B$86,0,$C$1)))/OFFSET(Assumptions!$B$86,0,$C$1)-O$370/O$13,(O$370/O$13-N$370/N$13)/O$2),0))*P$13</f>
        <v>4.0541306042313041E-2</v>
      </c>
      <c r="Q370" s="6">
        <f ca="1">(P$370/P$13+ IF(Q$2&gt;0,Q$2*IF(Q$6=OFFSET(Assumptions!$B$8,0,$C$1),SUMPRODUCT(OFFSET(P$370,0,0,1,-OFFSET(Assumptions!$B$86,0,$C$1)),OFFSET(P$15,0,0,1,-OFFSET(Assumptions!$B$86,0,$C$1)))/OFFSET(Assumptions!$B$86,0,$C$1)-P$370/P$13,(P$370/P$13-O$370/O$13)/P$2),0))*Q$13</f>
        <v>4.2134814887602338E-2</v>
      </c>
      <c r="R370" s="104">
        <f ca="1">(Q$370/Q$13+ IF(R$2&gt;0,R$2*IF(R$6=OFFSET(Assumptions!$B$8,0,$C$1),SUMPRODUCT(OFFSET(Q$370,0,0,1,-OFFSET(Assumptions!$B$86,0,$C$1)),OFFSET(Q$15,0,0,1,-OFFSET(Assumptions!$B$86,0,$C$1)))/OFFSET(Assumptions!$B$86,0,$C$1)-Q$370/Q$13,(Q$370/Q$13-P$370/P$13)/Q$2),0))*R$13</f>
        <v>4.3756156329250694E-2</v>
      </c>
      <c r="S370" s="104">
        <f ca="1">(R$370/R$13+ IF(S$2&gt;0,S$2*IF(S$6=OFFSET(Assumptions!$B$8,0,$C$1),SUMPRODUCT(OFFSET(R$370,0,0,1,-OFFSET(Assumptions!$B$86,0,$C$1)),OFFSET(R$15,0,0,1,-OFFSET(Assumptions!$B$86,0,$C$1)))/OFFSET(Assumptions!$B$86,0,$C$1)-R$370/R$13,(R$370/R$13-Q$370/Q$13)/R$2),0))*S$13</f>
        <v>4.5404036862934385E-2</v>
      </c>
      <c r="T370" s="171">
        <f ca="1">(S$370/S$13+ IF(T$2&gt;0,T$2*IF(T$6=OFFSET(Assumptions!$B$8,0,$C$1),SUMPRODUCT(OFFSET(S$370,0,0,1,-OFFSET(Assumptions!$B$86,0,$C$1)),OFFSET(S$15,0,0,1,-OFFSET(Assumptions!$B$86,0,$C$1)))/OFFSET(Assumptions!$B$86,0,$C$1)-S$370/S$13,(S$370/S$13-R$370/R$13)/S$2),0))*T$13</f>
        <v>4.7100774101365366E-2</v>
      </c>
    </row>
    <row r="371" spans="1:20">
      <c r="A371" s="1" t="s">
        <v>419</v>
      </c>
      <c r="B371" s="4" t="str">
        <f>$B$39</f>
        <v>From Fiscal Forecasts</v>
      </c>
      <c r="D371" s="14">
        <f ca="1">'Fiscal Forecasts'!D$119-SUM(D$368:D$370) -(1-OFFSET(Assumptions!$B$76,0,$C$1))*('Fiscal Forecasts'!D$351-D$384)</f>
        <v>-1.3760000000000048</v>
      </c>
      <c r="E371" s="175">
        <f ca="1">'Fiscal Forecasts'!E$119-SUM(E$368:E$370) -(1-OFFSET(Assumptions!$B$76,0,$C$1))*('Fiscal Forecasts'!E$351-E$384)</f>
        <v>-1.2420000000000044</v>
      </c>
      <c r="F371" s="15">
        <f ca="1">'Fiscal Forecasts'!F$119-SUM(F$368:F$370) -(1-OFFSET(Assumptions!$B$76,0,$C$1))*('Fiscal Forecasts'!F$351-F$384)</f>
        <v>-1.2650000000000077</v>
      </c>
      <c r="G371" s="176">
        <f ca="1">'Fiscal Forecasts'!G$119-SUM(G$368:G$370) -(1-OFFSET(Assumptions!$B$76,0,$C$1))*('Fiscal Forecasts'!G$351-G$384)</f>
        <v>-1.2959999999999994</v>
      </c>
      <c r="H371" s="176">
        <f ca="1">'Fiscal Forecasts'!H$119-SUM(H$368:H$370) -(1-OFFSET(Assumptions!$B$76,0,$C$1))*('Fiscal Forecasts'!H$351-H$384)</f>
        <v>-1.3260000000000005</v>
      </c>
      <c r="I371" s="176">
        <f ca="1">'Fiscal Forecasts'!I$119-SUM(I$368:I$370) -(1-OFFSET(Assumptions!$B$76,0,$C$1))*('Fiscal Forecasts'!I$351-I$384)</f>
        <v>-1.3660000000000068</v>
      </c>
      <c r="J371" s="176">
        <f ca="1">'Fiscal Forecasts'!J$119-SUM(J$368:J$370) -(1-OFFSET(Assumptions!$B$76,0,$C$1))*('Fiscal Forecasts'!J$351-J$384)</f>
        <v>-1.4130000000000038</v>
      </c>
      <c r="K371" s="6">
        <f ca="1">IF(K$6=OFFSET(Assumptions!$B$8,0,$C$1),AVERAGE(H$371/H$369,I$371/I$369,J$371/J$369),J$371/J$369)*K$369</f>
        <v>-1.4500215234800422</v>
      </c>
      <c r="L371" s="6">
        <f ca="1">IF(L$6=OFFSET(Assumptions!$B$8,0,$C$1),AVERAGE(I$371/I$369,J$371/J$369,K$371/K$369),K$371/K$369)*L$369</f>
        <v>-1.5069431205213064</v>
      </c>
      <c r="M371" s="6">
        <f ca="1">IF(M$6=OFFSET(Assumptions!$B$8,0,$C$1),AVERAGE(J$371/J$369,K$371/K$369,L$371/L$369),L$371/L$369)*M$369</f>
        <v>-1.5675819734041117</v>
      </c>
      <c r="N371" s="6">
        <f ca="1">IF(N$6=OFFSET(Assumptions!$B$8,0,$C$1),AVERAGE(K$371/K$369,L$371/L$369,M$371/M$369),M$371/M$369)*N$369</f>
        <v>-1.6319369392039675</v>
      </c>
      <c r="O371" s="6">
        <f ca="1">IF(O$6=OFFSET(Assumptions!$B$8,0,$C$1),AVERAGE(L$371/L$369,M$371/M$369,N$371/N$369),N$371/N$369)*O$369</f>
        <v>-1.700228401347772</v>
      </c>
      <c r="P371" s="6">
        <f ca="1">IF(P$6=OFFSET(Assumptions!$B$8,0,$C$1),AVERAGE(M$371/M$369,N$371/N$369,O$371/O$369),O$371/O$369)*P$369</f>
        <v>-1.7712604892549797</v>
      </c>
      <c r="Q371" s="6">
        <f ca="1">IF(Q$6=OFFSET(Assumptions!$B$8,0,$C$1),AVERAGE(N$371/N$369,O$371/O$369,P$371/P$369),P$371/P$369)*Q$369</f>
        <v>-1.8443234093764267</v>
      </c>
      <c r="R371" s="104">
        <f ca="1">IF(R$6=OFFSET(Assumptions!$B$8,0,$C$1),AVERAGE(O$371/O$369,P$371/P$369,Q$371/Q$369),Q$371/Q$369)*R$369</f>
        <v>-1.9208249416969749</v>
      </c>
      <c r="S371" s="104">
        <f ca="1">IF(S$6=OFFSET(Assumptions!$B$8,0,$C$1),AVERAGE(P$371/P$369,Q$371/Q$369,R$371/R$369),R$371/R$369)*S$369</f>
        <v>-2.0014749070040367</v>
      </c>
      <c r="T371" s="171">
        <f ca="1">IF(T$6=OFFSET(Assumptions!$B$8,0,$C$1),AVERAGE(Q$371/Q$369,R$371/R$369,S$371/S$369),S$371/S$369)*T$369</f>
        <v>-2.0853642369968375</v>
      </c>
    </row>
    <row r="372" spans="1:20" ht="15">
      <c r="A372" s="2" t="s">
        <v>519</v>
      </c>
      <c r="B372" s="4"/>
      <c r="D372" s="34">
        <f t="shared" ref="D372:T372" ca="1" si="206">SUM(D$368:D$371)</f>
        <v>39.552</v>
      </c>
      <c r="E372" s="138">
        <f t="shared" ca="1" si="206"/>
        <v>33.790999999999997</v>
      </c>
      <c r="F372" s="33">
        <f t="shared" ca="1" si="206"/>
        <v>43.494</v>
      </c>
      <c r="G372" s="137">
        <f t="shared" ca="1" si="206"/>
        <v>46.247999999999998</v>
      </c>
      <c r="H372" s="137">
        <f t="shared" ca="1" si="206"/>
        <v>48.655999999999999</v>
      </c>
      <c r="I372" s="137">
        <f t="shared" ca="1" si="206"/>
        <v>51.381999999999998</v>
      </c>
      <c r="J372" s="137">
        <f t="shared" ca="1" si="206"/>
        <v>54.692</v>
      </c>
      <c r="K372" s="37">
        <f t="shared" ca="1" si="206"/>
        <v>59.949462353830199</v>
      </c>
      <c r="L372" s="37">
        <f t="shared" ca="1" si="206"/>
        <v>64.047416726725686</v>
      </c>
      <c r="M372" s="37">
        <f t="shared" ca="1" si="206"/>
        <v>68.331708928449999</v>
      </c>
      <c r="N372" s="37">
        <f t="shared" ca="1" si="206"/>
        <v>72.819010431144363</v>
      </c>
      <c r="O372" s="37">
        <f t="shared" ca="1" si="206"/>
        <v>77.528049783513922</v>
      </c>
      <c r="P372" s="37">
        <f t="shared" ca="1" si="206"/>
        <v>82.459109018471878</v>
      </c>
      <c r="Q372" s="37">
        <f t="shared" ca="1" si="206"/>
        <v>87.426194115942479</v>
      </c>
      <c r="R372" s="37">
        <f t="shared" ca="1" si="206"/>
        <v>92.078958788420991</v>
      </c>
      <c r="S372" s="37">
        <f t="shared" ca="1" si="206"/>
        <v>96.871731856742429</v>
      </c>
      <c r="T372" s="140">
        <f t="shared" ca="1" si="206"/>
        <v>101.8062689725825</v>
      </c>
    </row>
    <row r="373" spans="1:20" ht="15">
      <c r="A373" s="2"/>
      <c r="B373" s="4"/>
      <c r="D373" s="46"/>
      <c r="E373" s="46"/>
      <c r="F373" s="47"/>
      <c r="G373" s="47"/>
      <c r="H373" s="47"/>
      <c r="I373" s="47"/>
      <c r="J373" s="145"/>
      <c r="K373" s="6"/>
      <c r="L373" s="6"/>
      <c r="M373" s="6"/>
      <c r="N373" s="6"/>
      <c r="O373" s="6"/>
      <c r="P373" s="6"/>
      <c r="Q373" s="6"/>
      <c r="R373" s="104"/>
      <c r="S373" s="104"/>
      <c r="T373" s="171"/>
    </row>
    <row r="374" spans="1:20">
      <c r="A374" s="18" t="s">
        <v>373</v>
      </c>
      <c r="E374" s="167"/>
      <c r="F374" s="6"/>
      <c r="G374" s="6"/>
      <c r="H374" s="104"/>
      <c r="I374" s="104"/>
      <c r="J374" s="171"/>
      <c r="K374" s="6"/>
      <c r="L374" s="6"/>
      <c r="M374" s="6"/>
      <c r="N374" s="6"/>
      <c r="O374" s="6"/>
      <c r="P374" s="6"/>
      <c r="Q374" s="6"/>
      <c r="R374" s="104"/>
      <c r="S374" s="104"/>
      <c r="T374" s="171"/>
    </row>
    <row r="375" spans="1:20">
      <c r="A375" s="1" t="s">
        <v>338</v>
      </c>
      <c r="B375" s="4" t="str">
        <f>$B$39</f>
        <v>From Fiscal Forecasts</v>
      </c>
      <c r="D375" s="14">
        <f>'Fiscal Forecasts'!D$344</f>
        <v>0.98199999999999998</v>
      </c>
      <c r="E375" s="175">
        <f>'Fiscal Forecasts'!E$344</f>
        <v>0.80300000000000005</v>
      </c>
      <c r="F375" s="15">
        <f>'Fiscal Forecasts'!F$344</f>
        <v>0.69</v>
      </c>
      <c r="G375" s="176">
        <f>'Fiscal Forecasts'!G$344</f>
        <v>0.86399999999999999</v>
      </c>
      <c r="H375" s="176">
        <f>'Fiscal Forecasts'!H$344</f>
        <v>0.96699999999999997</v>
      </c>
      <c r="I375" s="176">
        <f>'Fiscal Forecasts'!I$344</f>
        <v>1.0529999999999999</v>
      </c>
      <c r="J375" s="176">
        <f>'Fiscal Forecasts'!J$344</f>
        <v>1.1519999999999999</v>
      </c>
      <c r="K375" s="6">
        <f ca="1">IF(K$6=OFFSET(Assumptions!$B$8,0,$C$1),AVERAGE(H$375/(H$375-H$377+H$378),I$375/(I$375-I$377+I$378),J$375/(J$375-J$377+J$378)),(J$375-Exogenous!U$10)/(J$375-Exogenous!U$10-J$377+J$378))*Exogenous!V$7 +Exogenous!V$10</f>
        <v>1.2471600508984306</v>
      </c>
      <c r="L375" s="6">
        <f ca="1">IF(L$6=OFFSET(Assumptions!$B$8,0,$C$1),AVERAGE(I$375/(I$375-I$377+I$378),J$375/(J$375-J$377+J$378),K$375/(K$375-K$377+K$378)),(K$375-Exogenous!V$10)/(K$375-Exogenous!V$10-K$377+K$378))*Exogenous!W$7 +Exogenous!W$10</f>
        <v>1.3468167539934728</v>
      </c>
      <c r="M375" s="6">
        <f ca="1">IF(M$6=OFFSET(Assumptions!$B$8,0,$C$1),AVERAGE(J$375/(J$375-J$377+J$378),K$375/(K$375-K$377+K$378),L$375/(L$375-L$377+L$378)),(L$375-Exogenous!W$10)/(L$375-Exogenous!W$10-L$377+L$378))*Exogenous!X$7 +Exogenous!X$10</f>
        <v>1.4481103539713465</v>
      </c>
      <c r="N375" s="6">
        <f ca="1">IF(N$6=OFFSET(Assumptions!$B$8,0,$C$1),AVERAGE(K$375/(K$375-K$377+K$378),L$375/(L$375-L$377+L$378),M$375/(M$375-M$377+M$378)),(M$375-Exogenous!X$10)/(M$375-Exogenous!X$10-M$377+M$378))*Exogenous!Y$7 +Exogenous!Y$10</f>
        <v>1.5513001226359802</v>
      </c>
      <c r="O375" s="6">
        <f ca="1">IF(O$6=OFFSET(Assumptions!$B$8,0,$C$1),AVERAGE(L$375/(L$375-L$377+L$378),M$375/(M$375-M$377+M$378),N$375/(N$375-N$377+N$378)),(N$375-Exogenous!Y$10)/(N$375-Exogenous!Y$10-N$377+N$378))*Exogenous!Z$7 +Exogenous!Z$10</f>
        <v>1.6570409144000076</v>
      </c>
      <c r="P375" s="6">
        <f ca="1">IF(P$6=OFFSET(Assumptions!$B$8,0,$C$1),AVERAGE(M$375/(M$375-M$377+M$378),N$375/(N$375-N$377+N$378),O$375/(O$375-O$377+O$378)),(O$375-Exogenous!Z$10)/(O$375-Exogenous!Z$10-O$377+O$378))*Exogenous!AA$7 +Exogenous!AA$10</f>
        <v>1.7658721514538402</v>
      </c>
      <c r="Q375" s="6">
        <f ca="1">IF(Q$6=OFFSET(Assumptions!$B$8,0,$C$1),AVERAGE(N$375/(N$375-N$377+N$378),O$375/(O$375-O$377+O$378),P$375/(P$375-P$377+P$378)),(P$375-Exogenous!AA$10)/(P$375-Exogenous!AA$10-P$377+P$378))*Exogenous!AB$7 +Exogenous!AB$10</f>
        <v>1.8780723550806029</v>
      </c>
      <c r="R375" s="104">
        <f ca="1">IF(R$6=OFFSET(Assumptions!$B$8,0,$C$1),AVERAGE(O$375/(O$375-O$377+O$378),P$375/(P$375-P$377+P$378),Q$375/(Q$375-Q$377+Q$378)),(Q$375-Exogenous!AB$10)/(Q$375-Exogenous!AB$10-Q$377+Q$378))*Exogenous!AC$7 +Exogenous!AC$10</f>
        <v>1.9935097096545578</v>
      </c>
      <c r="S375" s="104">
        <f ca="1">IF(S$6=OFFSET(Assumptions!$B$8,0,$C$1),AVERAGE(P$375/(P$375-P$377+P$378),Q$375/(Q$375-Q$377+Q$378),R$375/(R$375-R$377+R$378)),(R$375-Exogenous!AC$10)/(R$375-Exogenous!AC$10-R$377+R$378))*Exogenous!AD$7 +Exogenous!AD$10</f>
        <v>2.1118330943335626</v>
      </c>
      <c r="T375" s="171">
        <f ca="1">IF(T$6=OFFSET(Assumptions!$B$8,0,$C$1),AVERAGE(Q$375/(Q$375-Q$377+Q$378),R$375/(R$375-R$377+R$378),S$375/(S$375-S$377+S$378)),(S$375-Exogenous!AD$10)/(S$375-Exogenous!AD$10-S$377+S$378))*Exogenous!AE$7 +Exogenous!AE$10</f>
        <v>2.2330384069967848</v>
      </c>
    </row>
    <row r="376" spans="1:20">
      <c r="A376" s="1" t="s">
        <v>339</v>
      </c>
      <c r="B376" s="4" t="str">
        <f>$B$39</f>
        <v>From Fiscal Forecasts</v>
      </c>
      <c r="D376" s="14">
        <f>'Fiscal Forecasts'!D$345</f>
        <v>0.504</v>
      </c>
      <c r="E376" s="175">
        <f>'Fiscal Forecasts'!E$345</f>
        <v>0.44800000000000001</v>
      </c>
      <c r="F376" s="15">
        <f>'Fiscal Forecasts'!F$345</f>
        <v>2.2599999999999998</v>
      </c>
      <c r="G376" s="176">
        <f>'Fiscal Forecasts'!G$345</f>
        <v>0.99299999999999999</v>
      </c>
      <c r="H376" s="176">
        <f>'Fiscal Forecasts'!H$345</f>
        <v>1.1060000000000001</v>
      </c>
      <c r="I376" s="176">
        <f>'Fiscal Forecasts'!I$345</f>
        <v>1.1970000000000001</v>
      </c>
      <c r="J376" s="176">
        <f>'Fiscal Forecasts'!J$345</f>
        <v>1.3049999999999999</v>
      </c>
      <c r="K376" s="6">
        <f>Exogenous!V$8</f>
        <v>1.426868587667357</v>
      </c>
      <c r="L376" s="6">
        <f>Exogenous!W$8</f>
        <v>1.5408852442258896</v>
      </c>
      <c r="M376" s="6">
        <f>Exogenous!X$8</f>
        <v>1.656774665023206</v>
      </c>
      <c r="N376" s="6">
        <f>Exogenous!Y$8</f>
        <v>1.7748334814278526</v>
      </c>
      <c r="O376" s="6">
        <f>Exogenous!Z$8</f>
        <v>1.8958109085788231</v>
      </c>
      <c r="P376" s="6">
        <f>Exogenous!AA$8</f>
        <v>2.0203240962785309</v>
      </c>
      <c r="Q376" s="6">
        <f>Exogenous!AB$8</f>
        <v>2.1486916991131304</v>
      </c>
      <c r="R376" s="104">
        <f>Exogenous!AC$8</f>
        <v>2.2807629075890099</v>
      </c>
      <c r="S376" s="104">
        <f>Exogenous!AD$8</f>
        <v>2.4161360063852149</v>
      </c>
      <c r="T376" s="171">
        <f>Exogenous!AE$8</f>
        <v>2.5548063022890699</v>
      </c>
    </row>
    <row r="377" spans="1:20">
      <c r="A377" s="1" t="s">
        <v>340</v>
      </c>
      <c r="B377" s="4" t="str">
        <f>$B$39</f>
        <v>From Fiscal Forecasts</v>
      </c>
      <c r="D377" s="14">
        <f>'Fiscal Forecasts'!D$346</f>
        <v>0.13</v>
      </c>
      <c r="E377" s="175">
        <f>'Fiscal Forecasts'!E$346</f>
        <v>0.15</v>
      </c>
      <c r="F377" s="15">
        <f>'Fiscal Forecasts'!F$346</f>
        <v>0.125</v>
      </c>
      <c r="G377" s="176">
        <f>'Fiscal Forecasts'!G$346</f>
        <v>0.217</v>
      </c>
      <c r="H377" s="176">
        <f>'Fiscal Forecasts'!H$346</f>
        <v>0.23799999999999999</v>
      </c>
      <c r="I377" s="176">
        <f>'Fiscal Forecasts'!I$346</f>
        <v>0.254</v>
      </c>
      <c r="J377" s="176">
        <f>'Fiscal Forecasts'!J$346</f>
        <v>0.27200000000000002</v>
      </c>
      <c r="K377" s="6">
        <f ca="1">IF(K$6=OFFSET(Assumptions!$B$8,0,$C$1),AVERAGE(H$377/(H$375-H$377+H$378),I$377/(I$375-I$377+I$378),J$377/(J$375-J$377+J$378)),J$377/(J$375-Exogenous!U$10-J$377+J$378))*Exogenous!V$7</f>
        <v>0.30073147669843048</v>
      </c>
      <c r="L377" s="6">
        <f ca="1">IF(L$6=OFFSET(Assumptions!$B$8,0,$C$1),AVERAGE(I$377/(I$375-I$377+I$378),J$377/(J$375-J$377+J$378),K$377/(K$375-K$377+K$378)),K$377/(K$375-Exogenous!V$10-K$377+K$378))*Exogenous!W$7</f>
        <v>0.32476199905446596</v>
      </c>
      <c r="M377" s="6">
        <f ca="1">IF(M$6=OFFSET(Assumptions!$B$8,0,$C$1),AVERAGE(J$377/(J$375-J$377+J$378),K$377/(K$375-K$377+K$378),L$377/(L$375-L$377+L$378)),L$377/(L$375-Exogenous!W$10-L$377+L$378))*Exogenous!X$7</f>
        <v>0.34918723130873974</v>
      </c>
      <c r="N377" s="6">
        <f ca="1">IF(N$6=OFFSET(Assumptions!$B$8,0,$C$1),AVERAGE(K$377/(K$375-K$377+K$378),L$377/(L$375-L$377+L$378),M$377/(M$375-M$377+M$378)),M$377/(M$375-Exogenous!X$10-M$377+M$378))*Exogenous!Y$7</f>
        <v>0.3740696924558311</v>
      </c>
      <c r="O377" s="6">
        <f ca="1">IF(O$6=OFFSET(Assumptions!$B$8,0,$C$1),AVERAGE(L$377/(L$375-L$377+L$378),M$377/(M$375-M$377+M$378),N$377/(N$375-N$377+N$378)),N$377/(N$375-Exogenous!Y$10-N$377+N$378))*Exogenous!Z$7</f>
        <v>0.3995672895217004</v>
      </c>
      <c r="P377" s="6">
        <f ca="1">IF(P$6=OFFSET(Assumptions!$B$8,0,$C$1),AVERAGE(M$377/(M$375-M$377+M$378),N$377/(N$375-N$377+N$378),O$377/(O$375-O$377+O$378)),O$377/(O$375-Exogenous!Z$10-O$377+O$378))*Exogenous!AA$7</f>
        <v>0.42581009501129147</v>
      </c>
      <c r="Q377" s="6">
        <f ca="1">IF(Q$6=OFFSET(Assumptions!$B$8,0,$C$1),AVERAGE(N$377/(N$375-N$377+N$378),O$377/(O$375-O$377+O$378),P$377/(P$375-P$377+P$378)),P$377/(P$375-Exogenous!AA$10-P$377+P$378))*Exogenous!AB$7</f>
        <v>0.45286526960434687</v>
      </c>
      <c r="R377" s="104">
        <f ca="1">IF(R$6=OFFSET(Assumptions!$B$8,0,$C$1),AVERAGE(O$377/(O$375-O$377+O$378),P$377/(P$375-P$377+P$378),Q$377/(Q$375-Q$377+Q$378)),Q$377/(Q$375-Exogenous!AB$10-Q$377+Q$378))*Exogenous!AC$7</f>
        <v>0.48070102820018806</v>
      </c>
      <c r="S377" s="104">
        <f ca="1">IF(S$6=OFFSET(Assumptions!$B$8,0,$C$1),AVERAGE(P$377/(P$375-P$377+P$378),Q$377/(Q$375-Q$377+Q$378),R$377/(R$375-R$377+R$378)),R$377/(R$375-Exogenous!AC$10-R$377+R$378))*Exogenous!AD$7</f>
        <v>0.50923270396773679</v>
      </c>
      <c r="T377" s="171">
        <f ca="1">IF(T$6=OFFSET(Assumptions!$B$8,0,$C$1),AVERAGE(Q$377/(Q$375-Q$377+Q$378),R$377/(R$375-R$377+R$378),S$377/(S$375-S$377+S$378)),S$377/(S$375-Exogenous!AD$10-S$377+S$378))*Exogenous!AE$7</f>
        <v>0.53845930775018458</v>
      </c>
    </row>
    <row r="378" spans="1:20">
      <c r="A378" s="1" t="s">
        <v>350</v>
      </c>
      <c r="B378" s="4" t="str">
        <f>$B$39</f>
        <v>From Fiscal Forecasts</v>
      </c>
      <c r="D378" s="14">
        <f>'Fiscal Forecasts'!D$347</f>
        <v>1.9550000000000001</v>
      </c>
      <c r="E378" s="175">
        <f>'Fiscal Forecasts'!E$347</f>
        <v>1.7000000000000001E-2</v>
      </c>
      <c r="F378" s="15">
        <f>'Fiscal Forecasts'!F$347</f>
        <v>9.0579999999999998</v>
      </c>
      <c r="G378" s="176">
        <f>'Fiscal Forecasts'!G$347</f>
        <v>3.5139999999999998</v>
      </c>
      <c r="H378" s="176">
        <f>'Fiscal Forecasts'!H$347</f>
        <v>3.9049999999999998</v>
      </c>
      <c r="I378" s="176">
        <f>'Fiscal Forecasts'!I$347</f>
        <v>4.218</v>
      </c>
      <c r="J378" s="176">
        <f>'Fiscal Forecasts'!J$347</f>
        <v>4.5860000000000003</v>
      </c>
      <c r="K378" s="6">
        <f ca="1">IF(K$6=OFFSET(Assumptions!$B$8,0,$C$1),AVERAGE(H$378/(H$375-H$377+H$378),I$378/(I$375-I$377+I$378),J$378/(J$375-J$377+J$378)),J$378/(J$375-Exogenous!U$10-J$377+J$378))*Exogenous!V$7</f>
        <v>4.9988572077473217</v>
      </c>
      <c r="L378" s="6">
        <f ca="1">IF(L$6=OFFSET(Assumptions!$B$8,0,$C$1),AVERAGE(I$378/(I$375-I$377+I$378),J$378/(J$375-J$377+J$378),K$378/(K$375-K$377+K$378)),K$378/(K$375-Exogenous!V$10-K$377+K$378))*Exogenous!W$7</f>
        <v>5.3983004293355332</v>
      </c>
      <c r="M378" s="6">
        <f ca="1">IF(M$6=OFFSET(Assumptions!$B$8,0,$C$1),AVERAGE(J$378/(J$375-J$377+J$378),K$378/(K$375-K$377+K$378),L$378/(L$375-L$377+L$378)),L$378/(L$375-Exogenous!W$10-L$377+L$378))*Exogenous!X$7</f>
        <v>5.8043046482674194</v>
      </c>
      <c r="N378" s="6">
        <f ca="1">IF(N$6=OFFSET(Assumptions!$B$8,0,$C$1),AVERAGE(K$378/(K$375-K$377+K$378),L$378/(L$375-L$377+L$378),M$378/(M$375-M$377+M$378)),M$378/(M$375-Exogenous!X$10-M$377+M$378))*Exogenous!Y$7</f>
        <v>6.2179090757692359</v>
      </c>
      <c r="O378" s="6">
        <f ca="1">IF(O$6=OFFSET(Assumptions!$B$8,0,$C$1),AVERAGE(L$378/(L$375-L$377+L$378),M$378/(M$375-M$377+M$378),N$378/(N$375-N$377+N$378)),N$378/(N$375-Exogenous!Y$10-N$377+N$378))*Exogenous!Z$7</f>
        <v>6.6417384942001227</v>
      </c>
      <c r="P378" s="6">
        <f ca="1">IF(P$6=OFFSET(Assumptions!$B$8,0,$C$1),AVERAGE(M$378/(M$375-M$377+M$378),N$378/(N$375-N$377+N$378),O$378/(O$375-O$377+O$378)),O$378/(O$375-Exogenous!Z$10-O$377+O$378))*Exogenous!AA$7</f>
        <v>7.0779550113846641</v>
      </c>
      <c r="Q378" s="6">
        <f ca="1">IF(Q$6=OFFSET(Assumptions!$B$8,0,$C$1),AVERAGE(N$378/(N$375-N$377+N$378),O$378/(O$375-O$377+O$378),P$378/(P$375-P$377+P$378)),P$378/(P$375-Exogenous!AA$10-P$377+P$378))*Exogenous!AB$7</f>
        <v>7.5276749941617886</v>
      </c>
      <c r="R378" s="104">
        <f ca="1">IF(R$6=OFFSET(Assumptions!$B$8,0,$C$1),AVERAGE(O$378/(O$375-O$377+O$378),P$378/(P$375-P$377+P$378),Q$378/(Q$375-Q$377+Q$378)),Q$378/(Q$375-Exogenous!AB$10-Q$377+Q$378))*Exogenous!AC$7</f>
        <v>7.9903701001665057</v>
      </c>
      <c r="S378" s="104">
        <f ca="1">IF(S$6=OFFSET(Assumptions!$B$8,0,$C$1),AVERAGE(P$378/(P$375-P$377+P$378),Q$378/(Q$375-Q$377+Q$378),R$378/(R$375-R$377+R$378)),R$378/(R$375-Exogenous!AC$10-R$377+R$378))*Exogenous!AD$7</f>
        <v>8.4646329695725697</v>
      </c>
      <c r="T378" s="171">
        <f ca="1">IF(T$6=OFFSET(Assumptions!$B$8,0,$C$1),AVERAGE(Q$378/(Q$375-Q$377+Q$378),R$378/(R$375-R$377+R$378),S$378/(S$375-S$377+S$378)),S$378/(S$375-Exogenous!AD$10-S$377+S$378))*Exogenous!AE$7</f>
        <v>8.9504471602911924</v>
      </c>
    </row>
    <row r="379" spans="1:20" ht="15">
      <c r="A379" s="2" t="s">
        <v>441</v>
      </c>
      <c r="D379" s="34">
        <f t="shared" ref="D379:J379" si="207">SUM(D$375,D$378)-SUM(D$376,D$377)</f>
        <v>2.3030000000000004</v>
      </c>
      <c r="E379" s="138">
        <f t="shared" si="207"/>
        <v>0.22200000000000009</v>
      </c>
      <c r="F379" s="33">
        <f t="shared" si="207"/>
        <v>7.3629999999999995</v>
      </c>
      <c r="G379" s="137">
        <f t="shared" si="207"/>
        <v>3.1680000000000001</v>
      </c>
      <c r="H379" s="137">
        <f t="shared" si="207"/>
        <v>3.5279999999999996</v>
      </c>
      <c r="I379" s="137">
        <f t="shared" si="207"/>
        <v>3.82</v>
      </c>
      <c r="J379" s="137">
        <f t="shared" si="207"/>
        <v>4.1610000000000005</v>
      </c>
      <c r="K379" s="37">
        <f t="shared" ref="K379:T379" ca="1" si="208">SUM(K$375,-K$376,-K$377,K$378)</f>
        <v>4.5184171942799649</v>
      </c>
      <c r="L379" s="37">
        <f t="shared" ca="1" si="208"/>
        <v>4.8794699400486508</v>
      </c>
      <c r="M379" s="37">
        <f t="shared" ca="1" si="208"/>
        <v>5.24645310590682</v>
      </c>
      <c r="N379" s="37">
        <f t="shared" ca="1" si="208"/>
        <v>5.6203060245215326</v>
      </c>
      <c r="O379" s="37">
        <f t="shared" ca="1" si="208"/>
        <v>6.0034012104996073</v>
      </c>
      <c r="P379" s="37">
        <f t="shared" ca="1" si="208"/>
        <v>6.3976929715486817</v>
      </c>
      <c r="Q379" s="37">
        <f t="shared" ca="1" si="208"/>
        <v>6.804190380524914</v>
      </c>
      <c r="R379" s="37">
        <f t="shared" ca="1" si="208"/>
        <v>7.2224158740318654</v>
      </c>
      <c r="S379" s="37">
        <f t="shared" ca="1" si="208"/>
        <v>7.6510973535531805</v>
      </c>
      <c r="T379" s="140">
        <f t="shared" ca="1" si="208"/>
        <v>8.0902199572487223</v>
      </c>
    </row>
    <row r="380" spans="1:20">
      <c r="A380" s="1" t="s">
        <v>442</v>
      </c>
      <c r="B380" s="4" t="str">
        <f>$B$39</f>
        <v>From Fiscal Forecasts</v>
      </c>
      <c r="D380" s="14">
        <f>'Fiscal Forecasts'!D$348</f>
        <v>1</v>
      </c>
      <c r="E380" s="175">
        <f>'Fiscal Forecasts'!E$348</f>
        <v>1.46</v>
      </c>
      <c r="F380" s="15">
        <f>'Fiscal Forecasts'!F$348</f>
        <v>2.12</v>
      </c>
      <c r="G380" s="176">
        <f>'Fiscal Forecasts'!G$348</f>
        <v>2.42</v>
      </c>
      <c r="H380" s="176">
        <f>'Fiscal Forecasts'!H$348</f>
        <v>1.351</v>
      </c>
      <c r="I380" s="176">
        <f>'Fiscal Forecasts'!I$348</f>
        <v>1.63</v>
      </c>
      <c r="J380" s="176">
        <f>'Fiscal Forecasts'!J$348</f>
        <v>1.8979999999999999</v>
      </c>
      <c r="K380" s="6">
        <f>Exogenous!V$9</f>
        <v>1.6879782431057286</v>
      </c>
      <c r="L380" s="6">
        <f>Exogenous!W$9</f>
        <v>1.4327527342206707</v>
      </c>
      <c r="M380" s="6">
        <f>Exogenous!X$9</f>
        <v>1.1647696793195053</v>
      </c>
      <c r="N380" s="6">
        <f>Exogenous!Y$9</f>
        <v>0.9340167943912725</v>
      </c>
      <c r="O380" s="6">
        <f>Exogenous!Z$9</f>
        <v>0.7315037003943381</v>
      </c>
      <c r="P380" s="6">
        <f>Exogenous!AA$9</f>
        <v>0.54727674926238734</v>
      </c>
      <c r="Q380" s="6">
        <f>Exogenous!AB$9</f>
        <v>0.35386359603993611</v>
      </c>
      <c r="R380" s="104">
        <f>Exogenous!AC$9</f>
        <v>0.12684560172290915</v>
      </c>
      <c r="S380" s="104">
        <f>Exogenous!AD$9</f>
        <v>-0.13285652283220983</v>
      </c>
      <c r="T380" s="171">
        <f>Exogenous!AE$9</f>
        <v>-0.37678819574019329</v>
      </c>
    </row>
    <row r="381" spans="1:20">
      <c r="A381" s="1" t="s">
        <v>75</v>
      </c>
      <c r="B381" s="4" t="str">
        <f>$B$39</f>
        <v>From Fiscal Forecasts</v>
      </c>
      <c r="D381" s="14">
        <f>'Fiscal Forecasts'!D$349</f>
        <v>8.8999999999999996E-2</v>
      </c>
      <c r="E381" s="175">
        <f>'Fiscal Forecasts'!E$349</f>
        <v>-0.13</v>
      </c>
      <c r="F381" s="15">
        <f>'Fiscal Forecasts'!F$349</f>
        <v>0</v>
      </c>
      <c r="G381" s="176">
        <f>'Fiscal Forecasts'!G$349</f>
        <v>0</v>
      </c>
      <c r="H381" s="176">
        <f>'Fiscal Forecasts'!H$349</f>
        <v>0</v>
      </c>
      <c r="I381" s="176">
        <f>'Fiscal Forecasts'!I$349</f>
        <v>0</v>
      </c>
      <c r="J381" s="176">
        <f>'Fiscal Forecasts'!J$349</f>
        <v>0</v>
      </c>
      <c r="K381" s="6">
        <f ca="1">IF(K$6=OFFSET(Assumptions!$B$8,0,$C$1),0,J$381)</f>
        <v>0</v>
      </c>
      <c r="L381" s="6">
        <f ca="1">IF(L$6=OFFSET(Assumptions!$B$8,0,$C$1),0,K$381)</f>
        <v>0</v>
      </c>
      <c r="M381" s="6">
        <f ca="1">IF(M$6=OFFSET(Assumptions!$B$8,0,$C$1),0,L$381)</f>
        <v>0</v>
      </c>
      <c r="N381" s="6">
        <f ca="1">IF(N$6=OFFSET(Assumptions!$B$8,0,$C$1),0,M$381)</f>
        <v>0</v>
      </c>
      <c r="O381" s="6">
        <f ca="1">IF(O$6=OFFSET(Assumptions!$B$8,0,$C$1),0,N$381)</f>
        <v>0</v>
      </c>
      <c r="P381" s="6">
        <f ca="1">IF(P$6=OFFSET(Assumptions!$B$8,0,$C$1),0,O$381)</f>
        <v>0</v>
      </c>
      <c r="Q381" s="6">
        <f ca="1">IF(Q$6=OFFSET(Assumptions!$B$8,0,$C$1),0,P$381)</f>
        <v>0</v>
      </c>
      <c r="R381" s="104">
        <f ca="1">IF(R$6=OFFSET(Assumptions!$B$8,0,$C$1),0,Q$381)</f>
        <v>0</v>
      </c>
      <c r="S381" s="104">
        <f ca="1">IF(S$6=OFFSET(Assumptions!$B$8,0,$C$1),0,R$381)</f>
        <v>0</v>
      </c>
      <c r="T381" s="171">
        <f ca="1">IF(T$6=OFFSET(Assumptions!$B$8,0,$C$1),0,S$381)</f>
        <v>0</v>
      </c>
    </row>
    <row r="382" spans="1:20" ht="15">
      <c r="A382" s="2" t="s">
        <v>343</v>
      </c>
      <c r="C382" s="60">
        <f>'Fiscal Forecasts'!C$350</f>
        <v>39.052999999999997</v>
      </c>
      <c r="D382" s="34">
        <f>SUM(C$382,D$379:D$381)</f>
        <v>42.444999999999993</v>
      </c>
      <c r="E382" s="138">
        <f t="shared" ref="E382:T382" si="209">SUM(D$382,E$379:E$381)</f>
        <v>43.996999999999993</v>
      </c>
      <c r="F382" s="33">
        <f t="shared" si="209"/>
        <v>53.47999999999999</v>
      </c>
      <c r="G382" s="137">
        <f t="shared" ref="G382" si="210">SUM(F$382,G$379:G$381)</f>
        <v>59.067999999999991</v>
      </c>
      <c r="H382" s="137">
        <f t="shared" ref="H382" si="211">SUM(G$382,H$379:H$381)</f>
        <v>63.946999999999989</v>
      </c>
      <c r="I382" s="137">
        <f t="shared" ref="I382:J382" si="212">SUM(H$382,I$379:I$381)</f>
        <v>69.396999999999977</v>
      </c>
      <c r="J382" s="137">
        <f t="shared" si="212"/>
        <v>75.455999999999975</v>
      </c>
      <c r="K382" s="37">
        <f t="shared" ca="1" si="209"/>
        <v>81.662395437385669</v>
      </c>
      <c r="L382" s="37">
        <f t="shared" ca="1" si="209"/>
        <v>87.974618111654991</v>
      </c>
      <c r="M382" s="37">
        <f t="shared" ca="1" si="209"/>
        <v>94.385840896881319</v>
      </c>
      <c r="N382" s="37">
        <f t="shared" ca="1" si="209"/>
        <v>100.94016371579413</v>
      </c>
      <c r="O382" s="37">
        <f t="shared" ca="1" si="209"/>
        <v>107.67506862668807</v>
      </c>
      <c r="P382" s="37">
        <f t="shared" ca="1" si="209"/>
        <v>114.62003834749913</v>
      </c>
      <c r="Q382" s="37">
        <f t="shared" ca="1" si="209"/>
        <v>121.77809232406398</v>
      </c>
      <c r="R382" s="37">
        <f t="shared" ca="1" si="209"/>
        <v>129.12735379981876</v>
      </c>
      <c r="S382" s="37">
        <f t="shared" ca="1" si="209"/>
        <v>136.64559463053973</v>
      </c>
      <c r="T382" s="140">
        <f t="shared" ca="1" si="209"/>
        <v>144.35902639204826</v>
      </c>
    </row>
    <row r="383" spans="1:20">
      <c r="A383" s="4" t="s">
        <v>444</v>
      </c>
      <c r="E383" s="167"/>
      <c r="J383" s="167"/>
    </row>
    <row r="384" spans="1:20">
      <c r="A384" s="1" t="s">
        <v>344</v>
      </c>
      <c r="B384" s="4" t="str">
        <f>$B$39</f>
        <v>From Fiscal Forecasts</v>
      </c>
      <c r="D384" s="14">
        <f>'Fiscal Forecasts'!D$351</f>
        <v>44.307000000000002</v>
      </c>
      <c r="E384" s="175">
        <f>'Fiscal Forecasts'!E$351</f>
        <v>48.220999999999997</v>
      </c>
      <c r="F384" s="15">
        <f>'Fiscal Forecasts'!F$351</f>
        <v>61.26</v>
      </c>
      <c r="G384" s="176">
        <f>'Fiscal Forecasts'!G$351</f>
        <v>64.861999999999995</v>
      </c>
      <c r="H384" s="176">
        <f>'Fiscal Forecasts'!H$351</f>
        <v>69.658000000000001</v>
      </c>
      <c r="I384" s="176">
        <f>'Fiscal Forecasts'!I$351</f>
        <v>75.23</v>
      </c>
      <c r="J384" s="176">
        <f>'Fiscal Forecasts'!J$351</f>
        <v>81.406999999999996</v>
      </c>
      <c r="K384" s="131">
        <f ca="1">(J$384/J$382+MIN(ABS(OFFSET(Assumptions!$B$74,0,$C$1)-J$384/J$382),OFFSET(Assumptions!$B$73,0,$C$1))*SIGN(OFFSET(Assumptions!$B$74,0,$C$1)-J$384/J$382))*K$382</f>
        <v>87.694564207228609</v>
      </c>
      <c r="L384" s="131">
        <f ca="1">(K$384/K$382+MIN(ABS(OFFSET(Assumptions!$B$74,0,$C$1)-K$384/K$382),OFFSET(Assumptions!$B$73,0,$C$1))*SIGN(OFFSET(Assumptions!$B$74,0,$C$1)-K$384/K$382))*L$382</f>
        <v>94.132841379470847</v>
      </c>
      <c r="M384" s="131">
        <f ca="1">(L$384/L$382+MIN(ABS(OFFSET(Assumptions!$B$74,0,$C$1)-L$384/L$382),OFFSET(Assumptions!$B$73,0,$C$1))*SIGN(OFFSET(Assumptions!$B$74,0,$C$1)-L$384/L$382))*M$382</f>
        <v>100.99284975966302</v>
      </c>
      <c r="N384" s="131">
        <f ca="1">(M$384/M$382+MIN(ABS(OFFSET(Assumptions!$B$74,0,$C$1)-M$384/M$382),OFFSET(Assumptions!$B$73,0,$C$1))*SIGN(OFFSET(Assumptions!$B$74,0,$C$1)-M$384/M$382))*N$382</f>
        <v>108.00597517589972</v>
      </c>
      <c r="O384" s="131">
        <f ca="1">(N$384/N$382+MIN(ABS(OFFSET(Assumptions!$B$74,0,$C$1)-N$384/N$382),OFFSET(Assumptions!$B$73,0,$C$1))*SIGN(OFFSET(Assumptions!$B$74,0,$C$1)-N$384/N$382))*O$382</f>
        <v>115.21232343055624</v>
      </c>
      <c r="P384" s="131">
        <f ca="1">(O$384/O$382+MIN(ABS(OFFSET(Assumptions!$B$74,0,$C$1)-O$384/O$382),OFFSET(Assumptions!$B$73,0,$C$1))*SIGN(OFFSET(Assumptions!$B$74,0,$C$1)-O$384/O$382))*P$382</f>
        <v>122.64344103182408</v>
      </c>
      <c r="Q384" s="131">
        <f ca="1">(P$384/P$382+MIN(ABS(OFFSET(Assumptions!$B$74,0,$C$1)-P$384/P$382),OFFSET(Assumptions!$B$73,0,$C$1))*SIGN(OFFSET(Assumptions!$B$74,0,$C$1)-P$384/P$382))*Q$382</f>
        <v>130.30255878674845</v>
      </c>
      <c r="R384" s="131">
        <f ca="1">(Q$384/Q$382+MIN(ABS(OFFSET(Assumptions!$B$74,0,$C$1)-Q$384/Q$382),OFFSET(Assumptions!$B$73,0,$C$1))*SIGN(OFFSET(Assumptions!$B$74,0,$C$1)-Q$384/Q$382))*R$382</f>
        <v>138.16626856580609</v>
      </c>
      <c r="S384" s="131">
        <f ca="1">(R$384/R$382+MIN(ABS(OFFSET(Assumptions!$B$74,0,$C$1)-R$384/R$382),OFFSET(Assumptions!$B$73,0,$C$1))*SIGN(OFFSET(Assumptions!$B$74,0,$C$1)-R$384/R$382))*S$382</f>
        <v>146.21078625467752</v>
      </c>
      <c r="T384" s="171">
        <f ca="1">(S$384/S$382+MIN(ABS(OFFSET(Assumptions!$B$74,0,$C$1)-S$384/S$382),OFFSET(Assumptions!$B$73,0,$C$1))*SIGN(OFFSET(Assumptions!$B$74,0,$C$1)-S$384/S$382))*T$382</f>
        <v>154.46415823949164</v>
      </c>
    </row>
    <row r="385" spans="1:20">
      <c r="A385" s="1" t="s">
        <v>445</v>
      </c>
      <c r="B385" s="4" t="str">
        <f>$B$39</f>
        <v>From Fiscal Forecasts</v>
      </c>
      <c r="D385" s="14">
        <f>-'Fiscal Forecasts'!D$352</f>
        <v>1.9910000000000001</v>
      </c>
      <c r="E385" s="175">
        <f>-'Fiscal Forecasts'!E$352</f>
        <v>4.226</v>
      </c>
      <c r="F385" s="15">
        <f>-'Fiscal Forecasts'!F$352</f>
        <v>7.78</v>
      </c>
      <c r="G385" s="176">
        <f>-'Fiscal Forecasts'!G$352</f>
        <v>5.7939999999999996</v>
      </c>
      <c r="H385" s="176">
        <f>-'Fiscal Forecasts'!H$352</f>
        <v>5.7110000000000003</v>
      </c>
      <c r="I385" s="176">
        <f>-'Fiscal Forecasts'!I$352</f>
        <v>5.8330000000000002</v>
      </c>
      <c r="J385" s="176">
        <f>-'Fiscal Forecasts'!J$352</f>
        <v>5.9509999999999996</v>
      </c>
      <c r="K385" s="131">
        <f t="shared" ref="K385:T385" ca="1" si="213">K$384-K$382</f>
        <v>6.03216876984294</v>
      </c>
      <c r="L385" s="131">
        <f t="shared" ca="1" si="213"/>
        <v>6.1582232678158562</v>
      </c>
      <c r="M385" s="131">
        <f t="shared" ca="1" si="213"/>
        <v>6.6070088627816972</v>
      </c>
      <c r="N385" s="131">
        <f t="shared" ca="1" si="213"/>
        <v>7.0658114601055928</v>
      </c>
      <c r="O385" s="131">
        <f t="shared" ca="1" si="213"/>
        <v>7.5372548038681657</v>
      </c>
      <c r="P385" s="131">
        <f t="shared" ca="1" si="213"/>
        <v>8.0234026843249495</v>
      </c>
      <c r="Q385" s="131">
        <f t="shared" ca="1" si="213"/>
        <v>8.5244664626844724</v>
      </c>
      <c r="R385" s="131">
        <f t="shared" ca="1" si="213"/>
        <v>9.0389147659873288</v>
      </c>
      <c r="S385" s="131">
        <f t="shared" ca="1" si="213"/>
        <v>9.5651916241377819</v>
      </c>
      <c r="T385" s="171">
        <f t="shared" ca="1" si="213"/>
        <v>10.105131847443374</v>
      </c>
    </row>
    <row r="386" spans="1:20">
      <c r="A386" s="1" t="s">
        <v>346</v>
      </c>
      <c r="B386" s="4" t="str">
        <f>$B$39</f>
        <v>From Fiscal Forecasts</v>
      </c>
      <c r="D386" s="14">
        <f>'Fiscal Forecasts'!D$353</f>
        <v>0</v>
      </c>
      <c r="E386" s="175">
        <f>'Fiscal Forecasts'!E$353</f>
        <v>2E-3</v>
      </c>
      <c r="F386" s="15">
        <f>'Fiscal Forecasts'!F$353</f>
        <v>0</v>
      </c>
      <c r="G386" s="176">
        <f>'Fiscal Forecasts'!G$353</f>
        <v>0</v>
      </c>
      <c r="H386" s="176">
        <f>'Fiscal Forecasts'!H$353</f>
        <v>0</v>
      </c>
      <c r="I386" s="176">
        <f>'Fiscal Forecasts'!I$353</f>
        <v>0</v>
      </c>
      <c r="J386" s="176">
        <f>'Fiscal Forecasts'!J$353</f>
        <v>0</v>
      </c>
      <c r="K386" s="131">
        <f ca="1">IF(K$6=OFFSET(Assumptions!$B$8,0,$C$1),0,J$386)</f>
        <v>0</v>
      </c>
      <c r="L386" s="131">
        <f ca="1">IF(L$6=OFFSET(Assumptions!$B$8,0,$C$1),0,K$386)</f>
        <v>0</v>
      </c>
      <c r="M386" s="131">
        <f ca="1">IF(M$6=OFFSET(Assumptions!$B$8,0,$C$1),0,L$386)</f>
        <v>0</v>
      </c>
      <c r="N386" s="131">
        <f ca="1">IF(N$6=OFFSET(Assumptions!$B$8,0,$C$1),0,M$386)</f>
        <v>0</v>
      </c>
      <c r="O386" s="131">
        <f ca="1">IF(O$6=OFFSET(Assumptions!$B$8,0,$C$1),0,N$386)</f>
        <v>0</v>
      </c>
      <c r="P386" s="131">
        <f ca="1">IF(P$6=OFFSET(Assumptions!$B$8,0,$C$1),0,O$386)</f>
        <v>0</v>
      </c>
      <c r="Q386" s="131">
        <f ca="1">IF(Q$6=OFFSET(Assumptions!$B$8,0,$C$1),0,P$386)</f>
        <v>0</v>
      </c>
      <c r="R386" s="131">
        <f ca="1">IF(R$6=OFFSET(Assumptions!$B$8,0,$C$1),0,Q$386)</f>
        <v>0</v>
      </c>
      <c r="S386" s="131">
        <f ca="1">IF(S$6=OFFSET(Assumptions!$B$8,0,$C$1),0,R$386)</f>
        <v>0</v>
      </c>
      <c r="T386" s="171">
        <f ca="1">IF(T$6=OFFSET(Assumptions!$B$8,0,$C$1),0,S$386)</f>
        <v>0</v>
      </c>
    </row>
    <row r="387" spans="1:20">
      <c r="B387" s="4"/>
      <c r="D387" s="14"/>
      <c r="E387" s="175"/>
      <c r="F387" s="15"/>
      <c r="G387" s="15"/>
      <c r="H387" s="15"/>
      <c r="I387" s="15"/>
      <c r="J387" s="176"/>
      <c r="K387" s="131"/>
      <c r="L387" s="131"/>
      <c r="M387" s="131"/>
      <c r="N387" s="131"/>
      <c r="O387" s="131"/>
      <c r="P387" s="131"/>
      <c r="Q387" s="131"/>
      <c r="R387" s="131"/>
      <c r="S387" s="131"/>
      <c r="T387" s="171"/>
    </row>
    <row r="388" spans="1:20" ht="15">
      <c r="A388" s="18" t="s">
        <v>1088</v>
      </c>
      <c r="B388" s="4" t="str">
        <f>$B$39</f>
        <v>From Fiscal Forecasts</v>
      </c>
      <c r="D388" s="39">
        <f>'Fiscal Forecasts'!D$121</f>
        <v>3.6880000000000002</v>
      </c>
      <c r="E388" s="142">
        <f>'Fiscal Forecasts'!E$121</f>
        <v>4.22</v>
      </c>
      <c r="F388" s="38">
        <f>'Fiscal Forecasts'!F$121</f>
        <v>4.2759999999999998</v>
      </c>
      <c r="G388" s="38">
        <f>'Fiscal Forecasts'!G$121</f>
        <v>5.1260000000000003</v>
      </c>
      <c r="H388" s="38">
        <f>'Fiscal Forecasts'!H$121</f>
        <v>6.218</v>
      </c>
      <c r="I388" s="38">
        <f>'Fiscal Forecasts'!I$121</f>
        <v>7.5110000000000001</v>
      </c>
      <c r="J388" s="141">
        <f>'Fiscal Forecasts'!J$121</f>
        <v>8.66</v>
      </c>
      <c r="K388" s="7">
        <f ca="1">OFFSET(Assumptions!$B$77,0,$C$1)*K$384</f>
        <v>7.8925107786505748</v>
      </c>
      <c r="L388" s="7">
        <f ca="1">OFFSET(Assumptions!$B$77,0,$C$1)*L$384</f>
        <v>8.4719557241523766</v>
      </c>
      <c r="M388" s="7">
        <f ca="1">OFFSET(Assumptions!$B$77,0,$C$1)*M$384</f>
        <v>9.0893564783696714</v>
      </c>
      <c r="N388" s="7">
        <f ca="1">OFFSET(Assumptions!$B$77,0,$C$1)*N$384</f>
        <v>9.720537765830974</v>
      </c>
      <c r="O388" s="7">
        <f ca="1">OFFSET(Assumptions!$B$77,0,$C$1)*O$384</f>
        <v>10.369109108750061</v>
      </c>
      <c r="P388" s="7">
        <f ca="1">OFFSET(Assumptions!$B$77,0,$C$1)*P$384</f>
        <v>11.037909692864167</v>
      </c>
      <c r="Q388" s="7">
        <f ca="1">OFFSET(Assumptions!$B$77,0,$C$1)*Q$384</f>
        <v>11.727230290807359</v>
      </c>
      <c r="R388" s="7">
        <f ca="1">OFFSET(Assumptions!$B$77,0,$C$1)*R$384</f>
        <v>12.434964170922548</v>
      </c>
      <c r="S388" s="7">
        <f ca="1">OFFSET(Assumptions!$B$77,0,$C$1)*S$384</f>
        <v>13.158970762920976</v>
      </c>
      <c r="T388" s="134">
        <f ca="1">OFFSET(Assumptions!$B$77,0,$C$1)*T$384</f>
        <v>13.901774241554246</v>
      </c>
    </row>
    <row r="389" spans="1:20">
      <c r="B389" s="4"/>
      <c r="E389" s="167"/>
      <c r="J389" s="167"/>
    </row>
    <row r="390" spans="1:20">
      <c r="A390" s="18" t="s">
        <v>202</v>
      </c>
      <c r="B390" s="4"/>
      <c r="D390" s="15"/>
      <c r="E390" s="176"/>
      <c r="F390" s="15"/>
      <c r="G390" s="15"/>
      <c r="H390" s="15"/>
      <c r="I390" s="15"/>
      <c r="J390" s="176"/>
      <c r="K390" s="15"/>
      <c r="L390" s="15"/>
      <c r="M390" s="15"/>
      <c r="N390" s="15"/>
      <c r="O390" s="15"/>
      <c r="P390" s="15"/>
      <c r="Q390" s="15"/>
      <c r="R390" s="15"/>
      <c r="S390" s="15"/>
      <c r="T390" s="176"/>
    </row>
    <row r="391" spans="1:20">
      <c r="A391" s="1" t="s">
        <v>520</v>
      </c>
      <c r="B391" s="4" t="str">
        <f>$B$39</f>
        <v>From Fiscal Forecasts</v>
      </c>
      <c r="D391" s="14">
        <f>'Fiscal Forecasts'!D$176-SUM(D$76,D$77)</f>
        <v>2.0030000000000001</v>
      </c>
      <c r="E391" s="175">
        <f>'Fiscal Forecasts'!E$176-SUM(E$76,E$77)</f>
        <v>3.6860000000000017</v>
      </c>
      <c r="F391" s="176">
        <f>'Fiscal Forecasts'!F$176-SUM(F$76,F$77)</f>
        <v>5.1870000000000012</v>
      </c>
      <c r="G391" s="176">
        <f>'Fiscal Forecasts'!G$176-SUM(G$76,G$77)</f>
        <v>5.1880000000000024</v>
      </c>
      <c r="H391" s="176">
        <f>'Fiscal Forecasts'!H$176-SUM(H$76,H$77)</f>
        <v>5.1859999999999999</v>
      </c>
      <c r="I391" s="176">
        <f>'Fiscal Forecasts'!I$176-SUM(I$76,I$77)</f>
        <v>5.1859999999999928</v>
      </c>
      <c r="J391" s="176">
        <f>'Fiscal Forecasts'!J$176-SUM(J$76,J$77)</f>
        <v>5.1859999999999999</v>
      </c>
      <c r="K391" s="131">
        <f ca="1">(J$391/J$384+MIN(ABS(OFFSET(Assumptions!$B$78,0,$C$1)-J$391/J$384),OFFSET(Assumptions!$B$73,0,$C$1))*SIGN(OFFSET(Assumptions!$B$78,0,$C$1)-J$391/J$384))*K$384</f>
        <v>5.1480739130123743</v>
      </c>
      <c r="L391" s="131">
        <f ca="1">(K$391/K$384+MIN(ABS(OFFSET(Assumptions!$B$78,0,$C$1)-K$391/K$384),OFFSET(Assumptions!$B$73,0,$C$1))*SIGN(OFFSET(Assumptions!$B$78,0,$C$1)-K$391/K$384))*L$384</f>
        <v>5.0553661627642592</v>
      </c>
      <c r="M391" s="131">
        <f ca="1">(L$391/L$384+MIN(ABS(OFFSET(Assumptions!$B$78,0,$C$1)-L$391/L$384),OFFSET(Assumptions!$B$73,0,$C$1))*SIGN(OFFSET(Assumptions!$B$78,0,$C$1)-L$391/L$384))*M$384</f>
        <v>4.9188158886562485</v>
      </c>
      <c r="N391" s="131">
        <f ca="1">(M$391/M$384+MIN(ABS(OFFSET(Assumptions!$B$78,0,$C$1)-M$391/M$384),OFFSET(Assumptions!$B$73,0,$C$1))*SIGN(OFFSET(Assumptions!$B$78,0,$C$1)-M$391/M$384))*N$384</f>
        <v>4.7203574488597626</v>
      </c>
      <c r="O391" s="131">
        <f ca="1">(N$391/N$384+MIN(ABS(OFFSET(Assumptions!$B$78,0,$C$1)-N$391/N$384),OFFSET(Assumptions!$B$73,0,$C$1))*SIGN(OFFSET(Assumptions!$B$78,0,$C$1)-N$391/N$384))*O$384</f>
        <v>4.4592463666893813</v>
      </c>
      <c r="P391" s="131">
        <f ca="1">(O$391/O$384+MIN(ABS(OFFSET(Assumptions!$B$78,0,$C$1)-O$391/O$384),OFFSET(Assumptions!$B$73,0,$C$1))*SIGN(OFFSET(Assumptions!$B$78,0,$C$1)-O$391/O$384))*P$384</f>
        <v>4.1336475618645663</v>
      </c>
      <c r="Q391" s="131">
        <f ca="1">(P$391/P$384+MIN(ABS(OFFSET(Assumptions!$B$78,0,$C$1)-P$391/P$384),OFFSET(Assumptions!$B$73,0,$C$1))*SIGN(OFFSET(Assumptions!$B$78,0,$C$1)-P$391/P$384))*Q$384</f>
        <v>3.9090767636024535</v>
      </c>
      <c r="R391" s="131">
        <f ca="1">(Q$391/Q$384+MIN(ABS(OFFSET(Assumptions!$B$78,0,$C$1)-Q$391/Q$384),OFFSET(Assumptions!$B$73,0,$C$1))*SIGN(OFFSET(Assumptions!$B$78,0,$C$1)-Q$391/Q$384))*R$384</f>
        <v>4.1449880569741824</v>
      </c>
      <c r="S391" s="131">
        <f ca="1">(R$391/R$384+MIN(ABS(OFFSET(Assumptions!$B$78,0,$C$1)-R$391/R$384),OFFSET(Assumptions!$B$73,0,$C$1))*SIGN(OFFSET(Assumptions!$B$78,0,$C$1)-R$391/R$384))*S$384</f>
        <v>4.3863235876403257</v>
      </c>
      <c r="T391" s="171">
        <f ca="1">(S$391/S$384+MIN(ABS(OFFSET(Assumptions!$B$78,0,$C$1)-S$391/S$384),OFFSET(Assumptions!$B$73,0,$C$1))*SIGN(OFFSET(Assumptions!$B$78,0,$C$1)-S$391/S$384))*T$384</f>
        <v>4.6339247471847491</v>
      </c>
    </row>
    <row r="392" spans="1:20">
      <c r="A392" s="1" t="s">
        <v>435</v>
      </c>
      <c r="B392" s="4"/>
      <c r="D392" s="14">
        <f t="shared" ref="D392:T392" si="214">D$407</f>
        <v>10.731</v>
      </c>
      <c r="E392" s="175">
        <f t="shared" si="214"/>
        <v>10.395</v>
      </c>
      <c r="F392" s="176">
        <f t="shared" si="214"/>
        <v>10.833</v>
      </c>
      <c r="G392" s="176">
        <f t="shared" si="214"/>
        <v>10.615</v>
      </c>
      <c r="H392" s="176">
        <f t="shared" si="214"/>
        <v>10.369</v>
      </c>
      <c r="I392" s="176">
        <f t="shared" si="214"/>
        <v>10.080999999999998</v>
      </c>
      <c r="J392" s="176">
        <f t="shared" si="214"/>
        <v>9.7489999999999988</v>
      </c>
      <c r="K392" s="6">
        <f t="shared" si="214"/>
        <v>9.5699999999999967</v>
      </c>
      <c r="L392" s="6">
        <f t="shared" si="214"/>
        <v>9.4769999999999968</v>
      </c>
      <c r="M392" s="6">
        <f t="shared" si="214"/>
        <v>9.4179999999999957</v>
      </c>
      <c r="N392" s="6">
        <f t="shared" si="214"/>
        <v>9.3919999999999959</v>
      </c>
      <c r="O392" s="6">
        <f t="shared" si="214"/>
        <v>9.4009999999999945</v>
      </c>
      <c r="P392" s="6">
        <f t="shared" si="214"/>
        <v>9.4369999999999941</v>
      </c>
      <c r="Q392" s="6">
        <f t="shared" si="214"/>
        <v>9.4929999999999932</v>
      </c>
      <c r="R392" s="104">
        <f t="shared" si="214"/>
        <v>9.5629999999999935</v>
      </c>
      <c r="S392" s="104">
        <f t="shared" si="214"/>
        <v>9.6429999999999936</v>
      </c>
      <c r="T392" s="171">
        <f t="shared" si="214"/>
        <v>9.7289999999999939</v>
      </c>
    </row>
    <row r="393" spans="1:20" s="167" customFormat="1">
      <c r="A393" s="167" t="s">
        <v>1226</v>
      </c>
      <c r="B393" s="4"/>
      <c r="D393" s="175">
        <f>D$76</f>
        <v>0</v>
      </c>
      <c r="E393" s="175">
        <f>E$76</f>
        <v>0</v>
      </c>
      <c r="F393" s="176">
        <f t="shared" ref="F393:J393" si="215">F$76</f>
        <v>4.54</v>
      </c>
      <c r="G393" s="176">
        <f t="shared" si="215"/>
        <v>18.72</v>
      </c>
      <c r="H393" s="176">
        <f t="shared" si="215"/>
        <v>28</v>
      </c>
      <c r="I393" s="176">
        <f t="shared" si="215"/>
        <v>21.76</v>
      </c>
      <c r="J393" s="176">
        <f t="shared" si="215"/>
        <v>9.2799999999999994</v>
      </c>
      <c r="K393" s="171">
        <f t="shared" ref="K393:T393" ca="1" si="216">K$76</f>
        <v>0</v>
      </c>
      <c r="L393" s="171">
        <f t="shared" ca="1" si="216"/>
        <v>0</v>
      </c>
      <c r="M393" s="171">
        <f t="shared" ca="1" si="216"/>
        <v>0</v>
      </c>
      <c r="N393" s="171">
        <f t="shared" ca="1" si="216"/>
        <v>0</v>
      </c>
      <c r="O393" s="171">
        <f t="shared" ca="1" si="216"/>
        <v>0</v>
      </c>
      <c r="P393" s="171">
        <f t="shared" ca="1" si="216"/>
        <v>0</v>
      </c>
      <c r="Q393" s="171">
        <f t="shared" ca="1" si="216"/>
        <v>0</v>
      </c>
      <c r="R393" s="171">
        <f t="shared" ca="1" si="216"/>
        <v>0</v>
      </c>
      <c r="S393" s="171">
        <f t="shared" ca="1" si="216"/>
        <v>0</v>
      </c>
      <c r="T393" s="171">
        <f t="shared" ca="1" si="216"/>
        <v>0</v>
      </c>
    </row>
    <row r="394" spans="1:20">
      <c r="A394" s="1" t="s">
        <v>521</v>
      </c>
      <c r="B394" s="4"/>
      <c r="D394" s="14">
        <f t="shared" ref="D394:J394" si="217">D$77-D$407</f>
        <v>3.1140000000000008</v>
      </c>
      <c r="E394" s="175">
        <f t="shared" si="217"/>
        <v>4.1609999999999996</v>
      </c>
      <c r="F394" s="176">
        <f t="shared" si="217"/>
        <v>5.0359999999999996</v>
      </c>
      <c r="G394" s="176">
        <f t="shared" si="217"/>
        <v>4.9209999999999994</v>
      </c>
      <c r="H394" s="176">
        <f t="shared" si="217"/>
        <v>5.24</v>
      </c>
      <c r="I394" s="176">
        <f t="shared" si="217"/>
        <v>5.0720000000000027</v>
      </c>
      <c r="J394" s="176">
        <f t="shared" si="217"/>
        <v>4.822000000000001</v>
      </c>
      <c r="K394" s="6">
        <f ca="1">(J$394/J$13+ IF(K$2&gt;0,K$2*IF(K$6=OFFSET(Assumptions!$B$8,0,$C$1),SUMPRODUCT(OFFSET(J$394,0,0,1,-OFFSET(Assumptions!$B$86,0,$C$1)),OFFSET(J$15,0,0,1,-OFFSET(Assumptions!$B$86,0,$C$1)))/OFFSET(Assumptions!$B$86,0,$C$1)-J$394/J$13,(J$394/J$13-I$394/I$13)/J$2),0))*K$13</f>
        <v>5.2168053432101074</v>
      </c>
      <c r="L394" s="6">
        <f ca="1">(K$394/K$13+ IF(L$2&gt;0,L$2*IF(L$6=OFFSET(Assumptions!$B$8,0,$C$1),SUMPRODUCT(OFFSET(K$394,0,0,1,-OFFSET(Assumptions!$B$86,0,$C$1)),OFFSET(K$15,0,0,1,-OFFSET(Assumptions!$B$86,0,$C$1)))/OFFSET(Assumptions!$B$86,0,$C$1)-K$394/K$13,(K$394/K$13-J$394/J$13)/K$2),0))*L$13</f>
        <v>5.5893893307830007</v>
      </c>
      <c r="M394" s="6">
        <f ca="1">(L$394/L$13+ IF(M$2&gt;0,M$2*IF(M$6=OFFSET(Assumptions!$B$8,0,$C$1),SUMPRODUCT(OFFSET(L$394,0,0,1,-OFFSET(Assumptions!$B$86,0,$C$1)),OFFSET(L$15,0,0,1,-OFFSET(Assumptions!$B$86,0,$C$1)))/OFFSET(Assumptions!$B$86,0,$C$1)-L$394/L$13,(L$394/L$13-K$394/K$13)/L$2),0))*M$13</f>
        <v>5.9378588009895292</v>
      </c>
      <c r="N394" s="6">
        <f ca="1">(M$394/M$13+ IF(N$2&gt;0,N$2*IF(N$6=OFFSET(Assumptions!$B$8,0,$C$1),SUMPRODUCT(OFFSET(M$394,0,0,1,-OFFSET(Assumptions!$B$86,0,$C$1)),OFFSET(M$15,0,0,1,-OFFSET(Assumptions!$B$86,0,$C$1)))/OFFSET(Assumptions!$B$86,0,$C$1)-M$394/M$13,(M$394/M$13-L$394/L$13)/M$2),0))*N$13</f>
        <v>6.266339702651349</v>
      </c>
      <c r="O394" s="6">
        <f ca="1">(N$394/N$13+ IF(O$2&gt;0,O$2*IF(O$6=OFFSET(Assumptions!$B$8,0,$C$1),SUMPRODUCT(OFFSET(N$394,0,0,1,-OFFSET(Assumptions!$B$86,0,$C$1)),OFFSET(N$15,0,0,1,-OFFSET(Assumptions!$B$86,0,$C$1)))/OFFSET(Assumptions!$B$86,0,$C$1)-N$394/N$13,(N$394/N$13-M$394/M$13)/N$2),0))*O$13</f>
        <v>6.5645061342096804</v>
      </c>
      <c r="P394" s="6">
        <f ca="1">(O$394/O$13+ IF(P$2&gt;0,P$2*IF(P$6=OFFSET(Assumptions!$B$8,0,$C$1),SUMPRODUCT(OFFSET(O$394,0,0,1,-OFFSET(Assumptions!$B$86,0,$C$1)),OFFSET(O$15,0,0,1,-OFFSET(Assumptions!$B$86,0,$C$1)))/OFFSET(Assumptions!$B$86,0,$C$1)-O$394/O$13,(O$394/O$13-N$394/N$13)/O$2),0))*P$13</f>
        <v>6.8274547404607393</v>
      </c>
      <c r="Q394" s="6">
        <f ca="1">(P$394/P$13+ IF(Q$2&gt;0,Q$2*IF(Q$6=OFFSET(Assumptions!$B$8,0,$C$1),SUMPRODUCT(OFFSET(P$394,0,0,1,-OFFSET(Assumptions!$B$86,0,$C$1)),OFFSET(P$15,0,0,1,-OFFSET(Assumptions!$B$86,0,$C$1)))/OFFSET(Assumptions!$B$86,0,$C$1)-P$394/P$13,(P$394/P$13-O$394/O$13)/P$2),0))*Q$13</f>
        <v>7.0958133746986549</v>
      </c>
      <c r="R394" s="104">
        <f ca="1">(Q$394/Q$13+ IF(R$2&gt;0,R$2*IF(R$6=OFFSET(Assumptions!$B$8,0,$C$1),SUMPRODUCT(OFFSET(Q$394,0,0,1,-OFFSET(Assumptions!$B$86,0,$C$1)),OFFSET(Q$15,0,0,1,-OFFSET(Assumptions!$B$86,0,$C$1)))/OFFSET(Assumptions!$B$86,0,$C$1)-Q$394/Q$13,(Q$394/Q$13-P$394/P$13)/Q$2),0))*R$13</f>
        <v>7.3688592232989469</v>
      </c>
      <c r="S394" s="104">
        <f ca="1">(R$394/R$13+ IF(S$2&gt;0,S$2*IF(S$6=OFFSET(Assumptions!$B$8,0,$C$1),SUMPRODUCT(OFFSET(R$394,0,0,1,-OFFSET(Assumptions!$B$86,0,$C$1)),OFFSET(R$15,0,0,1,-OFFSET(Assumptions!$B$86,0,$C$1)))/OFFSET(Assumptions!$B$86,0,$C$1)-R$394/R$13,(R$394/R$13-Q$394/Q$13)/R$2),0))*S$13</f>
        <v>7.6463744505999411</v>
      </c>
      <c r="T394" s="171">
        <f ca="1">(S$394/S$13+ IF(T$2&gt;0,T$2*IF(T$6=OFFSET(Assumptions!$B$8,0,$C$1),SUMPRODUCT(OFFSET(S$394,0,0,1,-OFFSET(Assumptions!$B$86,0,$C$1)),OFFSET(S$15,0,0,1,-OFFSET(Assumptions!$B$86,0,$C$1)))/OFFSET(Assumptions!$B$86,0,$C$1)-S$394/S$13,(S$394/S$13-R$394/R$13)/S$2),0))*T$13</f>
        <v>7.9321175070705738</v>
      </c>
    </row>
    <row r="395" spans="1:20" ht="15">
      <c r="A395" s="2" t="s">
        <v>522</v>
      </c>
      <c r="B395" s="4"/>
      <c r="D395" s="34">
        <f t="shared" ref="D395:T395" si="218">SUM(D$391:D$394)</f>
        <v>15.848000000000001</v>
      </c>
      <c r="E395" s="138">
        <f t="shared" si="218"/>
        <v>18.242000000000001</v>
      </c>
      <c r="F395" s="137">
        <f t="shared" si="218"/>
        <v>25.596000000000004</v>
      </c>
      <c r="G395" s="137">
        <f t="shared" si="218"/>
        <v>39.444000000000003</v>
      </c>
      <c r="H395" s="137">
        <f t="shared" si="218"/>
        <v>48.795000000000002</v>
      </c>
      <c r="I395" s="137">
        <f t="shared" si="218"/>
        <v>42.098999999999997</v>
      </c>
      <c r="J395" s="137">
        <f t="shared" si="218"/>
        <v>29.036999999999999</v>
      </c>
      <c r="K395" s="37">
        <f t="shared" ca="1" si="218"/>
        <v>19.93487925622248</v>
      </c>
      <c r="L395" s="37">
        <f t="shared" ca="1" si="218"/>
        <v>20.121755493547255</v>
      </c>
      <c r="M395" s="37">
        <f t="shared" ca="1" si="218"/>
        <v>20.274674689645771</v>
      </c>
      <c r="N395" s="37">
        <f t="shared" ca="1" si="218"/>
        <v>20.378697151511105</v>
      </c>
      <c r="O395" s="37">
        <f t="shared" ca="1" si="218"/>
        <v>20.424752500899057</v>
      </c>
      <c r="P395" s="37">
        <f t="shared" ca="1" si="218"/>
        <v>20.398102302325299</v>
      </c>
      <c r="Q395" s="37">
        <f t="shared" ca="1" si="218"/>
        <v>20.497890138301102</v>
      </c>
      <c r="R395" s="37">
        <f t="shared" ca="1" si="218"/>
        <v>21.076847280273125</v>
      </c>
      <c r="S395" s="37">
        <f t="shared" ca="1" si="218"/>
        <v>21.675698038240263</v>
      </c>
      <c r="T395" s="140">
        <f t="shared" ca="1" si="218"/>
        <v>22.295042254255314</v>
      </c>
    </row>
    <row r="396" spans="1:20">
      <c r="A396" s="1" t="s">
        <v>524</v>
      </c>
      <c r="B396" s="4" t="str">
        <f>$B$39</f>
        <v>From Fiscal Forecasts</v>
      </c>
      <c r="D396" s="14">
        <f>'Fiscal Forecasts'!D$310</f>
        <v>20.411000000000001</v>
      </c>
      <c r="E396" s="175">
        <f>'Fiscal Forecasts'!E$310</f>
        <v>22.189</v>
      </c>
      <c r="F396" s="176">
        <f>'Fiscal Forecasts'!F$310</f>
        <v>24.614999999999998</v>
      </c>
      <c r="G396" s="176">
        <f>'Fiscal Forecasts'!G$310</f>
        <v>26.8</v>
      </c>
      <c r="H396" s="176">
        <f>'Fiscal Forecasts'!H$310</f>
        <v>29.242000000000001</v>
      </c>
      <c r="I396" s="176">
        <f>'Fiscal Forecasts'!I$310</f>
        <v>31.914999999999999</v>
      </c>
      <c r="J396" s="176">
        <f>'Fiscal Forecasts'!J$310</f>
        <v>34.826999999999998</v>
      </c>
      <c r="K396" s="6">
        <f ca="1">IF(K$6=OFFSET(Assumptions!$B$8,0,$C$1),AVERAGE(H$396/H$13,I$396/I$13,J$396/J$13),J$396/J$13)*K$13</f>
        <v>35.201109246032885</v>
      </c>
      <c r="L396" s="6">
        <f ca="1">IF(L$6=OFFSET(Assumptions!$B$8,0,$C$1),AVERAGE(I$396/I$13,J$396/J$13,K$396/K$13),K$396/K$13)*L$13</f>
        <v>36.703796891815884</v>
      </c>
      <c r="M396" s="6">
        <f ca="1">IF(M$6=OFFSET(Assumptions!$B$8,0,$C$1),AVERAGE(J$396/J$13,K$396/K$13,L$396/L$13),L$396/L$13)*M$13</f>
        <v>38.223337781438858</v>
      </c>
      <c r="N396" s="6">
        <f ca="1">IF(N$6=OFFSET(Assumptions!$B$8,0,$C$1),AVERAGE(K$396/K$13,L$396/L$13,M$396/M$13),M$396/M$13)*N$13</f>
        <v>39.814533069419554</v>
      </c>
      <c r="O396" s="6">
        <f ca="1">IF(O$6=OFFSET(Assumptions!$B$8,0,$C$1),AVERAGE(L$396/L$13,M$396/M$13,N$396/N$13),N$396/N$13)*O$13</f>
        <v>41.440191725287129</v>
      </c>
      <c r="P396" s="6">
        <f ca="1">IF(P$6=OFFSET(Assumptions!$B$8,0,$C$1),AVERAGE(M$396/M$13,N$396/N$13,O$396/O$13),O$396/O$13)*P$13</f>
        <v>43.100124770387829</v>
      </c>
      <c r="Q396" s="6">
        <f ca="1">IF(Q$6=OFFSET(Assumptions!$B$8,0,$C$1),AVERAGE(N$396/N$13,O$396/O$13,P$396/P$13),P$396/P$13)*Q$13</f>
        <v>44.79421005671292</v>
      </c>
      <c r="R396" s="104">
        <f ca="1">IF(R$6=OFFSET(Assumptions!$B$8,0,$C$1),AVERAGE(O$396/O$13,P$396/P$13,Q$396/Q$13),Q$396/Q$13)*R$13</f>
        <v>46.517884630923994</v>
      </c>
      <c r="S396" s="104">
        <f ca="1">IF(S$6=OFFSET(Assumptions!$B$8,0,$C$1),AVERAGE(P$396/P$13,Q$396/Q$13,R$396/R$13),R$396/R$13)*S$13</f>
        <v>48.269773347442708</v>
      </c>
      <c r="T396" s="171">
        <f ca="1">IF(T$6=OFFSET(Assumptions!$B$8,0,$C$1),AVERAGE(Q$396/Q$13,R$396/R$13,S$396/S$13),S$396/S$13)*T$13</f>
        <v>50.073602424942408</v>
      </c>
    </row>
    <row r="397" spans="1:20">
      <c r="A397" s="1" t="s">
        <v>525</v>
      </c>
      <c r="B397" s="4" t="str">
        <f>$B$39</f>
        <v>From Fiscal Forecasts</v>
      </c>
      <c r="D397" s="14">
        <f>'Fiscal Forecasts'!D$120-SUM(D$395:D$396)</f>
        <v>-2.5690000000000026</v>
      </c>
      <c r="E397" s="175">
        <f>'Fiscal Forecasts'!E$120-SUM(E$395:E$396)</f>
        <v>-2.8019999999999996</v>
      </c>
      <c r="F397" s="176">
        <f>'Fiscal Forecasts'!F$120-SUM(F$395:F$396)</f>
        <v>-3.1670000000000016</v>
      </c>
      <c r="G397" s="176">
        <f>'Fiscal Forecasts'!G$120-SUM(G$395:G$396)</f>
        <v>-2.5050000000000026</v>
      </c>
      <c r="H397" s="176">
        <f>'Fiscal Forecasts'!H$120-SUM(H$395:H$396)</f>
        <v>-2.3719999999999999</v>
      </c>
      <c r="I397" s="176">
        <f>'Fiscal Forecasts'!I$120-SUM(I$395:I$396)</f>
        <v>-2.0949999999999989</v>
      </c>
      <c r="J397" s="176">
        <f>'Fiscal Forecasts'!J$120-SUM(J$395:J$396)</f>
        <v>-1.8589999999999947</v>
      </c>
      <c r="K397" s="6">
        <f ca="1">IF(K$6=OFFSET(Assumptions!$B$8,0,$C$1),AVERAGE(H$397/H$396,I$397/I$396,J$397/J$396),J$397/J$396)*K$396</f>
        <v>-2.3483533365838221</v>
      </c>
      <c r="L397" s="6">
        <f ca="1">IF(L$6=OFFSET(Assumptions!$B$8,0,$C$1),AVERAGE(I$397/I$396,J$397/J$396,K$397/K$396),K$397/K$396)*L$396</f>
        <v>-2.4486013578081955</v>
      </c>
      <c r="M397" s="6">
        <f ca="1">IF(M$6=OFFSET(Assumptions!$B$8,0,$C$1),AVERAGE(J$397/J$396,K$397/K$396,L$397/L$396),L$397/L$396)*M$396</f>
        <v>-2.5499737007443439</v>
      </c>
      <c r="N397" s="6">
        <f ca="1">IF(N$6=OFFSET(Assumptions!$B$8,0,$C$1),AVERAGE(K$397/K$396,L$397/L$396,M$397/M$396),M$397/M$396)*N$396</f>
        <v>-2.6561262863793274</v>
      </c>
      <c r="O397" s="6">
        <f ca="1">IF(O$6=OFFSET(Assumptions!$B$8,0,$C$1),AVERAGE(L$397/L$396,M$397/M$396,N$397/N$396),N$397/N$396)*O$396</f>
        <v>-2.7645780087943885</v>
      </c>
      <c r="P397" s="6">
        <f ca="1">IF(P$6=OFFSET(Assumptions!$B$8,0,$C$1),AVERAGE(M$397/M$396,N$397/N$396,O$397/O$396),O$397/O$396)*P$396</f>
        <v>-2.8753162607546523</v>
      </c>
      <c r="Q397" s="6">
        <f ca="1">IF(Q$6=OFFSET(Assumptions!$B$8,0,$C$1),AVERAGE(N$397/N$396,O$397/O$396,P$397/P$396),P$397/P$396)*Q$396</f>
        <v>-2.9883328934633915</v>
      </c>
      <c r="R397" s="104">
        <f ca="1">IF(R$6=OFFSET(Assumptions!$B$8,0,$C$1),AVERAGE(O$397/O$396,P$397/P$396,Q$397/Q$396),Q$397/Q$396)*R$396</f>
        <v>-3.1033235009820865</v>
      </c>
      <c r="S397" s="104">
        <f ca="1">IF(S$6=OFFSET(Assumptions!$B$8,0,$C$1),AVERAGE(P$397/P$396,Q$397/Q$396,R$397/R$396),R$397/R$396)*S$396</f>
        <v>-3.2201963439372814</v>
      </c>
      <c r="T397" s="171">
        <f ca="1">IF(T$6=OFFSET(Assumptions!$B$8,0,$C$1),AVERAGE(Q$397/Q$396,R$397/R$396,S$397/S$396),S$397/S$396)*T$396</f>
        <v>-3.3405342572446792</v>
      </c>
    </row>
    <row r="398" spans="1:20" ht="15">
      <c r="A398" s="2" t="s">
        <v>523</v>
      </c>
      <c r="D398" s="34">
        <f t="shared" ref="D398:T398" si="219">SUM(D$395:D$397)</f>
        <v>33.69</v>
      </c>
      <c r="E398" s="138">
        <f t="shared" si="219"/>
        <v>37.628999999999998</v>
      </c>
      <c r="F398" s="137">
        <f t="shared" si="219"/>
        <v>47.043999999999997</v>
      </c>
      <c r="G398" s="137">
        <f t="shared" si="219"/>
        <v>63.738999999999997</v>
      </c>
      <c r="H398" s="137">
        <f t="shared" si="219"/>
        <v>75.665000000000006</v>
      </c>
      <c r="I398" s="137">
        <f t="shared" si="219"/>
        <v>71.918999999999997</v>
      </c>
      <c r="J398" s="137">
        <f t="shared" si="219"/>
        <v>62.005000000000003</v>
      </c>
      <c r="K398" s="37">
        <f t="shared" ca="1" si="219"/>
        <v>52.787635165671546</v>
      </c>
      <c r="L398" s="37">
        <f t="shared" ca="1" si="219"/>
        <v>54.376951027554945</v>
      </c>
      <c r="M398" s="37">
        <f t="shared" ca="1" si="219"/>
        <v>55.948038770340283</v>
      </c>
      <c r="N398" s="37">
        <f t="shared" ca="1" si="219"/>
        <v>57.537103934551332</v>
      </c>
      <c r="O398" s="37">
        <f t="shared" ca="1" si="219"/>
        <v>59.100366217391795</v>
      </c>
      <c r="P398" s="37">
        <f t="shared" ca="1" si="219"/>
        <v>60.622910811958477</v>
      </c>
      <c r="Q398" s="37">
        <f t="shared" ca="1" si="219"/>
        <v>62.303767301550636</v>
      </c>
      <c r="R398" s="37">
        <f t="shared" ca="1" si="219"/>
        <v>64.49140841021503</v>
      </c>
      <c r="S398" s="37">
        <f t="shared" ca="1" si="219"/>
        <v>66.725275041745689</v>
      </c>
      <c r="T398" s="140">
        <f t="shared" ca="1" si="219"/>
        <v>69.028110421953045</v>
      </c>
    </row>
    <row r="399" spans="1:20" ht="15">
      <c r="A399" s="2"/>
      <c r="D399" s="14"/>
      <c r="E399" s="175"/>
      <c r="F399" s="47"/>
      <c r="G399" s="47"/>
      <c r="H399" s="47"/>
      <c r="I399" s="47"/>
      <c r="J399" s="145"/>
      <c r="K399" s="47"/>
      <c r="L399" s="47"/>
      <c r="M399" s="47"/>
      <c r="N399" s="47"/>
      <c r="O399" s="47"/>
      <c r="P399" s="47"/>
      <c r="Q399" s="47"/>
      <c r="R399" s="47"/>
      <c r="S399" s="47"/>
      <c r="T399" s="145"/>
    </row>
    <row r="400" spans="1:20">
      <c r="A400" s="18" t="s">
        <v>435</v>
      </c>
      <c r="D400" s="14"/>
      <c r="E400" s="175"/>
      <c r="J400" s="167"/>
    </row>
    <row r="401" spans="1:20">
      <c r="A401" s="1" t="s">
        <v>1316</v>
      </c>
      <c r="B401" s="4" t="str">
        <f t="shared" ref="B401:B406" si="220">$B$39</f>
        <v>From Fiscal Forecasts</v>
      </c>
      <c r="D401" s="14">
        <f>'Fiscal Forecasts'!D$312</f>
        <v>1.361</v>
      </c>
      <c r="E401" s="175">
        <f>'Fiscal Forecasts'!E$312</f>
        <v>1.413</v>
      </c>
      <c r="F401" s="15">
        <f>'Fiscal Forecasts'!F$312</f>
        <v>1.4530000000000001</v>
      </c>
      <c r="G401" s="176">
        <f>'Fiscal Forecasts'!G$312</f>
        <v>1.5760000000000001</v>
      </c>
      <c r="H401" s="176">
        <f>'Fiscal Forecasts'!H$312</f>
        <v>1.6</v>
      </c>
      <c r="I401" s="176">
        <f>'Fiscal Forecasts'!I$312</f>
        <v>1.5940000000000001</v>
      </c>
      <c r="J401" s="176">
        <f>'Fiscal Forecasts'!J$312</f>
        <v>1.619</v>
      </c>
      <c r="K401" s="6">
        <f>Exogenous!V$14</f>
        <v>1.665</v>
      </c>
      <c r="L401" s="6">
        <f>Exogenous!W$14</f>
        <v>1.7190000000000001</v>
      </c>
      <c r="M401" s="6">
        <f>Exogenous!X$14</f>
        <v>1.7769999999999999</v>
      </c>
      <c r="N401" s="6">
        <f>Exogenous!Y$14</f>
        <v>1.833</v>
      </c>
      <c r="O401" s="6">
        <f>Exogenous!Z$14</f>
        <v>1.889</v>
      </c>
      <c r="P401" s="6">
        <f>Exogenous!AA$14</f>
        <v>1.944</v>
      </c>
      <c r="Q401" s="6">
        <f>Exogenous!AB$14</f>
        <v>1.9930000000000001</v>
      </c>
      <c r="R401" s="104">
        <f>Exogenous!AC$14</f>
        <v>2.0379999999999998</v>
      </c>
      <c r="S401" s="104">
        <f>Exogenous!AD$14</f>
        <v>2.08</v>
      </c>
      <c r="T401" s="171">
        <f>Exogenous!AE$14</f>
        <v>2.12</v>
      </c>
    </row>
    <row r="402" spans="1:20">
      <c r="A402" s="1" t="s">
        <v>1317</v>
      </c>
      <c r="B402" s="4" t="str">
        <f t="shared" si="220"/>
        <v>From Fiscal Forecasts</v>
      </c>
      <c r="D402" s="14">
        <f>'Fiscal Forecasts'!D$313</f>
        <v>3.5999999999999997E-2</v>
      </c>
      <c r="E402" s="175">
        <f>'Fiscal Forecasts'!E$313</f>
        <v>3.5999999999999997E-2</v>
      </c>
      <c r="F402" s="15">
        <f>'Fiscal Forecasts'!F$313</f>
        <v>3.6999999999999998E-2</v>
      </c>
      <c r="G402" s="176">
        <f>'Fiscal Forecasts'!G$313</f>
        <v>3.5000000000000003E-2</v>
      </c>
      <c r="H402" s="176">
        <f>'Fiscal Forecasts'!H$313</f>
        <v>3.5000000000000003E-2</v>
      </c>
      <c r="I402" s="176">
        <f>'Fiscal Forecasts'!I$313</f>
        <v>3.5000000000000003E-2</v>
      </c>
      <c r="J402" s="176">
        <f>'Fiscal Forecasts'!J$313</f>
        <v>3.5000000000000003E-2</v>
      </c>
      <c r="K402" s="6">
        <f>Exogenous!V$15</f>
        <v>4.3999999999999997E-2</v>
      </c>
      <c r="L402" s="6">
        <f>Exogenous!W$15</f>
        <v>4.4999999999999998E-2</v>
      </c>
      <c r="M402" s="6">
        <f>Exogenous!X$15</f>
        <v>4.4999999999999998E-2</v>
      </c>
      <c r="N402" s="6">
        <f>Exogenous!Y$15</f>
        <v>4.3999999999999997E-2</v>
      </c>
      <c r="O402" s="6">
        <f>Exogenous!Z$15</f>
        <v>4.7E-2</v>
      </c>
      <c r="P402" s="6">
        <f>Exogenous!AA$15</f>
        <v>4.4999999999999998E-2</v>
      </c>
      <c r="Q402" s="6">
        <f>Exogenous!AB$15</f>
        <v>4.5999999999999999E-2</v>
      </c>
      <c r="R402" s="104">
        <f>Exogenous!AC$15</f>
        <v>4.8000000000000001E-2</v>
      </c>
      <c r="S402" s="104">
        <f>Exogenous!AD$15</f>
        <v>4.8000000000000001E-2</v>
      </c>
      <c r="T402" s="171">
        <f>Exogenous!AE$15</f>
        <v>4.8000000000000001E-2</v>
      </c>
    </row>
    <row r="403" spans="1:20">
      <c r="A403" s="1" t="s">
        <v>326</v>
      </c>
      <c r="B403" s="4" t="str">
        <f t="shared" si="220"/>
        <v>From Fiscal Forecasts</v>
      </c>
      <c r="D403" s="14">
        <f>'Fiscal Forecasts'!D$314</f>
        <v>0.56299999999999994</v>
      </c>
      <c r="E403" s="175">
        <f>'Fiscal Forecasts'!E$314</f>
        <v>0.50600000000000001</v>
      </c>
      <c r="F403" s="176">
        <f>'Fiscal Forecasts'!F$314</f>
        <v>0.47599999999999998</v>
      </c>
      <c r="G403" s="176">
        <f>'Fiscal Forecasts'!G$314</f>
        <v>0.51500000000000001</v>
      </c>
      <c r="H403" s="176">
        <f>'Fiscal Forecasts'!H$314</f>
        <v>0.53900000000000003</v>
      </c>
      <c r="I403" s="176">
        <f>'Fiscal Forecasts'!I$314</f>
        <v>0.55300000000000005</v>
      </c>
      <c r="J403" s="176">
        <f>'Fiscal Forecasts'!J$314</f>
        <v>0.58799999999999997</v>
      </c>
      <c r="K403" s="6">
        <f>Exogenous!V$16</f>
        <v>0.61699999999999999</v>
      </c>
      <c r="L403" s="6">
        <f>Exogenous!W$16</f>
        <v>0.65100000000000002</v>
      </c>
      <c r="M403" s="6">
        <f>Exogenous!X$16</f>
        <v>0.68600000000000005</v>
      </c>
      <c r="N403" s="6">
        <f>Exogenous!Y$16</f>
        <v>0.72</v>
      </c>
      <c r="O403" s="6">
        <f>Exogenous!Z$16</f>
        <v>0.753</v>
      </c>
      <c r="P403" s="6">
        <f>Exogenous!AA$16</f>
        <v>0.78400000000000003</v>
      </c>
      <c r="Q403" s="6">
        <f>Exogenous!AB$16</f>
        <v>0.81299999999999994</v>
      </c>
      <c r="R403" s="104">
        <f>Exogenous!AC$16</f>
        <v>0.84</v>
      </c>
      <c r="S403" s="104">
        <f>Exogenous!AD$16</f>
        <v>0.86499999999999999</v>
      </c>
      <c r="T403" s="171">
        <f>Exogenous!AE$16</f>
        <v>0.88800000000000001</v>
      </c>
    </row>
    <row r="404" spans="1:20">
      <c r="A404" s="1" t="s">
        <v>443</v>
      </c>
      <c r="B404" s="4" t="str">
        <f t="shared" si="220"/>
        <v>From Fiscal Forecasts</v>
      </c>
      <c r="D404" s="14">
        <f>'Fiscal Forecasts'!D$315</f>
        <v>1.371</v>
      </c>
      <c r="E404" s="175">
        <f>'Fiscal Forecasts'!E$315</f>
        <v>1.4770000000000001</v>
      </c>
      <c r="F404" s="176">
        <f>'Fiscal Forecasts'!F$315</f>
        <v>1.4530000000000001</v>
      </c>
      <c r="G404" s="176">
        <f>'Fiscal Forecasts'!G$315</f>
        <v>1.508</v>
      </c>
      <c r="H404" s="176">
        <f>'Fiscal Forecasts'!H$315</f>
        <v>1.54</v>
      </c>
      <c r="I404" s="176">
        <f>'Fiscal Forecasts'!I$315</f>
        <v>1.577</v>
      </c>
      <c r="J404" s="176">
        <f>'Fiscal Forecasts'!J$315</f>
        <v>1.6339999999999999</v>
      </c>
      <c r="K404" s="6">
        <f>Exogenous!V$17</f>
        <v>1.47</v>
      </c>
      <c r="L404" s="6">
        <f>Exogenous!W$17</f>
        <v>1.488</v>
      </c>
      <c r="M404" s="6">
        <f>Exogenous!X$17</f>
        <v>1.4990000000000001</v>
      </c>
      <c r="N404" s="6">
        <f>Exogenous!Y$17</f>
        <v>1.508</v>
      </c>
      <c r="O404" s="6">
        <f>Exogenous!Z$17</f>
        <v>1.518</v>
      </c>
      <c r="P404" s="6">
        <f>Exogenous!AA$17</f>
        <v>1.5309999999999999</v>
      </c>
      <c r="Q404" s="6">
        <f>Exogenous!AB$17</f>
        <v>1.55</v>
      </c>
      <c r="R404" s="104">
        <f>Exogenous!AC$17</f>
        <v>1.573</v>
      </c>
      <c r="S404" s="104">
        <f>Exogenous!AD$17</f>
        <v>1.597</v>
      </c>
      <c r="T404" s="171">
        <f>Exogenous!AE$17</f>
        <v>1.6240000000000001</v>
      </c>
    </row>
    <row r="405" spans="1:20">
      <c r="A405" s="1" t="s">
        <v>78</v>
      </c>
      <c r="B405" s="4" t="str">
        <f t="shared" si="220"/>
        <v>From Fiscal Forecasts</v>
      </c>
      <c r="D405" s="14">
        <f>'Fiscal Forecasts'!D$316</f>
        <v>0.39400000000000002</v>
      </c>
      <c r="E405" s="175">
        <f>'Fiscal Forecasts'!E$316</f>
        <v>0.33100000000000002</v>
      </c>
      <c r="F405" s="15">
        <f>'Fiscal Forecasts'!F$316</f>
        <v>0.23400000000000001</v>
      </c>
      <c r="G405" s="176">
        <f>'Fiscal Forecasts'!G$316</f>
        <v>0.19400000000000001</v>
      </c>
      <c r="H405" s="176">
        <f>'Fiscal Forecasts'!H$316</f>
        <v>0.19800000000000001</v>
      </c>
      <c r="I405" s="176">
        <f>'Fiscal Forecasts'!I$316</f>
        <v>0.21299999999999999</v>
      </c>
      <c r="J405" s="176">
        <f>'Fiscal Forecasts'!J$316</f>
        <v>0.23599999999999999</v>
      </c>
      <c r="K405" s="6">
        <f>Exogenous!V$18</f>
        <v>0.25900000000000001</v>
      </c>
      <c r="L405" s="6">
        <f>Exogenous!W$18</f>
        <v>0.28199999999999997</v>
      </c>
      <c r="M405" s="6">
        <f>Exogenous!X$18</f>
        <v>0.30399999999999999</v>
      </c>
      <c r="N405" s="6">
        <f>Exogenous!Y$18</f>
        <v>0.32500000000000001</v>
      </c>
      <c r="O405" s="6">
        <f>Exogenous!Z$18</f>
        <v>0.34399999999999997</v>
      </c>
      <c r="P405" s="6">
        <f>Exogenous!AA$18</f>
        <v>0.36199999999999999</v>
      </c>
      <c r="Q405" s="6">
        <f>Exogenous!AB$18</f>
        <v>0.38</v>
      </c>
      <c r="R405" s="104">
        <f>Exogenous!AC$18</f>
        <v>0.39700000000000002</v>
      </c>
      <c r="S405" s="104">
        <f>Exogenous!AD$18</f>
        <v>0.41399999999999998</v>
      </c>
      <c r="T405" s="171">
        <f>Exogenous!AE$18</f>
        <v>0.43</v>
      </c>
    </row>
    <row r="406" spans="1:20">
      <c r="A406" s="1" t="s">
        <v>1051</v>
      </c>
      <c r="B406" s="4" t="str">
        <f t="shared" si="220"/>
        <v>From Fiscal Forecasts</v>
      </c>
      <c r="D406" s="14">
        <f>'Fiscal Forecasts'!D$317</f>
        <v>0.94499999999999995</v>
      </c>
      <c r="E406" s="175">
        <f>'Fiscal Forecasts'!E$317</f>
        <v>-0.13300000000000001</v>
      </c>
      <c r="F406" s="15">
        <f>'Fiscal Forecasts'!F$317</f>
        <v>0.64300000000000002</v>
      </c>
      <c r="G406" s="176">
        <f>'Fiscal Forecasts'!G$317</f>
        <v>0</v>
      </c>
      <c r="H406" s="176">
        <f>'Fiscal Forecasts'!H$317</f>
        <v>0</v>
      </c>
      <c r="I406" s="176">
        <f>'Fiscal Forecasts'!I$317</f>
        <v>0</v>
      </c>
      <c r="J406" s="176">
        <f>'Fiscal Forecasts'!J$317</f>
        <v>0</v>
      </c>
      <c r="K406" s="6">
        <f>Exogenous!V$19</f>
        <v>-0.06</v>
      </c>
      <c r="L406" s="6">
        <f>Exogenous!W$19</f>
        <v>0</v>
      </c>
      <c r="M406" s="6">
        <f>Exogenous!X$19</f>
        <v>0</v>
      </c>
      <c r="N406" s="6">
        <f>Exogenous!Y$19</f>
        <v>0</v>
      </c>
      <c r="O406" s="6">
        <f>Exogenous!Z$19</f>
        <v>0</v>
      </c>
      <c r="P406" s="6">
        <f>Exogenous!AA$19</f>
        <v>0</v>
      </c>
      <c r="Q406" s="6">
        <f>Exogenous!AB$19</f>
        <v>0</v>
      </c>
      <c r="R406" s="104">
        <f>Exogenous!AC$19</f>
        <v>0</v>
      </c>
      <c r="S406" s="104">
        <f>Exogenous!AD$19</f>
        <v>0</v>
      </c>
      <c r="T406" s="171">
        <f>Exogenous!AE$19</f>
        <v>0</v>
      </c>
    </row>
    <row r="407" spans="1:20" ht="15">
      <c r="A407" s="2" t="s">
        <v>436</v>
      </c>
      <c r="C407" s="60">
        <f>'Fiscal Forecasts'!C$309</f>
        <v>9.9290000000000003</v>
      </c>
      <c r="D407" s="34">
        <f>SUM(C$407,D$401,D$402,-D$403,-D$404,D$405,D$406)</f>
        <v>10.731</v>
      </c>
      <c r="E407" s="138">
        <f t="shared" ref="E407:T407" si="221">SUM(D$407,E$401,E$402,-E$403,-E$404,E$405,E$406)</f>
        <v>10.395</v>
      </c>
      <c r="F407" s="33">
        <f t="shared" si="221"/>
        <v>10.833</v>
      </c>
      <c r="G407" s="137">
        <f t="shared" ref="G407" si="222">SUM(F$407,G$401,G$402,-G$403,-G$404,G$405,G$406)</f>
        <v>10.615</v>
      </c>
      <c r="H407" s="137">
        <f t="shared" ref="H407" si="223">SUM(G$407,H$401,H$402,-H$403,-H$404,H$405,H$406)</f>
        <v>10.369</v>
      </c>
      <c r="I407" s="137">
        <f t="shared" ref="I407:J407" si="224">SUM(H$407,I$401,I$402,-I$403,-I$404,I$405,I$406)</f>
        <v>10.080999999999998</v>
      </c>
      <c r="J407" s="137">
        <f t="shared" si="224"/>
        <v>9.7489999999999988</v>
      </c>
      <c r="K407" s="37">
        <f t="shared" si="221"/>
        <v>9.5699999999999967</v>
      </c>
      <c r="L407" s="37">
        <f t="shared" si="221"/>
        <v>9.4769999999999968</v>
      </c>
      <c r="M407" s="37">
        <f t="shared" si="221"/>
        <v>9.4179999999999957</v>
      </c>
      <c r="N407" s="37">
        <f t="shared" si="221"/>
        <v>9.3919999999999959</v>
      </c>
      <c r="O407" s="37">
        <f t="shared" si="221"/>
        <v>9.4009999999999945</v>
      </c>
      <c r="P407" s="37">
        <f t="shared" si="221"/>
        <v>9.4369999999999941</v>
      </c>
      <c r="Q407" s="37">
        <f t="shared" si="221"/>
        <v>9.4929999999999932</v>
      </c>
      <c r="R407" s="37">
        <f t="shared" si="221"/>
        <v>9.5629999999999935</v>
      </c>
      <c r="S407" s="37">
        <f t="shared" si="221"/>
        <v>9.6429999999999936</v>
      </c>
      <c r="T407" s="140">
        <f t="shared" si="221"/>
        <v>9.7289999999999939</v>
      </c>
    </row>
    <row r="408" spans="1:20" ht="15">
      <c r="A408" s="2"/>
      <c r="D408" s="46"/>
      <c r="E408" s="46"/>
      <c r="F408" s="47"/>
      <c r="G408" s="47"/>
      <c r="H408" s="47"/>
      <c r="I408" s="47"/>
      <c r="J408" s="145"/>
      <c r="K408" s="48"/>
      <c r="L408" s="48"/>
      <c r="M408" s="48"/>
      <c r="N408" s="48"/>
      <c r="O408" s="48"/>
      <c r="P408" s="48"/>
      <c r="Q408" s="48"/>
      <c r="R408" s="48"/>
      <c r="S408" s="48"/>
      <c r="T408" s="146"/>
    </row>
    <row r="409" spans="1:20">
      <c r="A409" s="18" t="s">
        <v>203</v>
      </c>
      <c r="E409" s="167"/>
      <c r="J409" s="167"/>
    </row>
    <row r="410" spans="1:20" ht="15">
      <c r="A410" s="2" t="s">
        <v>526</v>
      </c>
      <c r="B410" s="4" t="str">
        <f>$B$39</f>
        <v>From Fiscal Forecasts</v>
      </c>
      <c r="D410" s="39">
        <f>ROUND('Fiscal Forecasts'!D$180*D$411/SUM(D$411,D$415),3)</f>
        <v>0.75700000000000001</v>
      </c>
      <c r="E410" s="142">
        <f>ROUND('Fiscal Forecasts'!E$180*E$411/SUM(E$411,E$415),3)</f>
        <v>1.0569999999999999</v>
      </c>
      <c r="F410" s="38">
        <f>ROUND('Fiscal Forecasts'!F$180*F$411/SUM(F$411,F$415),3)</f>
        <v>1.131</v>
      </c>
      <c r="G410" s="38">
        <f>ROUND('Fiscal Forecasts'!G$180*G$411/SUM(G$411,G$415),3)</f>
        <v>1.3360000000000001</v>
      </c>
      <c r="H410" s="38">
        <f>ROUND('Fiscal Forecasts'!H$180*H$411/SUM(H$411,H$415),3)</f>
        <v>1.444</v>
      </c>
      <c r="I410" s="38">
        <f>ROUND('Fiscal Forecasts'!I$180*I$411/SUM(I$411,I$415),3)</f>
        <v>1.456</v>
      </c>
      <c r="J410" s="141">
        <f>ROUND('Fiscal Forecasts'!J$180*J$411/SUM(J$411,J$415),3)</f>
        <v>1.4950000000000001</v>
      </c>
      <c r="K410" s="7">
        <f t="shared" ref="K410:T410" ca="1" si="225">J$410*(1+K$23)*(1+K$30)</f>
        <v>1.5441968683609339</v>
      </c>
      <c r="L410" s="7">
        <f t="shared" ca="1" si="225"/>
        <v>1.5934295209023066</v>
      </c>
      <c r="M410" s="7">
        <f t="shared" ca="1" si="225"/>
        <v>1.6425836584866174</v>
      </c>
      <c r="N410" s="7">
        <f t="shared" ca="1" si="225"/>
        <v>1.6921984869906017</v>
      </c>
      <c r="O410" s="7">
        <f t="shared" ca="1" si="225"/>
        <v>1.7422739218003813</v>
      </c>
      <c r="P410" s="7">
        <f t="shared" ca="1" si="225"/>
        <v>1.792794349117548</v>
      </c>
      <c r="Q410" s="7">
        <f t="shared" ca="1" si="225"/>
        <v>1.8436725079286693</v>
      </c>
      <c r="R410" s="7">
        <f t="shared" ca="1" si="225"/>
        <v>1.8949093684810625</v>
      </c>
      <c r="S410" s="7">
        <f t="shared" ca="1" si="225"/>
        <v>1.9465398536419236</v>
      </c>
      <c r="T410" s="134">
        <f t="shared" ca="1" si="225"/>
        <v>1.9991982731127849</v>
      </c>
    </row>
    <row r="411" spans="1:20" ht="15">
      <c r="A411" s="2" t="s">
        <v>527</v>
      </c>
      <c r="B411" s="4" t="str">
        <f>$B$39</f>
        <v>From Fiscal Forecasts</v>
      </c>
      <c r="D411" s="39">
        <f>'Fiscal Forecasts'!D$122</f>
        <v>1.5169999999999999</v>
      </c>
      <c r="E411" s="142">
        <f>'Fiscal Forecasts'!E$122</f>
        <v>1.7729999999999999</v>
      </c>
      <c r="F411" s="38">
        <f>'Fiscal Forecasts'!F$122</f>
        <v>2.0750000000000002</v>
      </c>
      <c r="G411" s="38">
        <f>'Fiscal Forecasts'!G$122</f>
        <v>2.4990000000000001</v>
      </c>
      <c r="H411" s="38">
        <f>'Fiscal Forecasts'!H$122</f>
        <v>2.9180000000000001</v>
      </c>
      <c r="I411" s="38">
        <f>'Fiscal Forecasts'!I$122</f>
        <v>3.1680000000000001</v>
      </c>
      <c r="J411" s="141">
        <f>'Fiscal Forecasts'!J$122</f>
        <v>3.4129999999999998</v>
      </c>
      <c r="K411" s="7">
        <f t="shared" ref="K411:T411" ca="1" si="226">K$410+(J$411-J$410)*(1+K$23)*(1+K$30)</f>
        <v>3.5253136533216498</v>
      </c>
      <c r="L411" s="7">
        <f t="shared" ca="1" si="226"/>
        <v>3.6377089998926899</v>
      </c>
      <c r="M411" s="7">
        <f t="shared" ca="1" si="226"/>
        <v>3.7499251012808186</v>
      </c>
      <c r="N411" s="7">
        <f t="shared" ca="1" si="226"/>
        <v>3.8631929338454327</v>
      </c>
      <c r="O411" s="7">
        <f t="shared" ca="1" si="226"/>
        <v>3.9775123044178589</v>
      </c>
      <c r="P411" s="7">
        <f t="shared" ca="1" si="226"/>
        <v>4.092847567584073</v>
      </c>
      <c r="Q411" s="7">
        <f t="shared" ca="1" si="226"/>
        <v>4.2089995114117364</v>
      </c>
      <c r="R411" s="7">
        <f t="shared" ca="1" si="226"/>
        <v>4.3259703509203096</v>
      </c>
      <c r="S411" s="7">
        <f t="shared" ca="1" si="226"/>
        <v>4.4438398130300207</v>
      </c>
      <c r="T411" s="134">
        <f t="shared" ca="1" si="226"/>
        <v>4.5640559907250369</v>
      </c>
    </row>
    <row r="412" spans="1:20" ht="15">
      <c r="A412" s="2"/>
      <c r="B412" s="4"/>
      <c r="D412" s="39"/>
      <c r="E412" s="142"/>
      <c r="F412" s="39"/>
      <c r="G412" s="39"/>
      <c r="H412" s="39"/>
      <c r="I412" s="39"/>
      <c r="J412" s="142"/>
      <c r="K412" s="39"/>
      <c r="L412" s="39"/>
      <c r="M412" s="39"/>
      <c r="N412" s="39"/>
      <c r="O412" s="39"/>
      <c r="P412" s="39"/>
      <c r="Q412" s="39"/>
      <c r="R412" s="39"/>
      <c r="S412" s="39"/>
      <c r="T412" s="142"/>
    </row>
    <row r="413" spans="1:20">
      <c r="A413" s="18" t="s">
        <v>204</v>
      </c>
      <c r="E413" s="167"/>
      <c r="J413" s="167"/>
    </row>
    <row r="414" spans="1:20" ht="15">
      <c r="A414" s="2" t="s">
        <v>528</v>
      </c>
      <c r="B414" s="4" t="str">
        <f>$B$39</f>
        <v>From Fiscal Forecasts</v>
      </c>
      <c r="D414" s="142">
        <f>'Fiscal Forecasts'!D$180-D$410</f>
        <v>1.4119999999999999</v>
      </c>
      <c r="E414" s="142">
        <f>'Fiscal Forecasts'!E$180-E$410</f>
        <v>2.153</v>
      </c>
      <c r="F414" s="141">
        <f>'Fiscal Forecasts'!F$180-F$410</f>
        <v>1.8139999999999998</v>
      </c>
      <c r="G414" s="141">
        <f>'Fiscal Forecasts'!G$180-G$410</f>
        <v>1.8429999999999997</v>
      </c>
      <c r="H414" s="141">
        <f>'Fiscal Forecasts'!H$180-H$410</f>
        <v>1.6579999999999999</v>
      </c>
      <c r="I414" s="141">
        <f>'Fiscal Forecasts'!I$180-I$410</f>
        <v>1.4980000000000002</v>
      </c>
      <c r="J414" s="141">
        <f>'Fiscal Forecasts'!J$180-J$410</f>
        <v>1.3919999999999999</v>
      </c>
      <c r="K414" s="134">
        <f t="shared" ref="K414:T414" ca="1" si="227">J$414*(1+K$23)*(1+K$30)</f>
        <v>1.4378073851226887</v>
      </c>
      <c r="L414" s="134">
        <f t="shared" ca="1" si="227"/>
        <v>1.4836480890274315</v>
      </c>
      <c r="M414" s="134">
        <f t="shared" ca="1" si="227"/>
        <v>1.529415687366803</v>
      </c>
      <c r="N414" s="134">
        <f t="shared" ca="1" si="227"/>
        <v>1.5756122367163321</v>
      </c>
      <c r="O414" s="134">
        <f t="shared" ca="1" si="227"/>
        <v>1.6222376582917255</v>
      </c>
      <c r="P414" s="134">
        <f t="shared" ca="1" si="227"/>
        <v>1.6692774140278435</v>
      </c>
      <c r="Q414" s="134">
        <f t="shared" ca="1" si="227"/>
        <v>1.7166502548740517</v>
      </c>
      <c r="R414" s="134">
        <f t="shared" ca="1" si="227"/>
        <v>1.7643570842311962</v>
      </c>
      <c r="S414" s="134">
        <f t="shared" ca="1" si="227"/>
        <v>1.8124304189094027</v>
      </c>
      <c r="T414" s="134">
        <f t="shared" ca="1" si="227"/>
        <v>1.8614608670053483</v>
      </c>
    </row>
    <row r="415" spans="1:20" ht="15">
      <c r="A415" s="2" t="s">
        <v>529</v>
      </c>
      <c r="B415" s="4" t="str">
        <f>$B$39</f>
        <v>From Fiscal Forecasts</v>
      </c>
      <c r="D415" s="39">
        <f>'Fiscal Forecasts'!D$123</f>
        <v>2.8279999999999998</v>
      </c>
      <c r="E415" s="142">
        <f>'Fiscal Forecasts'!E$123</f>
        <v>3.61</v>
      </c>
      <c r="F415" s="38">
        <f>'Fiscal Forecasts'!F$123</f>
        <v>3.3260000000000001</v>
      </c>
      <c r="G415" s="38">
        <f>'Fiscal Forecasts'!G$123</f>
        <v>3.4470000000000001</v>
      </c>
      <c r="H415" s="38">
        <f>'Fiscal Forecasts'!H$123</f>
        <v>3.35</v>
      </c>
      <c r="I415" s="38">
        <f>'Fiscal Forecasts'!I$123</f>
        <v>3.26</v>
      </c>
      <c r="J415" s="141">
        <f>'Fiscal Forecasts'!J$123</f>
        <v>3.18</v>
      </c>
      <c r="K415" s="7">
        <f t="shared" ref="K415:T415" ca="1" si="228">K$414+(J$415-J$414)*(1+K$23)*(1+K$30)</f>
        <v>3.284646181530281</v>
      </c>
      <c r="L415" s="7">
        <f t="shared" ca="1" si="228"/>
        <v>3.3893684792437022</v>
      </c>
      <c r="M415" s="7">
        <f t="shared" ca="1" si="228"/>
        <v>3.4939237685534734</v>
      </c>
      <c r="N415" s="7">
        <f t="shared" ca="1" si="228"/>
        <v>3.5994589890502429</v>
      </c>
      <c r="O415" s="7">
        <f t="shared" ca="1" si="228"/>
        <v>3.7059739607526501</v>
      </c>
      <c r="P415" s="7">
        <f t="shared" ca="1" si="228"/>
        <v>3.8134354717015402</v>
      </c>
      <c r="Q415" s="7">
        <f t="shared" ca="1" si="228"/>
        <v>3.9216579098415849</v>
      </c>
      <c r="R415" s="7">
        <f t="shared" ca="1" si="228"/>
        <v>4.0306433389764411</v>
      </c>
      <c r="S415" s="7">
        <f t="shared" ca="1" si="228"/>
        <v>4.1404660431982059</v>
      </c>
      <c r="T415" s="134">
        <f t="shared" ca="1" si="228"/>
        <v>4.2524752565208406</v>
      </c>
    </row>
    <row r="416" spans="1:20" ht="15">
      <c r="A416" s="2"/>
      <c r="B416" s="4"/>
      <c r="D416" s="104"/>
      <c r="E416" s="171"/>
      <c r="F416" s="6"/>
      <c r="G416" s="6"/>
      <c r="H416" s="6"/>
      <c r="I416" s="104"/>
      <c r="J416" s="171"/>
      <c r="K416" s="6"/>
      <c r="L416" s="6"/>
      <c r="M416" s="6"/>
      <c r="N416" s="6"/>
      <c r="O416" s="6"/>
      <c r="P416" s="6"/>
      <c r="Q416" s="6"/>
      <c r="R416" s="104"/>
      <c r="S416" s="104"/>
      <c r="T416" s="171"/>
    </row>
    <row r="417" spans="1:20">
      <c r="A417" s="18" t="s">
        <v>530</v>
      </c>
      <c r="B417" s="4"/>
      <c r="D417" s="104"/>
      <c r="E417" s="171"/>
      <c r="F417" s="6"/>
      <c r="G417" s="6"/>
      <c r="H417" s="6"/>
      <c r="I417" s="104"/>
      <c r="J417" s="171"/>
      <c r="K417" s="6"/>
      <c r="L417" s="6"/>
      <c r="M417" s="6"/>
      <c r="N417" s="6"/>
      <c r="O417" s="6"/>
      <c r="P417" s="6"/>
      <c r="Q417" s="6"/>
      <c r="R417" s="104"/>
      <c r="S417" s="104"/>
      <c r="T417" s="171"/>
    </row>
    <row r="418" spans="1:20" ht="15">
      <c r="A418" s="2" t="s">
        <v>532</v>
      </c>
      <c r="B418" s="4" t="str">
        <f>$B$39</f>
        <v>From Fiscal Forecasts</v>
      </c>
      <c r="C418" s="60">
        <f>'Fiscal Forecasts'!C$177</f>
        <v>41.279000000000003</v>
      </c>
      <c r="D418" s="39">
        <f>'Fiscal Forecasts'!D$177</f>
        <v>43.683999999999997</v>
      </c>
      <c r="E418" s="142">
        <f>'Fiscal Forecasts'!E$177</f>
        <v>45.167000000000002</v>
      </c>
      <c r="F418" s="38">
        <f>'Fiscal Forecasts'!F$177</f>
        <v>46.210999999999999</v>
      </c>
      <c r="G418" s="38">
        <f>'Fiscal Forecasts'!G$177</f>
        <v>48.415999999999997</v>
      </c>
      <c r="H418" s="38">
        <f>'Fiscal Forecasts'!H$177</f>
        <v>50.008000000000003</v>
      </c>
      <c r="I418" s="38">
        <f>'Fiscal Forecasts'!I$177</f>
        <v>51.195999999999998</v>
      </c>
      <c r="J418" s="141">
        <f>'Fiscal Forecasts'!J$177</f>
        <v>51.122999999999998</v>
      </c>
      <c r="K418" s="7">
        <f t="shared" ref="K418:T418" ca="1" si="229">SUM(J$418,K$422,-K$423)</f>
        <v>51.122999999999998</v>
      </c>
      <c r="L418" s="7">
        <f t="shared" ca="1" si="229"/>
        <v>51.122999999999998</v>
      </c>
      <c r="M418" s="7">
        <f t="shared" ca="1" si="229"/>
        <v>51.122999999999998</v>
      </c>
      <c r="N418" s="7">
        <f t="shared" ca="1" si="229"/>
        <v>51.122999999999998</v>
      </c>
      <c r="O418" s="7">
        <f t="shared" ca="1" si="229"/>
        <v>51.122999999999998</v>
      </c>
      <c r="P418" s="7">
        <f t="shared" ca="1" si="229"/>
        <v>51.122999999999998</v>
      </c>
      <c r="Q418" s="7">
        <f t="shared" ca="1" si="229"/>
        <v>51.122999999999998</v>
      </c>
      <c r="R418" s="7">
        <f t="shared" ca="1" si="229"/>
        <v>51.122999999999998</v>
      </c>
      <c r="S418" s="7">
        <f t="shared" ca="1" si="229"/>
        <v>51.122999999999998</v>
      </c>
      <c r="T418" s="134">
        <f t="shared" ca="1" si="229"/>
        <v>51.122999999999998</v>
      </c>
    </row>
    <row r="419" spans="1:20">
      <c r="A419" s="1" t="s">
        <v>256</v>
      </c>
      <c r="B419" s="4" t="str">
        <f>$B$39</f>
        <v>From Fiscal Forecasts</v>
      </c>
      <c r="D419" s="14">
        <f>'Fiscal Forecasts'!D$321</f>
        <v>93.730999999999995</v>
      </c>
      <c r="E419" s="175">
        <f>'Fiscal Forecasts'!E$321</f>
        <v>101.509</v>
      </c>
      <c r="F419" s="15">
        <f>'Fiscal Forecasts'!F$321</f>
        <v>106.19</v>
      </c>
      <c r="G419" s="15">
        <f>'Fiscal Forecasts'!G$321</f>
        <v>112.893</v>
      </c>
      <c r="H419" s="15">
        <f>'Fiscal Forecasts'!H$321</f>
        <v>116.98699999999999</v>
      </c>
      <c r="I419" s="15">
        <f>'Fiscal Forecasts'!I$321</f>
        <v>120.504</v>
      </c>
      <c r="J419" s="176">
        <f>'Fiscal Forecasts'!J$321</f>
        <v>124.172</v>
      </c>
      <c r="K419" s="131">
        <f ca="1">IF(K$6=OFFSET(Assumptions!$B$8,0,$C$1),AVERAGE(H$419/SUM(H$419,H$420),I$419/SUM(I$419,I$420),J$419/SUM(J$419,J$420)),J$419/SUM(J$419,J$420))*SUM(J$419,J$420,K$425,-K$426) +K$424</f>
        <v>128.31174960677032</v>
      </c>
      <c r="L419" s="131">
        <f ca="1">IF(L$6=OFFSET(Assumptions!$B$8,0,$C$1),AVERAGE(I$419/SUM(I$419,I$420),J$419/SUM(J$419,J$420),K$419/SUM(K$419,K$420)),K$419/SUM(K$419,K$420))*SUM(K$419,K$420,L$425,-L$426) +L$424</f>
        <v>132.83572831691896</v>
      </c>
      <c r="M419" s="131">
        <f ca="1">IF(M$6=OFFSET(Assumptions!$B$8,0,$C$1),AVERAGE(J$419/SUM(J$419,J$420),K$419/SUM(K$419,K$420),L$419/SUM(L$419,L$420)),L$419/SUM(L$419,L$420))*SUM(L$419,L$420,M$425,-M$426) +M$424</f>
        <v>137.0464460274975</v>
      </c>
      <c r="N419" s="131">
        <f ca="1">IF(N$6=OFFSET(Assumptions!$B$8,0,$C$1),AVERAGE(K$419/SUM(K$419,K$420),L$419/SUM(L$419,L$420),M$419/SUM(M$419,M$420)),M$419/SUM(M$419,M$420))*SUM(M$419,M$420,N$425,-N$426) +N$424</f>
        <v>140.9714885071113</v>
      </c>
      <c r="O419" s="131">
        <f ca="1">IF(O$6=OFFSET(Assumptions!$B$8,0,$C$1),AVERAGE(L$419/SUM(L$419,L$420),M$419/SUM(M$419,M$420),N$419/SUM(N$419,N$420)),N$419/SUM(N$419,N$420))*SUM(N$419,N$420,O$425,-O$426) +O$424</f>
        <v>144.62471417415279</v>
      </c>
      <c r="P419" s="131">
        <f ca="1">IF(P$6=OFFSET(Assumptions!$B$8,0,$C$1),AVERAGE(M$419/SUM(M$419,M$420),N$419/SUM(N$419,N$420),O$419/SUM(O$419,O$420)),O$419/SUM(O$419,O$420))*SUM(O$419,O$420,P$425,-P$426) +P$424</f>
        <v>148.01933902444415</v>
      </c>
      <c r="Q419" s="131">
        <f ca="1">IF(Q$6=OFFSET(Assumptions!$B$8,0,$C$1),AVERAGE(N$419/SUM(N$419,N$420),O$419/SUM(O$419,O$420),P$419/SUM(P$419,P$420)),P$419/SUM(P$419,P$420))*SUM(P$419,P$420,Q$425,-Q$426) +Q$424</f>
        <v>151.16796092879275</v>
      </c>
      <c r="R419" s="131">
        <f ca="1">IF(R$6=OFFSET(Assumptions!$B$8,0,$C$1),AVERAGE(O$419/SUM(O$419,O$420),P$419/SUM(P$419,P$420),Q$419/SUM(Q$419,Q$420)),Q$419/SUM(Q$419,Q$420))*SUM(Q$419,Q$420,R$425,-R$426) +R$424</f>
        <v>154.08320369848315</v>
      </c>
      <c r="S419" s="131">
        <f ca="1">IF(S$6=OFFSET(Assumptions!$B$8,0,$C$1),AVERAGE(P$419/SUM(P$419,P$420),Q$419/SUM(Q$419,Q$420),R$419/SUM(R$419,R$420)),R$419/SUM(R$419,R$420))*SUM(R$419,R$420,S$425,-S$426) +S$424</f>
        <v>156.77716975039911</v>
      </c>
      <c r="T419" s="171">
        <f ca="1">IF(T$6=OFFSET(Assumptions!$B$8,0,$C$1),AVERAGE(Q$419/SUM(Q$419,Q$420),R$419/SUM(R$419,R$420),S$419/SUM(S$419,S$420)),S$419/SUM(S$419,S$420))*SUM(S$419,S$420,T$425,-T$426) +T$424</f>
        <v>159.2584536108391</v>
      </c>
    </row>
    <row r="420" spans="1:20">
      <c r="A420" s="1" t="s">
        <v>418</v>
      </c>
      <c r="B420" s="4" t="str">
        <f>$B$39</f>
        <v>From Fiscal Forecasts</v>
      </c>
      <c r="D420" s="14">
        <f>SUM('Fiscal Forecasts'!D$322:D$323)</f>
        <v>40.21</v>
      </c>
      <c r="E420" s="175">
        <f>SUM('Fiscal Forecasts'!E$322:E$323)</f>
        <v>39.826000000000001</v>
      </c>
      <c r="F420" s="15">
        <f>SUM('Fiscal Forecasts'!F$322:F$323)</f>
        <v>39.155999999999999</v>
      </c>
      <c r="G420" s="15">
        <f>SUM('Fiscal Forecasts'!G$322:G$323)</f>
        <v>39.694000000000003</v>
      </c>
      <c r="H420" s="15">
        <f>SUM('Fiscal Forecasts'!H$322:H$323)</f>
        <v>40.587000000000003</v>
      </c>
      <c r="I420" s="15">
        <f>SUM('Fiscal Forecasts'!I$322:I$323)</f>
        <v>41.31</v>
      </c>
      <c r="J420" s="176">
        <f>SUM('Fiscal Forecasts'!J$322:J$323)</f>
        <v>41.366999999999997</v>
      </c>
      <c r="K420" s="131">
        <f ca="1">IF(K$6=OFFSET(Assumptions!$B$8,0,$C$1),AVERAGE(H$420/SUM(H$419,H$420),I$420/SUM(I$419,I$420),J$420/SUM(J$419,J$420)),J$420/SUM(J$419,J$420))*SUM(J$419,J$420,K$425,-K$426)</f>
        <v>43.534511658562543</v>
      </c>
      <c r="L420" s="131">
        <f ca="1">IF(L$6=OFFSET(Assumptions!$B$8,0,$C$1),AVERAGE(I$420/SUM(I$419,I$420),J$420/SUM(J$419,J$420),K$420/SUM(K$419,K$420)),K$420/SUM(K$419,K$420))*SUM(K$419,K$420,L$425,-L$426)</f>
        <v>44.859750871641374</v>
      </c>
      <c r="M420" s="131">
        <f ca="1">IF(M$6=OFFSET(Assumptions!$B$8,0,$C$1),AVERAGE(J$420/SUM(J$419,J$420),K$420/SUM(K$419,K$420),L$420/SUM(L$419,L$420)),L$420/SUM(L$419,L$420))*SUM(L$419,L$420,M$425,-M$426)</f>
        <v>46.071824741932666</v>
      </c>
      <c r="N420" s="131">
        <f ca="1">IF(N$6=OFFSET(Assumptions!$B$8,0,$C$1),AVERAGE(K$420/SUM(K$419,K$420),L$420/SUM(L$419,L$420),M$420/SUM(M$419,M$420)),M$420/SUM(M$419,M$420))*SUM(M$419,M$420,N$425,-N$426)</f>
        <v>47.173664469136611</v>
      </c>
      <c r="O420" s="131">
        <f ca="1">IF(O$6=OFFSET(Assumptions!$B$8,0,$C$1),AVERAGE(L$420/SUM(L$419,L$420),M$420/SUM(M$419,M$420),N$420/SUM(N$419,N$420)),N$420/SUM(N$419,N$420))*SUM(N$419,N$420,O$425,-O$426)</f>
        <v>48.170637925571839</v>
      </c>
      <c r="P420" s="131">
        <f ca="1">IF(P$6=OFFSET(Assumptions!$B$8,0,$C$1),AVERAGE(M$420/SUM(M$419,M$420),N$420/SUM(N$419,N$420),O$420/SUM(O$419,O$420)),O$420/SUM(O$419,O$420))*SUM(O$419,O$420,P$425,-P$426)</f>
        <v>49.067841501562022</v>
      </c>
      <c r="Q420" s="131">
        <f ca="1">IF(Q$6=OFFSET(Assumptions!$B$8,0,$C$1),AVERAGE(N$420/SUM(N$419,N$420),O$420/SUM(O$419,O$420),P$420/SUM(P$419,P$420)),P$420/SUM(P$419,P$420))*SUM(P$419,P$420,Q$425,-Q$426)</f>
        <v>49.87011483089502</v>
      </c>
      <c r="R420" s="131">
        <f ca="1">IF(R$6=OFFSET(Assumptions!$B$8,0,$C$1),AVERAGE(O$420/SUM(O$419,O$420),P$420/SUM(P$419,P$420),Q$420/SUM(Q$419,Q$420)),Q$420/SUM(Q$419,Q$420))*SUM(Q$419,Q$420,R$425,-R$426)</f>
        <v>50.58228317039152</v>
      </c>
      <c r="S420" s="131">
        <f ca="1">IF(S$6=OFFSET(Assumptions!$B$8,0,$C$1),AVERAGE(P$420/SUM(P$419,P$420),Q$420/SUM(Q$419,Q$420),R$420/SUM(R$419,R$420)),R$420/SUM(R$419,R$420))*SUM(R$419,R$420,S$425,-S$426)</f>
        <v>51.208961846086176</v>
      </c>
      <c r="T420" s="171">
        <f ca="1">IF(T$6=OFFSET(Assumptions!$B$8,0,$C$1),AVERAGE(Q$420/SUM(Q$419,Q$420),R$420/SUM(R$419,R$420),S$420/SUM(S$419,S$420)),S$420/SUM(S$419,S$420))*SUM(S$419,S$420,T$425,-T$426)</f>
        <v>51.753451484605669</v>
      </c>
    </row>
    <row r="421" spans="1:20" ht="15">
      <c r="A421" s="2" t="s">
        <v>531</v>
      </c>
      <c r="B421" s="4"/>
      <c r="D421" s="34">
        <f t="shared" ref="D421:T421" si="230">SUM(D$418:D$420)</f>
        <v>177.625</v>
      </c>
      <c r="E421" s="138">
        <f t="shared" si="230"/>
        <v>186.50199999999998</v>
      </c>
      <c r="F421" s="33">
        <f t="shared" si="230"/>
        <v>191.55700000000002</v>
      </c>
      <c r="G421" s="33">
        <f t="shared" si="230"/>
        <v>201.00299999999999</v>
      </c>
      <c r="H421" s="33">
        <f t="shared" si="230"/>
        <v>207.58199999999999</v>
      </c>
      <c r="I421" s="33">
        <f t="shared" si="230"/>
        <v>213.01</v>
      </c>
      <c r="J421" s="137">
        <f t="shared" si="230"/>
        <v>216.66199999999998</v>
      </c>
      <c r="K421" s="37">
        <f t="shared" ca="1" si="230"/>
        <v>222.96926126533285</v>
      </c>
      <c r="L421" s="37">
        <f t="shared" ca="1" si="230"/>
        <v>228.81847918856033</v>
      </c>
      <c r="M421" s="37">
        <f t="shared" ca="1" si="230"/>
        <v>234.24127076943014</v>
      </c>
      <c r="N421" s="37">
        <f t="shared" ca="1" si="230"/>
        <v>239.2681529762479</v>
      </c>
      <c r="O421" s="37">
        <f t="shared" ca="1" si="230"/>
        <v>243.91835209972461</v>
      </c>
      <c r="P421" s="37">
        <f t="shared" ca="1" si="230"/>
        <v>248.21018052600616</v>
      </c>
      <c r="Q421" s="37">
        <f t="shared" ca="1" si="230"/>
        <v>252.16107575968778</v>
      </c>
      <c r="R421" s="37">
        <f t="shared" ca="1" si="230"/>
        <v>255.78848686887466</v>
      </c>
      <c r="S421" s="37">
        <f t="shared" ca="1" si="230"/>
        <v>259.10913159648527</v>
      </c>
      <c r="T421" s="140">
        <f t="shared" ca="1" si="230"/>
        <v>262.13490509544476</v>
      </c>
    </row>
    <row r="422" spans="1:20">
      <c r="A422" s="1" t="s">
        <v>1100</v>
      </c>
      <c r="B422" s="4"/>
      <c r="D422" s="14">
        <f>SUM(D$418-C$418,D$423)</f>
        <v>3.9059999999999939</v>
      </c>
      <c r="E422" s="175">
        <f t="shared" ref="E422:J422" si="231">SUM(E$418-D$418,E$423)</f>
        <v>3.1580000000000039</v>
      </c>
      <c r="F422" s="15">
        <f t="shared" si="231"/>
        <v>2.825999999999997</v>
      </c>
      <c r="G422" s="15">
        <f t="shared" si="231"/>
        <v>4.0209999999999981</v>
      </c>
      <c r="H422" s="15">
        <f t="shared" si="231"/>
        <v>3.4610000000000056</v>
      </c>
      <c r="I422" s="15">
        <f t="shared" si="231"/>
        <v>3.0999999999999952</v>
      </c>
      <c r="J422" s="176">
        <f t="shared" si="231"/>
        <v>1.8869999999999996</v>
      </c>
      <c r="K422" s="131">
        <f t="shared" ref="K422:T422" ca="1" si="232">K$423</f>
        <v>1.6976699999999998</v>
      </c>
      <c r="L422" s="131">
        <f t="shared" ca="1" si="232"/>
        <v>1.8297149999999998</v>
      </c>
      <c r="M422" s="131">
        <f t="shared" ca="1" si="232"/>
        <v>1.9481523000000001</v>
      </c>
      <c r="N422" s="131">
        <f t="shared" ca="1" si="232"/>
        <v>2.0689583460000001</v>
      </c>
      <c r="O422" s="131">
        <f t="shared" ca="1" si="232"/>
        <v>2.1921805129199998</v>
      </c>
      <c r="P422" s="131">
        <f t="shared" ca="1" si="232"/>
        <v>2.3178671231783996</v>
      </c>
      <c r="Q422" s="131">
        <f t="shared" ca="1" si="232"/>
        <v>2.4460674656419679</v>
      </c>
      <c r="R422" s="131">
        <f t="shared" ca="1" si="232"/>
        <v>2.5768318149548075</v>
      </c>
      <c r="S422" s="131">
        <f t="shared" ca="1" si="232"/>
        <v>2.7102114512539037</v>
      </c>
      <c r="T422" s="171">
        <f t="shared" ca="1" si="232"/>
        <v>2.8462586802789818</v>
      </c>
    </row>
    <row r="423" spans="1:20">
      <c r="A423" s="1" t="s">
        <v>952</v>
      </c>
      <c r="B423" s="4"/>
      <c r="D423" s="14">
        <f t="shared" ref="D423:J423" si="233">D$212</f>
        <v>1.5009999999999999</v>
      </c>
      <c r="E423" s="175">
        <f t="shared" si="233"/>
        <v>1.675</v>
      </c>
      <c r="F423" s="15">
        <f t="shared" si="233"/>
        <v>1.782</v>
      </c>
      <c r="G423" s="15">
        <f t="shared" si="233"/>
        <v>1.8160000000000001</v>
      </c>
      <c r="H423" s="15">
        <f t="shared" si="233"/>
        <v>1.869</v>
      </c>
      <c r="I423" s="15">
        <f t="shared" si="233"/>
        <v>1.9119999999999999</v>
      </c>
      <c r="J423" s="176">
        <f t="shared" si="233"/>
        <v>1.96</v>
      </c>
      <c r="K423" s="131">
        <f ca="1">OFFSET(Assumptions!$B$68,0,$C$1)*SUM(J$418,J$442:J$443)</f>
        <v>1.6976699999999998</v>
      </c>
      <c r="L423" s="131">
        <f ca="1">OFFSET(Assumptions!$B$68,0,$C$1)*SUM(K$418,K$442:K$443)</f>
        <v>1.8297149999999998</v>
      </c>
      <c r="M423" s="131">
        <f ca="1">OFFSET(Assumptions!$B$68,0,$C$1)*SUM(L$418,L$442:L$443)</f>
        <v>1.9481523000000001</v>
      </c>
      <c r="N423" s="131">
        <f ca="1">OFFSET(Assumptions!$B$68,0,$C$1)*SUM(M$418,M$442:M$443)</f>
        <v>2.0689583460000001</v>
      </c>
      <c r="O423" s="131">
        <f ca="1">OFFSET(Assumptions!$B$68,0,$C$1)*SUM(N$418,N$442:N$443)</f>
        <v>2.1921805129199998</v>
      </c>
      <c r="P423" s="131">
        <f ca="1">OFFSET(Assumptions!$B$68,0,$C$1)*SUM(O$418,O$442:O$443)</f>
        <v>2.3178671231783996</v>
      </c>
      <c r="Q423" s="131">
        <f ca="1">OFFSET(Assumptions!$B$68,0,$C$1)*SUM(P$418,P$442:P$443)</f>
        <v>2.4460674656419679</v>
      </c>
      <c r="R423" s="131">
        <f ca="1">OFFSET(Assumptions!$B$68,0,$C$1)*SUM(Q$418,Q$442:Q$443)</f>
        <v>2.5768318149548075</v>
      </c>
      <c r="S423" s="131">
        <f ca="1">OFFSET(Assumptions!$B$68,0,$C$1)*SUM(R$418,R$442:R$443)</f>
        <v>2.7102114512539037</v>
      </c>
      <c r="T423" s="171">
        <f ca="1">OFFSET(Assumptions!$B$68,0,$C$1)*SUM(S$418,S$442:S$443)</f>
        <v>2.8462586802789818</v>
      </c>
    </row>
    <row r="424" spans="1:20">
      <c r="A424" s="1" t="s">
        <v>1102</v>
      </c>
      <c r="B424" s="4"/>
      <c r="D424" s="14">
        <f t="shared" ref="D424:T424" si="234">D$131-D$287</f>
        <v>0.99300000000000033</v>
      </c>
      <c r="E424" s="175">
        <f t="shared" si="234"/>
        <v>0.64000000000000012</v>
      </c>
      <c r="F424" s="15">
        <f t="shared" si="234"/>
        <v>-1.6020000000000003</v>
      </c>
      <c r="G424" s="15">
        <f t="shared" si="234"/>
        <v>3.199999999999914E-2</v>
      </c>
      <c r="H424" s="15">
        <f t="shared" si="234"/>
        <v>0.21999999999999975</v>
      </c>
      <c r="I424" s="15">
        <f t="shared" si="234"/>
        <v>0.59699999999999953</v>
      </c>
      <c r="J424" s="176">
        <f t="shared" si="234"/>
        <v>1.028</v>
      </c>
      <c r="K424" s="131">
        <f t="shared" ca="1" si="234"/>
        <v>0.62134583178417468</v>
      </c>
      <c r="L424" s="131">
        <f t="shared" ca="1" si="234"/>
        <v>0.61802558010589159</v>
      </c>
      <c r="M424" s="131">
        <f t="shared" ca="1" si="234"/>
        <v>0.62160470380451827</v>
      </c>
      <c r="N424" s="131">
        <f t="shared" ca="1" si="234"/>
        <v>0.64748142031043976</v>
      </c>
      <c r="O424" s="131">
        <f t="shared" ca="1" si="234"/>
        <v>0.6739185952386455</v>
      </c>
      <c r="P424" s="131">
        <f t="shared" ca="1" si="234"/>
        <v>0.7009131553352832</v>
      </c>
      <c r="Q424" s="131">
        <f t="shared" ca="1" si="234"/>
        <v>0.72846311417579734</v>
      </c>
      <c r="R424" s="131">
        <f t="shared" ca="1" si="234"/>
        <v>0.7564942670092929</v>
      </c>
      <c r="S424" s="131">
        <f t="shared" ca="1" si="234"/>
        <v>0.78498425061451549</v>
      </c>
      <c r="T424" s="171">
        <f t="shared" ca="1" si="234"/>
        <v>0.81431891117829469</v>
      </c>
    </row>
    <row r="425" spans="1:20">
      <c r="A425" s="1" t="s">
        <v>1101</v>
      </c>
      <c r="B425" s="4" t="str">
        <f>$B$39</f>
        <v>From Fiscal Forecasts</v>
      </c>
      <c r="D425" s="14">
        <f>SUM('Fiscal Forecasts'!D$326:D$329)-SUM('Fiscal Forecasts'!D$331:D$333,'Fiscal Forecasts'!D$335)-SUM(D$422,D$424)</f>
        <v>18.617000000000008</v>
      </c>
      <c r="E425" s="175">
        <f>SUM('Fiscal Forecasts'!E$326:E$329)-SUM('Fiscal Forecasts'!E$331:E$333,'Fiscal Forecasts'!E$335)-SUM(E$422,E$424)</f>
        <v>10.378999999999996</v>
      </c>
      <c r="F425" s="15">
        <f>SUM('Fiscal Forecasts'!F$326:F$329)-SUM('Fiscal Forecasts'!F$331:F$333,'Fiscal Forecasts'!F$335)-SUM(F$422,F$424)</f>
        <v>9.4650000000000034</v>
      </c>
      <c r="G425" s="15">
        <f>SUM('Fiscal Forecasts'!G$326:G$329)-SUM('Fiscal Forecasts'!G$331:G$333,'Fiscal Forecasts'!G$335)-SUM(G$422,G$424)</f>
        <v>11.149000000000004</v>
      </c>
      <c r="H425" s="15">
        <f>SUM('Fiscal Forecasts'!H$326:H$329)-SUM('Fiscal Forecasts'!H$331:H$333,'Fiscal Forecasts'!H$335)-SUM(H$422,H$424)</f>
        <v>8.8419999999999952</v>
      </c>
      <c r="I425" s="15">
        <f>SUM('Fiscal Forecasts'!I$326:I$329)-SUM('Fiscal Forecasts'!I$331:I$333,'Fiscal Forecasts'!I$335)-SUM(I$422,I$424)</f>
        <v>7.8430000000000044</v>
      </c>
      <c r="J425" s="176">
        <f>SUM('Fiscal Forecasts'!J$326:J$329)-SUM('Fiscal Forecasts'!J$331:J$333,'Fiscal Forecasts'!J$335)-SUM(J$422,J$424)</f>
        <v>7.0170000000000012</v>
      </c>
      <c r="K425" s="131">
        <f ca="1">IF(K$6=OFFSET(Assumptions!$B$8,0,$C$1),AVERAGE(OFFSET(J$425,0,0,1,-8)),J$425)*IF(SUM(J$419,J$420)&lt;OFFSET(Assumptions!$B$69,0,$C$1)*J$13,K$13/J$13,2-K$13/J$13) +K$426-J$426</f>
        <v>10.652085433548713</v>
      </c>
      <c r="L425" s="131">
        <f ca="1">IF(L$6=OFFSET(Assumptions!$B$8,0,$C$1),AVERAGE(OFFSET(K$425,0,0,1,-8)),K$425)*IF(SUM(K$419,K$420)&lt;OFFSET(Assumptions!$B$69,0,$C$1)*K$13,L$13/K$13,2-L$13/K$13) +L$426-K$426</f>
        <v>10.38658018108158</v>
      </c>
      <c r="M425" s="131">
        <f ca="1">IF(M$6=OFFSET(Assumptions!$B$8,0,$C$1),AVERAGE(OFFSET(L$425,0,0,1,-8)),L$425)*IF(SUM(L$419,L$420)&lt;OFFSET(Assumptions!$B$69,0,$C$1)*L$13,M$13/L$13,2-M$13/L$13) +M$426-L$426</f>
        <v>10.132051252722107</v>
      </c>
      <c r="N425" s="131">
        <f ca="1">IF(N$6=OFFSET(Assumptions!$B$8,0,$C$1),AVERAGE(OFFSET(M$425,0,0,1,-8)),M$425)*IF(SUM(M$419,M$420)&lt;OFFSET(Assumptions!$B$69,0,$C$1)*M$13,N$13/M$13,2-N$13/M$13) +N$426-M$426</f>
        <v>9.872948909590221</v>
      </c>
      <c r="O425" s="131">
        <f ca="1">IF(O$6=OFFSET(Assumptions!$B$8,0,$C$1),AVERAGE(OFFSET(N$425,0,0,1,-8)),N$425)*IF(SUM(N$419,N$420)&lt;OFFSET(Assumptions!$B$69,0,$C$1)*N$13,O$13/N$13,2-O$13/N$13) +O$426-N$426</f>
        <v>9.6206351175255111</v>
      </c>
      <c r="P425" s="131">
        <f ca="1">IF(P$6=OFFSET(Assumptions!$B$8,0,$C$1),AVERAGE(OFFSET(O$425,0,0,1,-8)),O$425)*IF(SUM(O$419,O$420)&lt;OFFSET(Assumptions!$B$69,0,$C$1)*O$13,P$13/O$13,2-P$13/O$13) +P$426-O$426</f>
        <v>9.3747758339380098</v>
      </c>
      <c r="Q425" s="131">
        <f ca="1">IF(Q$6=OFFSET(Assumptions!$B$8,0,$C$1),AVERAGE(OFFSET(P$425,0,0,1,-8)),P$425)*IF(SUM(P$419,P$420)&lt;OFFSET(Assumptions!$B$69,0,$C$1)*P$13,Q$13/P$13,2-Q$13/P$13) +Q$426-P$426</f>
        <v>9.1350475352859775</v>
      </c>
      <c r="R425" s="131">
        <f ca="1">IF(R$6=OFFSET(Assumptions!$B$8,0,$C$1),AVERAGE(OFFSET(Q$425,0,0,1,-8)),Q$425)*IF(SUM(Q$419,Q$420)&lt;OFFSET(Assumptions!$B$69,0,$C$1)*Q$13,R$13/Q$13,2-R$13/Q$13) +R$426-Q$426</f>
        <v>8.9020591149682531</v>
      </c>
      <c r="S425" s="131">
        <f ca="1">IF(S$6=OFFSET(Assumptions!$B$8,0,$C$1),AVERAGE(OFFSET(R$425,0,0,1,-8)),R$425)*IF(SUM(R$419,R$420)&lt;OFFSET(Assumptions!$B$69,0,$C$1)*R$13,S$13/R$13,2-S$13/R$13) +S$426-R$426</f>
        <v>8.6756250830623696</v>
      </c>
      <c r="T425" s="171">
        <f ca="1">IF(T$6=OFFSET(Assumptions!$B$8,0,$C$1),AVERAGE(OFFSET(S$425,0,0,1,-8)),S$425)*IF(SUM(S$419,S$420)&lt;OFFSET(Assumptions!$B$69,0,$C$1)*S$13,T$13/S$13,2-T$13/S$13) +T$426-S$426</f>
        <v>8.4510385356756998</v>
      </c>
    </row>
    <row r="426" spans="1:20">
      <c r="A426" s="1" t="s">
        <v>1103</v>
      </c>
      <c r="B426" s="4" t="str">
        <f>$B$39</f>
        <v>From Fiscal Forecasts</v>
      </c>
      <c r="D426" s="14">
        <f>'Fiscal Forecasts'!D$334-D$423</f>
        <v>3.0530000000000004</v>
      </c>
      <c r="E426" s="175">
        <f>'Fiscal Forecasts'!E$334-E$423</f>
        <v>3.6189999999999998</v>
      </c>
      <c r="F426" s="15">
        <f>'Fiscal Forecasts'!F$334-F$423</f>
        <v>3.8520000000000003</v>
      </c>
      <c r="G426" s="15">
        <f>'Fiscal Forecasts'!G$334-G$423</f>
        <v>3.9400000000000004</v>
      </c>
      <c r="H426" s="15">
        <f>'Fiscal Forecasts'!H$334-H$423</f>
        <v>4.0750000000000002</v>
      </c>
      <c r="I426" s="15">
        <f>'Fiscal Forecasts'!I$334-I$423</f>
        <v>4.2</v>
      </c>
      <c r="J426" s="176">
        <f>'Fiscal Forecasts'!J$334-J$423</f>
        <v>4.32</v>
      </c>
      <c r="K426" s="131">
        <f ca="1">OFFSET(Assumptions!$B$68,0,$C$1)*SUM(J$419,J$420)</f>
        <v>4.9661699999999991</v>
      </c>
      <c r="L426" s="131">
        <f ca="1">OFFSET(Assumptions!$B$68,0,$C$1)*SUM(K$419,K$420)</f>
        <v>5.1553878379599851</v>
      </c>
      <c r="M426" s="131">
        <f ca="1">OFFSET(Assumptions!$B$68,0,$C$1)*SUM(L$419,L$420)</f>
        <v>5.3308643756568097</v>
      </c>
      <c r="N426" s="131">
        <f ca="1">OFFSET(Assumptions!$B$68,0,$C$1)*SUM(M$419,M$420)</f>
        <v>5.4935481230829044</v>
      </c>
      <c r="O426" s="131">
        <f ca="1">OFFSET(Assumptions!$B$68,0,$C$1)*SUM(N$419,N$420)</f>
        <v>5.6443545892874374</v>
      </c>
      <c r="P426" s="131">
        <f ca="1">OFFSET(Assumptions!$B$68,0,$C$1)*SUM(O$419,O$420)</f>
        <v>5.7838605629917383</v>
      </c>
      <c r="Q426" s="131">
        <f ca="1">OFFSET(Assumptions!$B$68,0,$C$1)*SUM(P$419,P$420)</f>
        <v>5.9126154157801851</v>
      </c>
      <c r="R426" s="131">
        <f ca="1">OFFSET(Assumptions!$B$68,0,$C$1)*SUM(Q$419,Q$420)</f>
        <v>6.0311422727906336</v>
      </c>
      <c r="S426" s="131">
        <f ca="1">OFFSET(Assumptions!$B$68,0,$C$1)*SUM(R$419,R$420)</f>
        <v>6.1399646060662398</v>
      </c>
      <c r="T426" s="171">
        <f ca="1">OFFSET(Assumptions!$B$68,0,$C$1)*SUM(S$419,S$420)</f>
        <v>6.2395839478945581</v>
      </c>
    </row>
    <row r="427" spans="1:20">
      <c r="B427" s="62"/>
      <c r="C427" s="62"/>
      <c r="D427" s="62"/>
      <c r="E427" s="152"/>
      <c r="F427" s="62"/>
      <c r="G427" s="62"/>
      <c r="H427" s="62"/>
      <c r="I427" s="62"/>
      <c r="J427" s="152"/>
      <c r="K427" s="62"/>
      <c r="L427" s="62"/>
      <c r="M427" s="62"/>
      <c r="N427" s="62"/>
      <c r="O427" s="62"/>
      <c r="P427" s="62"/>
      <c r="Q427" s="62"/>
      <c r="R427" s="62"/>
      <c r="S427" s="62"/>
      <c r="T427" s="152"/>
    </row>
    <row r="428" spans="1:20">
      <c r="A428" s="18" t="s">
        <v>206</v>
      </c>
      <c r="B428" s="62"/>
      <c r="C428" s="62"/>
      <c r="D428" s="62"/>
      <c r="E428" s="152"/>
      <c r="F428" s="62"/>
      <c r="G428" s="62"/>
      <c r="H428" s="62"/>
      <c r="I428" s="62"/>
      <c r="J428" s="152"/>
      <c r="K428" s="62"/>
      <c r="L428" s="62"/>
      <c r="M428" s="62"/>
      <c r="N428" s="62"/>
      <c r="O428" s="62"/>
      <c r="P428" s="62"/>
      <c r="Q428" s="62"/>
      <c r="R428" s="62"/>
      <c r="S428" s="62"/>
      <c r="T428" s="152"/>
    </row>
    <row r="429" spans="1:20" ht="15">
      <c r="A429" s="2" t="s">
        <v>533</v>
      </c>
      <c r="B429" s="4" t="str">
        <f>$B$39</f>
        <v>From Fiscal Forecasts</v>
      </c>
      <c r="D429" s="39">
        <f>'Fiscal Forecasts'!D$178</f>
        <v>46.601999999999997</v>
      </c>
      <c r="E429" s="142">
        <f>'Fiscal Forecasts'!E$178</f>
        <v>49.604999999999997</v>
      </c>
      <c r="F429" s="38">
        <f>'Fiscal Forecasts'!F$178</f>
        <v>54.780999999999999</v>
      </c>
      <c r="G429" s="38">
        <f>'Fiscal Forecasts'!G$178</f>
        <v>61.332999999999998</v>
      </c>
      <c r="H429" s="38">
        <f>'Fiscal Forecasts'!H$178</f>
        <v>65.42</v>
      </c>
      <c r="I429" s="38">
        <f>'Fiscal Forecasts'!I$178</f>
        <v>69.402000000000001</v>
      </c>
      <c r="J429" s="141">
        <f>'Fiscal Forecasts'!J$178</f>
        <v>72.828999999999994</v>
      </c>
      <c r="K429" s="7">
        <f t="shared" ref="K429:T429" ca="1" si="235">SUM(J$429,K$131-K$287)</f>
        <v>73.450345831784162</v>
      </c>
      <c r="L429" s="7">
        <f t="shared" ca="1" si="235"/>
        <v>74.068371411890055</v>
      </c>
      <c r="M429" s="7">
        <f t="shared" ca="1" si="235"/>
        <v>74.689976115694577</v>
      </c>
      <c r="N429" s="7">
        <f t="shared" ca="1" si="235"/>
        <v>75.337457536005019</v>
      </c>
      <c r="O429" s="7">
        <f t="shared" ca="1" si="235"/>
        <v>76.011376131243665</v>
      </c>
      <c r="P429" s="7">
        <f t="shared" ca="1" si="235"/>
        <v>76.712289286578951</v>
      </c>
      <c r="Q429" s="7">
        <f t="shared" ca="1" si="235"/>
        <v>77.440752400754747</v>
      </c>
      <c r="R429" s="7">
        <f t="shared" ca="1" si="235"/>
        <v>78.197246667764034</v>
      </c>
      <c r="S429" s="7">
        <f t="shared" ca="1" si="235"/>
        <v>78.982230918378548</v>
      </c>
      <c r="T429" s="134">
        <f t="shared" ca="1" si="235"/>
        <v>79.796549829556838</v>
      </c>
    </row>
    <row r="430" spans="1:20" ht="15">
      <c r="A430" s="2" t="s">
        <v>534</v>
      </c>
      <c r="B430" s="4" t="str">
        <f>$B$39</f>
        <v>From Fiscal Forecasts</v>
      </c>
      <c r="D430" s="39">
        <f>'Fiscal Forecasts'!D$125</f>
        <v>14.65</v>
      </c>
      <c r="E430" s="142">
        <f>'Fiscal Forecasts'!E$125</f>
        <v>14.308</v>
      </c>
      <c r="F430" s="38">
        <f>'Fiscal Forecasts'!F$125</f>
        <v>14.162000000000001</v>
      </c>
      <c r="G430" s="38">
        <f>'Fiscal Forecasts'!G$125</f>
        <v>14.695</v>
      </c>
      <c r="H430" s="38">
        <f>'Fiscal Forecasts'!H$125</f>
        <v>15.173</v>
      </c>
      <c r="I430" s="38">
        <f>'Fiscal Forecasts'!I$125</f>
        <v>15.428000000000001</v>
      </c>
      <c r="J430" s="141">
        <f>'Fiscal Forecasts'!J$125</f>
        <v>15.661</v>
      </c>
      <c r="K430" s="7">
        <f ca="1">(J$430/J$13+ IF(K$2&gt;0,K$2*IF(K$6=OFFSET(Assumptions!$B$8,0,$C$1),SUMPRODUCT(OFFSET(J$430,0,0,1,-OFFSET(Assumptions!$B$86,0,$C$1)),OFFSET(J$15,0,0,1,-OFFSET(Assumptions!$B$86,0,$C$1)))/OFFSET(Assumptions!$B$86,0,$C$1)-J$430/J$13,(J$430/J$13-I$430/I$13)/J$2),0))*K$13</f>
        <v>16.576494254980688</v>
      </c>
      <c r="L430" s="7">
        <f ca="1">(K$430/K$13+ IF(L$2&gt;0,L$2*IF(L$6=OFFSET(Assumptions!$B$8,0,$C$1),SUMPRODUCT(OFFSET(K$430,0,0,1,-OFFSET(Assumptions!$B$86,0,$C$1)),OFFSET(K$15,0,0,1,-OFFSET(Assumptions!$B$86,0,$C$1)))/OFFSET(Assumptions!$B$86,0,$C$1)-K$430/K$13,(K$430/K$13-J$430/J$13)/K$2),0))*L$13</f>
        <v>17.464988234857877</v>
      </c>
      <c r="M430" s="7">
        <f ca="1">(L$430/L$13+ IF(M$2&gt;0,M$2*IF(M$6=OFFSET(Assumptions!$B$8,0,$C$1),SUMPRODUCT(OFFSET(L$430,0,0,1,-OFFSET(Assumptions!$B$86,0,$C$1)),OFFSET(L$15,0,0,1,-OFFSET(Assumptions!$B$86,0,$C$1)))/OFFSET(Assumptions!$B$86,0,$C$1)-L$430/L$13,(L$430/L$13-K$430/K$13)/L$2),0))*M$13</f>
        <v>18.329305837265551</v>
      </c>
      <c r="N430" s="7">
        <f ca="1">(M$430/M$13+ IF(N$2&gt;0,N$2*IF(N$6=OFFSET(Assumptions!$B$8,0,$C$1),SUMPRODUCT(OFFSET(M$430,0,0,1,-OFFSET(Assumptions!$B$86,0,$C$1)),OFFSET(M$15,0,0,1,-OFFSET(Assumptions!$B$86,0,$C$1)))/OFFSET(Assumptions!$B$86,0,$C$1)-M$430/M$13,(M$430/M$13-L$430/L$13)/M$2),0))*N$13</f>
        <v>19.190431938523602</v>
      </c>
      <c r="O430" s="7">
        <f ca="1">(N$430/N$13+ IF(O$2&gt;0,O$2*IF(O$6=OFFSET(Assumptions!$B$8,0,$C$1),SUMPRODUCT(OFFSET(N$430,0,0,1,-OFFSET(Assumptions!$B$86,0,$C$1)),OFFSET(N$15,0,0,1,-OFFSET(Assumptions!$B$86,0,$C$1)))/OFFSET(Assumptions!$B$86,0,$C$1)-N$430/N$13,(N$430/N$13-M$430/M$13)/N$2),0))*O$13</f>
        <v>20.025043726199009</v>
      </c>
      <c r="P430" s="7">
        <f ca="1">(O$430/O$13+ IF(P$2&gt;0,P$2*IF(P$6=OFFSET(Assumptions!$B$8,0,$C$1),SUMPRODUCT(OFFSET(O$430,0,0,1,-OFFSET(Assumptions!$B$86,0,$C$1)),OFFSET(O$15,0,0,1,-OFFSET(Assumptions!$B$86,0,$C$1)))/OFFSET(Assumptions!$B$86,0,$C$1)-O$430/O$13,(O$430/O$13-N$430/N$13)/O$2),0))*P$13</f>
        <v>20.827169161116359</v>
      </c>
      <c r="Q430" s="7">
        <f ca="1">(P$430/P$13+ IF(Q$2&gt;0,Q$2*IF(Q$6=OFFSET(Assumptions!$B$8,0,$C$1),SUMPRODUCT(OFFSET(P$430,0,0,1,-OFFSET(Assumptions!$B$86,0,$C$1)),OFFSET(P$15,0,0,1,-OFFSET(Assumptions!$B$86,0,$C$1)))/OFFSET(Assumptions!$B$86,0,$C$1)-P$430/P$13,(P$430/P$13-O$430/O$13)/P$2),0))*Q$13</f>
        <v>21.645797901047345</v>
      </c>
      <c r="R430" s="7">
        <f ca="1">(Q$430/Q$13+ IF(R$2&gt;0,R$2*IF(R$6=OFFSET(Assumptions!$B$8,0,$C$1),SUMPRODUCT(OFFSET(Q$430,0,0,1,-OFFSET(Assumptions!$B$86,0,$C$1)),OFFSET(Q$15,0,0,1,-OFFSET(Assumptions!$B$86,0,$C$1)))/OFFSET(Assumptions!$B$86,0,$C$1)-Q$430/Q$13,(Q$430/Q$13-P$430/P$13)/Q$2),0))*R$13</f>
        <v>22.478725001074537</v>
      </c>
      <c r="S430" s="7">
        <f ca="1">(R$430/R$13+ IF(S$2&gt;0,S$2*IF(S$6=OFFSET(Assumptions!$B$8,0,$C$1),SUMPRODUCT(OFFSET(R$430,0,0,1,-OFFSET(Assumptions!$B$86,0,$C$1)),OFFSET(R$15,0,0,1,-OFFSET(Assumptions!$B$86,0,$C$1)))/OFFSET(Assumptions!$B$86,0,$C$1)-R$430/R$13,(R$430/R$13-Q$430/Q$13)/R$2),0))*S$13</f>
        <v>23.32528595292252</v>
      </c>
      <c r="T430" s="134">
        <f ca="1">(S$430/S$13+ IF(T$2&gt;0,T$2*IF(T$6=OFFSET(Assumptions!$B$8,0,$C$1),SUMPRODUCT(OFFSET(S$430,0,0,1,-OFFSET(Assumptions!$B$86,0,$C$1)),OFFSET(S$15,0,0,1,-OFFSET(Assumptions!$B$86,0,$C$1)))/OFFSET(Assumptions!$B$86,0,$C$1)-S$430/S$13,(S$430/S$13-R$430/R$13)/S$2),0))*T$13</f>
        <v>24.196945919917287</v>
      </c>
    </row>
    <row r="431" spans="1:20" ht="15">
      <c r="A431" s="2"/>
      <c r="B431" s="4"/>
      <c r="D431" s="7"/>
      <c r="E431" s="134"/>
      <c r="F431" s="7"/>
      <c r="G431" s="7"/>
      <c r="H431" s="7"/>
      <c r="I431" s="7"/>
      <c r="J431" s="134"/>
      <c r="K431" s="7"/>
      <c r="L431" s="7"/>
      <c r="M431" s="7"/>
      <c r="N431" s="7"/>
      <c r="O431" s="7"/>
      <c r="P431" s="7"/>
      <c r="Q431" s="7"/>
      <c r="R431" s="7"/>
      <c r="S431" s="7"/>
      <c r="T431" s="134"/>
    </row>
    <row r="432" spans="1:20" ht="15">
      <c r="A432" s="18" t="s">
        <v>207</v>
      </c>
      <c r="B432" s="4"/>
      <c r="D432" s="38"/>
      <c r="E432" s="141"/>
      <c r="F432" s="38"/>
      <c r="G432" s="38"/>
      <c r="H432" s="38"/>
      <c r="I432" s="38"/>
      <c r="J432" s="141"/>
      <c r="K432" s="38"/>
      <c r="L432" s="38"/>
      <c r="M432" s="38"/>
      <c r="N432" s="38"/>
      <c r="O432" s="38"/>
      <c r="P432" s="38"/>
      <c r="Q432" s="38"/>
      <c r="R432" s="38"/>
      <c r="S432" s="38"/>
      <c r="T432" s="141"/>
    </row>
    <row r="433" spans="1:20" ht="15">
      <c r="A433" s="2" t="s">
        <v>279</v>
      </c>
      <c r="B433" s="4" t="str">
        <f>$B$39</f>
        <v>From Fiscal Forecasts</v>
      </c>
      <c r="D433" s="14">
        <f>'Fiscal Forecasts'!D$179</f>
        <v>1.681</v>
      </c>
      <c r="E433" s="175">
        <f>'Fiscal Forecasts'!E$179</f>
        <v>1.57</v>
      </c>
      <c r="F433" s="15">
        <f>'Fiscal Forecasts'!F$179</f>
        <v>1.7669999999999999</v>
      </c>
      <c r="G433" s="15">
        <f>'Fiscal Forecasts'!G$179</f>
        <v>2.0640000000000001</v>
      </c>
      <c r="H433" s="15">
        <f>'Fiscal Forecasts'!H$179</f>
        <v>2.1019999999999999</v>
      </c>
      <c r="I433" s="15">
        <f>'Fiscal Forecasts'!I$179</f>
        <v>2.0670000000000002</v>
      </c>
      <c r="J433" s="176">
        <f>'Fiscal Forecasts'!J$179</f>
        <v>1.99</v>
      </c>
      <c r="K433" s="6">
        <f ca="1">(J$433/J$13+ IF(K$2&gt;0,K$2*IF(K$6=OFFSET(Assumptions!$B$8,0,$C$1),SUMPRODUCT(OFFSET(J$433,0,0,1,-OFFSET(Assumptions!$B$86,0,$C$1)),OFFSET(J$15,0,0,1,-OFFSET(Assumptions!$B$86,0,$C$1)))/OFFSET(Assumptions!$B$86,0,$C$1)-J$433/J$13,(J$433/J$13-I$433/I$13)/J$2),0))*K$13</f>
        <v>2.1418988655741886</v>
      </c>
      <c r="L433" s="6">
        <f ca="1">(K$433/K$13+ IF(L$2&gt;0,L$2*IF(L$6=OFFSET(Assumptions!$B$8,0,$C$1),SUMPRODUCT(OFFSET(K$433,0,0,1,-OFFSET(Assumptions!$B$86,0,$C$1)),OFFSET(K$15,0,0,1,-OFFSET(Assumptions!$B$86,0,$C$1)))/OFFSET(Assumptions!$B$86,0,$C$1)-K$433/K$13,(K$433/K$13-J$433/J$13)/K$2),0))*L$13</f>
        <v>2.285986120606835</v>
      </c>
      <c r="M433" s="6">
        <f ca="1">(L$433/L$13+ IF(M$2&gt;0,M$2*IF(M$6=OFFSET(Assumptions!$B$8,0,$C$1),SUMPRODUCT(OFFSET(L$433,0,0,1,-OFFSET(Assumptions!$B$86,0,$C$1)),OFFSET(L$15,0,0,1,-OFFSET(Assumptions!$B$86,0,$C$1)))/OFFSET(Assumptions!$B$86,0,$C$1)-L$433/L$13,(L$433/L$13-K$433/K$13)/L$2),0))*M$13</f>
        <v>2.4217504118243252</v>
      </c>
      <c r="N433" s="6">
        <f ca="1">(M$433/M$13+ IF(N$2&gt;0,N$2*IF(N$6=OFFSET(Assumptions!$B$8,0,$C$1),SUMPRODUCT(OFFSET(M$433,0,0,1,-OFFSET(Assumptions!$B$86,0,$C$1)),OFFSET(M$15,0,0,1,-OFFSET(Assumptions!$B$86,0,$C$1)))/OFFSET(Assumptions!$B$86,0,$C$1)-M$433/M$13,(M$433/M$13-L$433/L$13)/M$2),0))*N$13</f>
        <v>2.5511226650115288</v>
      </c>
      <c r="O433" s="6">
        <f ca="1">(N$433/N$13+ IF(O$2&gt;0,O$2*IF(O$6=OFFSET(Assumptions!$B$8,0,$C$1),SUMPRODUCT(OFFSET(N$433,0,0,1,-OFFSET(Assumptions!$B$86,0,$C$1)),OFFSET(N$15,0,0,1,-OFFSET(Assumptions!$B$86,0,$C$1)))/OFFSET(Assumptions!$B$86,0,$C$1)-N$433/N$13,(N$433/N$13-M$433/M$13)/N$2),0))*O$13</f>
        <v>2.6701487495285994</v>
      </c>
      <c r="P433" s="6">
        <f ca="1">(O$433/O$13+ IF(P$2&gt;0,P$2*IF(P$6=OFFSET(Assumptions!$B$8,0,$C$1),SUMPRODUCT(OFFSET(O$433,0,0,1,-OFFSET(Assumptions!$B$86,0,$C$1)),OFFSET(O$15,0,0,1,-OFFSET(Assumptions!$B$86,0,$C$1)))/OFFSET(Assumptions!$B$86,0,$C$1)-O$433/O$13,(O$433/O$13-N$433/N$13)/O$2),0))*P$13</f>
        <v>2.7771045323121095</v>
      </c>
      <c r="Q433" s="6">
        <f ca="1">(P$433/P$13+ IF(Q$2&gt;0,Q$2*IF(Q$6=OFFSET(Assumptions!$B$8,0,$C$1),SUMPRODUCT(OFFSET(P$433,0,0,1,-OFFSET(Assumptions!$B$86,0,$C$1)),OFFSET(P$15,0,0,1,-OFFSET(Assumptions!$B$86,0,$C$1)))/OFFSET(Assumptions!$B$86,0,$C$1)-P$433/P$13,(P$433/P$13-O$433/O$13)/P$2),0))*Q$13</f>
        <v>2.8862608735487139</v>
      </c>
      <c r="R433" s="104">
        <f ca="1">(Q$433/Q$13+ IF(R$2&gt;0,R$2*IF(R$6=OFFSET(Assumptions!$B$8,0,$C$1),SUMPRODUCT(OFFSET(Q$433,0,0,1,-OFFSET(Assumptions!$B$86,0,$C$1)),OFFSET(Q$15,0,0,1,-OFFSET(Assumptions!$B$86,0,$C$1)))/OFFSET(Assumptions!$B$86,0,$C$1)-Q$433/Q$13,(Q$433/Q$13-P$433/P$13)/Q$2),0))*R$13</f>
        <v>2.9973237648459921</v>
      </c>
      <c r="S433" s="104">
        <f ca="1">(R$433/R$13+ IF(S$2&gt;0,S$2*IF(S$6=OFFSET(Assumptions!$B$8,0,$C$1),SUMPRODUCT(OFFSET(R$433,0,0,1,-OFFSET(Assumptions!$B$86,0,$C$1)),OFFSET(R$15,0,0,1,-OFFSET(Assumptions!$B$86,0,$C$1)))/OFFSET(Assumptions!$B$86,0,$C$1)-R$433/R$13,(R$433/R$13-Q$433/Q$13)/R$2),0))*S$13</f>
        <v>3.1102046003579398</v>
      </c>
      <c r="T433" s="171">
        <f ca="1">(S$433/S$13+ IF(T$2&gt;0,T$2*IF(T$6=OFFSET(Assumptions!$B$8,0,$C$1),SUMPRODUCT(OFFSET(S$433,0,0,1,-OFFSET(Assumptions!$B$86,0,$C$1)),OFFSET(S$15,0,0,1,-OFFSET(Assumptions!$B$86,0,$C$1)))/OFFSET(Assumptions!$B$86,0,$C$1)-S$433/S$13,(S$433/S$13-R$433/R$13)/S$2),0))*T$13</f>
        <v>3.2264321503552553</v>
      </c>
    </row>
    <row r="434" spans="1:20">
      <c r="A434" s="1" t="s">
        <v>256</v>
      </c>
      <c r="B434" s="4" t="str">
        <f>$B$39</f>
        <v>From Fiscal Forecasts</v>
      </c>
      <c r="D434" s="14">
        <f>'Fiscal Forecasts'!D$339</f>
        <v>0.69299999999999995</v>
      </c>
      <c r="E434" s="175">
        <f>'Fiscal Forecasts'!E$339</f>
        <v>0.81599999999999995</v>
      </c>
      <c r="F434" s="15">
        <f>'Fiscal Forecasts'!F$339</f>
        <v>0.81499999999999995</v>
      </c>
      <c r="G434" s="15">
        <f>'Fiscal Forecasts'!G$339</f>
        <v>0.82599999999999996</v>
      </c>
      <c r="H434" s="15">
        <f>'Fiscal Forecasts'!H$339</f>
        <v>0.82099999999999995</v>
      </c>
      <c r="I434" s="15">
        <f>'Fiscal Forecasts'!I$339</f>
        <v>0.80800000000000005</v>
      </c>
      <c r="J434" s="176">
        <f>'Fiscal Forecasts'!J$339</f>
        <v>0.78900000000000003</v>
      </c>
      <c r="K434" s="6">
        <f ca="1">(J$434/J$13+ IF(K$2&gt;0,K$2*IF(K$6=OFFSET(Assumptions!$B$8,0,$C$1),SUMPRODUCT(OFFSET(J$434,0,0,1,-OFFSET(Assumptions!$B$86,0,$C$1)),OFFSET(J$15,0,0,1,-OFFSET(Assumptions!$B$86,0,$C$1)))/OFFSET(Assumptions!$B$86,0,$C$1)-J$434/J$13,(J$434/J$13-I$434/I$13)/J$2),0))*K$13</f>
        <v>0.84620831435894794</v>
      </c>
      <c r="L434" s="6">
        <f ca="1">(K$434/K$13+ IF(L$2&gt;0,L$2*IF(L$6=OFFSET(Assumptions!$B$8,0,$C$1),SUMPRODUCT(OFFSET(K$434,0,0,1,-OFFSET(Assumptions!$B$86,0,$C$1)),OFFSET(K$15,0,0,1,-OFFSET(Assumptions!$B$86,0,$C$1)))/OFFSET(Assumptions!$B$86,0,$C$1)-K$434/K$13,(K$434/K$13-J$434/J$13)/K$2),0))*L$13</f>
        <v>0.90069102701375914</v>
      </c>
      <c r="M434" s="6">
        <f ca="1">(L$434/L$13+ IF(M$2&gt;0,M$2*IF(M$6=OFFSET(Assumptions!$B$8,0,$C$1),SUMPRODUCT(OFFSET(L$434,0,0,1,-OFFSET(Assumptions!$B$86,0,$C$1)),OFFSET(L$15,0,0,1,-OFFSET(Assumptions!$B$86,0,$C$1)))/OFFSET(Assumptions!$B$86,0,$C$1)-L$434/L$13,(L$434/L$13-K$434/K$13)/L$2),0))*M$13</f>
        <v>0.95231920159239625</v>
      </c>
      <c r="N434" s="6">
        <f ca="1">(M$434/M$13+ IF(N$2&gt;0,N$2*IF(N$6=OFFSET(Assumptions!$B$8,0,$C$1),SUMPRODUCT(OFFSET(M$434,0,0,1,-OFFSET(Assumptions!$B$86,0,$C$1)),OFFSET(M$15,0,0,1,-OFFSET(Assumptions!$B$86,0,$C$1)))/OFFSET(Assumptions!$B$86,0,$C$1)-M$434/M$13,(M$434/M$13-L$434/L$13)/M$2),0))*N$13</f>
        <v>1.0019208048392614</v>
      </c>
      <c r="O434" s="6">
        <f ca="1">(N$434/N$13+ IF(O$2&gt;0,O$2*IF(O$6=OFFSET(Assumptions!$B$8,0,$C$1),SUMPRODUCT(OFFSET(N$434,0,0,1,-OFFSET(Assumptions!$B$86,0,$C$1)),OFFSET(N$15,0,0,1,-OFFSET(Assumptions!$B$86,0,$C$1)))/OFFSET(Assumptions!$B$86,0,$C$1)-N$434/N$13,(N$434/N$13-M$434/M$13)/N$2),0))*O$13</f>
        <v>1.0480121106282099</v>
      </c>
      <c r="P434" s="6">
        <f ca="1">(O$434/O$13+ IF(P$2&gt;0,P$2*IF(P$6=OFFSET(Assumptions!$B$8,0,$C$1),SUMPRODUCT(OFFSET(O$434,0,0,1,-OFFSET(Assumptions!$B$86,0,$C$1)),OFFSET(O$15,0,0,1,-OFFSET(Assumptions!$B$86,0,$C$1)))/OFFSET(Assumptions!$B$86,0,$C$1)-O$434/O$13,(O$434/O$13-N$434/N$13)/O$2),0))*P$13</f>
        <v>1.0899914032345217</v>
      </c>
      <c r="Q434" s="6">
        <f ca="1">(P$434/P$13+ IF(Q$2&gt;0,Q$2*IF(Q$6=OFFSET(Assumptions!$B$8,0,$C$1),SUMPRODUCT(OFFSET(P$434,0,0,1,-OFFSET(Assumptions!$B$86,0,$C$1)),OFFSET(P$15,0,0,1,-OFFSET(Assumptions!$B$86,0,$C$1)))/OFFSET(Assumptions!$B$86,0,$C$1)-P$434/P$13,(P$434/P$13-O$434/O$13)/P$2),0))*Q$13</f>
        <v>1.1328343975014228</v>
      </c>
      <c r="R434" s="104">
        <f ca="1">(Q$434/Q$13+ IF(R$2&gt;0,R$2*IF(R$6=OFFSET(Assumptions!$B$8,0,$C$1),SUMPRODUCT(OFFSET(Q$434,0,0,1,-OFFSET(Assumptions!$B$86,0,$C$1)),OFFSET(Q$15,0,0,1,-OFFSET(Assumptions!$B$86,0,$C$1)))/OFFSET(Assumptions!$B$86,0,$C$1)-Q$434/Q$13,(Q$434/Q$13-P$434/P$13)/Q$2),0))*R$13</f>
        <v>1.1764256974773066</v>
      </c>
      <c r="S434" s="104">
        <f ca="1">(R$434/R$13+ IF(S$2&gt;0,S$2*IF(S$6=OFFSET(Assumptions!$B$8,0,$C$1),SUMPRODUCT(OFFSET(R$434,0,0,1,-OFFSET(Assumptions!$B$86,0,$C$1)),OFFSET(R$15,0,0,1,-OFFSET(Assumptions!$B$86,0,$C$1)))/OFFSET(Assumptions!$B$86,0,$C$1)-R$434/R$13,(R$434/R$13-Q$434/Q$13)/R$2),0))*S$13</f>
        <v>1.2207305260735553</v>
      </c>
      <c r="T434" s="171">
        <f ca="1">(S$434/S$13+ IF(T$2&gt;0,T$2*IF(T$6=OFFSET(Assumptions!$B$8,0,$C$1),SUMPRODUCT(OFFSET(S$434,0,0,1,-OFFSET(Assumptions!$B$86,0,$C$1)),OFFSET(S$15,0,0,1,-OFFSET(Assumptions!$B$86,0,$C$1)))/OFFSET(Assumptions!$B$86,0,$C$1)-S$434/S$13,(S$434/S$13-R$434/R$13)/S$2),0))*T$13</f>
        <v>1.2663489134414263</v>
      </c>
    </row>
    <row r="435" spans="1:20">
      <c r="A435" s="1" t="s">
        <v>418</v>
      </c>
      <c r="B435" s="4" t="str">
        <f>$B$39</f>
        <v>From Fiscal Forecasts</v>
      </c>
      <c r="D435" s="14">
        <f>SUM('Fiscal Forecasts'!D$340:D$341)</f>
        <v>1.5369999999999999</v>
      </c>
      <c r="E435" s="175">
        <f>SUM('Fiscal Forecasts'!E$340:E$341)</f>
        <v>1.506</v>
      </c>
      <c r="F435" s="15">
        <f>SUM('Fiscal Forecasts'!F$340:F$341)</f>
        <v>1.5469999999999999</v>
      </c>
      <c r="G435" s="15">
        <f>SUM('Fiscal Forecasts'!G$340:G$341)</f>
        <v>1.494</v>
      </c>
      <c r="H435" s="15">
        <f>SUM('Fiscal Forecasts'!H$340:H$341)</f>
        <v>1.488</v>
      </c>
      <c r="I435" s="15">
        <f>SUM('Fiscal Forecasts'!I$340:I$341)</f>
        <v>1.4630000000000001</v>
      </c>
      <c r="J435" s="176">
        <f>SUM('Fiscal Forecasts'!J$340:J$341)</f>
        <v>1.4430000000000001</v>
      </c>
      <c r="K435" s="6">
        <f ca="1">(J$435/J$13+ IF(K$2&gt;0,K$2*IF(K$6=OFFSET(Assumptions!$B$8,0,$C$1),SUMPRODUCT(OFFSET(J$435,0,0,1,-OFFSET(Assumptions!$B$86,0,$C$1)),OFFSET(J$15,0,0,1,-OFFSET(Assumptions!$B$86,0,$C$1)))/OFFSET(Assumptions!$B$86,0,$C$1)-J$435/J$13,(J$435/J$13-I$435/I$13)/J$2),0))*K$13</f>
        <v>1.5440722472997295</v>
      </c>
      <c r="L435" s="6">
        <f ca="1">(K$435/K$13+ IF(L$2&gt;0,L$2*IF(L$6=OFFSET(Assumptions!$B$8,0,$C$1),SUMPRODUCT(OFFSET(K$435,0,0,1,-OFFSET(Assumptions!$B$86,0,$C$1)),OFFSET(K$15,0,0,1,-OFFSET(Assumptions!$B$86,0,$C$1)))/OFFSET(Assumptions!$B$86,0,$C$1)-K$435/K$13,(K$435/K$13-J$435/J$13)/K$2),0))*L$13</f>
        <v>1.6405975934495998</v>
      </c>
      <c r="M435" s="6">
        <f ca="1">(L$435/L$13+ IF(M$2&gt;0,M$2*IF(M$6=OFFSET(Assumptions!$B$8,0,$C$1),SUMPRODUCT(OFFSET(L$435,0,0,1,-OFFSET(Assumptions!$B$86,0,$C$1)),OFFSET(L$15,0,0,1,-OFFSET(Assumptions!$B$86,0,$C$1)))/OFFSET(Assumptions!$B$86,0,$C$1)-L$435/L$13,(L$435/L$13-K$435/K$13)/L$2),0))*M$13</f>
        <v>1.732427218762427</v>
      </c>
      <c r="N435" s="6">
        <f ca="1">(M$435/M$13+ IF(N$2&gt;0,N$2*IF(N$6=OFFSET(Assumptions!$B$8,0,$C$1),SUMPRODUCT(OFFSET(M$435,0,0,1,-OFFSET(Assumptions!$B$86,0,$C$1)),OFFSET(M$15,0,0,1,-OFFSET(Assumptions!$B$86,0,$C$1)))/OFFSET(Assumptions!$B$86,0,$C$1)-M$435/M$13,(M$435/M$13-L$435/L$13)/M$2),0))*N$13</f>
        <v>1.8211489237861203</v>
      </c>
      <c r="O435" s="6">
        <f ca="1">(N$435/N$13+ IF(O$2&gt;0,O$2*IF(O$6=OFFSET(Assumptions!$B$8,0,$C$1),SUMPRODUCT(OFFSET(N$435,0,0,1,-OFFSET(Assumptions!$B$86,0,$C$1)),OFFSET(N$15,0,0,1,-OFFSET(Assumptions!$B$86,0,$C$1)))/OFFSET(Assumptions!$B$86,0,$C$1)-N$435/N$13,(N$435/N$13-M$435/M$13)/N$2),0))*O$13</f>
        <v>1.9041481525612256</v>
      </c>
      <c r="P435" s="6">
        <f ca="1">(O$435/O$13+ IF(P$2&gt;0,P$2*IF(P$6=OFFSET(Assumptions!$B$8,0,$C$1),SUMPRODUCT(OFFSET(O$435,0,0,1,-OFFSET(Assumptions!$B$86,0,$C$1)),OFFSET(O$15,0,0,1,-OFFSET(Assumptions!$B$86,0,$C$1)))/OFFSET(Assumptions!$B$86,0,$C$1)-O$435/O$13,(O$435/O$13-N$435/N$13)/O$2),0))*P$13</f>
        <v>1.9804209280869023</v>
      </c>
      <c r="Q435" s="6">
        <f ca="1">(P$435/P$13+ IF(Q$2&gt;0,Q$2*IF(Q$6=OFFSET(Assumptions!$B$8,0,$C$1),SUMPRODUCT(OFFSET(P$435,0,0,1,-OFFSET(Assumptions!$B$86,0,$C$1)),OFFSET(P$15,0,0,1,-OFFSET(Assumptions!$B$86,0,$C$1)))/OFFSET(Assumptions!$B$86,0,$C$1)-P$435/P$13,(P$435/P$13-O$435/O$13)/P$2),0))*Q$13</f>
        <v>2.0582629754794746</v>
      </c>
      <c r="R435" s="104">
        <f ca="1">(Q$435/Q$13+ IF(R$2&gt;0,R$2*IF(R$6=OFFSET(Assumptions!$B$8,0,$C$1),SUMPRODUCT(OFFSET(Q$435,0,0,1,-OFFSET(Assumptions!$B$86,0,$C$1)),OFFSET(Q$15,0,0,1,-OFFSET(Assumptions!$B$86,0,$C$1)))/OFFSET(Assumptions!$B$86,0,$C$1)-Q$435/Q$13,(Q$435/Q$13-P$435/P$13)/Q$2),0))*R$13</f>
        <v>2.1374646301884703</v>
      </c>
      <c r="S435" s="104">
        <f ca="1">(R$435/R$13+ IF(S$2&gt;0,S$2*IF(S$6=OFFSET(Assumptions!$B$8,0,$C$1),SUMPRODUCT(OFFSET(R$435,0,0,1,-OFFSET(Assumptions!$B$86,0,$C$1)),OFFSET(R$15,0,0,1,-OFFSET(Assumptions!$B$86,0,$C$1)))/OFFSET(Assumptions!$B$86,0,$C$1)-R$435/R$13,(R$435/R$13-Q$435/Q$13)/R$2),0))*S$13</f>
        <v>2.217962705225522</v>
      </c>
      <c r="T435" s="171">
        <f ca="1">(S$435/S$13+ IF(T$2&gt;0,T$2*IF(T$6=OFFSET(Assumptions!$B$8,0,$C$1),SUMPRODUCT(OFFSET(S$435,0,0,1,-OFFSET(Assumptions!$B$86,0,$C$1)),OFFSET(S$15,0,0,1,-OFFSET(Assumptions!$B$86,0,$C$1)))/OFFSET(Assumptions!$B$86,0,$C$1)-S$435/S$13,(S$435/S$13-R$435/R$13)/S$2),0))*T$13</f>
        <v>2.3008474039312317</v>
      </c>
    </row>
    <row r="436" spans="1:20" ht="15">
      <c r="A436" s="2" t="s">
        <v>535</v>
      </c>
      <c r="B436" s="4"/>
      <c r="D436" s="34">
        <f t="shared" ref="D436:T436" si="236">SUM(D$433:D$435)</f>
        <v>3.911</v>
      </c>
      <c r="E436" s="138">
        <f t="shared" si="236"/>
        <v>3.8920000000000003</v>
      </c>
      <c r="F436" s="33">
        <f t="shared" si="236"/>
        <v>4.1289999999999996</v>
      </c>
      <c r="G436" s="33">
        <f t="shared" si="236"/>
        <v>4.3840000000000003</v>
      </c>
      <c r="H436" s="33">
        <f t="shared" si="236"/>
        <v>4.4109999999999996</v>
      </c>
      <c r="I436" s="33">
        <f t="shared" si="236"/>
        <v>4.3380000000000001</v>
      </c>
      <c r="J436" s="137">
        <f t="shared" si="236"/>
        <v>4.2219999999999995</v>
      </c>
      <c r="K436" s="37">
        <f t="shared" ca="1" si="236"/>
        <v>4.5321794272328662</v>
      </c>
      <c r="L436" s="37">
        <f t="shared" ca="1" si="236"/>
        <v>4.8272747410701946</v>
      </c>
      <c r="M436" s="37">
        <f t="shared" ca="1" si="236"/>
        <v>5.1064968321791486</v>
      </c>
      <c r="N436" s="37">
        <f t="shared" ca="1" si="236"/>
        <v>5.3741923936369105</v>
      </c>
      <c r="O436" s="37">
        <f t="shared" ca="1" si="236"/>
        <v>5.6223090127180342</v>
      </c>
      <c r="P436" s="37">
        <f t="shared" ca="1" si="236"/>
        <v>5.8475168636335333</v>
      </c>
      <c r="Q436" s="37">
        <f t="shared" ca="1" si="236"/>
        <v>6.0773582465296112</v>
      </c>
      <c r="R436" s="37">
        <f t="shared" ca="1" si="236"/>
        <v>6.3112140925117686</v>
      </c>
      <c r="S436" s="37">
        <f t="shared" ca="1" si="236"/>
        <v>6.5488978316570172</v>
      </c>
      <c r="T436" s="140">
        <f t="shared" ca="1" si="236"/>
        <v>6.7936284677279133</v>
      </c>
    </row>
    <row r="437" spans="1:20" ht="15">
      <c r="A437" s="2"/>
      <c r="B437" s="4"/>
      <c r="D437" s="46"/>
      <c r="E437" s="46"/>
      <c r="F437" s="47"/>
      <c r="G437" s="47"/>
      <c r="H437" s="47"/>
      <c r="I437" s="47"/>
      <c r="J437" s="145"/>
      <c r="K437" s="48"/>
      <c r="L437" s="48"/>
      <c r="M437" s="48"/>
      <c r="N437" s="48"/>
      <c r="O437" s="48"/>
      <c r="P437" s="48"/>
      <c r="Q437" s="48"/>
      <c r="R437" s="48"/>
      <c r="S437" s="48"/>
      <c r="T437" s="146"/>
    </row>
    <row r="438" spans="1:20" ht="15">
      <c r="A438" s="18" t="s">
        <v>303</v>
      </c>
      <c r="B438" s="4"/>
      <c r="D438" s="46"/>
      <c r="E438" s="46"/>
      <c r="F438" s="47"/>
      <c r="G438" s="47"/>
      <c r="H438" s="47"/>
      <c r="I438" s="47"/>
      <c r="J438" s="145"/>
    </row>
    <row r="439" spans="1:20">
      <c r="A439" s="1" t="s">
        <v>298</v>
      </c>
      <c r="B439" s="4" t="str">
        <f>$B$39</f>
        <v>From Fiscal Forecasts</v>
      </c>
      <c r="D439" s="14">
        <f>'Fiscal Forecasts'!D$283</f>
        <v>0</v>
      </c>
      <c r="E439" s="175">
        <f>'Fiscal Forecasts'!E$283</f>
        <v>0</v>
      </c>
      <c r="F439" s="15">
        <f>'Fiscal Forecasts'!F$283</f>
        <v>0</v>
      </c>
      <c r="G439" s="15">
        <f>'Fiscal Forecasts'!G$283</f>
        <v>2.0329999999999999</v>
      </c>
      <c r="H439" s="15">
        <f>'Fiscal Forecasts'!H$283</f>
        <v>2.0099999999999998</v>
      </c>
      <c r="I439" s="15">
        <f>'Fiscal Forecasts'!I$283</f>
        <v>1.583</v>
      </c>
      <c r="J439" s="176">
        <f>'Fiscal Forecasts'!J$283</f>
        <v>1.3839999999999999</v>
      </c>
      <c r="K439" s="171">
        <f ca="1">IF(K$6=OFFSET(Assumptions!$B$8,0,$C$1),OFFSET(Assumptions!$B$64,0,$C$1),0)</f>
        <v>0.53100000000000003</v>
      </c>
      <c r="L439" s="171">
        <f ca="1">IF(L$6=OFFSET(Assumptions!$B$8,0,$C$1),OFFSET(Assumptions!$B$64,0,$C$1),0)</f>
        <v>0</v>
      </c>
      <c r="M439" s="171">
        <f ca="1">IF(M$6=OFFSET(Assumptions!$B$8,0,$C$1),OFFSET(Assumptions!$B$64,0,$C$1),0)</f>
        <v>0</v>
      </c>
      <c r="N439" s="171">
        <f ca="1">IF(N$6=OFFSET(Assumptions!$B$8,0,$C$1),OFFSET(Assumptions!$B$64,0,$C$1),0)</f>
        <v>0</v>
      </c>
      <c r="O439" s="171">
        <f ca="1">IF(O$6=OFFSET(Assumptions!$B$8,0,$C$1),OFFSET(Assumptions!$B$64,0,$C$1),0)</f>
        <v>0</v>
      </c>
      <c r="P439" s="171">
        <f ca="1">IF(P$6=OFFSET(Assumptions!$B$8,0,$C$1),OFFSET(Assumptions!$B$64,0,$C$1),0)</f>
        <v>0</v>
      </c>
      <c r="Q439" s="171">
        <f ca="1">IF(Q$6=OFFSET(Assumptions!$B$8,0,$C$1),OFFSET(Assumptions!$B$64,0,$C$1),0)</f>
        <v>0</v>
      </c>
      <c r="R439" s="171">
        <f ca="1">IF(R$6=OFFSET(Assumptions!$B$8,0,$C$1),OFFSET(Assumptions!$B$64,0,$C$1),0)</f>
        <v>0</v>
      </c>
      <c r="S439" s="171">
        <f ca="1">IF(S$6=OFFSET(Assumptions!$B$8,0,$C$1),OFFSET(Assumptions!$B$64,0,$C$1),0)</f>
        <v>0</v>
      </c>
      <c r="T439" s="171">
        <f ca="1">IF(T$6=OFFSET(Assumptions!$B$8,0,$C$1),OFFSET(Assumptions!$B$64,0,$C$1),0)</f>
        <v>0</v>
      </c>
    </row>
    <row r="440" spans="1:20">
      <c r="A440" s="1" t="s">
        <v>1053</v>
      </c>
      <c r="B440" s="4" t="str">
        <f>$B$39</f>
        <v>From Fiscal Forecasts</v>
      </c>
      <c r="D440" s="14">
        <f>'Fiscal Forecasts'!D$284</f>
        <v>0</v>
      </c>
      <c r="E440" s="175">
        <f>'Fiscal Forecasts'!E$284</f>
        <v>0</v>
      </c>
      <c r="F440" s="15">
        <f>'Fiscal Forecasts'!F$284</f>
        <v>0</v>
      </c>
      <c r="G440" s="15">
        <f>'Fiscal Forecasts'!G$284</f>
        <v>0</v>
      </c>
      <c r="H440" s="15">
        <f>'Fiscal Forecasts'!H$284</f>
        <v>0.88500000000000001</v>
      </c>
      <c r="I440" s="15">
        <f>'Fiscal Forecasts'!I$284</f>
        <v>1.77</v>
      </c>
      <c r="J440" s="176">
        <f>'Fiscal Forecasts'!J$284</f>
        <v>2.2759999999999998</v>
      </c>
      <c r="K440" s="104">
        <f ca="1">IF(K$6=OFFSET(Assumptions!$B$8,0,$C$1),OFFSET(Assumptions!$B$65,0,$C$1),J$440*(1+OFFSET(Assumptions!$B$66,0,$C$1)))</f>
        <v>4</v>
      </c>
      <c r="L440" s="104">
        <f ca="1">IF(L$6=OFFSET(Assumptions!$B$8,0,$C$1),OFFSET(Assumptions!$B$65,0,$C$1),K$440*(1+OFFSET(Assumptions!$B$66,0,$C$1)))</f>
        <v>4.08</v>
      </c>
      <c r="M440" s="104">
        <f ca="1">IF(M$6=OFFSET(Assumptions!$B$8,0,$C$1),OFFSET(Assumptions!$B$65,0,$C$1),L$440*(1+OFFSET(Assumptions!$B$66,0,$C$1)))</f>
        <v>4.1616</v>
      </c>
      <c r="N440" s="104">
        <f ca="1">IF(N$6=OFFSET(Assumptions!$B$8,0,$C$1),OFFSET(Assumptions!$B$65,0,$C$1),M$440*(1+OFFSET(Assumptions!$B$66,0,$C$1)))</f>
        <v>4.2448319999999997</v>
      </c>
      <c r="O440" s="104">
        <f ca="1">IF(O$6=OFFSET(Assumptions!$B$8,0,$C$1),OFFSET(Assumptions!$B$65,0,$C$1),N$440*(1+OFFSET(Assumptions!$B$66,0,$C$1)))</f>
        <v>4.3297286399999999</v>
      </c>
      <c r="P440" s="104">
        <f ca="1">IF(P$6=OFFSET(Assumptions!$B$8,0,$C$1),OFFSET(Assumptions!$B$65,0,$C$1),O$440*(1+OFFSET(Assumptions!$B$66,0,$C$1)))</f>
        <v>4.4163232128000001</v>
      </c>
      <c r="Q440" s="104">
        <f ca="1">IF(Q$6=OFFSET(Assumptions!$B$8,0,$C$1),OFFSET(Assumptions!$B$65,0,$C$1),P$440*(1+OFFSET(Assumptions!$B$66,0,$C$1)))</f>
        <v>4.5046496770560003</v>
      </c>
      <c r="R440" s="104">
        <f ca="1">IF(R$6=OFFSET(Assumptions!$B$8,0,$C$1),OFFSET(Assumptions!$B$65,0,$C$1),Q$440*(1+OFFSET(Assumptions!$B$66,0,$C$1)))</f>
        <v>4.5947426705971202</v>
      </c>
      <c r="S440" s="104">
        <f ca="1">IF(S$6=OFFSET(Assumptions!$B$8,0,$C$1),OFFSET(Assumptions!$B$65,0,$C$1),R$440*(1+OFFSET(Assumptions!$B$66,0,$C$1)))</f>
        <v>4.686637524009063</v>
      </c>
      <c r="T440" s="171">
        <f ca="1">IF(T$6=OFFSET(Assumptions!$B$8,0,$C$1),OFFSET(Assumptions!$B$65,0,$C$1),S$440*(1+OFFSET(Assumptions!$B$66,0,$C$1)))</f>
        <v>4.7803702744892442</v>
      </c>
    </row>
    <row r="441" spans="1:20" ht="15">
      <c r="A441" s="2" t="s">
        <v>536</v>
      </c>
      <c r="B441" s="4"/>
      <c r="D441" s="34">
        <f t="shared" ref="D441:T441" si="237">SUM(D$439:D$440)</f>
        <v>0</v>
      </c>
      <c r="E441" s="138">
        <f t="shared" si="237"/>
        <v>0</v>
      </c>
      <c r="F441" s="33">
        <f t="shared" si="237"/>
        <v>0</v>
      </c>
      <c r="G441" s="33">
        <f t="shared" si="237"/>
        <v>2.0329999999999999</v>
      </c>
      <c r="H441" s="33">
        <f t="shared" si="237"/>
        <v>2.8949999999999996</v>
      </c>
      <c r="I441" s="33">
        <f t="shared" si="237"/>
        <v>3.3529999999999998</v>
      </c>
      <c r="J441" s="137">
        <f t="shared" si="237"/>
        <v>3.6599999999999997</v>
      </c>
      <c r="K441" s="37">
        <f t="shared" ca="1" si="237"/>
        <v>4.5309999999999997</v>
      </c>
      <c r="L441" s="37">
        <f t="shared" ca="1" si="237"/>
        <v>4.08</v>
      </c>
      <c r="M441" s="37">
        <f t="shared" ca="1" si="237"/>
        <v>4.1616</v>
      </c>
      <c r="N441" s="37">
        <f t="shared" ca="1" si="237"/>
        <v>4.2448319999999997</v>
      </c>
      <c r="O441" s="37">
        <f t="shared" ca="1" si="237"/>
        <v>4.3297286399999999</v>
      </c>
      <c r="P441" s="37">
        <f t="shared" ca="1" si="237"/>
        <v>4.4163232128000001</v>
      </c>
      <c r="Q441" s="37">
        <f t="shared" ca="1" si="237"/>
        <v>4.5046496770560003</v>
      </c>
      <c r="R441" s="37">
        <f t="shared" ca="1" si="237"/>
        <v>4.5947426705971202</v>
      </c>
      <c r="S441" s="37">
        <f t="shared" ca="1" si="237"/>
        <v>4.686637524009063</v>
      </c>
      <c r="T441" s="140">
        <f t="shared" ca="1" si="237"/>
        <v>4.7803702744892442</v>
      </c>
    </row>
    <row r="442" spans="1:20" ht="15">
      <c r="A442" s="2" t="s">
        <v>729</v>
      </c>
      <c r="B442" s="4" t="str">
        <f>$B$39</f>
        <v>From Fiscal Forecasts</v>
      </c>
      <c r="D442" s="39">
        <f>'Fiscal Forecasts'!D$127</f>
        <v>0</v>
      </c>
      <c r="E442" s="142">
        <f>'Fiscal Forecasts'!E$127</f>
        <v>0</v>
      </c>
      <c r="F442" s="38">
        <f>'Fiscal Forecasts'!F$127</f>
        <v>0</v>
      </c>
      <c r="G442" s="38">
        <f>'Fiscal Forecasts'!G$127</f>
        <v>2.0329999999999999</v>
      </c>
      <c r="H442" s="38">
        <f>'Fiscal Forecasts'!H$127</f>
        <v>4.9279999999999999</v>
      </c>
      <c r="I442" s="38">
        <f>'Fiscal Forecasts'!I$127</f>
        <v>8.2810000000000006</v>
      </c>
      <c r="J442" s="141">
        <f>'Fiscal Forecasts'!J$127</f>
        <v>11.941000000000001</v>
      </c>
      <c r="K442" s="7">
        <f ca="1">SUM($D$441:K$441)</f>
        <v>16.471999999999998</v>
      </c>
      <c r="L442" s="7">
        <f ca="1">SUM($D$441:L$441)</f>
        <v>20.552</v>
      </c>
      <c r="M442" s="7">
        <f ca="1">SUM($D$441:M$441)</f>
        <v>24.7136</v>
      </c>
      <c r="N442" s="7">
        <f ca="1">SUM($D$441:N$441)</f>
        <v>28.958431999999998</v>
      </c>
      <c r="O442" s="7">
        <f ca="1">SUM($D$441:O$441)</f>
        <v>33.288160640000001</v>
      </c>
      <c r="P442" s="7">
        <f ca="1">SUM($D$441:P$441)</f>
        <v>37.704483852800003</v>
      </c>
      <c r="Q442" s="7">
        <f ca="1">SUM($D$441:Q$441)</f>
        <v>42.209133529856004</v>
      </c>
      <c r="R442" s="7">
        <f ca="1">SUM($D$441:R$441)</f>
        <v>46.803876200453125</v>
      </c>
      <c r="S442" s="7">
        <f ca="1">SUM($D$441:S$441)</f>
        <v>51.49051372446219</v>
      </c>
      <c r="T442" s="134">
        <f ca="1">SUM($D$441:T$441)</f>
        <v>56.270883998951433</v>
      </c>
    </row>
    <row r="443" spans="1:20" ht="15">
      <c r="A443" s="2" t="s">
        <v>730</v>
      </c>
      <c r="B443" s="4" t="str">
        <f>$B$39</f>
        <v>From Fiscal Forecasts</v>
      </c>
      <c r="D443" s="39">
        <f>'Fiscal Forecasts'!D$128</f>
        <v>0</v>
      </c>
      <c r="E443" s="142">
        <f>'Fiscal Forecasts'!E$128</f>
        <v>0</v>
      </c>
      <c r="F443" s="38">
        <f>'Fiscal Forecasts'!F$128</f>
        <v>-0.8</v>
      </c>
      <c r="G443" s="38">
        <f>'Fiscal Forecasts'!G$128</f>
        <v>-3.2250000000000001</v>
      </c>
      <c r="H443" s="38">
        <f>'Fiscal Forecasts'!H$128</f>
        <v>-4.625</v>
      </c>
      <c r="I443" s="38">
        <f>'Fiscal Forecasts'!I$128</f>
        <v>-5.625</v>
      </c>
      <c r="J443" s="141">
        <f>'Fiscal Forecasts'!J$128</f>
        <v>-6.4749999999999996</v>
      </c>
      <c r="K443" s="7">
        <f ca="1">J$443*(1+OFFSET(Assumptions!$B$66,0,$C$1))</f>
        <v>-6.6044999999999998</v>
      </c>
      <c r="L443" s="7">
        <f ca="1">K$443*(1+OFFSET(Assumptions!$B$66,0,$C$1))</f>
        <v>-6.7365899999999996</v>
      </c>
      <c r="M443" s="7">
        <f ca="1">L$443*(1+OFFSET(Assumptions!$B$66,0,$C$1))</f>
        <v>-6.8713217999999996</v>
      </c>
      <c r="N443" s="7">
        <f ca="1">M$443*(1+OFFSET(Assumptions!$B$66,0,$C$1))</f>
        <v>-7.0087482359999997</v>
      </c>
      <c r="O443" s="7">
        <f ca="1">N$443*(1+OFFSET(Assumptions!$B$66,0,$C$1))</f>
        <v>-7.1489232007199996</v>
      </c>
      <c r="P443" s="7">
        <f ca="1">O$443*(1+OFFSET(Assumptions!$B$66,0,$C$1))</f>
        <v>-7.2919016647344002</v>
      </c>
      <c r="Q443" s="7">
        <f ca="1">P$443*(1+OFFSET(Assumptions!$B$66,0,$C$1))</f>
        <v>-7.4377396980290884</v>
      </c>
      <c r="R443" s="7">
        <f ca="1">Q$443*(1+OFFSET(Assumptions!$B$66,0,$C$1))</f>
        <v>-7.5864944919896704</v>
      </c>
      <c r="S443" s="7">
        <f ca="1">R$443*(1+OFFSET(Assumptions!$B$66,0,$C$1))</f>
        <v>-7.7382243818294638</v>
      </c>
      <c r="T443" s="134">
        <f ca="1">S$443*(1+OFFSET(Assumptions!$B$66,0,$C$1))</f>
        <v>-7.8929888694660528</v>
      </c>
    </row>
    <row r="444" spans="1:20" ht="15">
      <c r="B444" s="4"/>
      <c r="D444" s="39"/>
      <c r="E444" s="142"/>
      <c r="F444" s="39"/>
      <c r="G444" s="39"/>
      <c r="H444" s="7"/>
      <c r="I444" s="7"/>
      <c r="J444" s="134"/>
      <c r="K444" s="7"/>
      <c r="L444" s="7"/>
      <c r="M444" s="7"/>
      <c r="N444" s="7"/>
      <c r="O444" s="7"/>
      <c r="P444" s="7"/>
      <c r="Q444" s="7"/>
      <c r="R444" s="7"/>
      <c r="S444" s="7"/>
      <c r="T444" s="134"/>
    </row>
    <row r="445" spans="1:20" ht="15">
      <c r="A445" s="18" t="s">
        <v>211</v>
      </c>
      <c r="B445" s="4"/>
      <c r="D445" s="38"/>
      <c r="E445" s="141"/>
      <c r="F445" s="38"/>
      <c r="G445" s="38"/>
      <c r="H445" s="7"/>
      <c r="I445" s="7"/>
      <c r="J445" s="134"/>
      <c r="K445" s="7"/>
      <c r="L445" s="7"/>
      <c r="M445" s="7"/>
      <c r="N445" s="7"/>
      <c r="O445" s="7"/>
      <c r="P445" s="7"/>
      <c r="Q445" s="7"/>
      <c r="R445" s="7"/>
      <c r="S445" s="7"/>
      <c r="T445" s="134"/>
    </row>
    <row r="446" spans="1:20" ht="15">
      <c r="A446" s="2" t="s">
        <v>539</v>
      </c>
      <c r="B446" s="4" t="str">
        <f>$B$39</f>
        <v>From Fiscal Forecasts</v>
      </c>
      <c r="D446" s="39">
        <f>'Fiscal Forecasts'!D$130</f>
        <v>6.8129999999999997</v>
      </c>
      <c r="E446" s="142">
        <f>'Fiscal Forecasts'!E$130</f>
        <v>8.0220000000000002</v>
      </c>
      <c r="F446" s="38">
        <f>'Fiscal Forecasts'!F$130</f>
        <v>8.4190000000000005</v>
      </c>
      <c r="G446" s="38">
        <f>'Fiscal Forecasts'!G$130</f>
        <v>8.5030000000000001</v>
      </c>
      <c r="H446" s="38">
        <f>'Fiscal Forecasts'!H$130</f>
        <v>8.5879999999999992</v>
      </c>
      <c r="I446" s="38">
        <f>'Fiscal Forecasts'!I$130</f>
        <v>8.6739999999999995</v>
      </c>
      <c r="J446" s="141">
        <f>'Fiscal Forecasts'!J$130</f>
        <v>8.7609999999999992</v>
      </c>
      <c r="K446" s="7">
        <f ca="1">(J$446/J$13+ IF(K$2&gt;0,K$2*IF(K$6=OFFSET(Assumptions!$B$8,0,$C$1),SUMPRODUCT(OFFSET(J$446,0,0,1,-OFFSET(Assumptions!$B$86,0,$C$1)),OFFSET(J$15,0,0,1,-OFFSET(Assumptions!$B$86,0,$C$1)))/OFFSET(Assumptions!$B$86,0,$C$1)-J$446/J$13,(J$446/J$13-I$446/I$13)/J$2),0))*K$13</f>
        <v>9.2913877608203066</v>
      </c>
      <c r="L446" s="7">
        <f ca="1">(K$446/K$13+ IF(L$2&gt;0,L$2*IF(L$6=OFFSET(Assumptions!$B$8,0,$C$1),SUMPRODUCT(OFFSET(K$446,0,0,1,-OFFSET(Assumptions!$B$86,0,$C$1)),OFFSET(K$15,0,0,1,-OFFSET(Assumptions!$B$86,0,$C$1)))/OFFSET(Assumptions!$B$86,0,$C$1)-K$446/K$13,(K$446/K$13-J$446/J$13)/K$2),0))*L$13</f>
        <v>9.804423919816216</v>
      </c>
      <c r="M446" s="7">
        <f ca="1">(L$446/L$13+ IF(M$2&gt;0,M$2*IF(M$6=OFFSET(Assumptions!$B$8,0,$C$1),SUMPRODUCT(OFFSET(L$446,0,0,1,-OFFSET(Assumptions!$B$86,0,$C$1)),OFFSET(L$15,0,0,1,-OFFSET(Assumptions!$B$86,0,$C$1)))/OFFSET(Assumptions!$B$86,0,$C$1)-L$446/L$13,(L$446/L$13-K$446/K$13)/L$2),0))*M$13</f>
        <v>10.30124182446642</v>
      </c>
      <c r="N446" s="7">
        <f ca="1">(M$446/M$13+ IF(N$2&gt;0,N$2*IF(N$6=OFFSET(Assumptions!$B$8,0,$C$1),SUMPRODUCT(OFFSET(M$446,0,0,1,-OFFSET(Assumptions!$B$86,0,$C$1)),OFFSET(M$15,0,0,1,-OFFSET(Assumptions!$B$86,0,$C$1)))/OFFSET(Assumptions!$B$86,0,$C$1)-M$446/M$13,(M$446/M$13-L$446/L$13)/M$2),0))*N$13</f>
        <v>10.793203402145888</v>
      </c>
      <c r="O446" s="7">
        <f ca="1">(N$446/N$13+ IF(O$2&gt;0,O$2*IF(O$6=OFFSET(Assumptions!$B$8,0,$C$1),SUMPRODUCT(OFFSET(N$446,0,0,1,-OFFSET(Assumptions!$B$86,0,$C$1)),OFFSET(N$15,0,0,1,-OFFSET(Assumptions!$B$86,0,$C$1)))/OFFSET(Assumptions!$B$86,0,$C$1)-N$446/N$13,(N$446/N$13-M$446/M$13)/N$2),0))*O$13</f>
        <v>11.266753379567319</v>
      </c>
      <c r="P446" s="7">
        <f ca="1">(O$446/O$13+ IF(P$2&gt;0,P$2*IF(P$6=OFFSET(Assumptions!$B$8,0,$C$1),SUMPRODUCT(OFFSET(O$446,0,0,1,-OFFSET(Assumptions!$B$86,0,$C$1)),OFFSET(O$15,0,0,1,-OFFSET(Assumptions!$B$86,0,$C$1)))/OFFSET(Assumptions!$B$86,0,$C$1)-O$446/O$13,(O$446/O$13-N$446/N$13)/O$2),0))*P$13</f>
        <v>11.718055737667456</v>
      </c>
      <c r="Q446" s="7">
        <f ca="1">(P$446/P$13+ IF(Q$2&gt;0,Q$2*IF(Q$6=OFFSET(Assumptions!$B$8,0,$C$1),SUMPRODUCT(OFFSET(P$446,0,0,1,-OFFSET(Assumptions!$B$86,0,$C$1)),OFFSET(P$15,0,0,1,-OFFSET(Assumptions!$B$86,0,$C$1)))/OFFSET(Assumptions!$B$86,0,$C$1)-P$446/P$13,(P$446/P$13-O$446/O$13)/P$2),0))*Q$13</f>
        <v>12.178643402210801</v>
      </c>
      <c r="R446" s="7">
        <f ca="1">(Q$446/Q$13+ IF(R$2&gt;0,R$2*IF(R$6=OFFSET(Assumptions!$B$8,0,$C$1),SUMPRODUCT(OFFSET(Q$446,0,0,1,-OFFSET(Assumptions!$B$86,0,$C$1)),OFFSET(Q$15,0,0,1,-OFFSET(Assumptions!$B$86,0,$C$1)))/OFFSET(Assumptions!$B$86,0,$C$1)-Q$446/Q$13,(Q$446/Q$13-P$446/P$13)/Q$2),0))*R$13</f>
        <v>12.6472757980985</v>
      </c>
      <c r="S446" s="7">
        <f ca="1">(R$446/R$13+ IF(S$2&gt;0,S$2*IF(S$6=OFFSET(Assumptions!$B$8,0,$C$1),SUMPRODUCT(OFFSET(R$446,0,0,1,-OFFSET(Assumptions!$B$86,0,$C$1)),OFFSET(R$15,0,0,1,-OFFSET(Assumptions!$B$86,0,$C$1)))/OFFSET(Assumptions!$B$86,0,$C$1)-R$446/R$13,(R$446/R$13-Q$446/Q$13)/R$2),0))*S$13</f>
        <v>13.123579050948045</v>
      </c>
      <c r="T446" s="134">
        <f ca="1">(S$446/S$13+ IF(T$2&gt;0,T$2*IF(T$6=OFFSET(Assumptions!$B$8,0,$C$1),SUMPRODUCT(OFFSET(S$446,0,0,1,-OFFSET(Assumptions!$B$86,0,$C$1)),OFFSET(S$15,0,0,1,-OFFSET(Assumptions!$B$86,0,$C$1)))/OFFSET(Assumptions!$B$86,0,$C$1)-S$446/S$13,(S$446/S$13-R$446/R$13)/S$2),0))*T$13</f>
        <v>13.614003841687614</v>
      </c>
    </row>
    <row r="447" spans="1:20" ht="15">
      <c r="A447" s="2"/>
      <c r="B447" s="4"/>
      <c r="E447" s="167"/>
      <c r="J447" s="167"/>
    </row>
    <row r="448" spans="1:20">
      <c r="A448" s="18" t="s">
        <v>212</v>
      </c>
      <c r="B448" s="4"/>
      <c r="E448" s="167"/>
      <c r="J448" s="167"/>
    </row>
    <row r="449" spans="1:20">
      <c r="A449" s="1" t="s">
        <v>540</v>
      </c>
      <c r="B449" s="4"/>
      <c r="D449" s="14">
        <f t="shared" ref="D449:J449" si="238">D$385-D$71</f>
        <v>1.0880000000000001</v>
      </c>
      <c r="E449" s="175">
        <f t="shared" si="238"/>
        <v>1.5510000000000002</v>
      </c>
      <c r="F449" s="15">
        <f t="shared" si="238"/>
        <v>4.8070000000000004</v>
      </c>
      <c r="G449" s="15">
        <f t="shared" si="238"/>
        <v>2.6839999999999997</v>
      </c>
      <c r="H449" s="15">
        <f t="shared" si="238"/>
        <v>2.4790000000000001</v>
      </c>
      <c r="I449" s="15">
        <f t="shared" si="238"/>
        <v>2.3970000000000002</v>
      </c>
      <c r="J449" s="176">
        <f t="shared" si="238"/>
        <v>2.3449999999999998</v>
      </c>
      <c r="K449" s="131">
        <f ca="1">(J$449/J$385+MIN(ABS(OFFSET(Assumptions!$B$79,0,$C$1)-J$449/J$385),OFFSET(Assumptions!$B$73,0,$C$1))*SIGN(OFFSET(Assumptions!$B$79,0,$C$1)-J$449/J$385))*K$385</f>
        <v>2.4071455128597496</v>
      </c>
      <c r="L449" s="131">
        <f ca="1">(K$449/K$385+MIN(ABS(OFFSET(Assumptions!$B$79,0,$C$1)-K$449/K$385),OFFSET(Assumptions!$B$73,0,$C$1))*SIGN(OFFSET(Assumptions!$B$79,0,$C$1)-K$449/K$385))*L$385</f>
        <v>2.4632893071263426</v>
      </c>
      <c r="M449" s="131">
        <f ca="1">(L$449/L$385+MIN(ABS(OFFSET(Assumptions!$B$79,0,$C$1)-L$449/L$385),OFFSET(Assumptions!$B$73,0,$C$1))*SIGN(OFFSET(Assumptions!$B$79,0,$C$1)-L$449/L$385))*M$385</f>
        <v>2.6428035451126792</v>
      </c>
      <c r="N449" s="131">
        <f ca="1">(M$449/M$385+MIN(ABS(OFFSET(Assumptions!$B$79,0,$C$1)-M$449/M$385),OFFSET(Assumptions!$B$73,0,$C$1))*SIGN(OFFSET(Assumptions!$B$79,0,$C$1)-M$449/M$385))*N$385</f>
        <v>2.8263245840422373</v>
      </c>
      <c r="O449" s="131">
        <f ca="1">(N$449/N$385+MIN(ABS(OFFSET(Assumptions!$B$79,0,$C$1)-N$449/N$385),OFFSET(Assumptions!$B$73,0,$C$1))*SIGN(OFFSET(Assumptions!$B$79,0,$C$1)-N$449/N$385))*O$385</f>
        <v>3.0149019215472666</v>
      </c>
      <c r="P449" s="131">
        <f ca="1">(O$449/O$385+MIN(ABS(OFFSET(Assumptions!$B$79,0,$C$1)-O$449/O$385),OFFSET(Assumptions!$B$73,0,$C$1))*SIGN(OFFSET(Assumptions!$B$79,0,$C$1)-O$449/O$385))*P$385</f>
        <v>3.2093610737299798</v>
      </c>
      <c r="Q449" s="131">
        <f ca="1">(P$449/P$385+MIN(ABS(OFFSET(Assumptions!$B$79,0,$C$1)-P$449/P$385),OFFSET(Assumptions!$B$73,0,$C$1))*SIGN(OFFSET(Assumptions!$B$79,0,$C$1)-P$449/P$385))*Q$385</f>
        <v>3.409786585073789</v>
      </c>
      <c r="R449" s="131">
        <f ca="1">(Q$449/Q$385+MIN(ABS(OFFSET(Assumptions!$B$79,0,$C$1)-Q$449/Q$385),OFFSET(Assumptions!$B$73,0,$C$1))*SIGN(OFFSET(Assumptions!$B$79,0,$C$1)-Q$449/Q$385))*R$385</f>
        <v>3.6155659063949317</v>
      </c>
      <c r="S449" s="131">
        <f ca="1">(R$449/R$385+MIN(ABS(OFFSET(Assumptions!$B$79,0,$C$1)-R$449/R$385),OFFSET(Assumptions!$B$73,0,$C$1))*SIGN(OFFSET(Assumptions!$B$79,0,$C$1)-R$449/R$385))*S$385</f>
        <v>3.8260766496551128</v>
      </c>
      <c r="T449" s="171">
        <f ca="1">(S$449/S$385+MIN(ABS(OFFSET(Assumptions!$B$79,0,$C$1)-S$449/S$385),OFFSET(Assumptions!$B$73,0,$C$1))*SIGN(OFFSET(Assumptions!$B$79,0,$C$1)-S$449/S$385))*T$385</f>
        <v>4.0420527389773495</v>
      </c>
    </row>
    <row r="450" spans="1:20">
      <c r="A450" s="1" t="s">
        <v>348</v>
      </c>
      <c r="B450" s="4" t="str">
        <f>$B$39</f>
        <v>From Fiscal Forecasts</v>
      </c>
      <c r="D450" s="14">
        <f>'Fiscal Forecasts'!D$357</f>
        <v>6.2930000000000001</v>
      </c>
      <c r="E450" s="175">
        <f>'Fiscal Forecasts'!E$357</f>
        <v>5.0430000000000001</v>
      </c>
      <c r="F450" s="15">
        <f>'Fiscal Forecasts'!F$357</f>
        <v>5.125</v>
      </c>
      <c r="G450" s="15">
        <f>'Fiscal Forecasts'!G$357</f>
        <v>5.1669999999999998</v>
      </c>
      <c r="H450" s="15">
        <f>'Fiscal Forecasts'!H$357</f>
        <v>5.2149999999999999</v>
      </c>
      <c r="I450" s="15">
        <f>'Fiscal Forecasts'!I$357</f>
        <v>5.2590000000000003</v>
      </c>
      <c r="J450" s="176">
        <f>'Fiscal Forecasts'!J$357</f>
        <v>5.2990000000000004</v>
      </c>
      <c r="K450" s="6">
        <f t="shared" ref="K450:T450" ca="1" si="239">J$450*K$351/J$351</f>
        <v>5.5681116132437678</v>
      </c>
      <c r="L450" s="6">
        <f t="shared" ca="1" si="239"/>
        <v>5.81524727007303</v>
      </c>
      <c r="M450" s="6">
        <f t="shared" ca="1" si="239"/>
        <v>6.059209424067646</v>
      </c>
      <c r="N450" s="6">
        <f t="shared" ca="1" si="239"/>
        <v>6.3229025950582827</v>
      </c>
      <c r="O450" s="6">
        <f t="shared" ca="1" si="239"/>
        <v>6.5813294683637897</v>
      </c>
      <c r="P450" s="6">
        <f t="shared" ca="1" si="239"/>
        <v>6.8449519520060607</v>
      </c>
      <c r="Q450" s="6">
        <f t="shared" ca="1" si="239"/>
        <v>7.1139983283047821</v>
      </c>
      <c r="R450" s="104">
        <f t="shared" ca="1" si="239"/>
        <v>7.3877439312287798</v>
      </c>
      <c r="S450" s="104">
        <f t="shared" ca="1" si="239"/>
        <v>7.6659703668531858</v>
      </c>
      <c r="T450" s="171">
        <f t="shared" ca="1" si="239"/>
        <v>7.9524457176995025</v>
      </c>
    </row>
    <row r="451" spans="1:20">
      <c r="A451" s="1" t="s">
        <v>541</v>
      </c>
      <c r="B451" s="4" t="str">
        <f>$B$39</f>
        <v>From Fiscal Forecasts</v>
      </c>
      <c r="D451" s="14">
        <f>'Fiscal Forecasts'!D$184-SUM(D$449:D$450)</f>
        <v>3.0849999999999991</v>
      </c>
      <c r="E451" s="175">
        <f>'Fiscal Forecasts'!E$184-SUM(E$449:E$450)</f>
        <v>4.2559999999999993</v>
      </c>
      <c r="F451" s="15">
        <f>'Fiscal Forecasts'!F$184-SUM(F$449:F$450)</f>
        <v>0.95099999999999874</v>
      </c>
      <c r="G451" s="15">
        <f>'Fiscal Forecasts'!G$184-SUM(G$449:G$450)</f>
        <v>2.4920000000000009</v>
      </c>
      <c r="H451" s="15">
        <f>'Fiscal Forecasts'!H$184-SUM(H$449:H$450)</f>
        <v>2.6090000000000009</v>
      </c>
      <c r="I451" s="15">
        <f>'Fiscal Forecasts'!I$184-SUM(I$449:I$450)</f>
        <v>3.0589999999999993</v>
      </c>
      <c r="J451" s="176">
        <f>'Fiscal Forecasts'!J$184-SUM(J$449:J$450)</f>
        <v>2.423</v>
      </c>
      <c r="K451" s="6">
        <f t="shared" ref="K451:T451" ca="1" si="240">J$451*(1+K$23)*(1+K$30)</f>
        <v>2.502735125109393</v>
      </c>
      <c r="L451" s="6">
        <f t="shared" ca="1" si="240"/>
        <v>2.5825282469205941</v>
      </c>
      <c r="M451" s="6">
        <f t="shared" ca="1" si="240"/>
        <v>2.6621941167311522</v>
      </c>
      <c r="N451" s="6">
        <f t="shared" ca="1" si="240"/>
        <v>2.7426066448014894</v>
      </c>
      <c r="O451" s="6">
        <f t="shared" ca="1" si="240"/>
        <v>2.8237656939948645</v>
      </c>
      <c r="P451" s="6">
        <f t="shared" ca="1" si="240"/>
        <v>2.9056459584694432</v>
      </c>
      <c r="Q451" s="6">
        <f t="shared" ca="1" si="240"/>
        <v>2.9881060111780364</v>
      </c>
      <c r="R451" s="104">
        <f t="shared" ca="1" si="240"/>
        <v>3.0711474246351926</v>
      </c>
      <c r="S451" s="104">
        <f t="shared" ca="1" si="240"/>
        <v>3.1548267995815249</v>
      </c>
      <c r="T451" s="171">
        <f t="shared" ca="1" si="240"/>
        <v>3.2401721844496834</v>
      </c>
    </row>
    <row r="452" spans="1:20" ht="15">
      <c r="A452" s="2" t="s">
        <v>542</v>
      </c>
      <c r="B452" s="4"/>
      <c r="D452" s="34">
        <f t="shared" ref="D452:T452" si="241">SUM(D$449:D$451)</f>
        <v>10.465999999999999</v>
      </c>
      <c r="E452" s="138">
        <f t="shared" si="241"/>
        <v>10.85</v>
      </c>
      <c r="F452" s="33">
        <f t="shared" si="241"/>
        <v>10.882999999999999</v>
      </c>
      <c r="G452" s="33">
        <f t="shared" si="241"/>
        <v>10.343</v>
      </c>
      <c r="H452" s="33">
        <f t="shared" si="241"/>
        <v>10.303000000000001</v>
      </c>
      <c r="I452" s="33">
        <f t="shared" si="241"/>
        <v>10.715</v>
      </c>
      <c r="J452" s="137">
        <f t="shared" si="241"/>
        <v>10.067</v>
      </c>
      <c r="K452" s="37">
        <f t="shared" ca="1" si="241"/>
        <v>10.47799225121291</v>
      </c>
      <c r="L452" s="37">
        <f t="shared" ca="1" si="241"/>
        <v>10.861064824119966</v>
      </c>
      <c r="M452" s="37">
        <f t="shared" ca="1" si="241"/>
        <v>11.364207085911477</v>
      </c>
      <c r="N452" s="37">
        <f t="shared" ca="1" si="241"/>
        <v>11.89183382390201</v>
      </c>
      <c r="O452" s="37">
        <f t="shared" ca="1" si="241"/>
        <v>12.419997083905921</v>
      </c>
      <c r="P452" s="37">
        <f t="shared" ca="1" si="241"/>
        <v>12.959958984205482</v>
      </c>
      <c r="Q452" s="37">
        <f t="shared" ca="1" si="241"/>
        <v>13.511890924556607</v>
      </c>
      <c r="R452" s="37">
        <f t="shared" ca="1" si="241"/>
        <v>14.074457262258903</v>
      </c>
      <c r="S452" s="37">
        <f t="shared" ca="1" si="241"/>
        <v>14.646873816089823</v>
      </c>
      <c r="T452" s="140">
        <f t="shared" ca="1" si="241"/>
        <v>15.234670641126534</v>
      </c>
    </row>
    <row r="453" spans="1:20" ht="15">
      <c r="A453" s="2" t="s">
        <v>543</v>
      </c>
      <c r="B453" s="4" t="str">
        <f>$B$39</f>
        <v>From Fiscal Forecasts</v>
      </c>
      <c r="D453" s="39">
        <f>'Fiscal Forecasts'!D$131</f>
        <v>16.742000000000001</v>
      </c>
      <c r="E453" s="142">
        <f>'Fiscal Forecasts'!E$131</f>
        <v>16.971</v>
      </c>
      <c r="F453" s="38">
        <f>'Fiscal Forecasts'!F$131</f>
        <v>16.004999999999999</v>
      </c>
      <c r="G453" s="38">
        <f>'Fiscal Forecasts'!G$131</f>
        <v>15.401999999999999</v>
      </c>
      <c r="H453" s="38">
        <f>'Fiscal Forecasts'!H$131</f>
        <v>15.359</v>
      </c>
      <c r="I453" s="38">
        <f>'Fiscal Forecasts'!I$131</f>
        <v>15.843</v>
      </c>
      <c r="J453" s="141">
        <f>'Fiscal Forecasts'!J$131</f>
        <v>15.311999999999999</v>
      </c>
      <c r="K453" s="7">
        <f t="shared" ref="K453:T453" ca="1" si="242">K$452+(J$453-J$452)*(1+K$23)*(1+K$30)</f>
        <v>15.895592635529363</v>
      </c>
      <c r="L453" s="7">
        <f t="shared" ca="1" si="242"/>
        <v>16.45139113658324</v>
      </c>
      <c r="M453" s="7">
        <f t="shared" ca="1" si="242"/>
        <v>17.126983867692282</v>
      </c>
      <c r="N453" s="7">
        <f t="shared" ca="1" si="242"/>
        <v>17.82867734514997</v>
      </c>
      <c r="O453" s="7">
        <f t="shared" ca="1" si="242"/>
        <v>18.532523317914613</v>
      </c>
      <c r="P453" s="7">
        <f t="shared" ca="1" si="242"/>
        <v>19.249729125423901</v>
      </c>
      <c r="Q453" s="7">
        <f t="shared" ca="1" si="242"/>
        <v>19.980160024279595</v>
      </c>
      <c r="R453" s="7">
        <f t="shared" ca="1" si="242"/>
        <v>20.722483775759351</v>
      </c>
      <c r="S453" s="7">
        <f t="shared" ca="1" si="242"/>
        <v>21.476038720673024</v>
      </c>
      <c r="T453" s="134">
        <f t="shared" ca="1" si="242"/>
        <v>22.248580301645969</v>
      </c>
    </row>
    <row r="454" spans="1:20" ht="15">
      <c r="A454" s="2"/>
      <c r="B454" s="4"/>
      <c r="D454" s="62"/>
      <c r="E454" s="152"/>
      <c r="F454" s="62"/>
      <c r="G454" s="62"/>
      <c r="H454" s="62"/>
      <c r="I454" s="62"/>
      <c r="J454" s="152"/>
      <c r="K454" s="62"/>
      <c r="L454" s="62"/>
      <c r="M454" s="62"/>
      <c r="N454" s="62"/>
      <c r="O454" s="62"/>
      <c r="P454" s="62"/>
      <c r="Q454" s="62"/>
      <c r="R454" s="62"/>
      <c r="S454" s="62"/>
      <c r="T454" s="152"/>
    </row>
    <row r="455" spans="1:20" ht="15">
      <c r="A455" s="18" t="s">
        <v>213</v>
      </c>
      <c r="B455" s="4"/>
      <c r="D455" s="39"/>
      <c r="E455" s="142"/>
      <c r="F455" s="7"/>
      <c r="G455" s="7"/>
      <c r="H455" s="7"/>
      <c r="I455" s="7"/>
      <c r="J455" s="134"/>
      <c r="K455" s="7"/>
      <c r="L455" s="7"/>
      <c r="M455" s="7"/>
      <c r="N455" s="7"/>
      <c r="O455" s="7"/>
      <c r="P455" s="7"/>
      <c r="Q455" s="7"/>
      <c r="R455" s="7"/>
      <c r="S455" s="7"/>
      <c r="T455" s="134"/>
    </row>
    <row r="456" spans="1:20" ht="15">
      <c r="A456" s="2" t="s">
        <v>544</v>
      </c>
      <c r="B456" s="4" t="str">
        <f>$B$39</f>
        <v>From Fiscal Forecasts</v>
      </c>
      <c r="D456" s="39">
        <f>'Fiscal Forecasts'!D$185</f>
        <v>0.44900000000000001</v>
      </c>
      <c r="E456" s="142">
        <f>'Fiscal Forecasts'!E$185</f>
        <v>0.39800000000000002</v>
      </c>
      <c r="F456" s="38">
        <f>'Fiscal Forecasts'!F$185</f>
        <v>0.38200000000000001</v>
      </c>
      <c r="G456" s="38">
        <f>'Fiscal Forecasts'!G$185</f>
        <v>0.37</v>
      </c>
      <c r="H456" s="38">
        <f>'Fiscal Forecasts'!H$185</f>
        <v>0.36299999999999999</v>
      </c>
      <c r="I456" s="38">
        <f>'Fiscal Forecasts'!I$185</f>
        <v>0.36</v>
      </c>
      <c r="J456" s="141">
        <f>'Fiscal Forecasts'!J$185</f>
        <v>0.45400000000000001</v>
      </c>
      <c r="K456" s="7">
        <f t="shared" ref="K456:T456" ca="1" si="243">SUM(J$456,K$410-J$410,K$414-J$414)</f>
        <v>0.54900425348362258</v>
      </c>
      <c r="L456" s="134">
        <f t="shared" ca="1" si="243"/>
        <v>0.64407760992973806</v>
      </c>
      <c r="M456" s="134">
        <f t="shared" ca="1" si="243"/>
        <v>0.73899934585342031</v>
      </c>
      <c r="N456" s="134">
        <f t="shared" ca="1" si="243"/>
        <v>0.83481072370693377</v>
      </c>
      <c r="O456" s="134">
        <f t="shared" ca="1" si="243"/>
        <v>0.93151158009210677</v>
      </c>
      <c r="P456" s="134">
        <f t="shared" ca="1" si="243"/>
        <v>1.0290717631453914</v>
      </c>
      <c r="Q456" s="134">
        <f t="shared" ca="1" si="243"/>
        <v>1.1273227628027209</v>
      </c>
      <c r="R456" s="134">
        <f t="shared" ca="1" si="243"/>
        <v>1.2262664527122586</v>
      </c>
      <c r="S456" s="134">
        <f t="shared" ca="1" si="243"/>
        <v>1.3259702725513263</v>
      </c>
      <c r="T456" s="134">
        <f t="shared" ca="1" si="243"/>
        <v>1.4276591401181331</v>
      </c>
    </row>
    <row r="457" spans="1:20" ht="15">
      <c r="A457" s="2" t="s">
        <v>545</v>
      </c>
      <c r="B457" s="4" t="str">
        <f>$B$39</f>
        <v>From Fiscal Forecasts</v>
      </c>
      <c r="D457" s="39">
        <f>'Fiscal Forecasts'!D$132</f>
        <v>2.5230000000000001</v>
      </c>
      <c r="E457" s="142">
        <f>'Fiscal Forecasts'!E$132</f>
        <v>2.59</v>
      </c>
      <c r="F457" s="38">
        <f>'Fiscal Forecasts'!F$132</f>
        <v>2.331</v>
      </c>
      <c r="G457" s="38">
        <f>'Fiscal Forecasts'!G$132</f>
        <v>2.67</v>
      </c>
      <c r="H457" s="38">
        <f>'Fiscal Forecasts'!H$132</f>
        <v>2.8130000000000002</v>
      </c>
      <c r="I457" s="38">
        <f>'Fiscal Forecasts'!I$132</f>
        <v>2.9409999999999998</v>
      </c>
      <c r="J457" s="141">
        <f>'Fiscal Forecasts'!J$132</f>
        <v>3.194</v>
      </c>
      <c r="K457" s="7">
        <f t="shared" ref="K457:T457" ca="1" si="244">SUM(J$457,K$411-J$411,K$415-J$415)</f>
        <v>3.4109598348519308</v>
      </c>
      <c r="L457" s="134">
        <f t="shared" ca="1" si="244"/>
        <v>3.6280774791363921</v>
      </c>
      <c r="M457" s="134">
        <f t="shared" ca="1" si="244"/>
        <v>3.844848869834292</v>
      </c>
      <c r="N457" s="134">
        <f t="shared" ca="1" si="244"/>
        <v>4.0636519228956756</v>
      </c>
      <c r="O457" s="134">
        <f t="shared" ca="1" si="244"/>
        <v>4.2844862651705089</v>
      </c>
      <c r="P457" s="134">
        <f t="shared" ca="1" si="244"/>
        <v>4.5072830392856131</v>
      </c>
      <c r="Q457" s="134">
        <f t="shared" ca="1" si="244"/>
        <v>4.7316574212533213</v>
      </c>
      <c r="R457" s="134">
        <f t="shared" ca="1" si="244"/>
        <v>4.9576136898967507</v>
      </c>
      <c r="S457" s="134">
        <f t="shared" ca="1" si="244"/>
        <v>5.1853058562282266</v>
      </c>
      <c r="T457" s="134">
        <f t="shared" ca="1" si="244"/>
        <v>5.4175312472458774</v>
      </c>
    </row>
    <row r="458" spans="1:20" ht="15">
      <c r="A458" s="2"/>
      <c r="B458" s="4"/>
      <c r="D458" s="55"/>
      <c r="E458" s="149"/>
      <c r="F458" s="55"/>
      <c r="G458" s="55"/>
      <c r="H458" s="55"/>
      <c r="I458" s="55"/>
      <c r="J458" s="149"/>
      <c r="K458" s="55"/>
      <c r="L458" s="55"/>
      <c r="M458" s="55"/>
      <c r="N458" s="55"/>
      <c r="O458" s="55"/>
      <c r="P458" s="55"/>
      <c r="Q458" s="55"/>
      <c r="R458" s="55"/>
      <c r="S458" s="55"/>
      <c r="T458" s="149"/>
    </row>
    <row r="459" spans="1:20" ht="15">
      <c r="A459" s="18" t="s">
        <v>215</v>
      </c>
      <c r="B459" s="4"/>
      <c r="D459" s="38"/>
      <c r="E459" s="141"/>
      <c r="F459" s="38"/>
      <c r="G459" s="38"/>
      <c r="H459" s="7"/>
      <c r="I459" s="7"/>
      <c r="J459" s="134"/>
      <c r="K459" s="7"/>
      <c r="L459" s="7"/>
      <c r="M459" s="7"/>
      <c r="N459" s="7"/>
      <c r="O459" s="7"/>
      <c r="P459" s="7"/>
      <c r="Q459" s="7"/>
      <c r="R459" s="7"/>
      <c r="S459" s="7"/>
      <c r="T459" s="134"/>
    </row>
    <row r="460" spans="1:20" ht="15">
      <c r="A460" s="2" t="s">
        <v>549</v>
      </c>
      <c r="B460" s="4" t="str">
        <f>$B$39</f>
        <v>From Fiscal Forecasts</v>
      </c>
      <c r="D460" s="14">
        <f>'Fiscal Forecasts'!D$186</f>
        <v>4.0000000000000001E-3</v>
      </c>
      <c r="E460" s="175">
        <f>'Fiscal Forecasts'!E$186</f>
        <v>5.0000000000000001E-3</v>
      </c>
      <c r="F460" s="15">
        <f>'Fiscal Forecasts'!F$186</f>
        <v>4.0000000000000001E-3</v>
      </c>
      <c r="G460" s="15">
        <f>'Fiscal Forecasts'!G$186</f>
        <v>4.0000000000000001E-3</v>
      </c>
      <c r="H460" s="15">
        <f>'Fiscal Forecasts'!H$186</f>
        <v>4.0000000000000001E-3</v>
      </c>
      <c r="I460" s="15">
        <f>'Fiscal Forecasts'!I$186</f>
        <v>4.0000000000000001E-3</v>
      </c>
      <c r="J460" s="176">
        <f>'Fiscal Forecasts'!J$186</f>
        <v>4.0000000000000001E-3</v>
      </c>
      <c r="K460" s="6">
        <f t="shared" ref="K460:T460" ca="1" si="245">J$460*(1+K$23)*(1+K$30)</f>
        <v>4.1316304170192211E-3</v>
      </c>
      <c r="L460" s="6">
        <f t="shared" ca="1" si="245"/>
        <v>4.2633565776650341E-3</v>
      </c>
      <c r="M460" s="6">
        <f t="shared" ca="1" si="245"/>
        <v>4.3948726648471367E-3</v>
      </c>
      <c r="N460" s="6">
        <f t="shared" ca="1" si="245"/>
        <v>4.5276213698745198E-3</v>
      </c>
      <c r="O460" s="6">
        <f t="shared" ca="1" si="245"/>
        <v>4.6616024663555349E-3</v>
      </c>
      <c r="P460" s="6">
        <f t="shared" ca="1" si="245"/>
        <v>4.7967741782409309E-3</v>
      </c>
      <c r="Q460" s="6">
        <f t="shared" ca="1" si="245"/>
        <v>4.9329030312472762E-3</v>
      </c>
      <c r="R460" s="104">
        <f t="shared" ca="1" si="245"/>
        <v>5.0699916213540136E-3</v>
      </c>
      <c r="S460" s="104">
        <f t="shared" ca="1" si="245"/>
        <v>5.2081333876706987E-3</v>
      </c>
      <c r="T460" s="171">
        <f t="shared" ca="1" si="245"/>
        <v>5.3490254799004279E-3</v>
      </c>
    </row>
    <row r="461" spans="1:20">
      <c r="A461" s="1" t="s">
        <v>546</v>
      </c>
      <c r="B461" s="4" t="str">
        <f>$B$39</f>
        <v>From Fiscal Forecasts</v>
      </c>
      <c r="D461" s="14">
        <f>'Fiscal Forecasts'!D$365</f>
        <v>56.610999999999997</v>
      </c>
      <c r="E461" s="175">
        <f>'Fiscal Forecasts'!E$365</f>
        <v>64.945999999999998</v>
      </c>
      <c r="F461" s="15">
        <f>'Fiscal Forecasts'!F$365</f>
        <v>57.607999999999997</v>
      </c>
      <c r="G461" s="15">
        <f>'Fiscal Forecasts'!G$365</f>
        <v>59.328000000000003</v>
      </c>
      <c r="H461" s="15">
        <f>'Fiscal Forecasts'!H$365</f>
        <v>61.225999999999999</v>
      </c>
      <c r="I461" s="15">
        <f>'Fiscal Forecasts'!I$365</f>
        <v>63.256999999999998</v>
      </c>
      <c r="J461" s="176">
        <f>'Fiscal Forecasts'!J$365</f>
        <v>65.478999999999999</v>
      </c>
      <c r="K461" s="6">
        <f>J$461*Exogenous!V$29/Exogenous!U$29</f>
        <v>67.578922515778274</v>
      </c>
      <c r="L461" s="6">
        <f>K$461*Exogenous!W$29/Exogenous!V$29</f>
        <v>69.799417293475813</v>
      </c>
      <c r="M461" s="6">
        <f>L$461*Exogenous!X$29/Exogenous!W$29</f>
        <v>72.143055761294519</v>
      </c>
      <c r="N461" s="6">
        <f>M$461*Exogenous!Y$29/Exogenous!X$29</f>
        <v>74.617453283958582</v>
      </c>
      <c r="O461" s="6">
        <f>N$461*Exogenous!Z$29/Exogenous!Y$29</f>
        <v>77.248269052410308</v>
      </c>
      <c r="P461" s="6">
        <f>O$461*Exogenous!AA$29/Exogenous!Z$29</f>
        <v>80.036595233576904</v>
      </c>
      <c r="Q461" s="6">
        <f>P$461*Exogenous!AB$29/Exogenous!AA$29</f>
        <v>82.986370596336201</v>
      </c>
      <c r="R461" s="104">
        <f>Q$461*Exogenous!AC$29/Exogenous!AB$29</f>
        <v>86.096865367926398</v>
      </c>
      <c r="S461" s="104">
        <f>R$461*Exogenous!AD$29/Exogenous!AC$29</f>
        <v>89.370996514690972</v>
      </c>
      <c r="T461" s="171">
        <f>S$461*Exogenous!AE$29/Exogenous!AD$29</f>
        <v>92.820170173751421</v>
      </c>
    </row>
    <row r="462" spans="1:20">
      <c r="A462" s="1" t="s">
        <v>547</v>
      </c>
      <c r="B462" s="4" t="str">
        <f>$B$39</f>
        <v>From Fiscal Forecasts</v>
      </c>
      <c r="D462" s="14">
        <f>SUM('Fiscal Forecasts'!D$366:D$367)-D$460</f>
        <v>1.601</v>
      </c>
      <c r="E462" s="175">
        <f>SUM('Fiscal Forecasts'!E$366:E$367)-E$460</f>
        <v>1.7390000000000001</v>
      </c>
      <c r="F462" s="15">
        <f>SUM('Fiscal Forecasts'!F$366:F$367)-F$460</f>
        <v>0.91700000000000004</v>
      </c>
      <c r="G462" s="15">
        <f>SUM('Fiscal Forecasts'!G$366:G$367)-G$460</f>
        <v>0.64100000000000001</v>
      </c>
      <c r="H462" s="15">
        <f>SUM('Fiscal Forecasts'!H$366:H$367)-H$460</f>
        <v>0.47100000000000003</v>
      </c>
      <c r="I462" s="15">
        <f>SUM('Fiscal Forecasts'!I$366:I$367)-I$460</f>
        <v>0.371</v>
      </c>
      <c r="J462" s="176">
        <f>SUM('Fiscal Forecasts'!J$366:J$367)-J$460</f>
        <v>0.33199999999999996</v>
      </c>
      <c r="K462" s="6">
        <f ca="1">(J$462/J$13+ IF(K$2&gt;0,K$2*IF(K$6=OFFSET(Assumptions!$B$8,0,$C$1),SUMPRODUCT(OFFSET(J$462,0,0,1,-OFFSET(Assumptions!$B$86,0,$C$1)),OFFSET(J$15,0,0,1,-OFFSET(Assumptions!$B$86,0,$C$1)))/OFFSET(Assumptions!$B$86,0,$C$1)-J$462/J$13,(J$462/J$13-I$462/I$13)/J$2),0))*K$13</f>
        <v>0.37611336886018049</v>
      </c>
      <c r="L462" s="6">
        <f ca="1">(K$462/K$13+ IF(L$2&gt;0,L$2*IF(L$6=OFFSET(Assumptions!$B$8,0,$C$1),SUMPRODUCT(OFFSET(K$462,0,0,1,-OFFSET(Assumptions!$B$86,0,$C$1)),OFFSET(K$15,0,0,1,-OFFSET(Assumptions!$B$86,0,$C$1)))/OFFSET(Assumptions!$B$86,0,$C$1)-K$462/K$13,(K$462/K$13-J$462/J$13)/K$2),0))*L$13</f>
        <v>0.41661159441942724</v>
      </c>
      <c r="M462" s="6">
        <f ca="1">(L$462/L$13+ IF(M$2&gt;0,M$2*IF(M$6=OFFSET(Assumptions!$B$8,0,$C$1),SUMPRODUCT(OFFSET(L$462,0,0,1,-OFFSET(Assumptions!$B$86,0,$C$1)),OFFSET(L$15,0,0,1,-OFFSET(Assumptions!$B$86,0,$C$1)))/OFFSET(Assumptions!$B$86,0,$C$1)-L$462/L$13,(L$462/L$13-K$462/K$13)/L$2),0))*M$13</f>
        <v>0.45295013819033408</v>
      </c>
      <c r="N462" s="6">
        <f ca="1">(M$462/M$13+ IF(N$2&gt;0,N$2*IF(N$6=OFFSET(Assumptions!$B$8,0,$C$1),SUMPRODUCT(OFFSET(M$462,0,0,1,-OFFSET(Assumptions!$B$86,0,$C$1)),OFFSET(M$15,0,0,1,-OFFSET(Assumptions!$B$86,0,$C$1)))/OFFSET(Assumptions!$B$86,0,$C$1)-M$462/M$13,(M$462/M$13-L$462/L$13)/M$2),0))*N$13</f>
        <v>0.48506295822626877</v>
      </c>
      <c r="O462" s="6">
        <f ca="1">(N$462/N$13+ IF(O$2&gt;0,O$2*IF(O$6=OFFSET(Assumptions!$B$8,0,$C$1),SUMPRODUCT(OFFSET(N$462,0,0,1,-OFFSET(Assumptions!$B$86,0,$C$1)),OFFSET(N$15,0,0,1,-OFFSET(Assumptions!$B$86,0,$C$1)))/OFFSET(Assumptions!$B$86,0,$C$1)-N$462/N$13,(N$462/N$13-M$462/M$13)/N$2),0))*O$13</f>
        <v>0.51176761008584837</v>
      </c>
      <c r="P462" s="6">
        <f ca="1">(O$462/O$13+ IF(P$2&gt;0,P$2*IF(P$6=OFFSET(Assumptions!$B$8,0,$C$1),SUMPRODUCT(OFFSET(O$462,0,0,1,-OFFSET(Assumptions!$B$86,0,$C$1)),OFFSET(O$15,0,0,1,-OFFSET(Assumptions!$B$86,0,$C$1)))/OFFSET(Assumptions!$B$86,0,$C$1)-O$462/O$13,(O$462/O$13-N$462/N$13)/O$2),0))*P$13</f>
        <v>0.53226703183141277</v>
      </c>
      <c r="Q462" s="6">
        <f ca="1">(P$462/P$13+ IF(Q$2&gt;0,Q$2*IF(Q$6=OFFSET(Assumptions!$B$8,0,$C$1),SUMPRODUCT(OFFSET(P$462,0,0,1,-OFFSET(Assumptions!$B$86,0,$C$1)),OFFSET(P$15,0,0,1,-OFFSET(Assumptions!$B$86,0,$C$1)))/OFFSET(Assumptions!$B$86,0,$C$1)-P$462/P$13,(P$462/P$13-O$462/O$13)/P$2),0))*Q$13</f>
        <v>0.55318821829723597</v>
      </c>
      <c r="R462" s="104">
        <f ca="1">(Q$462/Q$13+ IF(R$2&gt;0,R$2*IF(R$6=OFFSET(Assumptions!$B$8,0,$C$1),SUMPRODUCT(OFFSET(Q$462,0,0,1,-OFFSET(Assumptions!$B$86,0,$C$1)),OFFSET(Q$15,0,0,1,-OFFSET(Assumptions!$B$86,0,$C$1)))/OFFSET(Assumptions!$B$86,0,$C$1)-Q$462/Q$13,(Q$462/Q$13-P$462/P$13)/Q$2),0))*R$13</f>
        <v>0.57447481907498921</v>
      </c>
      <c r="S462" s="104">
        <f ca="1">(R$462/R$13+ IF(S$2&gt;0,S$2*IF(S$6=OFFSET(Assumptions!$B$8,0,$C$1),SUMPRODUCT(OFFSET(R$462,0,0,1,-OFFSET(Assumptions!$B$86,0,$C$1)),OFFSET(R$15,0,0,1,-OFFSET(Assumptions!$B$86,0,$C$1)))/OFFSET(Assumptions!$B$86,0,$C$1)-R$462/R$13,(R$462/R$13-Q$462/Q$13)/R$2),0))*S$13</f>
        <v>0.59610985173923381</v>
      </c>
      <c r="T462" s="171">
        <f ca="1">(S$462/S$13+ IF(T$2&gt;0,T$2*IF(T$6=OFFSET(Assumptions!$B$8,0,$C$1),SUMPRODUCT(OFFSET(S$462,0,0,1,-OFFSET(Assumptions!$B$86,0,$C$1)),OFFSET(S$15,0,0,1,-OFFSET(Assumptions!$B$86,0,$C$1)))/OFFSET(Assumptions!$B$86,0,$C$1)-S$462/S$13,(S$462/S$13-R$462/R$13)/S$2),0))*T$13</f>
        <v>0.61838632435101648</v>
      </c>
    </row>
    <row r="463" spans="1:20" ht="15">
      <c r="A463" s="2" t="s">
        <v>548</v>
      </c>
      <c r="B463" s="4"/>
      <c r="D463" s="34">
        <f t="shared" ref="D463:T463" si="246">SUM(D$460:D$462)</f>
        <v>58.215999999999994</v>
      </c>
      <c r="E463" s="138">
        <f t="shared" si="246"/>
        <v>66.69</v>
      </c>
      <c r="F463" s="33">
        <f t="shared" si="246"/>
        <v>58.528999999999996</v>
      </c>
      <c r="G463" s="33">
        <f t="shared" si="246"/>
        <v>59.972999999999999</v>
      </c>
      <c r="H463" s="33">
        <f t="shared" si="246"/>
        <v>61.700999999999993</v>
      </c>
      <c r="I463" s="33">
        <f t="shared" si="246"/>
        <v>63.631999999999998</v>
      </c>
      <c r="J463" s="137">
        <f t="shared" si="246"/>
        <v>65.814999999999998</v>
      </c>
      <c r="K463" s="37">
        <f t="shared" ca="1" si="246"/>
        <v>67.959167515055469</v>
      </c>
      <c r="L463" s="37">
        <f t="shared" ca="1" si="246"/>
        <v>70.220292244472901</v>
      </c>
      <c r="M463" s="37">
        <f t="shared" ca="1" si="246"/>
        <v>72.600400772149698</v>
      </c>
      <c r="N463" s="37">
        <f t="shared" ca="1" si="246"/>
        <v>75.107043863554722</v>
      </c>
      <c r="O463" s="37">
        <f t="shared" ca="1" si="246"/>
        <v>77.764698264962519</v>
      </c>
      <c r="P463" s="37">
        <f t="shared" ca="1" si="246"/>
        <v>80.573659039586559</v>
      </c>
      <c r="Q463" s="37">
        <f t="shared" ca="1" si="246"/>
        <v>83.544491717664684</v>
      </c>
      <c r="R463" s="37">
        <f t="shared" ca="1" si="246"/>
        <v>86.676410178622746</v>
      </c>
      <c r="S463" s="37">
        <f t="shared" ca="1" si="246"/>
        <v>89.97231449981787</v>
      </c>
      <c r="T463" s="140">
        <f t="shared" ca="1" si="246"/>
        <v>93.443905523582345</v>
      </c>
    </row>
    <row r="464" spans="1:20" ht="15">
      <c r="A464" s="2"/>
      <c r="B464" s="4"/>
      <c r="D464" s="46"/>
      <c r="E464" s="46"/>
      <c r="F464" s="47"/>
      <c r="G464" s="47"/>
      <c r="H464" s="47"/>
      <c r="I464" s="47"/>
      <c r="J464" s="145"/>
      <c r="K464" s="48"/>
      <c r="L464" s="48"/>
      <c r="M464" s="48"/>
      <c r="N464" s="48"/>
      <c r="O464" s="48"/>
      <c r="P464" s="48"/>
      <c r="Q464" s="48"/>
      <c r="R464" s="48"/>
      <c r="S464" s="48"/>
      <c r="T464" s="146"/>
    </row>
    <row r="465" spans="1:20" ht="15">
      <c r="A465" s="18" t="s">
        <v>550</v>
      </c>
      <c r="B465" s="4"/>
      <c r="D465" s="46"/>
      <c r="E465" s="46"/>
      <c r="F465" s="47"/>
      <c r="G465" s="47"/>
      <c r="H465" s="47"/>
      <c r="I465" s="47"/>
      <c r="J465" s="145"/>
      <c r="K465" s="48"/>
      <c r="L465" s="48"/>
      <c r="M465" s="48"/>
      <c r="N465" s="48"/>
      <c r="O465" s="48"/>
      <c r="P465" s="48"/>
      <c r="Q465" s="48"/>
      <c r="R465" s="48"/>
      <c r="S465" s="48"/>
      <c r="T465" s="146"/>
    </row>
    <row r="466" spans="1:20" ht="15">
      <c r="A466" s="2" t="s">
        <v>551</v>
      </c>
      <c r="B466" s="4" t="str">
        <f>$B$39</f>
        <v>From Fiscal Forecasts</v>
      </c>
      <c r="D466" s="14">
        <f>'Fiscal Forecasts'!D$187</f>
        <v>13.164999999999999</v>
      </c>
      <c r="E466" s="175">
        <f>'Fiscal Forecasts'!E$187</f>
        <v>13.976000000000001</v>
      </c>
      <c r="F466" s="15">
        <f>'Fiscal Forecasts'!F$187</f>
        <v>12.718999999999999</v>
      </c>
      <c r="G466" s="15">
        <f>'Fiscal Forecasts'!G$187</f>
        <v>11.853</v>
      </c>
      <c r="H466" s="15">
        <f>'Fiscal Forecasts'!H$187</f>
        <v>10.99</v>
      </c>
      <c r="I466" s="15">
        <f>'Fiscal Forecasts'!I$187</f>
        <v>10.148999999999999</v>
      </c>
      <c r="J466" s="176">
        <f>'Fiscal Forecasts'!J$187</f>
        <v>9.34</v>
      </c>
      <c r="K466" s="6">
        <f>J$466*(Exogenous!V$34-Exogenous!V$33)/(Exogenous!U$34-Exogenous!U$33)</f>
        <v>9.0059279639819909</v>
      </c>
      <c r="L466" s="6">
        <f>K$466*(Exogenous!W$34-Exogenous!W$33)/(Exogenous!V$34-Exogenous!V$33)</f>
        <v>8.6788644322161073</v>
      </c>
      <c r="M466" s="6">
        <f>L$466*(Exogenous!X$34-Exogenous!X$33)/(Exogenous!W$34-Exogenous!W$33)</f>
        <v>8.3553051525762889</v>
      </c>
      <c r="N466" s="6">
        <f>M$466*(Exogenous!Y$34-Exogenous!Y$33)/(Exogenous!X$34-Exogenous!X$33)</f>
        <v>8.0235692846423206</v>
      </c>
      <c r="O466" s="6">
        <f>N$466*(Exogenous!Z$34-Exogenous!Z$33)/(Exogenous!Y$34-Exogenous!Y$33)</f>
        <v>7.6859929964982499</v>
      </c>
      <c r="P466" s="6">
        <f>O$466*(Exogenous!AA$34-Exogenous!AA$33)/(Exogenous!Z$34-Exogenous!Z$33)</f>
        <v>7.3414082041020512</v>
      </c>
      <c r="Q466" s="6">
        <f>P$466*(Exogenous!AB$34-Exogenous!AB$33)/(Exogenous!AA$34-Exogenous!AA$33)</f>
        <v>6.9933191595797908</v>
      </c>
      <c r="R466" s="104">
        <f>Q$466*(Exogenous!AC$34-Exogenous!AC$33)/(Exogenous!AB$34-Exogenous!AB$33)</f>
        <v>6.6382216108054033</v>
      </c>
      <c r="S466" s="104">
        <f>R$466*(Exogenous!AD$34-Exogenous!AD$33)/(Exogenous!AC$34-Exogenous!AC$33)</f>
        <v>6.2807878939469743</v>
      </c>
      <c r="T466" s="171">
        <f>S$466*(Exogenous!AE$34-Exogenous!AE$33)/(Exogenous!AD$34-Exogenous!AD$33)</f>
        <v>5.9245222611305657</v>
      </c>
    </row>
    <row r="467" spans="1:20">
      <c r="A467" s="1" t="s">
        <v>552</v>
      </c>
      <c r="B467" s="4" t="str">
        <f>$B$39</f>
        <v>From Fiscal Forecasts</v>
      </c>
      <c r="D467" s="14">
        <f>'Fiscal Forecasts'!D$135-D$466</f>
        <v>1.4000000000001123E-2</v>
      </c>
      <c r="E467" s="175">
        <f>'Fiscal Forecasts'!E$135-E$466</f>
        <v>6.9999999999996732E-3</v>
      </c>
      <c r="F467" s="15">
        <f>'Fiscal Forecasts'!F$135-F$466</f>
        <v>6.0000000000002274E-3</v>
      </c>
      <c r="G467" s="15">
        <f>'Fiscal Forecasts'!G$135-G$466</f>
        <v>6.0000000000002274E-3</v>
      </c>
      <c r="H467" s="15">
        <f>'Fiscal Forecasts'!H$135-H$466</f>
        <v>6.9999999999996732E-3</v>
      </c>
      <c r="I467" s="15">
        <f>'Fiscal Forecasts'!I$135-I$466</f>
        <v>6.0000000000002274E-3</v>
      </c>
      <c r="J467" s="176">
        <f>'Fiscal Forecasts'!J$135-J$466</f>
        <v>6.0000000000002274E-3</v>
      </c>
      <c r="K467" s="6">
        <f ca="1">IF(K$6=OFFSET(Assumptions!$B$8,0,$C$1),0,J$467)</f>
        <v>0</v>
      </c>
      <c r="L467" s="6">
        <f ca="1">IF(L$6=OFFSET(Assumptions!$B$8,0,$C$1),0,K$467)</f>
        <v>0</v>
      </c>
      <c r="M467" s="6">
        <f ca="1">IF(M$6=OFFSET(Assumptions!$B$8,0,$C$1),0,L$467)</f>
        <v>0</v>
      </c>
      <c r="N467" s="6">
        <f ca="1">IF(N$6=OFFSET(Assumptions!$B$8,0,$C$1),0,M$467)</f>
        <v>0</v>
      </c>
      <c r="O467" s="6">
        <f ca="1">IF(O$6=OFFSET(Assumptions!$B$8,0,$C$1),0,N$467)</f>
        <v>0</v>
      </c>
      <c r="P467" s="6">
        <f ca="1">IF(P$6=OFFSET(Assumptions!$B$8,0,$C$1),0,O$467)</f>
        <v>0</v>
      </c>
      <c r="Q467" s="6">
        <f ca="1">IF(Q$6=OFFSET(Assumptions!$B$8,0,$C$1),0,P$467)</f>
        <v>0</v>
      </c>
      <c r="R467" s="104">
        <f ca="1">IF(R$6=OFFSET(Assumptions!$B$8,0,$C$1),0,Q$467)</f>
        <v>0</v>
      </c>
      <c r="S467" s="104">
        <f ca="1">IF(S$6=OFFSET(Assumptions!$B$8,0,$C$1),0,R$467)</f>
        <v>0</v>
      </c>
      <c r="T467" s="171">
        <f ca="1">IF(T$6=OFFSET(Assumptions!$B$8,0,$C$1),0,S$467)</f>
        <v>0</v>
      </c>
    </row>
    <row r="468" spans="1:20" ht="15">
      <c r="A468" s="2" t="s">
        <v>553</v>
      </c>
      <c r="B468" s="4"/>
      <c r="D468" s="34">
        <f t="shared" ref="D468:T468" si="247">SUM(D$466:D$467)</f>
        <v>13.179</v>
      </c>
      <c r="E468" s="138">
        <f t="shared" si="247"/>
        <v>13.983000000000001</v>
      </c>
      <c r="F468" s="33">
        <f t="shared" si="247"/>
        <v>12.725</v>
      </c>
      <c r="G468" s="33">
        <f t="shared" si="247"/>
        <v>11.859</v>
      </c>
      <c r="H468" s="33">
        <f t="shared" si="247"/>
        <v>10.997</v>
      </c>
      <c r="I468" s="33">
        <f t="shared" si="247"/>
        <v>10.154999999999999</v>
      </c>
      <c r="J468" s="137">
        <f t="shared" si="247"/>
        <v>9.3460000000000001</v>
      </c>
      <c r="K468" s="37">
        <f t="shared" ca="1" si="247"/>
        <v>9.0059279639819909</v>
      </c>
      <c r="L468" s="37">
        <f t="shared" ca="1" si="247"/>
        <v>8.6788644322161073</v>
      </c>
      <c r="M468" s="37">
        <f t="shared" ca="1" si="247"/>
        <v>8.3553051525762889</v>
      </c>
      <c r="N468" s="37">
        <f t="shared" ca="1" si="247"/>
        <v>8.0235692846423206</v>
      </c>
      <c r="O468" s="37">
        <f t="shared" ca="1" si="247"/>
        <v>7.6859929964982499</v>
      </c>
      <c r="P468" s="37">
        <f t="shared" ca="1" si="247"/>
        <v>7.3414082041020512</v>
      </c>
      <c r="Q468" s="37">
        <f t="shared" ca="1" si="247"/>
        <v>6.9933191595797908</v>
      </c>
      <c r="R468" s="37">
        <f t="shared" ca="1" si="247"/>
        <v>6.6382216108054033</v>
      </c>
      <c r="S468" s="37">
        <f t="shared" ca="1" si="247"/>
        <v>6.2807878939469743</v>
      </c>
      <c r="T468" s="140">
        <f t="shared" ca="1" si="247"/>
        <v>5.9245222611305657</v>
      </c>
    </row>
    <row r="469" spans="1:20" ht="15">
      <c r="A469" s="2"/>
      <c r="B469" s="4"/>
      <c r="D469" s="46"/>
      <c r="E469" s="46"/>
      <c r="F469" s="47"/>
      <c r="G469" s="47"/>
      <c r="H469" s="47"/>
      <c r="I469" s="47"/>
      <c r="J469" s="145"/>
      <c r="K469" s="48"/>
      <c r="L469" s="48"/>
      <c r="M469" s="48"/>
      <c r="N469" s="48"/>
      <c r="O469" s="48"/>
      <c r="P469" s="48"/>
      <c r="Q469" s="48"/>
      <c r="R469" s="48"/>
      <c r="S469" s="48"/>
      <c r="T469" s="146"/>
    </row>
    <row r="470" spans="1:20">
      <c r="A470" s="18" t="s">
        <v>217</v>
      </c>
      <c r="B470" s="4"/>
      <c r="E470" s="167"/>
      <c r="J470" s="167"/>
    </row>
    <row r="471" spans="1:20">
      <c r="A471" s="1" t="s">
        <v>1158</v>
      </c>
      <c r="B471" s="4" t="str">
        <f>$B$39</f>
        <v>From Fiscal Forecasts</v>
      </c>
      <c r="D471" s="14">
        <f>'Fiscal Forecasts'!D$360</f>
        <v>2.8839999999999999</v>
      </c>
      <c r="E471" s="175">
        <f>'Fiscal Forecasts'!E$360</f>
        <v>3.8039999999999998</v>
      </c>
      <c r="F471" s="15">
        <f>'Fiscal Forecasts'!F$360</f>
        <v>5.2549999999999999</v>
      </c>
      <c r="G471" s="15">
        <f>'Fiscal Forecasts'!G$360</f>
        <v>5.3390000000000004</v>
      </c>
      <c r="H471" s="15">
        <f>'Fiscal Forecasts'!H$360</f>
        <v>5.3529999999999998</v>
      </c>
      <c r="I471" s="15">
        <f>'Fiscal Forecasts'!I$360</f>
        <v>5.125</v>
      </c>
      <c r="J471" s="176">
        <f>'Fiscal Forecasts'!J$360</f>
        <v>4.7229999999999999</v>
      </c>
      <c r="K471" s="131">
        <f t="shared" ref="K471:T471" ca="1" si="248">MAX(J$471-K$138+K$144+K$313,0)</f>
        <v>4.3877540349514561</v>
      </c>
      <c r="L471" s="171">
        <f t="shared" ca="1" si="248"/>
        <v>4.1178070146104293</v>
      </c>
      <c r="M471" s="171">
        <f t="shared" ca="1" si="248"/>
        <v>3.9117962369910537</v>
      </c>
      <c r="N471" s="171">
        <f t="shared" ca="1" si="248"/>
        <v>3.7696137232851936</v>
      </c>
      <c r="O471" s="171">
        <f t="shared" ca="1" si="248"/>
        <v>3.6911770691818004</v>
      </c>
      <c r="P471" s="171">
        <f t="shared" ca="1" si="248"/>
        <v>3.6764294016753922</v>
      </c>
      <c r="Q471" s="171">
        <f t="shared" ca="1" si="248"/>
        <v>3.6764294016753922</v>
      </c>
      <c r="R471" s="171">
        <f t="shared" ca="1" si="248"/>
        <v>3.6764294016753922</v>
      </c>
      <c r="S471" s="171">
        <f t="shared" ca="1" si="248"/>
        <v>3.6764294016753922</v>
      </c>
      <c r="T471" s="171">
        <f t="shared" ca="1" si="248"/>
        <v>3.6764294016753922</v>
      </c>
    </row>
    <row r="472" spans="1:20">
      <c r="A472" s="1" t="s">
        <v>1159</v>
      </c>
      <c r="B472" s="4" t="str">
        <f>$B$39</f>
        <v>From Fiscal Forecasts</v>
      </c>
      <c r="D472" s="14">
        <f>'Fiscal Forecasts'!D$188-D$471</f>
        <v>7.5890000000000004</v>
      </c>
      <c r="E472" s="175">
        <f>'Fiscal Forecasts'!E$188-E$471</f>
        <v>9.3089999999999993</v>
      </c>
      <c r="F472" s="15">
        <f>'Fiscal Forecasts'!F$188-F$471</f>
        <v>8.6550000000000011</v>
      </c>
      <c r="G472" s="15">
        <f>'Fiscal Forecasts'!G$188-G$471</f>
        <v>7.8629999999999995</v>
      </c>
      <c r="H472" s="15">
        <f>'Fiscal Forecasts'!H$188-H$471</f>
        <v>8.0850000000000009</v>
      </c>
      <c r="I472" s="15">
        <f>'Fiscal Forecasts'!I$188-I$471</f>
        <v>8.0190000000000001</v>
      </c>
      <c r="J472" s="176">
        <f>'Fiscal Forecasts'!J$188-J$471</f>
        <v>7.9059999999999997</v>
      </c>
      <c r="K472" s="131">
        <f t="shared" ref="K472:T472" ca="1" si="249">J$472*(1+K$23)*(1+K$30)</f>
        <v>8.1661675192384902</v>
      </c>
      <c r="L472" s="131">
        <f t="shared" ca="1" si="249"/>
        <v>8.4265242757549395</v>
      </c>
      <c r="M472" s="131">
        <f t="shared" ca="1" si="249"/>
        <v>8.6864658220703657</v>
      </c>
      <c r="N472" s="131">
        <f t="shared" ca="1" si="249"/>
        <v>8.9488436375569886</v>
      </c>
      <c r="O472" s="131">
        <f t="shared" ca="1" si="249"/>
        <v>9.213657274751716</v>
      </c>
      <c r="P472" s="131">
        <f t="shared" ca="1" si="249"/>
        <v>9.4808241632932013</v>
      </c>
      <c r="Q472" s="131">
        <f t="shared" ca="1" si="249"/>
        <v>9.7498828412602432</v>
      </c>
      <c r="R472" s="131">
        <f t="shared" ca="1" si="249"/>
        <v>10.02083843960621</v>
      </c>
      <c r="S472" s="131">
        <f t="shared" ca="1" si="249"/>
        <v>10.293875640731139</v>
      </c>
      <c r="T472" s="171">
        <f t="shared" ca="1" si="249"/>
        <v>10.572348861023197</v>
      </c>
    </row>
    <row r="473" spans="1:20" ht="15">
      <c r="A473" s="2" t="s">
        <v>554</v>
      </c>
      <c r="B473" s="4"/>
      <c r="D473" s="34">
        <f t="shared" ref="D473:T473" si="250">SUM(D$471:D$472)</f>
        <v>10.473000000000001</v>
      </c>
      <c r="E473" s="138">
        <f t="shared" si="250"/>
        <v>13.113</v>
      </c>
      <c r="F473" s="33">
        <f t="shared" si="250"/>
        <v>13.91</v>
      </c>
      <c r="G473" s="33">
        <f t="shared" si="250"/>
        <v>13.202</v>
      </c>
      <c r="H473" s="33">
        <f t="shared" si="250"/>
        <v>13.438000000000001</v>
      </c>
      <c r="I473" s="33">
        <f t="shared" si="250"/>
        <v>13.144</v>
      </c>
      <c r="J473" s="137">
        <f t="shared" si="250"/>
        <v>12.629</v>
      </c>
      <c r="K473" s="37">
        <f t="shared" ca="1" si="250"/>
        <v>12.553921554189946</v>
      </c>
      <c r="L473" s="37">
        <f t="shared" ca="1" si="250"/>
        <v>12.544331290365369</v>
      </c>
      <c r="M473" s="37">
        <f t="shared" ca="1" si="250"/>
        <v>12.598262059061419</v>
      </c>
      <c r="N473" s="37">
        <f t="shared" ca="1" si="250"/>
        <v>12.718457360842182</v>
      </c>
      <c r="O473" s="37">
        <f t="shared" ca="1" si="250"/>
        <v>12.904834343933516</v>
      </c>
      <c r="P473" s="37">
        <f t="shared" ca="1" si="250"/>
        <v>13.157253564968594</v>
      </c>
      <c r="Q473" s="37">
        <f t="shared" ca="1" si="250"/>
        <v>13.426312242935635</v>
      </c>
      <c r="R473" s="37">
        <f t="shared" ca="1" si="250"/>
        <v>13.697267841281603</v>
      </c>
      <c r="S473" s="37">
        <f t="shared" ca="1" si="250"/>
        <v>13.970305042406531</v>
      </c>
      <c r="T473" s="140">
        <f t="shared" ca="1" si="250"/>
        <v>14.24877826269859</v>
      </c>
    </row>
    <row r="474" spans="1:20" ht="15">
      <c r="A474" s="2" t="s">
        <v>555</v>
      </c>
      <c r="B474" s="4" t="str">
        <f>$B$39</f>
        <v>From Fiscal Forecasts</v>
      </c>
      <c r="D474" s="46">
        <f>'Fiscal Forecasts'!D$136</f>
        <v>13.592000000000001</v>
      </c>
      <c r="E474" s="46">
        <f>'Fiscal Forecasts'!E$136</f>
        <v>16.484000000000002</v>
      </c>
      <c r="F474" s="38">
        <f>'Fiscal Forecasts'!F$136</f>
        <v>18.452999999999999</v>
      </c>
      <c r="G474" s="38">
        <f>'Fiscal Forecasts'!G$136</f>
        <v>18.411000000000001</v>
      </c>
      <c r="H474" s="38">
        <f>'Fiscal Forecasts'!H$136</f>
        <v>18.321999999999999</v>
      </c>
      <c r="I474" s="38">
        <f>'Fiscal Forecasts'!I$136</f>
        <v>18.23</v>
      </c>
      <c r="J474" s="141">
        <f>'Fiscal Forecasts'!J$136</f>
        <v>17.898</v>
      </c>
      <c r="K474" s="7">
        <f t="shared" ref="K474:T474" ca="1" si="251">K$473+(J$474-J$473)*(1+K$23)*(1+K$30)</f>
        <v>17.996311721008514</v>
      </c>
      <c r="L474" s="7">
        <f t="shared" ca="1" si="251"/>
        <v>18.160237742294633</v>
      </c>
      <c r="M474" s="7">
        <f t="shared" ca="1" si="251"/>
        <v>18.387408076831306</v>
      </c>
      <c r="N474" s="7">
        <f t="shared" ca="1" si="251"/>
        <v>18.68246661030939</v>
      </c>
      <c r="O474" s="7">
        <f t="shared" ca="1" si="251"/>
        <v>19.045330192740341</v>
      </c>
      <c r="P474" s="7">
        <f t="shared" ca="1" si="251"/>
        <v>19.475804351256457</v>
      </c>
      <c r="Q474" s="7">
        <f t="shared" ca="1" si="251"/>
        <v>19.924178760846107</v>
      </c>
      <c r="R474" s="7">
        <f t="shared" ca="1" si="251"/>
        <v>20.375714304510176</v>
      </c>
      <c r="S474" s="7">
        <f t="shared" ca="1" si="251"/>
        <v>20.830718747315757</v>
      </c>
      <c r="T474" s="134">
        <f t="shared" ca="1" si="251"/>
        <v>21.294782076097427</v>
      </c>
    </row>
    <row r="475" spans="1:20">
      <c r="E475" s="167"/>
      <c r="J475" s="167"/>
    </row>
    <row r="476" spans="1:20">
      <c r="A476" s="18" t="s">
        <v>495</v>
      </c>
      <c r="E476" s="167"/>
      <c r="J476" s="167"/>
    </row>
    <row r="477" spans="1:20">
      <c r="A477" s="1" t="s">
        <v>351</v>
      </c>
      <c r="B477" s="4" t="str">
        <f t="shared" ref="B477:B483" si="252">$B$39</f>
        <v>From Fiscal Forecasts</v>
      </c>
      <c r="D477" s="14">
        <f>'Fiscal Forecasts'!D$371</f>
        <v>83.715999999999994</v>
      </c>
      <c r="E477" s="175">
        <f>'Fiscal Forecasts'!E$371</f>
        <v>84.31</v>
      </c>
      <c r="F477" s="15">
        <f>'Fiscal Forecasts'!F$371</f>
        <v>90.495000000000005</v>
      </c>
      <c r="G477" s="15">
        <f>'Fiscal Forecasts'!G$371</f>
        <v>95.986000000000004</v>
      </c>
      <c r="H477" s="15">
        <f>'Fiscal Forecasts'!H$371</f>
        <v>101.23699999999999</v>
      </c>
      <c r="I477" s="15">
        <f>'Fiscal Forecasts'!I$371</f>
        <v>107.334</v>
      </c>
      <c r="J477" s="176">
        <f>'Fiscal Forecasts'!J$371</f>
        <v>113.404</v>
      </c>
      <c r="K477" s="6">
        <f t="shared" ref="K477:T477" ca="1" si="253">SUM(K$135,K$376,K$450-J$450)-SUM(K$351-J$351,K$273)</f>
        <v>119.05007985263471</v>
      </c>
      <c r="L477" s="6">
        <f t="shared" ca="1" si="253"/>
        <v>124.44636726487049</v>
      </c>
      <c r="M477" s="6">
        <f t="shared" ca="1" si="253"/>
        <v>129.74302579001196</v>
      </c>
      <c r="N477" s="6">
        <f t="shared" ca="1" si="253"/>
        <v>135.41875182179535</v>
      </c>
      <c r="O477" s="6">
        <f t="shared" ca="1" si="253"/>
        <v>141.03113324572507</v>
      </c>
      <c r="P477" s="6">
        <f t="shared" ca="1" si="253"/>
        <v>146.73824072316651</v>
      </c>
      <c r="Q477" s="6">
        <f t="shared" ca="1" si="253"/>
        <v>152.56384084150011</v>
      </c>
      <c r="R477" s="104">
        <f t="shared" ca="1" si="253"/>
        <v>158.49414349020265</v>
      </c>
      <c r="S477" s="104">
        <f t="shared" ca="1" si="253"/>
        <v>164.52319387295623</v>
      </c>
      <c r="T477" s="171">
        <f t="shared" ca="1" si="253"/>
        <v>170.72366928063238</v>
      </c>
    </row>
    <row r="478" spans="1:20">
      <c r="A478" s="1" t="s">
        <v>163</v>
      </c>
      <c r="B478" s="4" t="str">
        <f t="shared" si="252"/>
        <v>From Fiscal Forecasts</v>
      </c>
      <c r="D478" s="14">
        <f>'Fiscal Forecasts'!D$372</f>
        <v>1.359</v>
      </c>
      <c r="E478" s="175">
        <f>'Fiscal Forecasts'!E$372</f>
        <v>1.226</v>
      </c>
      <c r="F478" s="15">
        <f>'Fiscal Forecasts'!F$372</f>
        <v>2.2189999999999999</v>
      </c>
      <c r="G478" s="15">
        <f>'Fiscal Forecasts'!G$372</f>
        <v>1.6120000000000001</v>
      </c>
      <c r="H478" s="15">
        <f>'Fiscal Forecasts'!H$372</f>
        <v>1.7629999999999999</v>
      </c>
      <c r="I478" s="15">
        <f>'Fiscal Forecasts'!I$372</f>
        <v>1.9219999999999999</v>
      </c>
      <c r="J478" s="176">
        <f>'Fiscal Forecasts'!J$372</f>
        <v>1.9219999999999999</v>
      </c>
      <c r="K478" s="131">
        <f ca="1">SUM(K$139,K$144)</f>
        <v>1.9825011955495562</v>
      </c>
      <c r="L478" s="171">
        <f t="shared" ref="L478:T478" ca="1" si="254">SUM(L$139,L$144)</f>
        <v>2.053401463145613</v>
      </c>
      <c r="M478" s="171">
        <f t="shared" ca="1" si="254"/>
        <v>2.1249715544444618</v>
      </c>
      <c r="N478" s="171">
        <f t="shared" ca="1" si="254"/>
        <v>2.1995754415288955</v>
      </c>
      <c r="O478" s="171">
        <f t="shared" ca="1" si="254"/>
        <v>2.2757739049290966</v>
      </c>
      <c r="P478" s="171">
        <f t="shared" ca="1" si="254"/>
        <v>2.3535647311304571</v>
      </c>
      <c r="Q478" s="171">
        <f t="shared" ca="1" si="254"/>
        <v>2.4329484043638043</v>
      </c>
      <c r="R478" s="171">
        <f t="shared" ca="1" si="254"/>
        <v>2.5137530630447946</v>
      </c>
      <c r="S478" s="171">
        <f t="shared" ca="1" si="254"/>
        <v>2.5959307447834754</v>
      </c>
      <c r="T478" s="171">
        <f t="shared" ca="1" si="254"/>
        <v>2.6804083604898934</v>
      </c>
    </row>
    <row r="479" spans="1:20">
      <c r="A479" s="1" t="s">
        <v>352</v>
      </c>
      <c r="B479" s="4" t="str">
        <f t="shared" si="252"/>
        <v>From Fiscal Forecasts</v>
      </c>
      <c r="D479" s="14">
        <f>'Fiscal Forecasts'!D$374</f>
        <v>3.2</v>
      </c>
      <c r="E479" s="175">
        <f>'Fiscal Forecasts'!E$374</f>
        <v>3.2429999999999999</v>
      </c>
      <c r="F479" s="15">
        <f>'Fiscal Forecasts'!F$374</f>
        <v>2.8620000000000001</v>
      </c>
      <c r="G479" s="15">
        <f>'Fiscal Forecasts'!G$374</f>
        <v>2.8340000000000001</v>
      </c>
      <c r="H479" s="15">
        <f>'Fiscal Forecasts'!H$374</f>
        <v>3.1440000000000001</v>
      </c>
      <c r="I479" s="15">
        <f>'Fiscal Forecasts'!I$374</f>
        <v>3.0489999999999999</v>
      </c>
      <c r="J479" s="176">
        <f>'Fiscal Forecasts'!J$374</f>
        <v>3.157</v>
      </c>
      <c r="K479" s="6">
        <f t="shared" ref="K479:T479" ca="1" si="255">SUM(K$147,K$162,K$170)</f>
        <v>3.0879302332494167</v>
      </c>
      <c r="L479" s="6">
        <f t="shared" ca="1" si="255"/>
        <v>3.280255997577938</v>
      </c>
      <c r="M479" s="6">
        <f t="shared" ca="1" si="255"/>
        <v>3.4791293090215847</v>
      </c>
      <c r="N479" s="6">
        <f t="shared" ca="1" si="255"/>
        <v>3.6887864459209432</v>
      </c>
      <c r="O479" s="6">
        <f t="shared" ca="1" si="255"/>
        <v>3.9059560855332842</v>
      </c>
      <c r="P479" s="6">
        <f t="shared" ca="1" si="255"/>
        <v>4.1297151811075308</v>
      </c>
      <c r="Q479" s="6">
        <f t="shared" ca="1" si="255"/>
        <v>4.3607943717314228</v>
      </c>
      <c r="R479" s="104">
        <f t="shared" ca="1" si="255"/>
        <v>4.6000854814513641</v>
      </c>
      <c r="S479" s="104">
        <f t="shared" ca="1" si="255"/>
        <v>4.8475627197166258</v>
      </c>
      <c r="T479" s="171">
        <f t="shared" ca="1" si="255"/>
        <v>5.1054867907615611</v>
      </c>
    </row>
    <row r="480" spans="1:20">
      <c r="A480" s="1" t="s">
        <v>959</v>
      </c>
      <c r="B480" s="4" t="str">
        <f t="shared" si="252"/>
        <v>From Fiscal Forecasts</v>
      </c>
      <c r="D480" s="14">
        <f>'Fiscal Forecasts'!D$373</f>
        <v>0.71199999999999997</v>
      </c>
      <c r="E480" s="175">
        <f>'Fiscal Forecasts'!E$373</f>
        <v>0.42799999999999999</v>
      </c>
      <c r="F480" s="15">
        <f>'Fiscal Forecasts'!F$373</f>
        <v>0.22700000000000001</v>
      </c>
      <c r="G480" s="15">
        <f>'Fiscal Forecasts'!G$373</f>
        <v>0.217</v>
      </c>
      <c r="H480" s="15">
        <f>'Fiscal Forecasts'!H$373</f>
        <v>0.26100000000000001</v>
      </c>
      <c r="I480" s="15">
        <f>'Fiscal Forecasts'!I$373</f>
        <v>0.31900000000000001</v>
      </c>
      <c r="J480" s="176">
        <f>'Fiscal Forecasts'!J$373</f>
        <v>0.38100000000000001</v>
      </c>
      <c r="K480" s="131">
        <f t="shared" ref="K480:T480" ca="1" si="256">SUM(K$153,K$332)</f>
        <v>0.17241233495456249</v>
      </c>
      <c r="L480" s="131">
        <f t="shared" ca="1" si="256"/>
        <v>0.19503819993163457</v>
      </c>
      <c r="M480" s="131">
        <f t="shared" ca="1" si="256"/>
        <v>0.21906720775424662</v>
      </c>
      <c r="N480" s="131">
        <f t="shared" ca="1" si="256"/>
        <v>0.24438359362547943</v>
      </c>
      <c r="O480" s="131">
        <f t="shared" ca="1" si="256"/>
        <v>0.27049008262840474</v>
      </c>
      <c r="P480" s="131">
        <f t="shared" ca="1" si="256"/>
        <v>0.29683230660941062</v>
      </c>
      <c r="Q480" s="131">
        <f t="shared" ca="1" si="256"/>
        <v>0.32382442366019826</v>
      </c>
      <c r="R480" s="131">
        <f t="shared" ca="1" si="256"/>
        <v>0.35221871596130633</v>
      </c>
      <c r="S480" s="131">
        <f t="shared" ca="1" si="256"/>
        <v>0.38202933211335099</v>
      </c>
      <c r="T480" s="171">
        <f t="shared" ca="1" si="256"/>
        <v>0.413416852583949</v>
      </c>
    </row>
    <row r="481" spans="1:20">
      <c r="A481" s="1" t="s">
        <v>500</v>
      </c>
      <c r="B481" s="4" t="str">
        <f t="shared" si="252"/>
        <v>From Fiscal Forecasts</v>
      </c>
      <c r="D481" s="14">
        <f>'Fiscal Forecasts'!D$375</f>
        <v>28.91</v>
      </c>
      <c r="E481" s="175">
        <f>'Fiscal Forecasts'!E$375</f>
        <v>43.915999999999997</v>
      </c>
      <c r="F481" s="15">
        <f>'Fiscal Forecasts'!F$375</f>
        <v>37.021000000000001</v>
      </c>
      <c r="G481" s="15">
        <f>'Fiscal Forecasts'!G$375</f>
        <v>38.491999999999997</v>
      </c>
      <c r="H481" s="15">
        <f>'Fiscal Forecasts'!H$375</f>
        <v>40.042000000000002</v>
      </c>
      <c r="I481" s="15">
        <f>'Fiscal Forecasts'!I$375</f>
        <v>41.084000000000003</v>
      </c>
      <c r="J481" s="176">
        <f>'Fiscal Forecasts'!J$375</f>
        <v>43.191000000000003</v>
      </c>
      <c r="K481" s="6">
        <f t="shared" ref="K481:T481" ca="1" si="257">K$187</f>
        <v>42.175333230244597</v>
      </c>
      <c r="L481" s="6">
        <f t="shared" ca="1" si="257"/>
        <v>44.330846203359151</v>
      </c>
      <c r="M481" s="6">
        <f t="shared" ca="1" si="257"/>
        <v>46.642671488490933</v>
      </c>
      <c r="N481" s="6">
        <f t="shared" ca="1" si="257"/>
        <v>48.969856019680442</v>
      </c>
      <c r="O481" s="6">
        <f t="shared" ca="1" si="257"/>
        <v>50.907964033873846</v>
      </c>
      <c r="P481" s="6">
        <f t="shared" ca="1" si="257"/>
        <v>53.267414745211589</v>
      </c>
      <c r="Q481" s="6">
        <f t="shared" ca="1" si="257"/>
        <v>55.689250032708017</v>
      </c>
      <c r="R481" s="104">
        <f t="shared" ca="1" si="257"/>
        <v>58.194547289277729</v>
      </c>
      <c r="S481" s="104">
        <f t="shared" ca="1" si="257"/>
        <v>60.781270845664963</v>
      </c>
      <c r="T481" s="171">
        <f t="shared" ca="1" si="257"/>
        <v>63.42724092894592</v>
      </c>
    </row>
    <row r="482" spans="1:20">
      <c r="A482" s="1" t="s">
        <v>501</v>
      </c>
      <c r="B482" s="4" t="str">
        <f t="shared" si="252"/>
        <v>From Fiscal Forecasts</v>
      </c>
      <c r="D482" s="14">
        <f>'Fiscal Forecasts'!D$376</f>
        <v>50.591000000000001</v>
      </c>
      <c r="E482" s="175">
        <f>'Fiscal Forecasts'!E$376</f>
        <v>56.582999999999998</v>
      </c>
      <c r="F482" s="15">
        <f>'Fiscal Forecasts'!F$376</f>
        <v>67.980999999999995</v>
      </c>
      <c r="G482" s="15">
        <f>'Fiscal Forecasts'!G$376</f>
        <v>70.364000000000004</v>
      </c>
      <c r="H482" s="15">
        <f>'Fiscal Forecasts'!H$376</f>
        <v>64.959000000000003</v>
      </c>
      <c r="I482" s="15">
        <f>'Fiscal Forecasts'!I$376</f>
        <v>63.097999999999999</v>
      </c>
      <c r="J482" s="176">
        <f>'Fiscal Forecasts'!J$376</f>
        <v>62.253</v>
      </c>
      <c r="K482" s="6">
        <f t="shared" ref="K482:T482" ca="1" si="258">SUM(K$205,K$222,K$237)-SUM(K$218,K$263,K$271,K$273,K$313,K$460-J$460,K$466-J$466)</f>
        <v>63.780104123581523</v>
      </c>
      <c r="L482" s="6">
        <f t="shared" ca="1" si="258"/>
        <v>63.591245772699011</v>
      </c>
      <c r="M482" s="6">
        <f t="shared" ca="1" si="258"/>
        <v>63.465565959030315</v>
      </c>
      <c r="N482" s="6">
        <f t="shared" ca="1" si="258"/>
        <v>63.495231543939092</v>
      </c>
      <c r="O482" s="6">
        <f t="shared" ca="1" si="258"/>
        <v>63.52598290777248</v>
      </c>
      <c r="P482" s="6">
        <f t="shared" ca="1" si="258"/>
        <v>63.561176718574927</v>
      </c>
      <c r="Q482" s="6">
        <f t="shared" ca="1" si="258"/>
        <v>63.593567143711866</v>
      </c>
      <c r="R482" s="104">
        <f t="shared" ca="1" si="258"/>
        <v>63.629682717398495</v>
      </c>
      <c r="S482" s="104">
        <f t="shared" ca="1" si="258"/>
        <v>63.661166053420416</v>
      </c>
      <c r="T482" s="171">
        <f t="shared" ca="1" si="258"/>
        <v>63.691225721543731</v>
      </c>
    </row>
    <row r="483" spans="1:20">
      <c r="A483" s="1" t="s">
        <v>502</v>
      </c>
      <c r="B483" s="4" t="str">
        <f t="shared" si="252"/>
        <v>From Fiscal Forecasts</v>
      </c>
      <c r="D483" s="175">
        <f>'Fiscal Forecasts'!D$377</f>
        <v>3.45</v>
      </c>
      <c r="E483" s="175">
        <f>'Fiscal Forecasts'!E$377</f>
        <v>3.016</v>
      </c>
      <c r="F483" s="176">
        <f>'Fiscal Forecasts'!F$377</f>
        <v>2.7229999999999999</v>
      </c>
      <c r="G483" s="176">
        <f>'Fiscal Forecasts'!G$377</f>
        <v>2.0819999999999999</v>
      </c>
      <c r="H483" s="176">
        <f>'Fiscal Forecasts'!H$377</f>
        <v>2.2130000000000001</v>
      </c>
      <c r="I483" s="15">
        <f>'Fiscal Forecasts'!I$377</f>
        <v>2.3639999999999999</v>
      </c>
      <c r="J483" s="176">
        <f>'Fiscal Forecasts'!J$377</f>
        <v>2.802</v>
      </c>
      <c r="K483" s="171">
        <f t="shared" ref="K483:T483" ca="1" si="259">(2*J$70-SUM(K$477,K$478,K$479,K$480,K$491,K$497)+SUM(K$481,K$482,K$484,K$496,K$345-J$345))/(2/K$234-1)</f>
        <v>3.29805967588281</v>
      </c>
      <c r="L483" s="171">
        <f t="shared" ca="1" si="259"/>
        <v>3.8118503867428295</v>
      </c>
      <c r="M483" s="171">
        <f t="shared" ca="1" si="259"/>
        <v>4.4013778073470151</v>
      </c>
      <c r="N483" s="171">
        <f t="shared" ca="1" si="259"/>
        <v>4.9946167196865696</v>
      </c>
      <c r="O483" s="171">
        <f t="shared" ca="1" si="259"/>
        <v>5.5761222405222064</v>
      </c>
      <c r="P483" s="171">
        <f t="shared" ca="1" si="259"/>
        <v>6.1385120924504912</v>
      </c>
      <c r="Q483" s="171">
        <f t="shared" ca="1" si="259"/>
        <v>6.6804282161624027</v>
      </c>
      <c r="R483" s="171">
        <f t="shared" ca="1" si="259"/>
        <v>7.1959175680621152</v>
      </c>
      <c r="S483" s="171">
        <f t="shared" ca="1" si="259"/>
        <v>7.676843550007165</v>
      </c>
      <c r="T483" s="171">
        <f t="shared" ca="1" si="259"/>
        <v>8.1136166480158849</v>
      </c>
    </row>
    <row r="484" spans="1:20">
      <c r="A484" s="1" t="s">
        <v>591</v>
      </c>
      <c r="D484" s="14">
        <f t="shared" ref="D484:T484" si="260">SUM(D$245,D$248)</f>
        <v>0</v>
      </c>
      <c r="E484" s="175">
        <f t="shared" si="260"/>
        <v>0</v>
      </c>
      <c r="F484" s="15">
        <f t="shared" si="260"/>
        <v>-1.5249999999999999</v>
      </c>
      <c r="G484" s="15">
        <f t="shared" si="260"/>
        <v>1.4460000000000002</v>
      </c>
      <c r="H484" s="15">
        <f t="shared" si="260"/>
        <v>4.4509999999999996</v>
      </c>
      <c r="I484" s="15">
        <f t="shared" si="260"/>
        <v>7.1840000000000002</v>
      </c>
      <c r="J484" s="176">
        <f t="shared" si="260"/>
        <v>9.8580000000000005</v>
      </c>
      <c r="K484" s="6">
        <f t="shared" ca="1" si="260"/>
        <v>10.702</v>
      </c>
      <c r="L484" s="6">
        <f t="shared" ca="1" si="260"/>
        <v>12.72772</v>
      </c>
      <c r="M484" s="6">
        <f t="shared" ca="1" si="260"/>
        <v>14.793954400000001</v>
      </c>
      <c r="N484" s="6">
        <f t="shared" ca="1" si="260"/>
        <v>16.901513487999999</v>
      </c>
      <c r="O484" s="6">
        <f t="shared" ca="1" si="260"/>
        <v>19.051223757759999</v>
      </c>
      <c r="P484" s="6">
        <f t="shared" ca="1" si="260"/>
        <v>21.243928232915202</v>
      </c>
      <c r="Q484" s="6">
        <f t="shared" ca="1" si="260"/>
        <v>23.480486797573505</v>
      </c>
      <c r="R484" s="104">
        <f t="shared" ca="1" si="260"/>
        <v>25.761776533524976</v>
      </c>
      <c r="S484" s="104">
        <f t="shared" ca="1" si="260"/>
        <v>28.088692064195477</v>
      </c>
      <c r="T484" s="171">
        <f t="shared" ca="1" si="260"/>
        <v>30.462145905479389</v>
      </c>
    </row>
    <row r="485" spans="1:20" ht="15">
      <c r="A485" s="2" t="s">
        <v>496</v>
      </c>
      <c r="D485" s="34">
        <f t="shared" ref="D485:T485" si="261">SUM(D$477:D$480)-SUM(D$481:D$484)</f>
        <v>6.0359999999999872</v>
      </c>
      <c r="E485" s="138">
        <f t="shared" si="261"/>
        <v>-14.308000000000007</v>
      </c>
      <c r="F485" s="33">
        <f t="shared" si="261"/>
        <v>-10.396999999999991</v>
      </c>
      <c r="G485" s="33">
        <f t="shared" si="261"/>
        <v>-11.734999999999985</v>
      </c>
      <c r="H485" s="33">
        <f t="shared" si="261"/>
        <v>-5.2599999999999909</v>
      </c>
      <c r="I485" s="33">
        <f t="shared" si="261"/>
        <v>-1.1059999999999945</v>
      </c>
      <c r="J485" s="137">
        <f t="shared" si="261"/>
        <v>0.75999999999997669</v>
      </c>
      <c r="K485" s="37">
        <f t="shared" ca="1" si="261"/>
        <v>4.337426586679328</v>
      </c>
      <c r="L485" s="37">
        <f t="shared" ca="1" si="261"/>
        <v>5.5134005627246836</v>
      </c>
      <c r="M485" s="37">
        <f t="shared" ca="1" si="261"/>
        <v>6.262624206363995</v>
      </c>
      <c r="N485" s="37">
        <f t="shared" ca="1" si="261"/>
        <v>7.1902795315645847</v>
      </c>
      <c r="O485" s="37">
        <f t="shared" ca="1" si="261"/>
        <v>8.4220603788873518</v>
      </c>
      <c r="P485" s="37">
        <f t="shared" ca="1" si="261"/>
        <v>9.3073211528617037</v>
      </c>
      <c r="Q485" s="37">
        <f t="shared" ca="1" si="261"/>
        <v>10.237675851099738</v>
      </c>
      <c r="R485" s="37">
        <f t="shared" ca="1" si="261"/>
        <v>11.178276642396781</v>
      </c>
      <c r="S485" s="37">
        <f t="shared" ca="1" si="261"/>
        <v>12.14074415628167</v>
      </c>
      <c r="T485" s="140">
        <f t="shared" ca="1" si="261"/>
        <v>13.228752080482877</v>
      </c>
    </row>
    <row r="486" spans="1:20">
      <c r="A486" s="1" t="s">
        <v>600</v>
      </c>
      <c r="B486" s="4" t="str">
        <f>$B$39</f>
        <v>From Fiscal Forecasts</v>
      </c>
      <c r="D486" s="14">
        <f>-'Fiscal Forecasts'!D$379</f>
        <v>3.0019999999999998</v>
      </c>
      <c r="E486" s="175">
        <f>-'Fiscal Forecasts'!E$379</f>
        <v>2.9550000000000001</v>
      </c>
      <c r="F486" s="15">
        <f>-'Fiscal Forecasts'!F$379</f>
        <v>3.536</v>
      </c>
      <c r="G486" s="15">
        <f>-'Fiscal Forecasts'!G$379</f>
        <v>4.6120000000000001</v>
      </c>
      <c r="H486" s="15">
        <f>-'Fiscal Forecasts'!H$379</f>
        <v>3.7909999999999999</v>
      </c>
      <c r="I486" s="15">
        <f>-'Fiscal Forecasts'!I$379</f>
        <v>3.2869999999999999</v>
      </c>
      <c r="J486" s="176">
        <f>-'Fiscal Forecasts'!J$379</f>
        <v>2.5329999999999999</v>
      </c>
      <c r="K486" s="131">
        <f t="shared" ref="K486:T486" ca="1" si="262">SUM(K$418-J$418,K$212,K$433-J$433,K$218)</f>
        <v>2.2681275819757323</v>
      </c>
      <c r="L486" s="131">
        <f t="shared" ca="1" si="262"/>
        <v>2.4205177520766408</v>
      </c>
      <c r="M486" s="131">
        <f t="shared" ca="1" si="262"/>
        <v>2.5571624386802125</v>
      </c>
      <c r="N486" s="131">
        <f t="shared" ca="1" si="262"/>
        <v>2.6968576983011308</v>
      </c>
      <c r="O486" s="131">
        <f t="shared" ca="1" si="262"/>
        <v>2.8329931538271986</v>
      </c>
      <c r="P486" s="131">
        <f t="shared" ca="1" si="262"/>
        <v>2.9675102041532098</v>
      </c>
      <c r="Q486" s="131">
        <f t="shared" ca="1" si="262"/>
        <v>3.1192418685384049</v>
      </c>
      <c r="R486" s="131">
        <f t="shared" ca="1" si="262"/>
        <v>3.2736160994596344</v>
      </c>
      <c r="S486" s="131">
        <f t="shared" ca="1" si="262"/>
        <v>3.4308722647075345</v>
      </c>
      <c r="T486" s="171">
        <f t="shared" ca="1" si="262"/>
        <v>3.592978790459501</v>
      </c>
    </row>
    <row r="487" spans="1:20">
      <c r="A487" s="1" t="s">
        <v>610</v>
      </c>
      <c r="B487" s="4" t="str">
        <f>$B$39</f>
        <v>From Fiscal Forecasts</v>
      </c>
      <c r="D487" s="14">
        <f>-'Fiscal Forecasts'!D$380</f>
        <v>8.5999999999999993E-2</v>
      </c>
      <c r="E487" s="175">
        <f>-'Fiscal Forecasts'!E$380</f>
        <v>1.798</v>
      </c>
      <c r="F487" s="15">
        <f>-'Fiscal Forecasts'!F$380</f>
        <v>5.7469999999999999</v>
      </c>
      <c r="G487" s="15">
        <f>-'Fiscal Forecasts'!G$380</f>
        <v>14.175000000000001</v>
      </c>
      <c r="H487" s="15">
        <f>-'Fiscal Forecasts'!H$380</f>
        <v>9.5950000000000006</v>
      </c>
      <c r="I487" s="15">
        <f>-'Fiscal Forecasts'!I$380</f>
        <v>-6.484</v>
      </c>
      <c r="J487" s="176">
        <f>-'Fiscal Forecasts'!J$380</f>
        <v>-12.897</v>
      </c>
      <c r="K487" s="131">
        <f ca="1">SUM(K$392-J$392,-(K$151-K$263),K$393-J$393,K$394-J$394)</f>
        <v>-8.7061946567898936</v>
      </c>
      <c r="L487" s="171">
        <f t="shared" ref="L487:T487" ca="1" si="263">SUM(L$392-K$392,-(L$151-L$263),L$393-K$393,L$394-K$394)</f>
        <v>0.64858398757289337</v>
      </c>
      <c r="M487" s="171">
        <f t="shared" ca="1" si="263"/>
        <v>0.67146947020652759</v>
      </c>
      <c r="N487" s="171">
        <f t="shared" ca="1" si="263"/>
        <v>0.69748090166181997</v>
      </c>
      <c r="O487" s="171">
        <f t="shared" ca="1" si="263"/>
        <v>0.71616643155833004</v>
      </c>
      <c r="P487" s="171">
        <f t="shared" ca="1" si="263"/>
        <v>0.7209486062510585</v>
      </c>
      <c r="Q487" s="171">
        <f t="shared" ca="1" si="263"/>
        <v>0.75735863423791472</v>
      </c>
      <c r="R487" s="171">
        <f t="shared" ca="1" si="263"/>
        <v>0.78604584860029225</v>
      </c>
      <c r="S487" s="171">
        <f t="shared" ca="1" si="263"/>
        <v>0.80851522730099434</v>
      </c>
      <c r="T487" s="171">
        <f t="shared" ca="1" si="263"/>
        <v>0.82974305647063296</v>
      </c>
    </row>
    <row r="488" spans="1:20">
      <c r="A488" s="1" t="s">
        <v>611</v>
      </c>
      <c r="B488" s="4" t="str">
        <f>$B$39</f>
        <v>From Fiscal Forecasts</v>
      </c>
      <c r="D488" s="14">
        <f>-'Fiscal Forecasts'!D$381</f>
        <v>2.6579999999999999</v>
      </c>
      <c r="E488" s="175">
        <f>-'Fiscal Forecasts'!E$381</f>
        <v>3.1709999999999998</v>
      </c>
      <c r="F488" s="15">
        <f>-'Fiscal Forecasts'!F$381</f>
        <v>4.2770000000000001</v>
      </c>
      <c r="G488" s="15">
        <f>-'Fiscal Forecasts'!G$381</f>
        <v>6.6820000000000004</v>
      </c>
      <c r="H488" s="15">
        <f>-'Fiscal Forecasts'!H$381</f>
        <v>4.1619999999999999</v>
      </c>
      <c r="I488" s="15">
        <f>-'Fiscal Forecasts'!I$381</f>
        <v>4.1070000000000002</v>
      </c>
      <c r="J488" s="176">
        <f>-'Fiscal Forecasts'!J$381</f>
        <v>3.1320000000000001</v>
      </c>
      <c r="K488" s="131">
        <f t="shared" ref="K488:T488" ca="1" si="264">SUM(K$429-J$429,-K$340)</f>
        <v>0.60178727116334729</v>
      </c>
      <c r="L488" s="131">
        <f t="shared" ca="1" si="264"/>
        <v>0.59763209103981252</v>
      </c>
      <c r="M488" s="131">
        <f t="shared" ca="1" si="264"/>
        <v>0.60036692223624211</v>
      </c>
      <c r="N488" s="131">
        <f t="shared" ca="1" si="264"/>
        <v>0.625359533378265</v>
      </c>
      <c r="O488" s="131">
        <f t="shared" ca="1" si="264"/>
        <v>0.65089345428832746</v>
      </c>
      <c r="P488" s="131">
        <f t="shared" ca="1" si="264"/>
        <v>0.67696571671354444</v>
      </c>
      <c r="Q488" s="131">
        <f t="shared" ca="1" si="264"/>
        <v>0.70357440209764555</v>
      </c>
      <c r="R488" s="131">
        <f t="shared" ca="1" si="264"/>
        <v>0.7306478409734708</v>
      </c>
      <c r="S488" s="131">
        <f t="shared" ca="1" si="264"/>
        <v>0.75816443418285806</v>
      </c>
      <c r="T488" s="171">
        <f t="shared" ca="1" si="264"/>
        <v>0.78649684506991868</v>
      </c>
    </row>
    <row r="489" spans="1:20">
      <c r="A489" s="1" t="s">
        <v>503</v>
      </c>
      <c r="D489" s="14">
        <f t="shared" ref="D489:T489" si="265">D$380</f>
        <v>1</v>
      </c>
      <c r="E489" s="175">
        <f t="shared" si="265"/>
        <v>1.46</v>
      </c>
      <c r="F489" s="15">
        <f t="shared" si="265"/>
        <v>2.12</v>
      </c>
      <c r="G489" s="15">
        <f t="shared" si="265"/>
        <v>2.42</v>
      </c>
      <c r="H489" s="15">
        <f t="shared" si="265"/>
        <v>1.351</v>
      </c>
      <c r="I489" s="15">
        <f t="shared" si="265"/>
        <v>1.63</v>
      </c>
      <c r="J489" s="176">
        <f t="shared" si="265"/>
        <v>1.8979999999999999</v>
      </c>
      <c r="K489" s="6">
        <f t="shared" si="265"/>
        <v>1.6879782431057286</v>
      </c>
      <c r="L489" s="6">
        <f t="shared" si="265"/>
        <v>1.4327527342206707</v>
      </c>
      <c r="M489" s="6">
        <f t="shared" si="265"/>
        <v>1.1647696793195053</v>
      </c>
      <c r="N489" s="6">
        <f t="shared" si="265"/>
        <v>0.9340167943912725</v>
      </c>
      <c r="O489" s="6">
        <f t="shared" si="265"/>
        <v>0.7315037003943381</v>
      </c>
      <c r="P489" s="6">
        <f t="shared" si="265"/>
        <v>0.54727674926238734</v>
      </c>
      <c r="Q489" s="6">
        <f t="shared" si="265"/>
        <v>0.35386359603993611</v>
      </c>
      <c r="R489" s="104">
        <f t="shared" si="265"/>
        <v>0.12684560172290915</v>
      </c>
      <c r="S489" s="104">
        <f t="shared" si="265"/>
        <v>-0.13285652283220983</v>
      </c>
      <c r="T489" s="171">
        <f t="shared" si="265"/>
        <v>-0.37678819574019329</v>
      </c>
    </row>
    <row r="490" spans="1:20">
      <c r="A490" s="1" t="s">
        <v>590</v>
      </c>
      <c r="D490" s="14">
        <f>SUM(D$442-C$442,D$443-C$443)</f>
        <v>0</v>
      </c>
      <c r="E490" s="175">
        <f t="shared" ref="E490:T490" si="266">SUM(E$442-D$442,E$443-D$443)</f>
        <v>0</v>
      </c>
      <c r="F490" s="15">
        <f t="shared" si="266"/>
        <v>-0.8</v>
      </c>
      <c r="G490" s="15">
        <f t="shared" si="266"/>
        <v>-0.3919999999999999</v>
      </c>
      <c r="H490" s="15">
        <f t="shared" si="266"/>
        <v>1.4950000000000001</v>
      </c>
      <c r="I490" s="15">
        <f t="shared" si="266"/>
        <v>2.3530000000000006</v>
      </c>
      <c r="J490" s="176">
        <f t="shared" si="266"/>
        <v>2.8100000000000005</v>
      </c>
      <c r="K490" s="6">
        <f t="shared" ca="1" si="266"/>
        <v>4.4014999999999969</v>
      </c>
      <c r="L490" s="6">
        <f t="shared" ca="1" si="266"/>
        <v>3.947910000000002</v>
      </c>
      <c r="M490" s="6">
        <f t="shared" ca="1" si="266"/>
        <v>4.0268682</v>
      </c>
      <c r="N490" s="6">
        <f t="shared" ca="1" si="266"/>
        <v>4.1074055639999987</v>
      </c>
      <c r="O490" s="6">
        <f t="shared" ca="1" si="266"/>
        <v>4.1895536752800027</v>
      </c>
      <c r="P490" s="6">
        <f t="shared" ca="1" si="266"/>
        <v>4.2733447487856013</v>
      </c>
      <c r="Q490" s="6">
        <f t="shared" ca="1" si="266"/>
        <v>4.3588116437613129</v>
      </c>
      <c r="R490" s="104">
        <f t="shared" ca="1" si="266"/>
        <v>4.445987876636539</v>
      </c>
      <c r="S490" s="104">
        <f t="shared" ca="1" si="266"/>
        <v>4.5349076341692713</v>
      </c>
      <c r="T490" s="171">
        <f t="shared" ca="1" si="266"/>
        <v>4.6256057868526543</v>
      </c>
    </row>
    <row r="491" spans="1:20" ht="15">
      <c r="A491" s="2" t="s">
        <v>497</v>
      </c>
      <c r="D491" s="34">
        <f t="shared" ref="D491:T491" si="267">-SUM(D$486:D$490)</f>
        <v>-6.7459999999999996</v>
      </c>
      <c r="E491" s="138">
        <f t="shared" si="267"/>
        <v>-9.3840000000000003</v>
      </c>
      <c r="F491" s="33">
        <f t="shared" si="267"/>
        <v>-14.879999999999999</v>
      </c>
      <c r="G491" s="33">
        <f t="shared" si="267"/>
        <v>-27.497000000000003</v>
      </c>
      <c r="H491" s="33">
        <f t="shared" si="267"/>
        <v>-20.394000000000002</v>
      </c>
      <c r="I491" s="33">
        <f t="shared" si="267"/>
        <v>-4.8930000000000007</v>
      </c>
      <c r="J491" s="137">
        <f t="shared" si="267"/>
        <v>2.5240000000000009</v>
      </c>
      <c r="K491" s="37">
        <f t="shared" ca="1" si="267"/>
        <v>-0.25319843945491183</v>
      </c>
      <c r="L491" s="37">
        <f t="shared" ca="1" si="267"/>
        <v>-9.0473965649100201</v>
      </c>
      <c r="M491" s="37">
        <f t="shared" ca="1" si="267"/>
        <v>-9.0206367104424885</v>
      </c>
      <c r="N491" s="37">
        <f t="shared" ca="1" si="267"/>
        <v>-9.0611204917324866</v>
      </c>
      <c r="O491" s="37">
        <f t="shared" ca="1" si="267"/>
        <v>-9.1211104153481983</v>
      </c>
      <c r="P491" s="37">
        <f t="shared" ca="1" si="267"/>
        <v>-9.1860460251658012</v>
      </c>
      <c r="Q491" s="37">
        <f t="shared" ca="1" si="267"/>
        <v>-9.2928501446752136</v>
      </c>
      <c r="R491" s="37">
        <f t="shared" ca="1" si="267"/>
        <v>-9.3631432673928465</v>
      </c>
      <c r="S491" s="37">
        <f t="shared" ca="1" si="267"/>
        <v>-9.3996030375284487</v>
      </c>
      <c r="T491" s="140">
        <f t="shared" ca="1" si="267"/>
        <v>-9.4580362831125129</v>
      </c>
    </row>
    <row r="492" spans="1:20" ht="15">
      <c r="A492" s="2" t="s">
        <v>498</v>
      </c>
      <c r="D492" s="35">
        <f t="shared" ref="D492:T492" si="268">SUM(D$485,D$491)</f>
        <v>-0.7100000000000124</v>
      </c>
      <c r="E492" s="35">
        <f t="shared" si="268"/>
        <v>-23.692000000000007</v>
      </c>
      <c r="F492" s="36">
        <f t="shared" si="268"/>
        <v>-25.27699999999999</v>
      </c>
      <c r="G492" s="36">
        <f t="shared" si="268"/>
        <v>-39.231999999999985</v>
      </c>
      <c r="H492" s="36">
        <f t="shared" si="268"/>
        <v>-25.653999999999993</v>
      </c>
      <c r="I492" s="36">
        <f t="shared" si="268"/>
        <v>-5.9989999999999952</v>
      </c>
      <c r="J492" s="139">
        <f t="shared" si="268"/>
        <v>3.2839999999999776</v>
      </c>
      <c r="K492" s="27">
        <f t="shared" ca="1" si="268"/>
        <v>4.0842281472244162</v>
      </c>
      <c r="L492" s="27">
        <f t="shared" ca="1" si="268"/>
        <v>-3.5339960021853365</v>
      </c>
      <c r="M492" s="27">
        <f t="shared" ca="1" si="268"/>
        <v>-2.7580125040784935</v>
      </c>
      <c r="N492" s="27">
        <f t="shared" ca="1" si="268"/>
        <v>-1.8708409601679019</v>
      </c>
      <c r="O492" s="27">
        <f t="shared" ca="1" si="268"/>
        <v>-0.69905003646084651</v>
      </c>
      <c r="P492" s="27">
        <f t="shared" ca="1" si="268"/>
        <v>0.12127512769590254</v>
      </c>
      <c r="Q492" s="27">
        <f t="shared" ca="1" si="268"/>
        <v>0.94482570642452401</v>
      </c>
      <c r="R492" s="27">
        <f t="shared" ca="1" si="268"/>
        <v>1.8151333750039349</v>
      </c>
      <c r="S492" s="27">
        <f t="shared" ca="1" si="268"/>
        <v>2.7411411187532213</v>
      </c>
      <c r="T492" s="136">
        <f t="shared" ca="1" si="268"/>
        <v>3.7707157973703644</v>
      </c>
    </row>
    <row r="493" spans="1:20" ht="15">
      <c r="A493" s="2" t="s">
        <v>1162</v>
      </c>
      <c r="B493" s="4" t="str">
        <f>$B$60</f>
        <v>Projected Years only</v>
      </c>
      <c r="E493" s="167"/>
      <c r="J493" s="167"/>
      <c r="K493" s="5" t="str">
        <f t="shared" ref="K493:T493" ca="1" si="269">IF(ROUND(SUM(K$492,K$78-J$78,K$497),3)=0,"OK","ERROR")</f>
        <v>OK</v>
      </c>
      <c r="L493" s="5" t="str">
        <f t="shared" ca="1" si="269"/>
        <v>OK</v>
      </c>
      <c r="M493" s="5" t="str">
        <f t="shared" ca="1" si="269"/>
        <v>OK</v>
      </c>
      <c r="N493" s="5" t="str">
        <f t="shared" ca="1" si="269"/>
        <v>OK</v>
      </c>
      <c r="O493" s="5" t="str">
        <f t="shared" ca="1" si="269"/>
        <v>OK</v>
      </c>
      <c r="P493" s="5" t="str">
        <f t="shared" ca="1" si="269"/>
        <v>OK</v>
      </c>
      <c r="Q493" s="5" t="str">
        <f t="shared" ca="1" si="269"/>
        <v>OK</v>
      </c>
      <c r="R493" s="5" t="str">
        <f t="shared" ca="1" si="269"/>
        <v>OK</v>
      </c>
      <c r="S493" s="5" t="str">
        <f t="shared" ca="1" si="269"/>
        <v>OK</v>
      </c>
      <c r="T493" s="170" t="str">
        <f t="shared" ca="1" si="269"/>
        <v>OK</v>
      </c>
    </row>
    <row r="494" spans="1:20" ht="15">
      <c r="A494" s="2"/>
      <c r="B494" s="4"/>
      <c r="E494" s="167"/>
      <c r="J494" s="167"/>
    </row>
    <row r="495" spans="1:20" ht="15">
      <c r="A495" s="2" t="s">
        <v>356</v>
      </c>
      <c r="B495" s="4" t="str">
        <f>$B$39</f>
        <v>From Fiscal Forecasts</v>
      </c>
      <c r="D495" s="39">
        <f>'Fiscal Forecasts'!D$385</f>
        <v>-4.9580000000000002</v>
      </c>
      <c r="E495" s="142">
        <f>'Fiscal Forecasts'!E$385</f>
        <v>33.061999999999998</v>
      </c>
      <c r="F495" s="38">
        <f>'Fiscal Forecasts'!F$385</f>
        <v>5.3689999999999998</v>
      </c>
      <c r="G495" s="38">
        <f>'Fiscal Forecasts'!G$385</f>
        <v>40.652000000000001</v>
      </c>
      <c r="H495" s="38">
        <f>'Fiscal Forecasts'!H$385</f>
        <v>15.315</v>
      </c>
      <c r="I495" s="38">
        <f>'Fiscal Forecasts'!I$385</f>
        <v>4.4459999999999997</v>
      </c>
      <c r="J495" s="141">
        <f>'Fiscal Forecasts'!J$385</f>
        <v>-4.548</v>
      </c>
      <c r="K495" s="7">
        <f t="shared" ref="K495:T495" ca="1" si="270">-SUM(K$485,K$491,K$499)</f>
        <v>-3.3137348803864235</v>
      </c>
      <c r="L495" s="7">
        <f t="shared" ca="1" si="270"/>
        <v>4.2659382650587609</v>
      </c>
      <c r="M495" s="7">
        <f t="shared" ca="1" si="270"/>
        <v>3.4491254574247976</v>
      </c>
      <c r="N495" s="7">
        <f t="shared" ca="1" si="270"/>
        <v>2.5314183751940638</v>
      </c>
      <c r="O495" s="7">
        <f t="shared" ca="1" si="270"/>
        <v>1.3090621189812364</v>
      </c>
      <c r="P495" s="7">
        <f t="shared" ca="1" si="270"/>
        <v>0.4296621916154848</v>
      </c>
      <c r="Q495" s="7">
        <f t="shared" ca="1" si="270"/>
        <v>-0.38255314423440545</v>
      </c>
      <c r="R495" s="7">
        <f t="shared" ca="1" si="270"/>
        <v>-1.243040029381409</v>
      </c>
      <c r="S495" s="7">
        <f t="shared" ca="1" si="270"/>
        <v>-2.1596834051066232</v>
      </c>
      <c r="T495" s="134">
        <f t="shared" ca="1" si="270"/>
        <v>-3.1720189045126572</v>
      </c>
    </row>
    <row r="496" spans="1:20">
      <c r="A496" s="1" t="s">
        <v>624</v>
      </c>
      <c r="B496" s="4" t="str">
        <f>$B$39</f>
        <v>From Fiscal Forecasts</v>
      </c>
      <c r="D496" s="14">
        <f>-'Fiscal Forecasts'!D$386</f>
        <v>-5.1630000000000003</v>
      </c>
      <c r="E496" s="175">
        <f>-'Fiscal Forecasts'!E$386</f>
        <v>14.911</v>
      </c>
      <c r="F496" s="15">
        <f>-'Fiscal Forecasts'!F$386</f>
        <v>-12.401</v>
      </c>
      <c r="G496" s="15">
        <f>-'Fiscal Forecasts'!G$386</f>
        <v>1.581</v>
      </c>
      <c r="H496" s="15">
        <f>-'Fiscal Forecasts'!H$386</f>
        <v>-10.26</v>
      </c>
      <c r="I496" s="15">
        <f>-'Fiscal Forecasts'!I$386</f>
        <v>-1.47</v>
      </c>
      <c r="J496" s="176">
        <f>-'Fiscal Forecasts'!J$386</f>
        <v>-1.1719999999999999</v>
      </c>
      <c r="K496" s="6">
        <f t="shared" ref="K496:T496" ca="1" si="271">SUM(K$358-J$358,K$367-J$367)</f>
        <v>0.84428581382076029</v>
      </c>
      <c r="L496" s="6">
        <f t="shared" ca="1" si="271"/>
        <v>0.8275789510401923</v>
      </c>
      <c r="M496" s="6">
        <f t="shared" ca="1" si="271"/>
        <v>0.8158860719996941</v>
      </c>
      <c r="N496" s="6">
        <f t="shared" ca="1" si="271"/>
        <v>0.82735973760658243</v>
      </c>
      <c r="O496" s="6">
        <f t="shared" ca="1" si="271"/>
        <v>0.81753224655569401</v>
      </c>
      <c r="P496" s="6">
        <f t="shared" ca="1" si="271"/>
        <v>0.80400042535717375</v>
      </c>
      <c r="Q496" s="6">
        <f t="shared" ca="1" si="271"/>
        <v>0.82054230730377231</v>
      </c>
      <c r="R496" s="104">
        <f t="shared" ca="1" si="271"/>
        <v>0.83487409021306469</v>
      </c>
      <c r="S496" s="104">
        <f t="shared" ca="1" si="271"/>
        <v>0.84853981154042923</v>
      </c>
      <c r="T496" s="171">
        <f t="shared" ca="1" si="271"/>
        <v>0.87369749633089455</v>
      </c>
    </row>
    <row r="497" spans="1:20">
      <c r="A497" s="1" t="s">
        <v>175</v>
      </c>
      <c r="B497" s="4"/>
      <c r="D497" s="14">
        <f t="shared" ref="D497:J497" si="272">D$101</f>
        <v>0.437</v>
      </c>
      <c r="E497" s="175">
        <f t="shared" si="272"/>
        <v>1.2090000000000001</v>
      </c>
      <c r="F497" s="15">
        <f t="shared" si="272"/>
        <v>0.39700000000000002</v>
      </c>
      <c r="G497" s="15">
        <f t="shared" si="272"/>
        <v>8.4000000000000005E-2</v>
      </c>
      <c r="H497" s="15">
        <f t="shared" si="272"/>
        <v>8.5000000000000006E-2</v>
      </c>
      <c r="I497" s="15">
        <f t="shared" si="272"/>
        <v>8.5999999999999993E-2</v>
      </c>
      <c r="J497" s="176">
        <f t="shared" si="272"/>
        <v>8.6999999999999994E-2</v>
      </c>
      <c r="K497" s="6">
        <f t="shared" ref="K497:T497" ca="1" si="273">K$446-J$446</f>
        <v>0.53038776082030736</v>
      </c>
      <c r="L497" s="6">
        <f t="shared" ca="1" si="273"/>
        <v>0.51303615899590937</v>
      </c>
      <c r="M497" s="6">
        <f t="shared" ca="1" si="273"/>
        <v>0.4968179046502037</v>
      </c>
      <c r="N497" s="6">
        <f t="shared" ca="1" si="273"/>
        <v>0.49196157767946858</v>
      </c>
      <c r="O497" s="6">
        <f t="shared" ca="1" si="273"/>
        <v>0.47354997742143112</v>
      </c>
      <c r="P497" s="6">
        <f t="shared" ca="1" si="273"/>
        <v>0.4513023581001363</v>
      </c>
      <c r="Q497" s="6">
        <f t="shared" ca="1" si="273"/>
        <v>0.4605876645433451</v>
      </c>
      <c r="R497" s="104">
        <f t="shared" ca="1" si="273"/>
        <v>0.468632395887699</v>
      </c>
      <c r="S497" s="104">
        <f t="shared" ca="1" si="273"/>
        <v>0.47630325284954544</v>
      </c>
      <c r="T497" s="171">
        <f t="shared" ca="1" si="273"/>
        <v>0.49042479073956891</v>
      </c>
    </row>
    <row r="498" spans="1:20">
      <c r="A498" s="1" t="s">
        <v>999</v>
      </c>
      <c r="B498" s="4" t="str">
        <f>$B$39</f>
        <v>From Fiscal Forecasts</v>
      </c>
      <c r="D498" s="14">
        <f>-'Fiscal Forecasts'!D$387</f>
        <v>-6.8000000000000005E-2</v>
      </c>
      <c r="E498" s="175">
        <f>-'Fiscal Forecasts'!E$387</f>
        <v>-4.3319999999999999</v>
      </c>
      <c r="F498" s="15">
        <f>-'Fiscal Forecasts'!F$387</f>
        <v>-7.11</v>
      </c>
      <c r="G498" s="15">
        <f>-'Fiscal Forecasts'!G$387</f>
        <v>-7.6999999999999999E-2</v>
      </c>
      <c r="H498" s="15">
        <f>-'Fiscal Forecasts'!H$387</f>
        <v>6.0000000000000001E-3</v>
      </c>
      <c r="I498" s="15">
        <f>-'Fiscal Forecasts'!I$387</f>
        <v>3.0000000000000001E-3</v>
      </c>
      <c r="J498" s="176">
        <f>-'Fiscal Forecasts'!J$387</f>
        <v>-5.0000000000000001E-3</v>
      </c>
      <c r="K498" s="6">
        <f t="shared" ref="K498:T498" ca="1" si="274">K$345-J$345</f>
        <v>0.45659521383753976</v>
      </c>
      <c r="L498" s="6">
        <f t="shared" ca="1" si="274"/>
        <v>0.41739947082914153</v>
      </c>
      <c r="M498" s="6">
        <f t="shared" ca="1" si="274"/>
        <v>0.37204478599681368</v>
      </c>
      <c r="N498" s="6">
        <f t="shared" ca="1" si="274"/>
        <v>0.32517925509904799</v>
      </c>
      <c r="O498" s="6">
        <f t="shared" ca="1" si="274"/>
        <v>0.26602981338612697</v>
      </c>
      <c r="P498" s="6">
        <f t="shared" ca="1" si="274"/>
        <v>0.19823925205434989</v>
      </c>
      <c r="Q498" s="6">
        <f t="shared" ca="1" si="274"/>
        <v>0.20231791942969135</v>
      </c>
      <c r="R498" s="104">
        <f t="shared" ca="1" si="274"/>
        <v>0.20585165129716021</v>
      </c>
      <c r="S498" s="104">
        <f t="shared" ca="1" si="274"/>
        <v>0.20922115495571436</v>
      </c>
      <c r="T498" s="171">
        <f t="shared" ca="1" si="274"/>
        <v>0.21542418726638157</v>
      </c>
    </row>
    <row r="499" spans="1:20" ht="15">
      <c r="A499" s="2" t="s">
        <v>499</v>
      </c>
      <c r="D499" s="34">
        <f t="shared" ref="D499:T499" si="275">SUM(-D$496,D$497,-D$498)</f>
        <v>5.6680000000000001</v>
      </c>
      <c r="E499" s="138">
        <f t="shared" si="275"/>
        <v>-9.370000000000001</v>
      </c>
      <c r="F499" s="33">
        <f t="shared" si="275"/>
        <v>19.908000000000001</v>
      </c>
      <c r="G499" s="33">
        <f t="shared" si="275"/>
        <v>-1.42</v>
      </c>
      <c r="H499" s="33">
        <f t="shared" si="275"/>
        <v>10.339</v>
      </c>
      <c r="I499" s="33">
        <f t="shared" si="275"/>
        <v>1.5530000000000002</v>
      </c>
      <c r="J499" s="137">
        <f t="shared" si="275"/>
        <v>1.2639999999999998</v>
      </c>
      <c r="K499" s="37">
        <f t="shared" ca="1" si="275"/>
        <v>-0.77049326683799269</v>
      </c>
      <c r="L499" s="37">
        <f t="shared" ca="1" si="275"/>
        <v>-0.73194226287342445</v>
      </c>
      <c r="M499" s="37">
        <f t="shared" ca="1" si="275"/>
        <v>-0.69111295334630407</v>
      </c>
      <c r="N499" s="37">
        <f t="shared" ca="1" si="275"/>
        <v>-0.66057741502616185</v>
      </c>
      <c r="O499" s="37">
        <f t="shared" ca="1" si="275"/>
        <v>-0.61001208252038985</v>
      </c>
      <c r="P499" s="37">
        <f t="shared" ca="1" si="275"/>
        <v>-0.55093731931138734</v>
      </c>
      <c r="Q499" s="37">
        <f t="shared" ca="1" si="275"/>
        <v>-0.56227256219011856</v>
      </c>
      <c r="R499" s="37">
        <f t="shared" ca="1" si="275"/>
        <v>-0.5720933456225259</v>
      </c>
      <c r="S499" s="37">
        <f t="shared" ca="1" si="275"/>
        <v>-0.58145771364659815</v>
      </c>
      <c r="T499" s="140">
        <f t="shared" ca="1" si="275"/>
        <v>-0.59869689285770722</v>
      </c>
    </row>
    <row r="500" spans="1:20" ht="15">
      <c r="A500" s="2" t="s">
        <v>584</v>
      </c>
      <c r="D500" s="5" t="str">
        <f t="shared" ref="D500:T500" si="276">IF(ROUND(SUM(D$492,D$495,D$499),3)=0,"OK","ERROR")</f>
        <v>OK</v>
      </c>
      <c r="E500" s="170" t="str">
        <f t="shared" si="276"/>
        <v>OK</v>
      </c>
      <c r="F500" s="5" t="str">
        <f t="shared" si="276"/>
        <v>OK</v>
      </c>
      <c r="G500" s="5" t="str">
        <f t="shared" si="276"/>
        <v>OK</v>
      </c>
      <c r="H500" s="5" t="str">
        <f t="shared" si="276"/>
        <v>OK</v>
      </c>
      <c r="I500" s="5" t="str">
        <f t="shared" si="276"/>
        <v>OK</v>
      </c>
      <c r="J500" s="170" t="str">
        <f t="shared" si="276"/>
        <v>OK</v>
      </c>
      <c r="K500" s="5" t="str">
        <f t="shared" ca="1" si="276"/>
        <v>OK</v>
      </c>
      <c r="L500" s="5" t="str">
        <f t="shared" ca="1" si="276"/>
        <v>OK</v>
      </c>
      <c r="M500" s="5" t="str">
        <f t="shared" ca="1" si="276"/>
        <v>OK</v>
      </c>
      <c r="N500" s="5" t="str">
        <f t="shared" ca="1" si="276"/>
        <v>OK</v>
      </c>
      <c r="O500" s="5" t="str">
        <f t="shared" ca="1" si="276"/>
        <v>OK</v>
      </c>
      <c r="P500" s="5" t="str">
        <f t="shared" ca="1" si="276"/>
        <v>OK</v>
      </c>
      <c r="Q500" s="5" t="str">
        <f t="shared" ca="1" si="276"/>
        <v>OK</v>
      </c>
      <c r="R500" s="5" t="str">
        <f t="shared" ca="1" si="276"/>
        <v>OK</v>
      </c>
      <c r="S500" s="5" t="str">
        <f t="shared" ca="1" si="276"/>
        <v>OK</v>
      </c>
      <c r="T500" s="170" t="str">
        <f t="shared" ca="1" si="276"/>
        <v>OK</v>
      </c>
    </row>
    <row r="501" spans="1:20" ht="15">
      <c r="D501" s="52"/>
      <c r="E501" s="52"/>
      <c r="F501" s="52"/>
      <c r="G501" s="52"/>
      <c r="H501" s="52"/>
      <c r="I501" s="52"/>
      <c r="J501" s="148"/>
      <c r="K501" s="52"/>
      <c r="L501" s="52"/>
      <c r="M501" s="52"/>
      <c r="N501" s="52"/>
      <c r="O501" s="52"/>
      <c r="P501" s="52"/>
      <c r="Q501" s="52"/>
      <c r="R501" s="52"/>
      <c r="S501" s="52"/>
      <c r="T501" s="148"/>
    </row>
    <row r="502" spans="1:20">
      <c r="A502" s="18" t="s">
        <v>585</v>
      </c>
      <c r="B502" s="4" t="str">
        <f>$B$60</f>
        <v>Projected Years only</v>
      </c>
      <c r="J502" s="167"/>
      <c r="K502" s="167"/>
    </row>
    <row r="503" spans="1:20">
      <c r="A503" s="1" t="s">
        <v>586</v>
      </c>
      <c r="J503" s="167"/>
      <c r="K503" s="6">
        <f t="shared" ref="K503:T503" ca="1" si="277">SUM(K$477-K$376,K$478,K$479,K$480+K$375)-SUM(K$481,K$482+K$377,K$483,K$484)</f>
        <v>3.8569865732119553</v>
      </c>
      <c r="L503" s="6">
        <f t="shared" ca="1" si="277"/>
        <v>4.9945700734377851</v>
      </c>
      <c r="M503" s="6">
        <f t="shared" ca="1" si="277"/>
        <v>5.7047726640034</v>
      </c>
      <c r="N503" s="6">
        <f t="shared" ca="1" si="277"/>
        <v>6.592676480316868</v>
      </c>
      <c r="O503" s="6">
        <f t="shared" ca="1" si="277"/>
        <v>7.783723095186815</v>
      </c>
      <c r="P503" s="6">
        <f t="shared" ca="1" si="277"/>
        <v>8.627059113025723</v>
      </c>
      <c r="Q503" s="6">
        <f t="shared" ca="1" si="277"/>
        <v>9.5141912374628816</v>
      </c>
      <c r="R503" s="104">
        <f t="shared" ca="1" si="277"/>
        <v>10.410322416262176</v>
      </c>
      <c r="S503" s="104">
        <f t="shared" ca="1" si="277"/>
        <v>11.327208540262291</v>
      </c>
      <c r="T503" s="171">
        <f t="shared" ca="1" si="277"/>
        <v>12.368524877440393</v>
      </c>
    </row>
    <row r="504" spans="1:20">
      <c r="A504" s="1" t="s">
        <v>587</v>
      </c>
      <c r="J504" s="167"/>
      <c r="K504" s="131">
        <f t="shared" ref="K504:T504" ca="1" si="278">-SUM(K$486,K$487,K$391-J$391,K$488,K$490,K$496,K$357-J$357,K$366-J$366,K$388-J$388,-K$331)</f>
        <v>-0.44744057057461717</v>
      </c>
      <c r="L504" s="131">
        <f t="shared" ca="1" si="278"/>
        <v>-9.2329074152023924</v>
      </c>
      <c r="M504" s="131">
        <f t="shared" ca="1" si="278"/>
        <v>-9.3421423456553185</v>
      </c>
      <c r="N504" s="131">
        <f t="shared" ca="1" si="278"/>
        <v>-9.3557649739985997</v>
      </c>
      <c r="O504" s="131">
        <f t="shared" ca="1" si="278"/>
        <v>-9.366980936821232</v>
      </c>
      <c r="P504" s="131">
        <f t="shared" ca="1" si="278"/>
        <v>-9.3785396109230206</v>
      </c>
      <c r="Q504" s="131">
        <f t="shared" ca="1" si="278"/>
        <v>-9.4607725727100949</v>
      </c>
      <c r="R504" s="131">
        <f t="shared" ca="1" si="278"/>
        <v>-9.5028208200812685</v>
      </c>
      <c r="S504" s="131">
        <f t="shared" ca="1" si="278"/>
        <v>-9.5090378172736187</v>
      </c>
      <c r="T504" s="171">
        <f t="shared" ca="1" si="278"/>
        <v>-9.5478695508398541</v>
      </c>
    </row>
    <row r="505" spans="1:20">
      <c r="A505" s="1" t="s">
        <v>175</v>
      </c>
      <c r="J505" s="167"/>
      <c r="K505" s="6">
        <f t="shared" ref="K505:T505" ca="1" si="279">K$497</f>
        <v>0.53038776082030736</v>
      </c>
      <c r="L505" s="6">
        <f t="shared" ca="1" si="279"/>
        <v>0.51303615899590937</v>
      </c>
      <c r="M505" s="6">
        <f t="shared" ca="1" si="279"/>
        <v>0.4968179046502037</v>
      </c>
      <c r="N505" s="6">
        <f t="shared" ca="1" si="279"/>
        <v>0.49196157767946858</v>
      </c>
      <c r="O505" s="6">
        <f t="shared" ca="1" si="279"/>
        <v>0.47354997742143112</v>
      </c>
      <c r="P505" s="6">
        <f t="shared" ca="1" si="279"/>
        <v>0.4513023581001363</v>
      </c>
      <c r="Q505" s="6">
        <f t="shared" ca="1" si="279"/>
        <v>0.4605876645433451</v>
      </c>
      <c r="R505" s="104">
        <f t="shared" ca="1" si="279"/>
        <v>0.468632395887699</v>
      </c>
      <c r="S505" s="104">
        <f t="shared" ca="1" si="279"/>
        <v>0.47630325284954544</v>
      </c>
      <c r="T505" s="171">
        <f t="shared" ca="1" si="279"/>
        <v>0.49042479073956891</v>
      </c>
    </row>
    <row r="506" spans="1:20">
      <c r="A506" s="1" t="s">
        <v>598</v>
      </c>
      <c r="J506" s="167"/>
      <c r="K506" s="6">
        <f t="shared" ref="K506:T506" ca="1" si="280">SUM(K$498,K$344-J$344,-K$503,-K$504,-K$505)</f>
        <v>-3.2947116234032472</v>
      </c>
      <c r="L506" s="6">
        <f t="shared" ca="1" si="280"/>
        <v>4.3358489687651058</v>
      </c>
      <c r="M506" s="6">
        <f t="shared" ca="1" si="280"/>
        <v>3.7183968144042936</v>
      </c>
      <c r="N506" s="6">
        <f t="shared" ca="1" si="280"/>
        <v>2.806699933588412</v>
      </c>
      <c r="O506" s="6">
        <f t="shared" ca="1" si="280"/>
        <v>1.5919281252388089</v>
      </c>
      <c r="P506" s="6">
        <f t="shared" ca="1" si="280"/>
        <v>0.72135091988954692</v>
      </c>
      <c r="Q506" s="6">
        <f t="shared" ca="1" si="280"/>
        <v>-8.1914877218709492E-2</v>
      </c>
      <c r="R506" s="104">
        <f t="shared" ca="1" si="280"/>
        <v>-0.93437104739971666</v>
      </c>
      <c r="S506" s="104">
        <f t="shared" ca="1" si="280"/>
        <v>-1.8439172902163588</v>
      </c>
      <c r="T506" s="171">
        <f t="shared" ca="1" si="280"/>
        <v>-2.848054770529302</v>
      </c>
    </row>
    <row r="507" spans="1:20" ht="15">
      <c r="A507" s="2" t="s">
        <v>588</v>
      </c>
      <c r="J507" s="167"/>
      <c r="K507" s="37">
        <f t="shared" ref="K507:T507" ca="1" si="281">SUM(K$503:K$506)</f>
        <v>0.64522214005439826</v>
      </c>
      <c r="L507" s="37">
        <f t="shared" ca="1" si="281"/>
        <v>0.61054778599640791</v>
      </c>
      <c r="M507" s="37">
        <f t="shared" ca="1" si="281"/>
        <v>0.57784503740257875</v>
      </c>
      <c r="N507" s="37">
        <f t="shared" ca="1" si="281"/>
        <v>0.53557301758614884</v>
      </c>
      <c r="O507" s="37">
        <f t="shared" ca="1" si="281"/>
        <v>0.48222026102582305</v>
      </c>
      <c r="P507" s="37">
        <f t="shared" ca="1" si="281"/>
        <v>0.42117278009238568</v>
      </c>
      <c r="Q507" s="37">
        <f t="shared" ca="1" si="281"/>
        <v>0.43209145207742239</v>
      </c>
      <c r="R507" s="37">
        <f t="shared" ca="1" si="281"/>
        <v>0.44176294466888955</v>
      </c>
      <c r="S507" s="37">
        <f t="shared" ca="1" si="281"/>
        <v>0.45055668562185858</v>
      </c>
      <c r="T507" s="140">
        <f t="shared" ca="1" si="281"/>
        <v>0.46302534681080587</v>
      </c>
    </row>
    <row r="508" spans="1:20">
      <c r="A508" s="18" t="s">
        <v>316</v>
      </c>
      <c r="J508" s="167"/>
    </row>
    <row r="509" spans="1:20" ht="15">
      <c r="A509" s="2" t="s">
        <v>313</v>
      </c>
      <c r="J509" s="167"/>
      <c r="K509" s="27">
        <f t="shared" ref="K509:T509" ca="1" si="282">K$503</f>
        <v>3.8569865732119553</v>
      </c>
      <c r="L509" s="27">
        <f t="shared" ca="1" si="282"/>
        <v>4.9945700734377851</v>
      </c>
      <c r="M509" s="27">
        <f t="shared" ca="1" si="282"/>
        <v>5.7047726640034</v>
      </c>
      <c r="N509" s="27">
        <f t="shared" ca="1" si="282"/>
        <v>6.592676480316868</v>
      </c>
      <c r="O509" s="27">
        <f t="shared" ca="1" si="282"/>
        <v>7.783723095186815</v>
      </c>
      <c r="P509" s="27">
        <f t="shared" ca="1" si="282"/>
        <v>8.627059113025723</v>
      </c>
      <c r="Q509" s="27">
        <f t="shared" ca="1" si="282"/>
        <v>9.5141912374628816</v>
      </c>
      <c r="R509" s="27">
        <f t="shared" ca="1" si="282"/>
        <v>10.410322416262176</v>
      </c>
      <c r="S509" s="27">
        <f t="shared" ca="1" si="282"/>
        <v>11.327208540262291</v>
      </c>
      <c r="T509" s="136">
        <f t="shared" ca="1" si="282"/>
        <v>12.368524877440393</v>
      </c>
    </row>
    <row r="510" spans="1:20" ht="15">
      <c r="A510" s="2" t="s">
        <v>143</v>
      </c>
      <c r="J510" s="167"/>
      <c r="K510" s="37">
        <f t="shared" ref="K510:T510" ca="1" si="283">K$333</f>
        <v>5.1029537206181974</v>
      </c>
      <c r="L510" s="37">
        <f t="shared" ca="1" si="283"/>
        <v>5.5068406812592565</v>
      </c>
      <c r="M510" s="37">
        <f t="shared" ca="1" si="283"/>
        <v>5.9173384775573812</v>
      </c>
      <c r="N510" s="37">
        <f t="shared" ca="1" si="283"/>
        <v>6.3356483783900988</v>
      </c>
      <c r="O510" s="37">
        <f t="shared" ca="1" si="283"/>
        <v>6.7642851850203574</v>
      </c>
      <c r="P510" s="37">
        <f t="shared" ca="1" si="283"/>
        <v>7.2054104464261792</v>
      </c>
      <c r="Q510" s="37">
        <f t="shared" ca="1" si="283"/>
        <v>7.6601401682311208</v>
      </c>
      <c r="R510" s="37">
        <f t="shared" ca="1" si="283"/>
        <v>8.1279325145314623</v>
      </c>
      <c r="S510" s="37">
        <f t="shared" ca="1" si="283"/>
        <v>8.6073760589285566</v>
      </c>
      <c r="T510" s="140">
        <f t="shared" ca="1" si="283"/>
        <v>9.098524522367688</v>
      </c>
    </row>
    <row r="511" spans="1:20">
      <c r="A511" s="1" t="s">
        <v>593</v>
      </c>
      <c r="J511" s="167"/>
      <c r="K511" s="6">
        <f t="shared" ref="K511:T511" ca="1" si="284">SUM(K$212,K$218)</f>
        <v>2.1162287164015439</v>
      </c>
      <c r="L511" s="6">
        <f t="shared" ca="1" si="284"/>
        <v>2.2764304970439944</v>
      </c>
      <c r="M511" s="6">
        <f t="shared" ca="1" si="284"/>
        <v>2.421398147462722</v>
      </c>
      <c r="N511" s="6">
        <f t="shared" ca="1" si="284"/>
        <v>2.5674854451139271</v>
      </c>
      <c r="O511" s="6">
        <f t="shared" ca="1" si="284"/>
        <v>2.7139670693101281</v>
      </c>
      <c r="P511" s="6">
        <f t="shared" ca="1" si="284"/>
        <v>2.8605544213696996</v>
      </c>
      <c r="Q511" s="6">
        <f t="shared" ca="1" si="284"/>
        <v>3.0100855273018006</v>
      </c>
      <c r="R511" s="104">
        <f t="shared" ca="1" si="284"/>
        <v>3.1625532081623562</v>
      </c>
      <c r="S511" s="104">
        <f t="shared" ca="1" si="284"/>
        <v>3.3179914291955868</v>
      </c>
      <c r="T511" s="171">
        <f t="shared" ca="1" si="284"/>
        <v>3.4767512404621854</v>
      </c>
    </row>
    <row r="512" spans="1:20">
      <c r="A512" s="1" t="s">
        <v>596</v>
      </c>
      <c r="J512" s="167"/>
      <c r="K512" s="6">
        <f t="shared" ref="K512:T512" si="285">K$263</f>
        <v>0.61699999999999999</v>
      </c>
      <c r="L512" s="6">
        <f t="shared" si="285"/>
        <v>0.65100000000000002</v>
      </c>
      <c r="M512" s="6">
        <f t="shared" si="285"/>
        <v>0.68600000000000005</v>
      </c>
      <c r="N512" s="6">
        <f t="shared" si="285"/>
        <v>0.72</v>
      </c>
      <c r="O512" s="6">
        <f t="shared" si="285"/>
        <v>0.753</v>
      </c>
      <c r="P512" s="6">
        <f t="shared" si="285"/>
        <v>0.78400000000000003</v>
      </c>
      <c r="Q512" s="6">
        <f t="shared" si="285"/>
        <v>0.81299999999999994</v>
      </c>
      <c r="R512" s="104">
        <f t="shared" si="285"/>
        <v>0.84</v>
      </c>
      <c r="S512" s="104">
        <f t="shared" si="285"/>
        <v>0.86499999999999999</v>
      </c>
      <c r="T512" s="171">
        <f t="shared" si="285"/>
        <v>0.88800000000000001</v>
      </c>
    </row>
    <row r="513" spans="1:20">
      <c r="A513" s="1" t="s">
        <v>606</v>
      </c>
      <c r="J513" s="167"/>
      <c r="K513" s="6">
        <f t="shared" ref="K513:T513" ca="1" si="286">K$460-J$460</f>
        <v>1.3163041701922101E-4</v>
      </c>
      <c r="L513" s="6">
        <f t="shared" ca="1" si="286"/>
        <v>1.3172616064581304E-4</v>
      </c>
      <c r="M513" s="6">
        <f t="shared" ca="1" si="286"/>
        <v>1.3151608718210261E-4</v>
      </c>
      <c r="N513" s="6">
        <f t="shared" ca="1" si="286"/>
        <v>1.3274870502738307E-4</v>
      </c>
      <c r="O513" s="6">
        <f t="shared" ca="1" si="286"/>
        <v>1.3398109648101505E-4</v>
      </c>
      <c r="P513" s="6">
        <f t="shared" ca="1" si="286"/>
        <v>1.3517171188539602E-4</v>
      </c>
      <c r="Q513" s="6">
        <f t="shared" ca="1" si="286"/>
        <v>1.3612885300634536E-4</v>
      </c>
      <c r="R513" s="104">
        <f t="shared" ca="1" si="286"/>
        <v>1.370885901067374E-4</v>
      </c>
      <c r="S513" s="104">
        <f t="shared" ca="1" si="286"/>
        <v>1.3814176631668507E-4</v>
      </c>
      <c r="T513" s="171">
        <f t="shared" ca="1" si="286"/>
        <v>1.4089209222972916E-4</v>
      </c>
    </row>
    <row r="514" spans="1:20">
      <c r="A514" s="1" t="s">
        <v>607</v>
      </c>
      <c r="J514" s="167"/>
      <c r="K514" s="6">
        <f t="shared" ref="K514:T514" ca="1" si="287">-K$340</f>
        <v>-1.9558560620821199E-2</v>
      </c>
      <c r="L514" s="6">
        <f t="shared" ca="1" si="287"/>
        <v>-2.0393489066080864E-2</v>
      </c>
      <c r="M514" s="6">
        <f t="shared" ca="1" si="287"/>
        <v>-2.1237781568279695E-2</v>
      </c>
      <c r="N514" s="6">
        <f t="shared" ca="1" si="287"/>
        <v>-2.212188693217651E-2</v>
      </c>
      <c r="O514" s="6">
        <f t="shared" ca="1" si="287"/>
        <v>-2.3025140950318906E-2</v>
      </c>
      <c r="P514" s="6">
        <f t="shared" ca="1" si="287"/>
        <v>-2.3947438621741441E-2</v>
      </c>
      <c r="Q514" s="6">
        <f t="shared" ca="1" si="287"/>
        <v>-2.4888712078150056E-2</v>
      </c>
      <c r="R514" s="104">
        <f t="shared" ca="1" si="287"/>
        <v>-2.5846426035816737E-2</v>
      </c>
      <c r="S514" s="104">
        <f t="shared" ca="1" si="287"/>
        <v>-2.6819816431655628E-2</v>
      </c>
      <c r="T514" s="171">
        <f t="shared" ca="1" si="287"/>
        <v>-2.7822066108371537E-2</v>
      </c>
    </row>
    <row r="515" spans="1:20" ht="15">
      <c r="A515" s="2" t="s">
        <v>597</v>
      </c>
      <c r="J515" s="167"/>
      <c r="K515" s="37">
        <f t="shared" ref="K515:T515" ca="1" si="288">-SUM(K$511:K$514)</f>
        <v>-2.7138017861977417</v>
      </c>
      <c r="L515" s="37">
        <f t="shared" ca="1" si="288"/>
        <v>-2.9071687341385597</v>
      </c>
      <c r="M515" s="37">
        <f t="shared" ca="1" si="288"/>
        <v>-3.0862918819816243</v>
      </c>
      <c r="N515" s="37">
        <f t="shared" ca="1" si="288"/>
        <v>-3.2654963068867784</v>
      </c>
      <c r="O515" s="37">
        <f t="shared" ca="1" si="288"/>
        <v>-3.4440759094562901</v>
      </c>
      <c r="P515" s="37">
        <f t="shared" ca="1" si="288"/>
        <v>-3.6207421544598435</v>
      </c>
      <c r="Q515" s="37">
        <f t="shared" ca="1" si="288"/>
        <v>-3.7983329440766567</v>
      </c>
      <c r="R515" s="37">
        <f t="shared" ca="1" si="288"/>
        <v>-3.976843870716646</v>
      </c>
      <c r="S515" s="37">
        <f t="shared" ca="1" si="288"/>
        <v>-4.1563097545302483</v>
      </c>
      <c r="T515" s="140">
        <f t="shared" ca="1" si="288"/>
        <v>-4.3370700664460431</v>
      </c>
    </row>
    <row r="516" spans="1:20">
      <c r="A516" s="1" t="s">
        <v>187</v>
      </c>
      <c r="J516" s="167"/>
      <c r="K516" s="6">
        <f t="shared" ref="K516:T516" ca="1" si="289">K$353-J$353</f>
        <v>1.1604259116083071</v>
      </c>
      <c r="L516" s="6">
        <f t="shared" ca="1" si="289"/>
        <v>1.0927414482936939</v>
      </c>
      <c r="M516" s="6">
        <f t="shared" ca="1" si="289"/>
        <v>1.2066262484889165</v>
      </c>
      <c r="N516" s="6">
        <f t="shared" ca="1" si="289"/>
        <v>1.2694195391959333</v>
      </c>
      <c r="O516" s="6">
        <f t="shared" ca="1" si="289"/>
        <v>1.2628173383054992</v>
      </c>
      <c r="P516" s="6">
        <f t="shared" ca="1" si="289"/>
        <v>1.2864152593844764</v>
      </c>
      <c r="Q516" s="6">
        <f t="shared" ca="1" si="289"/>
        <v>1.3101381535629066</v>
      </c>
      <c r="R516" s="104">
        <f t="shared" ca="1" si="289"/>
        <v>1.3312130359859466</v>
      </c>
      <c r="S516" s="104">
        <f t="shared" ca="1" si="289"/>
        <v>1.3512913622035398</v>
      </c>
      <c r="T516" s="171">
        <f t="shared" ca="1" si="289"/>
        <v>1.3871048311474965</v>
      </c>
    </row>
    <row r="517" spans="1:20">
      <c r="A517" s="1" t="s">
        <v>188</v>
      </c>
      <c r="J517" s="167"/>
      <c r="K517" s="6">
        <f t="shared" ref="K517:T517" ca="1" si="290">K$151-K$332</f>
        <v>0.15490348712912463</v>
      </c>
      <c r="L517" s="6">
        <f t="shared" ca="1" si="290"/>
        <v>0.1734597480762769</v>
      </c>
      <c r="M517" s="6">
        <f t="shared" ca="1" si="290"/>
        <v>0.19096617071003849</v>
      </c>
      <c r="N517" s="6">
        <f t="shared" ca="1" si="290"/>
        <v>0.20726069737913699</v>
      </c>
      <c r="O517" s="6">
        <f t="shared" ca="1" si="290"/>
        <v>0.22145330917976536</v>
      </c>
      <c r="P517" s="6">
        <f t="shared" ca="1" si="290"/>
        <v>0.23454456495848519</v>
      </c>
      <c r="Q517" s="6">
        <f t="shared" ca="1" si="290"/>
        <v>0.2475348259306682</v>
      </c>
      <c r="R517" s="104">
        <f t="shared" ca="1" si="290"/>
        <v>0.2594375856350436</v>
      </c>
      <c r="S517" s="104">
        <f t="shared" ca="1" si="290"/>
        <v>0.27125691064401369</v>
      </c>
      <c r="T517" s="171">
        <f t="shared" ca="1" si="290"/>
        <v>0.28192263792350369</v>
      </c>
    </row>
    <row r="518" spans="1:20">
      <c r="A518" s="1" t="s">
        <v>189</v>
      </c>
      <c r="J518" s="167"/>
      <c r="K518" s="6">
        <f t="shared" ref="K518:T518" ca="1" si="291">K$410-J$410</f>
        <v>4.9196868360933843E-2</v>
      </c>
      <c r="L518" s="6">
        <f t="shared" ca="1" si="291"/>
        <v>4.9232652541372657E-2</v>
      </c>
      <c r="M518" s="6">
        <f t="shared" ca="1" si="291"/>
        <v>4.9154137584310753E-2</v>
      </c>
      <c r="N518" s="6">
        <f t="shared" ca="1" si="291"/>
        <v>4.9614828503984354E-2</v>
      </c>
      <c r="O518" s="6">
        <f t="shared" ca="1" si="291"/>
        <v>5.0075434809779606E-2</v>
      </c>
      <c r="P518" s="6">
        <f t="shared" ca="1" si="291"/>
        <v>5.0520427317166661E-2</v>
      </c>
      <c r="Q518" s="6">
        <f t="shared" ca="1" si="291"/>
        <v>5.0878158811121343E-2</v>
      </c>
      <c r="R518" s="104">
        <f t="shared" ca="1" si="291"/>
        <v>5.1236860552393182E-2</v>
      </c>
      <c r="S518" s="104">
        <f t="shared" ca="1" si="291"/>
        <v>5.1630485160861106E-2</v>
      </c>
      <c r="T518" s="171">
        <f t="shared" ca="1" si="291"/>
        <v>5.2658419470861251E-2</v>
      </c>
    </row>
    <row r="519" spans="1:20">
      <c r="A519" s="1" t="s">
        <v>190</v>
      </c>
      <c r="J519" s="167"/>
      <c r="K519" s="6">
        <f t="shared" ref="K519:T519" ca="1" si="292">K$414-J$414</f>
        <v>4.5807385122688782E-2</v>
      </c>
      <c r="L519" s="6">
        <f t="shared" ca="1" si="292"/>
        <v>4.5840703904742819E-2</v>
      </c>
      <c r="M519" s="6">
        <f t="shared" ca="1" si="292"/>
        <v>4.5767598339371496E-2</v>
      </c>
      <c r="N519" s="6">
        <f t="shared" ca="1" si="292"/>
        <v>4.6196549349529104E-2</v>
      </c>
      <c r="O519" s="6">
        <f t="shared" ca="1" si="292"/>
        <v>4.66254215753934E-2</v>
      </c>
      <c r="P519" s="6">
        <f t="shared" ca="1" si="292"/>
        <v>4.7039755736117961E-2</v>
      </c>
      <c r="Q519" s="6">
        <f t="shared" ca="1" si="292"/>
        <v>4.7372840846208186E-2</v>
      </c>
      <c r="R519" s="104">
        <f t="shared" ca="1" si="292"/>
        <v>4.7706829357144542E-2</v>
      </c>
      <c r="S519" s="104">
        <f t="shared" ca="1" si="292"/>
        <v>4.8073334678206514E-2</v>
      </c>
      <c r="T519" s="171">
        <f t="shared" ca="1" si="292"/>
        <v>4.9030448095945589E-2</v>
      </c>
    </row>
    <row r="520" spans="1:20">
      <c r="A520" s="1" t="s">
        <v>608</v>
      </c>
      <c r="J520" s="167"/>
      <c r="K520" s="6">
        <f t="shared" ref="K520:T520" ca="1" si="293">K$456-J$456</f>
        <v>9.5004253483622569E-2</v>
      </c>
      <c r="L520" s="6">
        <f t="shared" ca="1" si="293"/>
        <v>9.5073356446115476E-2</v>
      </c>
      <c r="M520" s="6">
        <f t="shared" ca="1" si="293"/>
        <v>9.4921735923682249E-2</v>
      </c>
      <c r="N520" s="6">
        <f t="shared" ca="1" si="293"/>
        <v>9.5811377853513457E-2</v>
      </c>
      <c r="O520" s="6">
        <f t="shared" ca="1" si="293"/>
        <v>9.6700856385173006E-2</v>
      </c>
      <c r="P520" s="6">
        <f t="shared" ca="1" si="293"/>
        <v>9.7560183053284621E-2</v>
      </c>
      <c r="Q520" s="6">
        <f t="shared" ca="1" si="293"/>
        <v>9.825099965732953E-2</v>
      </c>
      <c r="R520" s="104">
        <f t="shared" ca="1" si="293"/>
        <v>9.8943689909537724E-2</v>
      </c>
      <c r="S520" s="104">
        <f t="shared" ca="1" si="293"/>
        <v>9.970381983906762E-2</v>
      </c>
      <c r="T520" s="171">
        <f t="shared" ca="1" si="293"/>
        <v>0.10168886756680684</v>
      </c>
    </row>
    <row r="521" spans="1:20">
      <c r="A521" s="1" t="s">
        <v>609</v>
      </c>
      <c r="J521" s="167"/>
      <c r="K521" s="6">
        <f t="shared" ref="K521:T521" ca="1" si="294">SUM(K$452-J$452,K$473-J$473)</f>
        <v>0.33591380540285698</v>
      </c>
      <c r="L521" s="6">
        <f t="shared" ca="1" si="294"/>
        <v>0.37348230908247793</v>
      </c>
      <c r="M521" s="6">
        <f t="shared" ca="1" si="294"/>
        <v>0.55707303048756174</v>
      </c>
      <c r="N521" s="6">
        <f t="shared" ca="1" si="294"/>
        <v>0.64782203977129527</v>
      </c>
      <c r="O521" s="6">
        <f t="shared" ca="1" si="294"/>
        <v>0.71454024309524478</v>
      </c>
      <c r="P521" s="6">
        <f t="shared" ca="1" si="294"/>
        <v>0.792381121334639</v>
      </c>
      <c r="Q521" s="6">
        <f t="shared" ca="1" si="294"/>
        <v>0.82099061831816655</v>
      </c>
      <c r="R521" s="104">
        <f t="shared" ca="1" si="294"/>
        <v>0.83352193604826397</v>
      </c>
      <c r="S521" s="104">
        <f t="shared" ca="1" si="294"/>
        <v>0.84545375495584807</v>
      </c>
      <c r="T521" s="171">
        <f t="shared" ca="1" si="294"/>
        <v>0.86627004532877017</v>
      </c>
    </row>
    <row r="522" spans="1:20" s="167" customFormat="1">
      <c r="A522" s="167" t="s">
        <v>605</v>
      </c>
      <c r="K522" s="171">
        <f t="shared" ref="K522" si="295">K$466-J$466</f>
        <v>-0.33407203601800894</v>
      </c>
      <c r="L522" s="171">
        <f t="shared" ref="L522" si="296">L$466-K$466</f>
        <v>-0.32706353176588365</v>
      </c>
      <c r="M522" s="171">
        <f t="shared" ref="M522" si="297">M$466-L$466</f>
        <v>-0.32355927963981834</v>
      </c>
      <c r="N522" s="171">
        <f t="shared" ref="N522" si="298">N$466-M$466</f>
        <v>-0.33173586793396836</v>
      </c>
      <c r="O522" s="171">
        <f t="shared" ref="O522" si="299">O$466-N$466</f>
        <v>-0.3375762881440707</v>
      </c>
      <c r="P522" s="171">
        <f t="shared" ref="P522" si="300">P$466-O$466</f>
        <v>-0.34458479239619866</v>
      </c>
      <c r="Q522" s="171">
        <f t="shared" ref="Q522" si="301">Q$466-P$466</f>
        <v>-0.34808904452226042</v>
      </c>
      <c r="R522" s="171">
        <f t="shared" ref="R522" si="302">R$466-Q$466</f>
        <v>-0.35509754877438748</v>
      </c>
      <c r="S522" s="171">
        <f t="shared" ref="S522" si="303">S$466-R$466</f>
        <v>-0.35743371685842895</v>
      </c>
      <c r="T522" s="171">
        <f t="shared" ref="T522" si="304">T$466-S$466</f>
        <v>-0.35626563281640866</v>
      </c>
    </row>
    <row r="523" spans="1:20" ht="15">
      <c r="A523" s="2" t="s">
        <v>193</v>
      </c>
      <c r="J523" s="167"/>
      <c r="K523" s="37">
        <f ca="1">SUM(K$516:K$519)-SUM(K$520:K$522)</f>
        <v>1.3134876293525837</v>
      </c>
      <c r="L523" s="140">
        <f t="shared" ref="L523:T523" ca="1" si="305">SUM(L$516:L$519)-SUM(L$520:L$522)</f>
        <v>1.2197824190533766</v>
      </c>
      <c r="M523" s="140">
        <f t="shared" ca="1" si="305"/>
        <v>1.1640786683512117</v>
      </c>
      <c r="N523" s="140">
        <f t="shared" ca="1" si="305"/>
        <v>1.1605940647377433</v>
      </c>
      <c r="O523" s="140">
        <f t="shared" ca="1" si="305"/>
        <v>1.1073066925340904</v>
      </c>
      <c r="P523" s="140">
        <f t="shared" ca="1" si="305"/>
        <v>1.0731634954045213</v>
      </c>
      <c r="Q523" s="140">
        <f t="shared" ca="1" si="305"/>
        <v>1.0847714056976687</v>
      </c>
      <c r="R523" s="140">
        <f t="shared" ca="1" si="305"/>
        <v>1.1122262343471139</v>
      </c>
      <c r="S523" s="140">
        <f t="shared" ca="1" si="305"/>
        <v>1.1345282347501344</v>
      </c>
      <c r="T523" s="140">
        <f t="shared" ca="1" si="305"/>
        <v>1.1590230565586386</v>
      </c>
    </row>
    <row r="524" spans="1:20" ht="15">
      <c r="A524" s="2" t="s">
        <v>953</v>
      </c>
      <c r="J524" s="167"/>
      <c r="K524" s="27">
        <f t="shared" ref="K524:T524" ca="1" si="306">SUM(K$509,K$510,K$515,K$523)</f>
        <v>7.5596261369849946</v>
      </c>
      <c r="L524" s="27">
        <f t="shared" ca="1" si="306"/>
        <v>8.8140244396118579</v>
      </c>
      <c r="M524" s="27">
        <f t="shared" ca="1" si="306"/>
        <v>9.699897927930369</v>
      </c>
      <c r="N524" s="27">
        <f t="shared" ca="1" si="306"/>
        <v>10.823422616557933</v>
      </c>
      <c r="O524" s="27">
        <f t="shared" ca="1" si="306"/>
        <v>12.211239063284973</v>
      </c>
      <c r="P524" s="27">
        <f t="shared" ca="1" si="306"/>
        <v>13.284890900396579</v>
      </c>
      <c r="Q524" s="27">
        <f t="shared" ca="1" si="306"/>
        <v>14.460769867315014</v>
      </c>
      <c r="R524" s="27">
        <f t="shared" ca="1" si="306"/>
        <v>15.673637294424106</v>
      </c>
      <c r="S524" s="27">
        <f t="shared" ca="1" si="306"/>
        <v>16.912803079410736</v>
      </c>
      <c r="T524" s="136">
        <f t="shared" ca="1" si="306"/>
        <v>18.289002389920679</v>
      </c>
    </row>
    <row r="525" spans="1:20" ht="15">
      <c r="A525" s="26" t="s">
        <v>589</v>
      </c>
      <c r="B525" s="4" t="str">
        <f>$B$60</f>
        <v>Projected Years only</v>
      </c>
      <c r="J525" s="167"/>
      <c r="K525" s="5" t="str">
        <f t="shared" ref="K525:T525" ca="1" si="307">IF(ROUND(SUM(K$47,-K$524),3)=0,"OK","ERROR")</f>
        <v>OK</v>
      </c>
      <c r="L525" s="5" t="str">
        <f t="shared" ca="1" si="307"/>
        <v>OK</v>
      </c>
      <c r="M525" s="5" t="str">
        <f t="shared" ca="1" si="307"/>
        <v>OK</v>
      </c>
      <c r="N525" s="5" t="str">
        <f t="shared" ca="1" si="307"/>
        <v>OK</v>
      </c>
      <c r="O525" s="5" t="str">
        <f t="shared" ca="1" si="307"/>
        <v>OK</v>
      </c>
      <c r="P525" s="5" t="str">
        <f t="shared" ca="1" si="307"/>
        <v>OK</v>
      </c>
      <c r="Q525" s="5" t="str">
        <f t="shared" ca="1" si="307"/>
        <v>OK</v>
      </c>
      <c r="R525" s="5" t="str">
        <f t="shared" ca="1" si="307"/>
        <v>OK</v>
      </c>
      <c r="S525" s="5" t="str">
        <f t="shared" ca="1" si="307"/>
        <v>OK</v>
      </c>
      <c r="T525" s="170" t="str">
        <f t="shared" ca="1" si="307"/>
        <v>OK</v>
      </c>
    </row>
  </sheetData>
  <phoneticPr fontId="107"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9441" r:id="rId4" name="Drop Down 1">
              <controlPr defaultSize="0" autoLine="0" autoPict="0">
                <anchor moveWithCells="1">
                  <from>
                    <xdr:col>0</xdr:col>
                    <xdr:colOff>47625</xdr:colOff>
                    <xdr:row>6</xdr:row>
                    <xdr:rowOff>0</xdr:rowOff>
                  </from>
                  <to>
                    <xdr:col>0</xdr:col>
                    <xdr:colOff>5629275</xdr:colOff>
                    <xdr:row>7</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FEAE9-8325-4C2F-9141-771DF6EB9C20}">
  <dimension ref="A1:T525"/>
  <sheetViews>
    <sheetView zoomScaleNormal="100" workbookViewId="0">
      <pane xSplit="2" ySplit="8" topLeftCell="C9" activePane="bottomRight" state="frozen"/>
      <selection pane="topRight" activeCell="C1" sqref="C1"/>
      <selection pane="bottomLeft" activeCell="A9" sqref="A9"/>
      <selection pane="bottomRight" activeCell="C4" sqref="C4"/>
    </sheetView>
  </sheetViews>
  <sheetFormatPr defaultRowHeight="14.25"/>
  <cols>
    <col min="1" max="1" width="85.7109375" style="167" customWidth="1"/>
    <col min="2" max="2" width="25.7109375" style="167" customWidth="1"/>
    <col min="3" max="3" width="7.7109375" style="167" customWidth="1"/>
    <col min="4" max="4" width="10.7109375" style="167" customWidth="1"/>
    <col min="5" max="5" width="9.140625" style="167"/>
    <col min="6" max="6" width="9.140625" style="167" customWidth="1"/>
    <col min="7" max="14" width="9.5703125" style="167" bestFit="1" customWidth="1"/>
    <col min="15" max="16" width="9.7109375" style="167" bestFit="1" customWidth="1"/>
    <col min="17" max="16384" width="9.140625" style="167"/>
  </cols>
  <sheetData>
    <row r="1" spans="1:20" ht="15">
      <c r="A1" s="168" t="s">
        <v>104</v>
      </c>
      <c r="B1" s="170" t="s">
        <v>1090</v>
      </c>
      <c r="C1" s="170">
        <f>MATCH($B$1,Assumptions!$C$7:$Q$7,0)</f>
        <v>2</v>
      </c>
      <c r="D1" s="4" t="s">
        <v>105</v>
      </c>
    </row>
    <row r="2" spans="1:20" ht="15">
      <c r="A2" s="4" t="s">
        <v>106</v>
      </c>
      <c r="B2" s="4" t="s">
        <v>770</v>
      </c>
      <c r="C2" s="170" t="s">
        <v>716</v>
      </c>
      <c r="D2" s="167" t="s">
        <v>582</v>
      </c>
      <c r="F2" s="171"/>
      <c r="G2" s="171"/>
      <c r="H2" s="171"/>
      <c r="I2" s="171"/>
      <c r="J2" s="171"/>
      <c r="K2" s="171">
        <f ca="1">MAX(OFFSET(Assumptions!$B$8,0,$C$1)+OFFSET(Assumptions!$B$87,0,$C$1)-K$6,0)/(OFFSET(Assumptions!$B$87,0,$C$1)*(OFFSET(Assumptions!$B$87,0,$C$1)+1)/2)</f>
        <v>0.33333333333333331</v>
      </c>
      <c r="L2" s="171">
        <f ca="1">MAX(OFFSET(Assumptions!$B$8,0,$C$1)+OFFSET(Assumptions!$B$87,0,$C$1)-L$6,0)/(OFFSET(Assumptions!$B$87,0,$C$1)*(OFFSET(Assumptions!$B$87,0,$C$1)+1)/2)</f>
        <v>0.26666666666666666</v>
      </c>
      <c r="M2" s="171">
        <f ca="1">MAX(OFFSET(Assumptions!$B$8,0,$C$1)+OFFSET(Assumptions!$B$87,0,$C$1)-M$6,0)/(OFFSET(Assumptions!$B$87,0,$C$1)*(OFFSET(Assumptions!$B$87,0,$C$1)+1)/2)</f>
        <v>0.2</v>
      </c>
      <c r="N2" s="171">
        <f ca="1">MAX(OFFSET(Assumptions!$B$8,0,$C$1)+OFFSET(Assumptions!$B$87,0,$C$1)-N$6,0)/(OFFSET(Assumptions!$B$87,0,$C$1)*(OFFSET(Assumptions!$B$87,0,$C$1)+1)/2)</f>
        <v>0.13333333333333333</v>
      </c>
      <c r="O2" s="171">
        <f ca="1">MAX(OFFSET(Assumptions!$B$8,0,$C$1)+OFFSET(Assumptions!$B$87,0,$C$1)-O$6,0)/(OFFSET(Assumptions!$B$87,0,$C$1)*(OFFSET(Assumptions!$B$87,0,$C$1)+1)/2)</f>
        <v>6.6666666666666666E-2</v>
      </c>
      <c r="P2" s="171">
        <f ca="1">MAX(OFFSET(Assumptions!$B$8,0,$C$1)+OFFSET(Assumptions!$B$87,0,$C$1)-P$6,0)/(OFFSET(Assumptions!$B$87,0,$C$1)*(OFFSET(Assumptions!$B$87,0,$C$1)+1)/2)</f>
        <v>0</v>
      </c>
      <c r="Q2" s="171">
        <f ca="1">MAX(OFFSET(Assumptions!$B$8,0,$C$1)+OFFSET(Assumptions!$B$87,0,$C$1)-Q$6,0)/(OFFSET(Assumptions!$B$87,0,$C$1)*(OFFSET(Assumptions!$B$87,0,$C$1)+1)/2)</f>
        <v>0</v>
      </c>
      <c r="R2" s="171">
        <f ca="1">MAX(OFFSET(Assumptions!$B$8,0,$C$1)+OFFSET(Assumptions!$B$87,0,$C$1)-R$6,0)/(OFFSET(Assumptions!$B$87,0,$C$1)*(OFFSET(Assumptions!$B$87,0,$C$1)+1)/2)</f>
        <v>0</v>
      </c>
      <c r="S2" s="171">
        <f ca="1">MAX(OFFSET(Assumptions!$B$8,0,$C$1)+OFFSET(Assumptions!$B$87,0,$C$1)-S$6,0)/(OFFSET(Assumptions!$B$87,0,$C$1)*(OFFSET(Assumptions!$B$87,0,$C$1)+1)/2)</f>
        <v>0</v>
      </c>
      <c r="T2" s="171">
        <f ca="1">MAX(OFFSET(Assumptions!$B$8,0,$C$1)+OFFSET(Assumptions!$B$87,0,$C$1)-T$6,0)/(OFFSET(Assumptions!$B$87,0,$C$1)*(OFFSET(Assumptions!$B$87,0,$C$1)+1)/2)</f>
        <v>0</v>
      </c>
    </row>
    <row r="3" spans="1:20" ht="15">
      <c r="B3" s="4" t="s">
        <v>1132</v>
      </c>
      <c r="C3" s="170" t="s">
        <v>716</v>
      </c>
      <c r="D3" s="186" t="s">
        <v>632</v>
      </c>
      <c r="E3" s="186" t="s">
        <v>632</v>
      </c>
      <c r="F3" s="188" t="s">
        <v>1250</v>
      </c>
      <c r="G3" s="168"/>
      <c r="K3" s="168" t="s">
        <v>1251</v>
      </c>
    </row>
    <row r="4" spans="1:20" ht="15">
      <c r="D4" s="186" t="s">
        <v>633</v>
      </c>
      <c r="E4" s="186" t="s">
        <v>633</v>
      </c>
      <c r="F4" s="183" t="s">
        <v>122</v>
      </c>
      <c r="K4" s="167" t="s">
        <v>123</v>
      </c>
    </row>
    <row r="5" spans="1:20" ht="15">
      <c r="A5" s="13" t="s">
        <v>107</v>
      </c>
      <c r="D5" s="185" t="s">
        <v>18</v>
      </c>
      <c r="E5" s="185" t="s">
        <v>19</v>
      </c>
      <c r="F5" s="187" t="s">
        <v>20</v>
      </c>
      <c r="G5" s="187" t="s">
        <v>21</v>
      </c>
      <c r="H5" s="187" t="s">
        <v>22</v>
      </c>
      <c r="I5" s="187" t="s">
        <v>23</v>
      </c>
      <c r="J5" s="187" t="s">
        <v>24</v>
      </c>
      <c r="K5" s="170" t="s">
        <v>25</v>
      </c>
      <c r="L5" s="170" t="s">
        <v>26</v>
      </c>
      <c r="M5" s="170" t="s">
        <v>27</v>
      </c>
      <c r="N5" s="170" t="s">
        <v>28</v>
      </c>
      <c r="O5" s="170" t="s">
        <v>29</v>
      </c>
      <c r="P5" s="170" t="s">
        <v>30</v>
      </c>
      <c r="Q5" s="170" t="s">
        <v>31</v>
      </c>
      <c r="R5" s="170" t="s">
        <v>32</v>
      </c>
      <c r="S5" s="170" t="s">
        <v>33</v>
      </c>
      <c r="T5" s="170" t="s">
        <v>34</v>
      </c>
    </row>
    <row r="6" spans="1:20" ht="15">
      <c r="A6" s="13" t="s">
        <v>612</v>
      </c>
      <c r="D6" s="186">
        <v>2019</v>
      </c>
      <c r="E6" s="186">
        <v>2020</v>
      </c>
      <c r="F6" s="188">
        <v>2021</v>
      </c>
      <c r="G6" s="188">
        <v>2022</v>
      </c>
      <c r="H6" s="188">
        <v>2023</v>
      </c>
      <c r="I6" s="188">
        <v>2024</v>
      </c>
      <c r="J6" s="188">
        <v>2025</v>
      </c>
      <c r="K6" s="168">
        <v>2026</v>
      </c>
      <c r="L6" s="168">
        <v>2027</v>
      </c>
      <c r="M6" s="168">
        <v>2028</v>
      </c>
      <c r="N6" s="168">
        <v>2029</v>
      </c>
      <c r="O6" s="168">
        <v>2030</v>
      </c>
      <c r="P6" s="168">
        <v>2031</v>
      </c>
      <c r="Q6" s="168">
        <v>2032</v>
      </c>
      <c r="R6" s="168">
        <v>2033</v>
      </c>
      <c r="S6" s="168">
        <v>2034</v>
      </c>
      <c r="T6" s="168">
        <v>2035</v>
      </c>
    </row>
    <row r="7" spans="1:20" ht="15">
      <c r="A7" s="13"/>
      <c r="D7" s="142">
        <f ca="1">OFFSET(D$1,Display!$C$1-1,0)</f>
        <v>57.73599999999999</v>
      </c>
      <c r="E7" s="142">
        <f ca="1">OFFSET(E$1,Display!$C$1-1,0)</f>
        <v>83.375</v>
      </c>
      <c r="F7" s="141">
        <f ca="1">OFFSET(F$1,Display!$C$1-1,0)</f>
        <v>113.65499999999999</v>
      </c>
      <c r="G7" s="141">
        <f ca="1">OFFSET(G$1,Display!$C$1-1,0)</f>
        <v>153.31099999999998</v>
      </c>
      <c r="H7" s="141">
        <f ca="1">OFFSET(H$1,Display!$C$1-1,0)</f>
        <v>178.47800000000004</v>
      </c>
      <c r="I7" s="141">
        <f ca="1">OFFSET(I$1,Display!$C$1-1,0)</f>
        <v>184.24299999999997</v>
      </c>
      <c r="J7" s="141">
        <f ca="1">OFFSET(J$1,Display!$C$1-1,0)</f>
        <v>180.78399999999999</v>
      </c>
      <c r="K7" s="134">
        <f ca="1">OFFSET(K$1,Display!$C$1-1,0)</f>
        <v>176.16938409195529</v>
      </c>
      <c r="L7" s="134">
        <f ca="1">OFFSET(L$1,Display!$C$1-1,0)</f>
        <v>179.19034393514471</v>
      </c>
      <c r="M7" s="134">
        <f ca="1">OFFSET(M$1,Display!$C$1-1,0)</f>
        <v>181.45153853457296</v>
      </c>
      <c r="N7" s="134">
        <f ca="1">OFFSET(N$1,Display!$C$1-1,0)</f>
        <v>182.83041791706142</v>
      </c>
      <c r="O7" s="134">
        <f ca="1">OFFSET(O$1,Display!$C$1-1,0)</f>
        <v>183.05591797610089</v>
      </c>
      <c r="P7" s="134">
        <f ca="1">OFFSET(P$1,Display!$C$1-1,0)</f>
        <v>182.48334049030481</v>
      </c>
      <c r="Q7" s="134">
        <f ca="1">OFFSET(Q$1,Display!$C$1-1,0)</f>
        <v>181.07792711933689</v>
      </c>
      <c r="R7" s="134">
        <f ca="1">OFFSET(R$1,Display!$C$1-1,0)</f>
        <v>178.79416134844527</v>
      </c>
      <c r="S7" s="134">
        <f ca="1">OFFSET(S$1,Display!$C$1-1,0)</f>
        <v>175.57671697684253</v>
      </c>
      <c r="T7" s="134">
        <f ca="1">OFFSET(T$1,Display!$C$1-1,0)</f>
        <v>171.31557638873258</v>
      </c>
    </row>
    <row r="8" spans="1:20" ht="15">
      <c r="A8" s="13" t="s">
        <v>622</v>
      </c>
      <c r="D8" s="149">
        <f t="shared" ref="D8:F8" ca="1" si="0">D$7/D$13</f>
        <v>0.18608848679015405</v>
      </c>
      <c r="E8" s="149">
        <f t="shared" ca="1" si="0"/>
        <v>0.26338484672344509</v>
      </c>
      <c r="F8" s="151">
        <f t="shared" ca="1" si="0"/>
        <v>0.3398784087272988</v>
      </c>
      <c r="G8" s="151">
        <f ca="1">G$7/G$13</f>
        <v>0.4383545585031251</v>
      </c>
      <c r="H8" s="151">
        <f t="shared" ref="H8:P8" ca="1" si="1">H$7/H$13</f>
        <v>0.48019651471573443</v>
      </c>
      <c r="I8" s="151">
        <f t="shared" ca="1" si="1"/>
        <v>0.46897638356471216</v>
      </c>
      <c r="J8" s="151">
        <f t="shared" ca="1" si="1"/>
        <v>0.43626535389367505</v>
      </c>
      <c r="K8" s="150">
        <f t="shared" ca="1" si="1"/>
        <v>0.4069735419056702</v>
      </c>
      <c r="L8" s="150">
        <f t="shared" ca="1" si="1"/>
        <v>0.39700474637491273</v>
      </c>
      <c r="M8" s="150">
        <f t="shared" ca="1" si="1"/>
        <v>0.38603273657684145</v>
      </c>
      <c r="N8" s="150">
        <f t="shared" ca="1" si="1"/>
        <v>0.37342115168908491</v>
      </c>
      <c r="O8" s="150">
        <f t="shared" ca="1" si="1"/>
        <v>0.35921470473017009</v>
      </c>
      <c r="P8" s="150">
        <f t="shared" ca="1" si="1"/>
        <v>0.34429981070044874</v>
      </c>
      <c r="Q8" s="150">
        <f ca="1">Q$7/Q$13</f>
        <v>0.32872726085327159</v>
      </c>
      <c r="R8" s="150">
        <f ca="1">R$7/R$13</f>
        <v>0.31255428992963902</v>
      </c>
      <c r="S8" s="150">
        <f ca="1">S$7/S$13</f>
        <v>0.2957901812041987</v>
      </c>
      <c r="T8" s="150">
        <f ca="1">T$7/T$13</f>
        <v>0.27821471976219714</v>
      </c>
    </row>
    <row r="9" spans="1:20" ht="16.5">
      <c r="A9" s="54" t="s">
        <v>108</v>
      </c>
      <c r="D9" s="168"/>
    </row>
    <row r="10" spans="1:20" ht="15">
      <c r="A10" s="18" t="s">
        <v>260</v>
      </c>
      <c r="D10" s="168"/>
    </row>
    <row r="11" spans="1:20" ht="15">
      <c r="A11" s="168" t="s">
        <v>261</v>
      </c>
      <c r="B11" s="4" t="s">
        <v>1242</v>
      </c>
      <c r="D11" s="175">
        <f>'Economic Forecasts'!Q$6</f>
        <v>254.50700000000001</v>
      </c>
      <c r="E11" s="175">
        <f>'Economic Forecasts'!R$6</f>
        <v>250.06200000000001</v>
      </c>
      <c r="F11" s="176">
        <f>'Economic Forecasts'!S$6</f>
        <v>257.32</v>
      </c>
      <c r="G11" s="176">
        <f>'Economic Forecasts'!T$6</f>
        <v>265.46899999999999</v>
      </c>
      <c r="H11" s="176">
        <f>'Economic Forecasts'!U$6</f>
        <v>277.05099999999999</v>
      </c>
      <c r="I11" s="176">
        <f>'Economic Forecasts'!V$6</f>
        <v>286.12200000000001</v>
      </c>
      <c r="J11" s="176">
        <f>'Economic Forecasts'!W$6</f>
        <v>294.47899999999998</v>
      </c>
      <c r="K11" s="171">
        <f t="shared" ref="K11:T11" ca="1" si="2">J$11*(1+K$26)*K$17*(1-K$24)*K$25/(J$17*(1-J$24)*J$25)</f>
        <v>301.35334870314432</v>
      </c>
      <c r="L11" s="171">
        <f t="shared" ca="1" si="2"/>
        <v>307.94104456260879</v>
      </c>
      <c r="M11" s="171">
        <f t="shared" ca="1" si="2"/>
        <v>314.40179885869492</v>
      </c>
      <c r="N11" s="171">
        <f t="shared" ca="1" si="2"/>
        <v>321.06862559658231</v>
      </c>
      <c r="O11" s="171">
        <f t="shared" ca="1" si="2"/>
        <v>327.62559779360816</v>
      </c>
      <c r="P11" s="171">
        <f t="shared" ca="1" si="2"/>
        <v>334.06765303666953</v>
      </c>
      <c r="Q11" s="171">
        <f t="shared" ca="1" si="2"/>
        <v>340.39063971593856</v>
      </c>
      <c r="R11" s="171">
        <f t="shared" ca="1" si="2"/>
        <v>346.55766780417497</v>
      </c>
      <c r="S11" s="171">
        <f t="shared" ca="1" si="2"/>
        <v>352.55805605312759</v>
      </c>
      <c r="T11" s="171">
        <f t="shared" ca="1" si="2"/>
        <v>358.56182390816963</v>
      </c>
    </row>
    <row r="12" spans="1:20">
      <c r="A12" s="4" t="s">
        <v>109</v>
      </c>
      <c r="B12" s="4"/>
      <c r="D12" s="178"/>
      <c r="E12" s="178">
        <f t="shared" ref="E12:T12" si="3">E$11/D$11-1</f>
        <v>-1.7465138483420906E-2</v>
      </c>
      <c r="F12" s="177">
        <f t="shared" si="3"/>
        <v>2.9024801849141246E-2</v>
      </c>
      <c r="G12" s="177">
        <f t="shared" si="3"/>
        <v>3.1668739312917804E-2</v>
      </c>
      <c r="H12" s="177">
        <f t="shared" si="3"/>
        <v>4.3628446259261988E-2</v>
      </c>
      <c r="I12" s="177">
        <f t="shared" si="3"/>
        <v>3.2741264243767443E-2</v>
      </c>
      <c r="J12" s="177">
        <f t="shared" si="3"/>
        <v>2.9207820440231735E-2</v>
      </c>
      <c r="K12" s="173">
        <f t="shared" ca="1" si="3"/>
        <v>2.3344105023259232E-2</v>
      </c>
      <c r="L12" s="173">
        <f t="shared" ca="1" si="3"/>
        <v>2.1860370517912786E-2</v>
      </c>
      <c r="M12" s="173">
        <f t="shared" ca="1" si="3"/>
        <v>2.0980490941903573E-2</v>
      </c>
      <c r="N12" s="173">
        <f t="shared" ca="1" si="3"/>
        <v>2.1204798325227481E-2</v>
      </c>
      <c r="O12" s="173">
        <f t="shared" ca="1" si="3"/>
        <v>2.0422338635057491E-2</v>
      </c>
      <c r="P12" s="173">
        <f t="shared" ca="1" si="3"/>
        <v>1.9662856890442448E-2</v>
      </c>
      <c r="Q12" s="173">
        <f t="shared" ca="1" si="3"/>
        <v>1.8927264049042769E-2</v>
      </c>
      <c r="R12" s="173">
        <f t="shared" ca="1" si="3"/>
        <v>1.8117501977677364E-2</v>
      </c>
      <c r="S12" s="173">
        <f t="shared" ca="1" si="3"/>
        <v>1.7314256201490741E-2</v>
      </c>
      <c r="T12" s="173">
        <f t="shared" ca="1" si="3"/>
        <v>1.7029160877087834E-2</v>
      </c>
    </row>
    <row r="13" spans="1:20" ht="15">
      <c r="A13" s="168" t="s">
        <v>111</v>
      </c>
      <c r="B13" s="4" t="str">
        <f>$B$11</f>
        <v>From Economic Forecasts</v>
      </c>
      <c r="D13" s="175">
        <f>'Economic Forecasts'!Q$7</f>
        <v>310.26100000000002</v>
      </c>
      <c r="E13" s="175">
        <f>'Economic Forecasts'!R$7</f>
        <v>316.55200000000002</v>
      </c>
      <c r="F13" s="176">
        <f>'Economic Forecasts'!S$7</f>
        <v>334.399</v>
      </c>
      <c r="G13" s="176">
        <f>'Economic Forecasts'!T$7</f>
        <v>349.74200000000002</v>
      </c>
      <c r="H13" s="176">
        <f>'Economic Forecasts'!U$7</f>
        <v>371.67700000000002</v>
      </c>
      <c r="I13" s="176">
        <f>'Economic Forecasts'!V$7</f>
        <v>392.86200000000002</v>
      </c>
      <c r="J13" s="176">
        <f>'Economic Forecasts'!W$7</f>
        <v>414.39</v>
      </c>
      <c r="K13" s="171">
        <f t="shared" ref="K13:T13" ca="1" si="4">J$13*(1+K$30)*K$11/J$11</f>
        <v>432.87674984234837</v>
      </c>
      <c r="L13" s="171">
        <f t="shared" ca="1" si="4"/>
        <v>451.35567161689733</v>
      </c>
      <c r="M13" s="171">
        <f t="shared" ca="1" si="4"/>
        <v>470.0418419007691</v>
      </c>
      <c r="N13" s="171">
        <f t="shared" ca="1" si="4"/>
        <v>489.60916404994731</v>
      </c>
      <c r="O13" s="171">
        <f t="shared" ca="1" si="4"/>
        <v>509.60029076094276</v>
      </c>
      <c r="P13" s="171">
        <f t="shared" ca="1" si="4"/>
        <v>530.01289811649315</v>
      </c>
      <c r="Q13" s="171">
        <f t="shared" ca="1" si="4"/>
        <v>550.84548403231327</v>
      </c>
      <c r="R13" s="171">
        <f t="shared" ca="1" si="4"/>
        <v>572.04193674223666</v>
      </c>
      <c r="S13" s="171">
        <f t="shared" ca="1" si="4"/>
        <v>593.58534574084854</v>
      </c>
      <c r="T13" s="171">
        <f t="shared" ca="1" si="4"/>
        <v>615.76747820950618</v>
      </c>
    </row>
    <row r="14" spans="1:20">
      <c r="A14" s="4" t="str">
        <f>$A$12</f>
        <v>Annual percentage growth</v>
      </c>
      <c r="D14" s="178"/>
      <c r="E14" s="178">
        <f t="shared" ref="E14:T14" si="5">E$13/D$13-1</f>
        <v>2.027647690170542E-2</v>
      </c>
      <c r="F14" s="177">
        <f t="shared" si="5"/>
        <v>5.637936263236365E-2</v>
      </c>
      <c r="G14" s="177">
        <f t="shared" si="5"/>
        <v>4.5882314241370459E-2</v>
      </c>
      <c r="H14" s="177">
        <f t="shared" si="5"/>
        <v>6.2717660446843571E-2</v>
      </c>
      <c r="I14" s="177">
        <f t="shared" si="5"/>
        <v>5.6998415290695936E-2</v>
      </c>
      <c r="J14" s="177">
        <f t="shared" si="5"/>
        <v>5.4797867953632506E-2</v>
      </c>
      <c r="K14" s="173">
        <f t="shared" ca="1" si="5"/>
        <v>4.4611959367620857E-2</v>
      </c>
      <c r="L14" s="173">
        <f t="shared" ca="1" si="5"/>
        <v>4.2688644703784417E-2</v>
      </c>
      <c r="M14" s="173">
        <f t="shared" ca="1" si="5"/>
        <v>4.1400100760741632E-2</v>
      </c>
      <c r="N14" s="173">
        <f t="shared" ca="1" si="5"/>
        <v>4.1628894291732221E-2</v>
      </c>
      <c r="O14" s="173">
        <f t="shared" ca="1" si="5"/>
        <v>4.083078540775853E-2</v>
      </c>
      <c r="P14" s="173">
        <f t="shared" ca="1" si="5"/>
        <v>4.0056114028251377E-2</v>
      </c>
      <c r="Q14" s="173">
        <f t="shared" ca="1" si="5"/>
        <v>3.9305809330023589E-2</v>
      </c>
      <c r="R14" s="173">
        <f t="shared" ca="1" si="5"/>
        <v>3.847985201723092E-2</v>
      </c>
      <c r="S14" s="173">
        <f t="shared" ca="1" si="5"/>
        <v>3.7660541325520658E-2</v>
      </c>
      <c r="T14" s="173">
        <f t="shared" ca="1" si="5"/>
        <v>3.7369744094629453E-2</v>
      </c>
    </row>
    <row r="15" spans="1:20">
      <c r="A15" s="4" t="s">
        <v>263</v>
      </c>
      <c r="D15" s="175">
        <f t="shared" ref="D15:T15" si="6">1/D$13</f>
        <v>3.2230928154038051E-3</v>
      </c>
      <c r="E15" s="175">
        <f t="shared" si="6"/>
        <v>3.1590386413606611E-3</v>
      </c>
      <c r="F15" s="176">
        <f t="shared" si="6"/>
        <v>2.990439564711617E-3</v>
      </c>
      <c r="G15" s="176">
        <f t="shared" si="6"/>
        <v>2.8592505332502242E-3</v>
      </c>
      <c r="H15" s="176">
        <f t="shared" si="6"/>
        <v>2.6905081562754755E-3</v>
      </c>
      <c r="I15" s="176">
        <f t="shared" si="6"/>
        <v>2.5454230747692574E-3</v>
      </c>
      <c r="J15" s="176">
        <f t="shared" si="6"/>
        <v>2.4131856463717755E-3</v>
      </c>
      <c r="K15" s="171">
        <f t="shared" ca="1" si="6"/>
        <v>2.3101263820803383E-3</v>
      </c>
      <c r="L15" s="171">
        <f t="shared" ca="1" si="6"/>
        <v>2.2155476553948838E-3</v>
      </c>
      <c r="M15" s="171">
        <f t="shared" ca="1" si="6"/>
        <v>2.1274701757532273E-3</v>
      </c>
      <c r="N15" s="171">
        <f t="shared" ca="1" si="6"/>
        <v>2.0424454308171107E-3</v>
      </c>
      <c r="O15" s="171">
        <f t="shared" ca="1" si="6"/>
        <v>1.9623222712584899E-3</v>
      </c>
      <c r="P15" s="171">
        <f t="shared" ca="1" si="6"/>
        <v>1.8867465368365562E-3</v>
      </c>
      <c r="Q15" s="171">
        <f t="shared" ca="1" si="6"/>
        <v>1.8153911196290007E-3</v>
      </c>
      <c r="R15" s="171">
        <f t="shared" ca="1" si="6"/>
        <v>1.7481235828529862E-3</v>
      </c>
      <c r="S15" s="171">
        <f t="shared" ca="1" si="6"/>
        <v>1.684677708395764E-3</v>
      </c>
      <c r="T15" s="171">
        <f t="shared" ca="1" si="6"/>
        <v>1.6239896314559246E-3</v>
      </c>
    </row>
    <row r="16" spans="1:20">
      <c r="A16" s="18" t="s">
        <v>262</v>
      </c>
      <c r="D16" s="178"/>
      <c r="E16" s="178"/>
      <c r="F16" s="177"/>
      <c r="G16" s="177"/>
      <c r="H16" s="177"/>
      <c r="I16" s="177"/>
      <c r="J16" s="177"/>
      <c r="K16" s="173"/>
      <c r="L16" s="173"/>
      <c r="M16" s="173"/>
      <c r="N16" s="173"/>
      <c r="O16" s="173"/>
      <c r="P16" s="173"/>
      <c r="Q16" s="173"/>
      <c r="R16" s="173"/>
      <c r="S16" s="173"/>
      <c r="T16" s="173"/>
    </row>
    <row r="17" spans="1:20" ht="15">
      <c r="A17" s="168" t="s">
        <v>1104</v>
      </c>
      <c r="B17" s="4" t="str">
        <f>$B$11</f>
        <v>From Economic Forecasts</v>
      </c>
      <c r="D17" s="175">
        <f>'Economic Forecasts'!Q$8</f>
        <v>2.802</v>
      </c>
      <c r="E17" s="175">
        <f>'Economic Forecasts'!R$8</f>
        <v>2.85</v>
      </c>
      <c r="F17" s="176">
        <f>'Economic Forecasts'!S$8</f>
        <v>2.8835700000000002</v>
      </c>
      <c r="G17" s="176">
        <f>'Economic Forecasts'!T$8</f>
        <v>2.93729</v>
      </c>
      <c r="H17" s="176">
        <f>'Economic Forecasts'!U$8</f>
        <v>2.9861500000000003</v>
      </c>
      <c r="I17" s="176">
        <f>'Economic Forecasts'!V$8</f>
        <v>3.0346799999999998</v>
      </c>
      <c r="J17" s="176">
        <f>'Economic Forecasts'!W$8</f>
        <v>3.0835300000000001</v>
      </c>
      <c r="K17" s="171">
        <f>'Labour Force Treasury'!K$4</f>
        <v>3.1249453198696657</v>
      </c>
      <c r="L17" s="171">
        <f>'Labour Force Treasury'!L$4</f>
        <v>3.1645204057272722</v>
      </c>
      <c r="M17" s="171">
        <f>'Labour Force Treasury'!M$4</f>
        <v>3.2021599836832335</v>
      </c>
      <c r="N17" s="171">
        <f>'Labour Force Treasury'!N$4</f>
        <v>3.2376842973686641</v>
      </c>
      <c r="O17" s="171">
        <f>'Labour Force Treasury'!O$4</f>
        <v>3.2710944381019158</v>
      </c>
      <c r="P17" s="171">
        <f>'Labour Force Treasury'!P$4</f>
        <v>3.3023896038746892</v>
      </c>
      <c r="Q17" s="171">
        <f>'Labour Force Treasury'!Q$4</f>
        <v>3.3315790137624153</v>
      </c>
      <c r="R17" s="171">
        <f>'Labour Force Treasury'!R$4</f>
        <v>3.3583553496366774</v>
      </c>
      <c r="S17" s="171">
        <f>'Labour Force Treasury'!S$4</f>
        <v>3.3826760144316173</v>
      </c>
      <c r="T17" s="171">
        <f>'Labour Force Treasury'!T$4</f>
        <v>3.4062179687885537</v>
      </c>
    </row>
    <row r="18" spans="1:20">
      <c r="A18" s="4" t="str">
        <f>$A$12</f>
        <v>Annual percentage growth</v>
      </c>
      <c r="D18" s="178"/>
      <c r="E18" s="178">
        <f t="shared" ref="E18:T18" si="7">E$17/D$17-1</f>
        <v>1.7130620985010614E-2</v>
      </c>
      <c r="F18" s="177">
        <f t="shared" si="7"/>
        <v>1.1778947368421111E-2</v>
      </c>
      <c r="G18" s="177">
        <f t="shared" si="7"/>
        <v>1.8629684731079843E-2</v>
      </c>
      <c r="H18" s="177">
        <f t="shared" si="7"/>
        <v>1.6634380670618176E-2</v>
      </c>
      <c r="I18" s="177">
        <f t="shared" si="7"/>
        <v>1.6251695326758409E-2</v>
      </c>
      <c r="J18" s="177">
        <f t="shared" si="7"/>
        <v>1.6097249133351976E-2</v>
      </c>
      <c r="K18" s="173">
        <f t="shared" si="7"/>
        <v>1.3431138944542731E-2</v>
      </c>
      <c r="L18" s="173">
        <f t="shared" si="7"/>
        <v>1.2664249068926825E-2</v>
      </c>
      <c r="M18" s="173">
        <f t="shared" si="7"/>
        <v>1.1894244033895163E-2</v>
      </c>
      <c r="N18" s="173">
        <f t="shared" si="7"/>
        <v>1.1093859727948185E-2</v>
      </c>
      <c r="O18" s="173">
        <f t="shared" si="7"/>
        <v>1.0319147163423192E-2</v>
      </c>
      <c r="P18" s="173">
        <f t="shared" si="7"/>
        <v>9.5671850400420588E-3</v>
      </c>
      <c r="Q18" s="173">
        <f t="shared" si="7"/>
        <v>8.8388752960819605E-3</v>
      </c>
      <c r="R18" s="173">
        <f t="shared" si="7"/>
        <v>8.0371306709676738E-3</v>
      </c>
      <c r="S18" s="173">
        <f t="shared" si="7"/>
        <v>7.241837823257935E-3</v>
      </c>
      <c r="T18" s="173">
        <f t="shared" si="7"/>
        <v>6.9595652248393147E-3</v>
      </c>
    </row>
    <row r="19" spans="1:20" ht="15">
      <c r="A19" s="168" t="s">
        <v>1105</v>
      </c>
      <c r="B19" s="4" t="str">
        <f>$B$11</f>
        <v>From Economic Forecasts</v>
      </c>
      <c r="D19" s="175">
        <f>'Economic Forecasts'!Q$9</f>
        <v>3.97031</v>
      </c>
      <c r="E19" s="175">
        <f>'Economic Forecasts'!R$9</f>
        <v>4.0742199999999995</v>
      </c>
      <c r="F19" s="176">
        <f>'Economic Forecasts'!S$9</f>
        <v>4.1135099999999998</v>
      </c>
      <c r="G19" s="176">
        <f>'Economic Forecasts'!T$9</f>
        <v>4.1584200000000004</v>
      </c>
      <c r="H19" s="176">
        <f>'Economic Forecasts'!U$9</f>
        <v>4.2111499999999999</v>
      </c>
      <c r="I19" s="176">
        <f>'Economic Forecasts'!V$9</f>
        <v>4.2705500000000001</v>
      </c>
      <c r="J19" s="176">
        <f>'Economic Forecasts'!W$9</f>
        <v>4.3366699999999998</v>
      </c>
      <c r="K19" s="171">
        <f>'Population Treasury'!V$6</f>
        <v>4.402999469356315</v>
      </c>
      <c r="L19" s="171">
        <f>'Population Treasury'!W$6</f>
        <v>4.4667865050430899</v>
      </c>
      <c r="M19" s="171">
        <f>'Population Treasury'!X$6</f>
        <v>4.5277211070603256</v>
      </c>
      <c r="N19" s="171">
        <f>'Population Treasury'!Y$6</f>
        <v>4.5847732754080246</v>
      </c>
      <c r="O19" s="171">
        <f>'Population Treasury'!Z$6</f>
        <v>4.639263010086184</v>
      </c>
      <c r="P19" s="171">
        <f>'Population Treasury'!AA$6</f>
        <v>4.6906703110947978</v>
      </c>
      <c r="Q19" s="171">
        <f>'Population Treasury'!AB$6</f>
        <v>4.7394051784338771</v>
      </c>
      <c r="R19" s="171">
        <f>'Population Treasury'!AC$6</f>
        <v>4.7840576121034202</v>
      </c>
      <c r="S19" s="171">
        <f>'Population Treasury'!AD$6</f>
        <v>4.8257276121034201</v>
      </c>
      <c r="T19" s="171">
        <f>'Population Treasury'!AE$6</f>
        <v>4.8659376121034201</v>
      </c>
    </row>
    <row r="20" spans="1:20">
      <c r="A20" s="4" t="str">
        <f>$A$12</f>
        <v>Annual percentage growth</v>
      </c>
      <c r="D20" s="178"/>
      <c r="E20" s="178">
        <f t="shared" ref="E20:T20" si="8">E$19/D$19-1</f>
        <v>2.6171759887766877E-2</v>
      </c>
      <c r="F20" s="177">
        <f t="shared" si="8"/>
        <v>9.6435636759919507E-3</v>
      </c>
      <c r="G20" s="177">
        <f t="shared" si="8"/>
        <v>1.0917683438231851E-2</v>
      </c>
      <c r="H20" s="177">
        <f t="shared" si="8"/>
        <v>1.2680296843512462E-2</v>
      </c>
      <c r="I20" s="177">
        <f t="shared" si="8"/>
        <v>1.4105410636049642E-2</v>
      </c>
      <c r="J20" s="177">
        <f t="shared" si="8"/>
        <v>1.5482783248059295E-2</v>
      </c>
      <c r="K20" s="173">
        <f t="shared" si="8"/>
        <v>1.5295023452629675E-2</v>
      </c>
      <c r="L20" s="173">
        <f t="shared" si="8"/>
        <v>1.4487177691188791E-2</v>
      </c>
      <c r="M20" s="173">
        <f t="shared" si="8"/>
        <v>1.3641709078425768E-2</v>
      </c>
      <c r="N20" s="173">
        <f t="shared" si="8"/>
        <v>1.2600636611370453E-2</v>
      </c>
      <c r="O20" s="173">
        <f t="shared" si="8"/>
        <v>1.1884935503884808E-2</v>
      </c>
      <c r="P20" s="173">
        <f t="shared" si="8"/>
        <v>1.1080919727303629E-2</v>
      </c>
      <c r="Q20" s="173">
        <f t="shared" si="8"/>
        <v>1.038974477140453E-2</v>
      </c>
      <c r="R20" s="173">
        <f t="shared" si="8"/>
        <v>9.421526961385096E-3</v>
      </c>
      <c r="S20" s="173">
        <f t="shared" si="8"/>
        <v>8.7101793871748878E-3</v>
      </c>
      <c r="T20" s="173">
        <f t="shared" si="8"/>
        <v>8.3324222235729994E-3</v>
      </c>
    </row>
    <row r="21" spans="1:20" ht="15">
      <c r="A21" s="168" t="s">
        <v>265</v>
      </c>
      <c r="D21" s="178">
        <f t="shared" ref="D21:T21" si="9">D$17/D$19</f>
        <v>0.70573834284980264</v>
      </c>
      <c r="E21" s="178">
        <f t="shared" si="9"/>
        <v>0.69952039899661789</v>
      </c>
      <c r="F21" s="177">
        <f t="shared" si="9"/>
        <v>0.70099987601829106</v>
      </c>
      <c r="G21" s="177">
        <f t="shared" si="9"/>
        <v>0.70634760317620626</v>
      </c>
      <c r="H21" s="177">
        <f t="shared" si="9"/>
        <v>0.70910558873466878</v>
      </c>
      <c r="I21" s="177">
        <f t="shared" si="9"/>
        <v>0.71060636217817374</v>
      </c>
      <c r="J21" s="177">
        <f t="shared" si="9"/>
        <v>0.71103634816575856</v>
      </c>
      <c r="K21" s="173">
        <f t="shared" si="9"/>
        <v>0.70973102350305506</v>
      </c>
      <c r="L21" s="173">
        <f t="shared" si="9"/>
        <v>0.7084557101966853</v>
      </c>
      <c r="M21" s="173">
        <f t="shared" si="9"/>
        <v>0.70723436977819343</v>
      </c>
      <c r="N21" s="173">
        <f t="shared" si="9"/>
        <v>0.70618198608316674</v>
      </c>
      <c r="O21" s="173">
        <f t="shared" si="9"/>
        <v>0.7050892417589294</v>
      </c>
      <c r="P21" s="173">
        <f t="shared" si="9"/>
        <v>0.70403362096534017</v>
      </c>
      <c r="Q21" s="173">
        <f t="shared" si="9"/>
        <v>0.70295298425262009</v>
      </c>
      <c r="R21" s="173">
        <f t="shared" si="9"/>
        <v>0.70198890187697793</v>
      </c>
      <c r="S21" s="173">
        <f t="shared" si="9"/>
        <v>0.70096704296933765</v>
      </c>
      <c r="T21" s="173">
        <f t="shared" si="9"/>
        <v>0.70001266771608539</v>
      </c>
    </row>
    <row r="22" spans="1:20" ht="15">
      <c r="A22" s="168" t="s">
        <v>778</v>
      </c>
      <c r="B22" s="4" t="str">
        <f>$B$11</f>
        <v>From Economic Forecasts</v>
      </c>
      <c r="D22" s="175">
        <f>'Economic Forecasts'!Q$10</f>
        <v>4.9814499999999997</v>
      </c>
      <c r="E22" s="175">
        <f>'Economic Forecasts'!R$10</f>
        <v>5.0958000000000006</v>
      </c>
      <c r="F22" s="176">
        <f>'Economic Forecasts'!S$10</f>
        <v>5.1295999999999999</v>
      </c>
      <c r="G22" s="176">
        <f>'Economic Forecasts'!T$10</f>
        <v>5.1731000000000007</v>
      </c>
      <c r="H22" s="176">
        <f>'Economic Forecasts'!U$10</f>
        <v>5.2261000000000006</v>
      </c>
      <c r="I22" s="176">
        <f>'Economic Forecasts'!V$10</f>
        <v>5.2871000000000006</v>
      </c>
      <c r="J22" s="176">
        <f>'Economic Forecasts'!W$10</f>
        <v>5.3561000000000005</v>
      </c>
      <c r="K22" s="171">
        <f>'Population Treasury'!V$4</f>
        <v>5.4197200000000008</v>
      </c>
      <c r="L22" s="171">
        <f>'Population Treasury'!W$4</f>
        <v>5.4807999999999995</v>
      </c>
      <c r="M22" s="171">
        <f>'Population Treasury'!X$4</f>
        <v>5.539089999999999</v>
      </c>
      <c r="N22" s="171">
        <f>'Population Treasury'!Y$4</f>
        <v>5.5945100000000032</v>
      </c>
      <c r="O22" s="171">
        <f>'Population Treasury'!Z$4</f>
        <v>5.6471200000000019</v>
      </c>
      <c r="P22" s="171">
        <f>'Population Treasury'!AA$4</f>
        <v>5.69693</v>
      </c>
      <c r="Q22" s="171">
        <f>'Population Treasury'!AB$4</f>
        <v>5.7437300000000011</v>
      </c>
      <c r="R22" s="171">
        <f>'Population Treasury'!AC$4</f>
        <v>5.7876000000000047</v>
      </c>
      <c r="S22" s="171">
        <f>'Population Treasury'!AD$4</f>
        <v>5.828720000000005</v>
      </c>
      <c r="T22" s="171">
        <f>'Population Treasury'!AE$4</f>
        <v>5.8690200000000043</v>
      </c>
    </row>
    <row r="23" spans="1:20">
      <c r="A23" s="4" t="str">
        <f>$A$12</f>
        <v>Annual percentage growth</v>
      </c>
      <c r="D23" s="178"/>
      <c r="E23" s="178">
        <f t="shared" ref="E23:T23" si="10">E$22/D$22-1</f>
        <v>2.295516365716832E-2</v>
      </c>
      <c r="F23" s="177">
        <f t="shared" si="10"/>
        <v>6.6329133796458883E-3</v>
      </c>
      <c r="G23" s="177">
        <f t="shared" si="10"/>
        <v>8.4801933873988045E-3</v>
      </c>
      <c r="H23" s="177">
        <f t="shared" si="10"/>
        <v>1.0245307455877484E-2</v>
      </c>
      <c r="I23" s="177">
        <f t="shared" si="10"/>
        <v>1.1672183846462847E-2</v>
      </c>
      <c r="J23" s="177">
        <f t="shared" si="10"/>
        <v>1.305063267197526E-2</v>
      </c>
      <c r="K23" s="173">
        <f t="shared" si="10"/>
        <v>1.187804559287553E-2</v>
      </c>
      <c r="L23" s="173">
        <f t="shared" si="10"/>
        <v>1.1269954905419155E-2</v>
      </c>
      <c r="M23" s="173">
        <f t="shared" si="10"/>
        <v>1.0635308714056269E-2</v>
      </c>
      <c r="N23" s="173">
        <f t="shared" si="10"/>
        <v>1.0005253570533057E-2</v>
      </c>
      <c r="O23" s="173">
        <f t="shared" si="10"/>
        <v>9.4038620004250895E-3</v>
      </c>
      <c r="P23" s="173">
        <f t="shared" si="10"/>
        <v>8.8204252787258408E-3</v>
      </c>
      <c r="Q23" s="173">
        <f t="shared" si="10"/>
        <v>8.2149508594981935E-3</v>
      </c>
      <c r="R23" s="173">
        <f t="shared" si="10"/>
        <v>7.6378938425036846E-3</v>
      </c>
      <c r="S23" s="173">
        <f t="shared" si="10"/>
        <v>7.1048448406938469E-3</v>
      </c>
      <c r="T23" s="173">
        <f t="shared" si="10"/>
        <v>6.9140394460531773E-3</v>
      </c>
    </row>
    <row r="24" spans="1:20" ht="15">
      <c r="A24" s="168" t="s">
        <v>96</v>
      </c>
      <c r="B24" s="4" t="str">
        <f>$B$11</f>
        <v>From Economic Forecasts</v>
      </c>
      <c r="D24" s="178">
        <f>'Economic Forecasts'!Q$11</f>
        <v>4.1299999999999996E-2</v>
      </c>
      <c r="E24" s="178">
        <f>'Economic Forecasts'!R$11</f>
        <v>4.1299999999999996E-2</v>
      </c>
      <c r="F24" s="177">
        <f>'Economic Forecasts'!S$11</f>
        <v>5.1299999999999998E-2</v>
      </c>
      <c r="G24" s="177">
        <f>'Economic Forecasts'!T$11</f>
        <v>5.1399999999999994E-2</v>
      </c>
      <c r="H24" s="177">
        <f>'Economic Forecasts'!U$11</f>
        <v>4.5199999999999997E-2</v>
      </c>
      <c r="I24" s="177">
        <f>'Economic Forecasts'!V$11</f>
        <v>4.2699999999999995E-2</v>
      </c>
      <c r="J24" s="177">
        <f>'Economic Forecasts'!W$11</f>
        <v>4.1299999999999996E-2</v>
      </c>
      <c r="K24" s="173">
        <f ca="1">SUM(J$24,MIN(OFFSET(Assumptions!$B$18,0,$C$1),ABS(OFFSET(Assumptions!$B$12,0,$C$1)-J$24))*SIGN(OFFSET(Assumptions!$B$12,0,$C$1)-J$24))</f>
        <v>4.1699999999999994E-2</v>
      </c>
      <c r="L24" s="173">
        <f ca="1">SUM(K$24,MIN(OFFSET(Assumptions!$B$18,0,$C$1),ABS(OFFSET(Assumptions!$B$12,0,$C$1)-K$24))*SIGN(OFFSET(Assumptions!$B$12,0,$C$1)-K$24))</f>
        <v>4.2099999999999992E-2</v>
      </c>
      <c r="M24" s="173">
        <f ca="1">SUM(L$24,MIN(OFFSET(Assumptions!$B$18,0,$C$1),ABS(OFFSET(Assumptions!$B$12,0,$C$1)-L$24))*SIGN(OFFSET(Assumptions!$B$12,0,$C$1)-L$24))</f>
        <v>4.2499999999999989E-2</v>
      </c>
      <c r="N24" s="173">
        <f ca="1">SUM(M$24,MIN(OFFSET(Assumptions!$B$18,0,$C$1),ABS(OFFSET(Assumptions!$B$12,0,$C$1)-M$24))*SIGN(OFFSET(Assumptions!$B$12,0,$C$1)-M$24))</f>
        <v>4.2500000000000003E-2</v>
      </c>
      <c r="O24" s="173">
        <f ca="1">SUM(N$24,MIN(OFFSET(Assumptions!$B$18,0,$C$1),ABS(OFFSET(Assumptions!$B$12,0,$C$1)-N$24))*SIGN(OFFSET(Assumptions!$B$12,0,$C$1)-N$24))</f>
        <v>4.2500000000000003E-2</v>
      </c>
      <c r="P24" s="173">
        <f ca="1">SUM(O$24,MIN(OFFSET(Assumptions!$B$18,0,$C$1),ABS(OFFSET(Assumptions!$B$12,0,$C$1)-O$24))*SIGN(OFFSET(Assumptions!$B$12,0,$C$1)-O$24))</f>
        <v>4.2500000000000003E-2</v>
      </c>
      <c r="Q24" s="173">
        <f ca="1">SUM(P$24,MIN(OFFSET(Assumptions!$B$18,0,$C$1),ABS(OFFSET(Assumptions!$B$12,0,$C$1)-P$24))*SIGN(OFFSET(Assumptions!$B$12,0,$C$1)-P$24))</f>
        <v>4.2500000000000003E-2</v>
      </c>
      <c r="R24" s="173">
        <f ca="1">SUM(Q$24,MIN(OFFSET(Assumptions!$B$18,0,$C$1),ABS(OFFSET(Assumptions!$B$12,0,$C$1)-Q$24))*SIGN(OFFSET(Assumptions!$B$12,0,$C$1)-Q$24))</f>
        <v>4.2500000000000003E-2</v>
      </c>
      <c r="S24" s="173">
        <f ca="1">SUM(R$24,MIN(OFFSET(Assumptions!$B$18,0,$C$1),ABS(OFFSET(Assumptions!$B$12,0,$C$1)-R$24))*SIGN(OFFSET(Assumptions!$B$12,0,$C$1)-R$24))</f>
        <v>4.2500000000000003E-2</v>
      </c>
      <c r="T24" s="173">
        <f ca="1">SUM(S$24,MIN(OFFSET(Assumptions!$B$18,0,$C$1),ABS(OFFSET(Assumptions!$B$12,0,$C$1)-S$24))*SIGN(OFFSET(Assumptions!$B$12,0,$C$1)-S$24))</f>
        <v>4.2500000000000003E-2</v>
      </c>
    </row>
    <row r="25" spans="1:20" ht="15">
      <c r="A25" s="168" t="s">
        <v>97</v>
      </c>
      <c r="B25" s="4" t="str">
        <f>$B$11</f>
        <v>From Economic Forecasts</v>
      </c>
      <c r="D25" s="179">
        <f>'Economic Forecasts'!Q$12</f>
        <v>34.119999999999997</v>
      </c>
      <c r="E25" s="179">
        <f>'Economic Forecasts'!R$12</f>
        <v>33.18</v>
      </c>
      <c r="F25" s="180">
        <f>'Economic Forecasts'!S$12</f>
        <v>34.17</v>
      </c>
      <c r="G25" s="180">
        <f>'Economic Forecasts'!T$12</f>
        <v>33.9</v>
      </c>
      <c r="H25" s="180">
        <f>'Economic Forecasts'!U$12</f>
        <v>33.86</v>
      </c>
      <c r="I25" s="180">
        <f>'Economic Forecasts'!V$12</f>
        <v>33.83</v>
      </c>
      <c r="J25" s="180">
        <f>'Economic Forecasts'!W$12</f>
        <v>33.799999999999997</v>
      </c>
      <c r="K25" s="172">
        <f ca="1">SUM(J$25,MIN(OFFSET(Assumptions!$B$19,0,$C$1),ABS(OFFSET(Assumptions!$B$13,0,$C$1)-J$25))*SIGN(OFFSET(Assumptions!$B$13,0,$C$1)-J$25))</f>
        <v>33.76</v>
      </c>
      <c r="L25" s="172">
        <f ca="1">SUM(K$25,MIN(OFFSET(Assumptions!$B$19,0,$C$1),ABS(OFFSET(Assumptions!$B$13,0,$C$1)-K$25))*SIGN(OFFSET(Assumptions!$B$13,0,$C$1)-K$25))</f>
        <v>33.72</v>
      </c>
      <c r="M25" s="172">
        <f ca="1">SUM(L$25,MIN(OFFSET(Assumptions!$B$19,0,$C$1),ABS(OFFSET(Assumptions!$B$13,0,$C$1)-L$25))*SIGN(OFFSET(Assumptions!$B$13,0,$C$1)-L$25))</f>
        <v>33.700000000000003</v>
      </c>
      <c r="N25" s="172">
        <f ca="1">SUM(M$25,MIN(OFFSET(Assumptions!$B$19,0,$C$1),ABS(OFFSET(Assumptions!$B$13,0,$C$1)-M$25))*SIGN(OFFSET(Assumptions!$B$13,0,$C$1)-M$25))</f>
        <v>33.700000000000003</v>
      </c>
      <c r="O25" s="172">
        <f ca="1">SUM(N$25,MIN(OFFSET(Assumptions!$B$19,0,$C$1),ABS(OFFSET(Assumptions!$B$13,0,$C$1)-N$25))*SIGN(OFFSET(Assumptions!$B$13,0,$C$1)-N$25))</f>
        <v>33.700000000000003</v>
      </c>
      <c r="P25" s="172">
        <f ca="1">SUM(O$25,MIN(OFFSET(Assumptions!$B$19,0,$C$1),ABS(OFFSET(Assumptions!$B$13,0,$C$1)-O$25))*SIGN(OFFSET(Assumptions!$B$13,0,$C$1)-O$25))</f>
        <v>33.700000000000003</v>
      </c>
      <c r="Q25" s="172">
        <f ca="1">SUM(P$25,MIN(OFFSET(Assumptions!$B$19,0,$C$1),ABS(OFFSET(Assumptions!$B$13,0,$C$1)-P$25))*SIGN(OFFSET(Assumptions!$B$13,0,$C$1)-P$25))</f>
        <v>33.700000000000003</v>
      </c>
      <c r="R25" s="172">
        <f ca="1">SUM(Q$25,MIN(OFFSET(Assumptions!$B$19,0,$C$1),ABS(OFFSET(Assumptions!$B$13,0,$C$1)-Q$25))*SIGN(OFFSET(Assumptions!$B$13,0,$C$1)-Q$25))</f>
        <v>33.700000000000003</v>
      </c>
      <c r="S25" s="172">
        <f ca="1">SUM(R$25,MIN(OFFSET(Assumptions!$B$19,0,$C$1),ABS(OFFSET(Assumptions!$B$13,0,$C$1)-R$25))*SIGN(OFFSET(Assumptions!$B$13,0,$C$1)-R$25))</f>
        <v>33.700000000000003</v>
      </c>
      <c r="T25" s="172">
        <f ca="1">SUM(S$25,MIN(OFFSET(Assumptions!$B$19,0,$C$1),ABS(OFFSET(Assumptions!$B$13,0,$C$1)-S$25))*SIGN(OFFSET(Assumptions!$B$13,0,$C$1)-S$25))</f>
        <v>33.700000000000003</v>
      </c>
    </row>
    <row r="26" spans="1:20" ht="15">
      <c r="A26" s="168" t="s">
        <v>91</v>
      </c>
      <c r="B26" s="4" t="str">
        <f t="shared" ref="B26:B31" si="11">$B$11</f>
        <v>From Economic Forecasts</v>
      </c>
      <c r="D26" s="178">
        <f>'Economic Forecasts'!Q$13</f>
        <v>3.8999999999999998E-3</v>
      </c>
      <c r="E26" s="178">
        <f>'Economic Forecasts'!R$13</f>
        <v>-6.4000000000000003E-3</v>
      </c>
      <c r="F26" s="177">
        <f>'Economic Forecasts'!S$13</f>
        <v>-2.2000000000000001E-3</v>
      </c>
      <c r="G26" s="177">
        <f>'Economic Forecasts'!T$13</f>
        <v>2.5499999999999998E-2</v>
      </c>
      <c r="H26" s="177">
        <f>'Economic Forecasts'!U$13</f>
        <v>2.0299999999999999E-2</v>
      </c>
      <c r="I26" s="177">
        <f>'Economic Forecasts'!V$13</f>
        <v>1.4500000000000001E-2</v>
      </c>
      <c r="J26" s="177">
        <f>'Economic Forecasts'!W$13</f>
        <v>1.21E-2</v>
      </c>
      <c r="K26" s="173">
        <f ca="1">SUM(J$26,MIN(OFFSET(Assumptions!$B$20,0,$C$1),ABS(OFFSET(Assumptions!$B$14,0,$C$1)-J$26))*SIGN(OFFSET(Assumptions!$B$14,0,$C$1)-J$26))</f>
        <v>1.14E-2</v>
      </c>
      <c r="L26" s="173">
        <f ca="1">SUM(K$26,MIN(OFFSET(Assumptions!$B$20,0,$C$1),ABS(OFFSET(Assumptions!$B$14,0,$C$1)-K$26))*SIGN(OFFSET(Assumptions!$B$14,0,$C$1)-K$26))</f>
        <v>1.0700000000000001E-2</v>
      </c>
      <c r="M26" s="173">
        <f ca="1">SUM(L$26,MIN(OFFSET(Assumptions!$B$20,0,$C$1),ABS(OFFSET(Assumptions!$B$14,0,$C$1)-L$26))*SIGN(OFFSET(Assumptions!$B$14,0,$C$1)-L$26))</f>
        <v>1.0000000000000002E-2</v>
      </c>
      <c r="N26" s="173">
        <f ca="1">SUM(M$26,MIN(OFFSET(Assumptions!$B$20,0,$C$1),ABS(OFFSET(Assumptions!$B$14,0,$C$1)-M$26))*SIGN(OFFSET(Assumptions!$B$14,0,$C$1)-M$26))</f>
        <v>0.01</v>
      </c>
      <c r="O26" s="173">
        <f ca="1">SUM(N$26,MIN(OFFSET(Assumptions!$B$20,0,$C$1),ABS(OFFSET(Assumptions!$B$14,0,$C$1)-N$26))*SIGN(OFFSET(Assumptions!$B$14,0,$C$1)-N$26))</f>
        <v>0.01</v>
      </c>
      <c r="P26" s="173">
        <f ca="1">SUM(O$26,MIN(OFFSET(Assumptions!$B$20,0,$C$1),ABS(OFFSET(Assumptions!$B$14,0,$C$1)-O$26))*SIGN(OFFSET(Assumptions!$B$14,0,$C$1)-O$26))</f>
        <v>0.01</v>
      </c>
      <c r="Q26" s="173">
        <f ca="1">SUM(P$26,MIN(OFFSET(Assumptions!$B$20,0,$C$1),ABS(OFFSET(Assumptions!$B$14,0,$C$1)-P$26))*SIGN(OFFSET(Assumptions!$B$14,0,$C$1)-P$26))</f>
        <v>0.01</v>
      </c>
      <c r="R26" s="173">
        <f ca="1">SUM(Q$26,MIN(OFFSET(Assumptions!$B$20,0,$C$1),ABS(OFFSET(Assumptions!$B$14,0,$C$1)-Q$26))*SIGN(OFFSET(Assumptions!$B$14,0,$C$1)-Q$26))</f>
        <v>0.01</v>
      </c>
      <c r="S26" s="173">
        <f ca="1">SUM(R$26,MIN(OFFSET(Assumptions!$B$20,0,$C$1),ABS(OFFSET(Assumptions!$B$14,0,$C$1)-R$26))*SIGN(OFFSET(Assumptions!$B$14,0,$C$1)-R$26))</f>
        <v>0.01</v>
      </c>
      <c r="T26" s="173">
        <f ca="1">SUM(S$26,MIN(OFFSET(Assumptions!$B$20,0,$C$1),ABS(OFFSET(Assumptions!$B$14,0,$C$1)-S$26))*SIGN(OFFSET(Assumptions!$B$14,0,$C$1)-S$26))</f>
        <v>0.01</v>
      </c>
    </row>
    <row r="27" spans="1:20" ht="15">
      <c r="A27" s="168" t="s">
        <v>93</v>
      </c>
      <c r="B27" s="4" t="str">
        <f t="shared" si="11"/>
        <v>From Economic Forecasts</v>
      </c>
      <c r="D27" s="178">
        <f>'Economic Forecasts'!Q$15</f>
        <v>3.4599999999999999E-2</v>
      </c>
      <c r="E27" s="178">
        <f>'Economic Forecasts'!R$15</f>
        <v>3.5700000000000003E-2</v>
      </c>
      <c r="F27" s="177">
        <f>'Economic Forecasts'!S$15</f>
        <v>3.7499999999999999E-2</v>
      </c>
      <c r="G27" s="177">
        <f>'Economic Forecasts'!T$15</f>
        <v>3.0499999999999999E-2</v>
      </c>
      <c r="H27" s="177">
        <f>'Economic Forecasts'!U$15</f>
        <v>2.4299999999999999E-2</v>
      </c>
      <c r="I27" s="177">
        <f>'Economic Forecasts'!V$15</f>
        <v>2.6499999999999999E-2</v>
      </c>
      <c r="J27" s="177">
        <f>'Economic Forecasts'!W$15</f>
        <v>3.0300000000000001E-2</v>
      </c>
      <c r="K27" s="173">
        <f t="shared" ref="K27:T27" ca="1" si="12">(1+K$26)*(1+K$30)-1</f>
        <v>3.2419623583406887E-2</v>
      </c>
      <c r="L27" s="173">
        <f t="shared" ca="1" si="12"/>
        <v>3.1300795692850825E-2</v>
      </c>
      <c r="M27" s="173">
        <f t="shared" ca="1" si="12"/>
        <v>3.0200000000000005E-2</v>
      </c>
      <c r="N27" s="173">
        <f t="shared" ca="1" si="12"/>
        <v>3.0200000000000005E-2</v>
      </c>
      <c r="O27" s="173">
        <f t="shared" ca="1" si="12"/>
        <v>3.0200000000000005E-2</v>
      </c>
      <c r="P27" s="173">
        <f t="shared" ca="1" si="12"/>
        <v>3.0200000000000005E-2</v>
      </c>
      <c r="Q27" s="173">
        <f t="shared" ca="1" si="12"/>
        <v>3.0200000000000005E-2</v>
      </c>
      <c r="R27" s="173">
        <f t="shared" ca="1" si="12"/>
        <v>3.0200000000000005E-2</v>
      </c>
      <c r="S27" s="173">
        <f t="shared" ca="1" si="12"/>
        <v>3.0200000000000005E-2</v>
      </c>
      <c r="T27" s="173">
        <f t="shared" ca="1" si="12"/>
        <v>3.0200000000000005E-2</v>
      </c>
    </row>
    <row r="28" spans="1:20">
      <c r="A28" s="18" t="s">
        <v>264</v>
      </c>
      <c r="B28" s="4"/>
      <c r="D28" s="178"/>
      <c r="E28" s="178"/>
      <c r="F28" s="177"/>
      <c r="G28" s="177"/>
      <c r="H28" s="177"/>
      <c r="I28" s="177"/>
      <c r="J28" s="177"/>
      <c r="K28" s="173"/>
      <c r="L28" s="173"/>
      <c r="M28" s="173"/>
      <c r="N28" s="173"/>
      <c r="O28" s="173"/>
      <c r="P28" s="173"/>
      <c r="Q28" s="173"/>
      <c r="R28" s="173"/>
      <c r="S28" s="173"/>
      <c r="T28" s="173"/>
    </row>
    <row r="29" spans="1:20" ht="15">
      <c r="A29" s="168" t="s">
        <v>266</v>
      </c>
      <c r="B29" s="4" t="str">
        <f t="shared" si="11"/>
        <v>From Economic Forecasts</v>
      </c>
      <c r="D29" s="181">
        <f>'Economic Forecasts'!Q$14</f>
        <v>1032</v>
      </c>
      <c r="E29" s="181">
        <f>'Economic Forecasts'!R$14</f>
        <v>1047</v>
      </c>
      <c r="F29" s="182">
        <f>'Economic Forecasts'!S$14</f>
        <v>1072</v>
      </c>
      <c r="G29" s="182">
        <f>'Economic Forecasts'!T$14</f>
        <v>1090</v>
      </c>
      <c r="H29" s="182">
        <f>'Economic Forecasts'!U$14</f>
        <v>1110</v>
      </c>
      <c r="I29" s="182">
        <f>'Economic Forecasts'!V$14</f>
        <v>1133</v>
      </c>
      <c r="J29" s="182">
        <f>'Economic Forecasts'!W$14</f>
        <v>1157</v>
      </c>
      <c r="K29" s="169">
        <f ca="1">J$29*(1+J$30+MIN(OFFSET(Assumptions!$B$21,0,$C$1),ABS(OFFSET(Assumptions!$B$15,0,$C$1)-J$30))*SIGN(OFFSET(Assumptions!$B$15,0,$C$1)-J$30))</f>
        <v>1181.0455848190645</v>
      </c>
      <c r="L29" s="169">
        <f ca="1">K$29*(1+K$30+MIN(OFFSET(Assumptions!$B$21,0,$C$1),ABS(OFFSET(Assumptions!$B$15,0,$C$1)-K$30))*SIGN(OFFSET(Assumptions!$B$15,0,$C$1)-K$30))</f>
        <v>1205.1184835989211</v>
      </c>
      <c r="M29" s="169">
        <f ca="1">L$29*(1+L$30+MIN(OFFSET(Assumptions!$B$21,0,$C$1),ABS(OFFSET(Assumptions!$B$15,0,$C$1)-L$30))*SIGN(OFFSET(Assumptions!$B$15,0,$C$1)-L$30))</f>
        <v>1229.2208532708996</v>
      </c>
      <c r="N29" s="169">
        <f ca="1">M$29*(1+M$30+MIN(OFFSET(Assumptions!$B$21,0,$C$1),ABS(OFFSET(Assumptions!$B$15,0,$C$1)-M$30))*SIGN(OFFSET(Assumptions!$B$15,0,$C$1)-M$30))</f>
        <v>1253.8052703363176</v>
      </c>
      <c r="O29" s="169">
        <f ca="1">N$29*(1+N$30+MIN(OFFSET(Assumptions!$B$21,0,$C$1),ABS(OFFSET(Assumptions!$B$15,0,$C$1)-N$30))*SIGN(OFFSET(Assumptions!$B$15,0,$C$1)-N$30))</f>
        <v>1278.8813757430439</v>
      </c>
      <c r="P29" s="169">
        <f ca="1">O$29*(1+O$30+MIN(OFFSET(Assumptions!$B$21,0,$C$1),ABS(OFFSET(Assumptions!$B$15,0,$C$1)-O$30))*SIGN(OFFSET(Assumptions!$B$15,0,$C$1)-O$30))</f>
        <v>1304.4590032579049</v>
      </c>
      <c r="Q29" s="169">
        <f ca="1">P$29*(1+P$30+MIN(OFFSET(Assumptions!$B$21,0,$C$1),ABS(OFFSET(Assumptions!$B$15,0,$C$1)-P$30))*SIGN(OFFSET(Assumptions!$B$15,0,$C$1)-P$30))</f>
        <v>1330.5481833230631</v>
      </c>
      <c r="R29" s="169">
        <f ca="1">Q$29*(1+Q$30+MIN(OFFSET(Assumptions!$B$21,0,$C$1),ABS(OFFSET(Assumptions!$B$15,0,$C$1)-Q$30))*SIGN(OFFSET(Assumptions!$B$15,0,$C$1)-Q$30))</f>
        <v>1357.1591469895243</v>
      </c>
      <c r="S29" s="169">
        <f ca="1">R$29*(1+R$30+MIN(OFFSET(Assumptions!$B$21,0,$C$1),ABS(OFFSET(Assumptions!$B$15,0,$C$1)-R$30))*SIGN(OFFSET(Assumptions!$B$15,0,$C$1)-R$30))</f>
        <v>1384.3023299293147</v>
      </c>
      <c r="T29" s="169">
        <f ca="1">S$29*(1+S$30+MIN(OFFSET(Assumptions!$B$21,0,$C$1),ABS(OFFSET(Assumptions!$B$15,0,$C$1)-S$30))*SIGN(OFFSET(Assumptions!$B$15,0,$C$1)-S$30))</f>
        <v>1411.988376527901</v>
      </c>
    </row>
    <row r="30" spans="1:20">
      <c r="A30" s="4" t="str">
        <f>$A$12</f>
        <v>Annual percentage growth</v>
      </c>
      <c r="D30" s="178"/>
      <c r="E30" s="178">
        <f t="shared" ref="E30:T30" si="13">E$29/D$29-1</f>
        <v>1.4534883720930258E-2</v>
      </c>
      <c r="F30" s="177">
        <f t="shared" si="13"/>
        <v>2.387774594078329E-2</v>
      </c>
      <c r="G30" s="177">
        <f t="shared" si="13"/>
        <v>1.6791044776119479E-2</v>
      </c>
      <c r="H30" s="177">
        <f t="shared" si="13"/>
        <v>1.8348623853210899E-2</v>
      </c>
      <c r="I30" s="177">
        <f t="shared" si="13"/>
        <v>2.0720720720720731E-2</v>
      </c>
      <c r="J30" s="177">
        <f t="shared" si="13"/>
        <v>2.118270079435125E-2</v>
      </c>
      <c r="K30" s="173">
        <f t="shared" ca="1" si="13"/>
        <v>2.0782700794351294E-2</v>
      </c>
      <c r="L30" s="173">
        <f t="shared" ca="1" si="13"/>
        <v>2.0382700794351338E-2</v>
      </c>
      <c r="M30" s="173">
        <f t="shared" ca="1" si="13"/>
        <v>2.0000000000000018E-2</v>
      </c>
      <c r="N30" s="173">
        <f t="shared" ca="1" si="13"/>
        <v>2.0000000000000018E-2</v>
      </c>
      <c r="O30" s="173">
        <f t="shared" ca="1" si="13"/>
        <v>2.0000000000000018E-2</v>
      </c>
      <c r="P30" s="173">
        <f t="shared" ca="1" si="13"/>
        <v>2.0000000000000018E-2</v>
      </c>
      <c r="Q30" s="173">
        <f t="shared" ca="1" si="13"/>
        <v>2.0000000000000018E-2</v>
      </c>
      <c r="R30" s="173">
        <f t="shared" ca="1" si="13"/>
        <v>2.0000000000000018E-2</v>
      </c>
      <c r="S30" s="173">
        <f t="shared" ca="1" si="13"/>
        <v>2.0000000000000018E-2</v>
      </c>
      <c r="T30" s="173">
        <f t="shared" ca="1" si="13"/>
        <v>2.0000000000000018E-2</v>
      </c>
    </row>
    <row r="31" spans="1:20" ht="15">
      <c r="A31" s="168" t="s">
        <v>94</v>
      </c>
      <c r="B31" s="4" t="str">
        <f t="shared" si="11"/>
        <v>From Economic Forecasts</v>
      </c>
      <c r="D31" s="178">
        <f>'Economic Forecasts'!Q$16</f>
        <v>2.3099999999999999E-2</v>
      </c>
      <c r="E31" s="178">
        <f>'Economic Forecasts'!R$16</f>
        <v>1.18E-2</v>
      </c>
      <c r="F31" s="177">
        <f>'Economic Forecasts'!S$16</f>
        <v>1.1599999999999999E-2</v>
      </c>
      <c r="G31" s="177">
        <f>'Economic Forecasts'!T$16</f>
        <v>2.06E-2</v>
      </c>
      <c r="H31" s="177">
        <f>'Economic Forecasts'!U$16</f>
        <v>2.35E-2</v>
      </c>
      <c r="I31" s="177">
        <f>'Economic Forecasts'!V$16</f>
        <v>2.58E-2</v>
      </c>
      <c r="J31" s="177">
        <f>'Economic Forecasts'!W$16</f>
        <v>2.7999999999999997E-2</v>
      </c>
      <c r="K31" s="173">
        <f ca="1">J$31*(1+OFFSET(Assumptions!$B$22,0,$C$1)*(1-J$31/OFFSET(Assumptions!$B$16,0,$C$1)))</f>
        <v>2.9749999999999999E-2</v>
      </c>
      <c r="L31" s="173">
        <f ca="1">K$31*(1+OFFSET(Assumptions!$B$22,0,$C$1)*(1-K$31/OFFSET(Assumptions!$B$16,0,$C$1)))</f>
        <v>3.14466796875E-2</v>
      </c>
      <c r="M31" s="173">
        <f ca="1">L$31*(1+OFFSET(Assumptions!$B$22,0,$C$1)*(1-L$31/OFFSET(Assumptions!$B$16,0,$C$1)))</f>
        <v>3.3073388942599292E-2</v>
      </c>
      <c r="N31" s="173">
        <f ca="1">M$31*(1+OFFSET(Assumptions!$B$22,0,$C$1)*(1-M$31/OFFSET(Assumptions!$B$16,0,$C$1)))</f>
        <v>3.4616118983525283E-2</v>
      </c>
      <c r="O31" s="173">
        <f ca="1">N$31*(1+OFFSET(Assumptions!$B$22,0,$C$1)*(1-N$31/OFFSET(Assumptions!$B$16,0,$C$1)))</f>
        <v>3.6063925288924145E-2</v>
      </c>
      <c r="P31" s="173">
        <f ca="1">O$31*(1+OFFSET(Assumptions!$B$22,0,$C$1)*(1-O$31/OFFSET(Assumptions!$B$16,0,$C$1)))</f>
        <v>3.7409118122121818E-2</v>
      </c>
      <c r="Q31" s="173">
        <f ca="1">P$31*(1+OFFSET(Assumptions!$B$22,0,$C$1)*(1-P$31/OFFSET(Assumptions!$B$16,0,$C$1)))</f>
        <v>3.864722921958115E-2</v>
      </c>
      <c r="R31" s="173">
        <f ca="1">Q$31*(1+OFFSET(Assumptions!$B$22,0,$C$1)*(1-Q$31/OFFSET(Assumptions!$B$16,0,$C$1)))</f>
        <v>3.9776787582671926E-2</v>
      </c>
      <c r="S31" s="173">
        <f ca="1">R$31*(1+OFFSET(Assumptions!$B$22,0,$C$1)*(1-R$31/OFFSET(Assumptions!$B$16,0,$C$1)))</f>
        <v>4.0798953125082082E-2</v>
      </c>
      <c r="T31" s="173">
        <f ca="1">S$31*(1+OFFSET(Assumptions!$B$22,0,$C$1)*(1-S$31/OFFSET(Assumptions!$B$16,0,$C$1)))</f>
        <v>4.1717063043523628E-2</v>
      </c>
    </row>
    <row r="32" spans="1:20" ht="15">
      <c r="A32" s="168"/>
      <c r="B32" s="4"/>
      <c r="D32" s="142"/>
      <c r="E32" s="176"/>
      <c r="F32" s="176"/>
      <c r="G32" s="176"/>
    </row>
    <row r="33" spans="1:20" ht="16.5">
      <c r="A33" s="54" t="s">
        <v>259</v>
      </c>
      <c r="D33" s="183"/>
    </row>
    <row r="34" spans="1:20">
      <c r="A34" s="18" t="s">
        <v>125</v>
      </c>
      <c r="D34" s="171"/>
    </row>
    <row r="35" spans="1:20">
      <c r="A35" s="167" t="s">
        <v>557</v>
      </c>
      <c r="B35" s="4"/>
      <c r="D35" s="175">
        <f t="shared" ref="D35:T35" ca="1" si="14">SUM(D$133,D$143,D$148,D$158,D$166,D$172)</f>
        <v>119.142</v>
      </c>
      <c r="E35" s="175">
        <f t="shared" ca="1" si="14"/>
        <v>116.003</v>
      </c>
      <c r="F35" s="176">
        <f t="shared" ca="1" si="14"/>
        <v>121.18700000000001</v>
      </c>
      <c r="G35" s="176">
        <f t="shared" ca="1" si="14"/>
        <v>123.869</v>
      </c>
      <c r="H35" s="176">
        <f t="shared" ca="1" si="14"/>
        <v>134.12899999999999</v>
      </c>
      <c r="I35" s="176">
        <f t="shared" ca="1" si="14"/>
        <v>141.27100000000002</v>
      </c>
      <c r="J35" s="176">
        <f t="shared" ca="1" si="14"/>
        <v>148.38399999999996</v>
      </c>
      <c r="K35" s="171">
        <f t="shared" ca="1" si="14"/>
        <v>155.7193686454184</v>
      </c>
      <c r="L35" s="171">
        <f t="shared" ca="1" si="14"/>
        <v>162.63608382100662</v>
      </c>
      <c r="M35" s="171">
        <f t="shared" ca="1" si="14"/>
        <v>169.51278283307073</v>
      </c>
      <c r="N35" s="171">
        <f t="shared" ca="1" si="14"/>
        <v>176.87544628526175</v>
      </c>
      <c r="O35" s="171">
        <f t="shared" ca="1" si="14"/>
        <v>184.17138204727183</v>
      </c>
      <c r="P35" s="171">
        <f t="shared" ca="1" si="14"/>
        <v>191.61684771613037</v>
      </c>
      <c r="Q35" s="171">
        <f t="shared" ca="1" si="14"/>
        <v>199.26666954800857</v>
      </c>
      <c r="R35" s="171">
        <f t="shared" ca="1" si="14"/>
        <v>207.08443846818437</v>
      </c>
      <c r="S35" s="171">
        <f t="shared" ca="1" si="14"/>
        <v>215.04387296114683</v>
      </c>
      <c r="T35" s="171">
        <f t="shared" ca="1" si="14"/>
        <v>223.23726350533278</v>
      </c>
    </row>
    <row r="36" spans="1:20">
      <c r="A36" s="167" t="s">
        <v>558</v>
      </c>
      <c r="B36" s="4"/>
      <c r="D36" s="175">
        <f t="shared" ref="D36:T36" si="15">SUM(D$186,D$209,D$215,D$226,D$233,D$240,D$245,D$248)</f>
        <v>111.376</v>
      </c>
      <c r="E36" s="175">
        <f t="shared" si="15"/>
        <v>138.91599999999997</v>
      </c>
      <c r="F36" s="176">
        <f t="shared" si="15"/>
        <v>136.202</v>
      </c>
      <c r="G36" s="176">
        <f t="shared" si="15"/>
        <v>142</v>
      </c>
      <c r="H36" s="176">
        <f t="shared" si="15"/>
        <v>143.26300000000001</v>
      </c>
      <c r="I36" s="176">
        <f t="shared" si="15"/>
        <v>146.58800000000002</v>
      </c>
      <c r="J36" s="176">
        <f t="shared" si="15"/>
        <v>150.38300000000001</v>
      </c>
      <c r="K36" s="171">
        <f t="shared" ca="1" si="15"/>
        <v>155.57943627544159</v>
      </c>
      <c r="L36" s="171">
        <f t="shared" ca="1" si="15"/>
        <v>162.00027054932016</v>
      </c>
      <c r="M36" s="171">
        <f t="shared" ca="1" si="15"/>
        <v>168.82253127385044</v>
      </c>
      <c r="N36" s="171">
        <f t="shared" ca="1" si="15"/>
        <v>175.95060305527764</v>
      </c>
      <c r="O36" s="171">
        <f t="shared" ca="1" si="15"/>
        <v>182.79303832073839</v>
      </c>
      <c r="P36" s="171">
        <f t="shared" ca="1" si="15"/>
        <v>190.17839901885273</v>
      </c>
      <c r="Q36" s="171">
        <f t="shared" ca="1" si="15"/>
        <v>197.73957357938374</v>
      </c>
      <c r="R36" s="171">
        <f t="shared" ca="1" si="15"/>
        <v>205.50078229266566</v>
      </c>
      <c r="S36" s="171">
        <f t="shared" ca="1" si="15"/>
        <v>213.44889141422271</v>
      </c>
      <c r="T36" s="171">
        <f t="shared" ca="1" si="15"/>
        <v>221.56653670510499</v>
      </c>
    </row>
    <row r="37" spans="1:20">
      <c r="A37" s="167" t="s">
        <v>559</v>
      </c>
      <c r="B37" s="4"/>
      <c r="D37" s="175">
        <f t="shared" ref="D37:T37" si="16">D$337</f>
        <v>-7.1309999999999993</v>
      </c>
      <c r="E37" s="175">
        <f t="shared" si="16"/>
        <v>-8.7219999999999995</v>
      </c>
      <c r="F37" s="176">
        <f t="shared" si="16"/>
        <v>17.042999999999999</v>
      </c>
      <c r="G37" s="176">
        <f t="shared" si="16"/>
        <v>2.843</v>
      </c>
      <c r="H37" s="176">
        <f t="shared" si="16"/>
        <v>4.2480000000000002</v>
      </c>
      <c r="I37" s="176">
        <f t="shared" si="16"/>
        <v>4.7210000000000001</v>
      </c>
      <c r="J37" s="176">
        <f t="shared" si="16"/>
        <v>5.2530000000000001</v>
      </c>
      <c r="K37" s="171">
        <f t="shared" ca="1" si="16"/>
        <v>5.6878700557069681</v>
      </c>
      <c r="L37" s="171">
        <f t="shared" ca="1" si="16"/>
        <v>6.1355795077483597</v>
      </c>
      <c r="M37" s="171">
        <f t="shared" ca="1" si="16"/>
        <v>6.5930686222761299</v>
      </c>
      <c r="N37" s="171">
        <f t="shared" ca="1" si="16"/>
        <v>7.0596492862455316</v>
      </c>
      <c r="O37" s="171">
        <f t="shared" ca="1" si="16"/>
        <v>7.5364758370894833</v>
      </c>
      <c r="P37" s="171">
        <f t="shared" ca="1" si="16"/>
        <v>8.0204895573862665</v>
      </c>
      <c r="Q37" s="171">
        <f t="shared" ca="1" si="16"/>
        <v>8.5175927981823083</v>
      </c>
      <c r="R37" s="171">
        <f t="shared" ca="1" si="16"/>
        <v>9.0391359368261721</v>
      </c>
      <c r="S37" s="171">
        <f t="shared" ca="1" si="16"/>
        <v>9.5789026902946421</v>
      </c>
      <c r="T37" s="171">
        <f t="shared" ca="1" si="16"/>
        <v>10.123426542552092</v>
      </c>
    </row>
    <row r="38" spans="1:20">
      <c r="A38" s="167" t="s">
        <v>245</v>
      </c>
      <c r="B38" s="4"/>
      <c r="D38" s="175">
        <f>D$341</f>
        <v>0.20599999999999999</v>
      </c>
      <c r="E38" s="175">
        <f t="shared" ref="E38:T38" si="17">E$341</f>
        <v>1.1930000000000001</v>
      </c>
      <c r="F38" s="176">
        <f t="shared" si="17"/>
        <v>-0.53500000000000003</v>
      </c>
      <c r="G38" s="176">
        <f t="shared" si="17"/>
        <v>-9.8000000000000004E-2</v>
      </c>
      <c r="H38" s="176">
        <f t="shared" si="17"/>
        <v>-1E-3</v>
      </c>
      <c r="I38" s="176">
        <f t="shared" si="17"/>
        <v>5.8999999999999997E-2</v>
      </c>
      <c r="J38" s="176">
        <f t="shared" si="17"/>
        <v>0.13800000000000001</v>
      </c>
      <c r="K38" s="171">
        <f t="shared" ca="1" si="17"/>
        <v>6.9333735184609654E-2</v>
      </c>
      <c r="L38" s="171">
        <f t="shared" ca="1" si="17"/>
        <v>7.2293498371891723E-2</v>
      </c>
      <c r="M38" s="171">
        <f t="shared" ca="1" si="17"/>
        <v>7.5286456488834558E-2</v>
      </c>
      <c r="N38" s="171">
        <f t="shared" ca="1" si="17"/>
        <v>7.8420548427607345E-2</v>
      </c>
      <c r="O38" s="171">
        <f t="shared" ca="1" si="17"/>
        <v>8.1622521012013727E-2</v>
      </c>
      <c r="P38" s="171">
        <f t="shared" ca="1" si="17"/>
        <v>8.4892002020944296E-2</v>
      </c>
      <c r="Q38" s="171">
        <f t="shared" ca="1" si="17"/>
        <v>8.8228750866023525E-2</v>
      </c>
      <c r="R38" s="171">
        <f t="shared" ca="1" si="17"/>
        <v>9.1623780143013256E-2</v>
      </c>
      <c r="S38" s="171">
        <f t="shared" ca="1" si="17"/>
        <v>9.5074381301489624E-2</v>
      </c>
      <c r="T38" s="171">
        <f t="shared" ca="1" si="17"/>
        <v>9.8627286600681527E-2</v>
      </c>
    </row>
    <row r="39" spans="1:20">
      <c r="A39" s="167" t="s">
        <v>1232</v>
      </c>
      <c r="B39" s="4" t="s">
        <v>1243</v>
      </c>
      <c r="D39" s="175">
        <f>'Fiscal Forecasts'!D$29</f>
        <v>0.45200000000000001</v>
      </c>
      <c r="E39" s="175">
        <f>'Fiscal Forecasts'!E$29</f>
        <v>-0.40200000000000002</v>
      </c>
      <c r="F39" s="176">
        <f>'Fiscal Forecasts'!F$29</f>
        <v>0.219</v>
      </c>
      <c r="G39" s="176">
        <f>'Fiscal Forecasts'!G$29</f>
        <v>0.26200000000000001</v>
      </c>
      <c r="H39" s="176">
        <f>'Fiscal Forecasts'!H$29</f>
        <v>0.35799999999999998</v>
      </c>
      <c r="I39" s="176">
        <f>'Fiscal Forecasts'!I$29</f>
        <v>0.34399999999999997</v>
      </c>
      <c r="J39" s="176">
        <f>'Fiscal Forecasts'!J$29</f>
        <v>0.34699999999999998</v>
      </c>
      <c r="K39" s="171">
        <f ca="1">J$39*K$57/J$57</f>
        <v>0.37410554029231968</v>
      </c>
      <c r="L39" s="171">
        <f t="shared" ref="L39:T39" ca="1" si="18">K$39*L$57/K$57</f>
        <v>0.39418271204546662</v>
      </c>
      <c r="M39" s="171">
        <f t="shared" ca="1" si="18"/>
        <v>0.4137097771658681</v>
      </c>
      <c r="N39" s="171">
        <f t="shared" ca="1" si="18"/>
        <v>0.43315965830375713</v>
      </c>
      <c r="O39" s="171">
        <f t="shared" ca="1" si="18"/>
        <v>0.45200518497780778</v>
      </c>
      <c r="P39" s="171">
        <f t="shared" ca="1" si="18"/>
        <v>0.47011075620863974</v>
      </c>
      <c r="Q39" s="171">
        <f t="shared" ca="1" si="18"/>
        <v>0.4885888399561697</v>
      </c>
      <c r="R39" s="171">
        <f t="shared" ca="1" si="18"/>
        <v>0.50738966621495363</v>
      </c>
      <c r="S39" s="171">
        <f t="shared" ca="1" si="18"/>
        <v>0.52649823570758403</v>
      </c>
      <c r="T39" s="171">
        <f t="shared" ca="1" si="18"/>
        <v>0.54617334004225027</v>
      </c>
    </row>
    <row r="40" spans="1:20" ht="15">
      <c r="A40" s="168" t="s">
        <v>564</v>
      </c>
      <c r="B40" s="4"/>
      <c r="D40" s="138">
        <f ca="1">SUM(D$35,-D$36,D$37,D$38,-D$39)</f>
        <v>0.38899999999999174</v>
      </c>
      <c r="E40" s="138">
        <f t="shared" ref="E40:T40" ca="1" si="19">SUM(E$35,-E$36,E$37,E$38,-E$39)</f>
        <v>-30.039999999999967</v>
      </c>
      <c r="F40" s="137">
        <f t="shared" ca="1" si="19"/>
        <v>1.2740000000000127</v>
      </c>
      <c r="G40" s="137">
        <f t="shared" ca="1" si="19"/>
        <v>-15.648000000000001</v>
      </c>
      <c r="H40" s="137">
        <f t="shared" ca="1" si="19"/>
        <v>-5.2450000000000143</v>
      </c>
      <c r="I40" s="137">
        <f t="shared" ca="1" si="19"/>
        <v>-0.88100000000000722</v>
      </c>
      <c r="J40" s="137">
        <f t="shared" ca="1" si="19"/>
        <v>3.044999999999948</v>
      </c>
      <c r="K40" s="140">
        <f t="shared" ca="1" si="19"/>
        <v>5.5230306205760629</v>
      </c>
      <c r="L40" s="140">
        <f t="shared" ca="1" si="19"/>
        <v>6.4495035657612432</v>
      </c>
      <c r="M40" s="140">
        <f t="shared" ca="1" si="19"/>
        <v>6.944896860819382</v>
      </c>
      <c r="N40" s="140">
        <f t="shared" ca="1" si="19"/>
        <v>7.6297534063534878</v>
      </c>
      <c r="O40" s="140">
        <f t="shared" ca="1" si="19"/>
        <v>8.5444368996571338</v>
      </c>
      <c r="P40" s="140">
        <f t="shared" ca="1" si="19"/>
        <v>9.0737195004762086</v>
      </c>
      <c r="Q40" s="140">
        <f t="shared" ca="1" si="19"/>
        <v>9.644328677716981</v>
      </c>
      <c r="R40" s="140">
        <f t="shared" ca="1" si="19"/>
        <v>10.207026226272944</v>
      </c>
      <c r="S40" s="140">
        <f t="shared" ca="1" si="19"/>
        <v>10.742460382812666</v>
      </c>
      <c r="T40" s="140">
        <f t="shared" ca="1" si="19"/>
        <v>11.346607289338307</v>
      </c>
    </row>
    <row r="41" spans="1:20">
      <c r="A41" s="167" t="s">
        <v>1221</v>
      </c>
      <c r="B41" s="4" t="str">
        <f>$B$39</f>
        <v>From Fiscal Forecasts</v>
      </c>
      <c r="D41" s="175">
        <f>'Fiscal Forecasts'!D$33</f>
        <v>0.115</v>
      </c>
      <c r="E41" s="175">
        <f>'Fiscal Forecasts'!E$33</f>
        <v>-0.54600000000000004</v>
      </c>
      <c r="F41" s="176">
        <f>'Fiscal Forecasts'!F$33</f>
        <v>0.107</v>
      </c>
      <c r="G41" s="176">
        <f>'Fiscal Forecasts'!G$33</f>
        <v>-1.6E-2</v>
      </c>
      <c r="H41" s="176">
        <f>'Fiscal Forecasts'!H$33</f>
        <v>6.0000000000000001E-3</v>
      </c>
      <c r="I41" s="176">
        <f>'Fiscal Forecasts'!I$33</f>
        <v>1.0999999999999999E-2</v>
      </c>
      <c r="J41" s="176">
        <f>'Fiscal Forecasts'!J$33</f>
        <v>0.01</v>
      </c>
      <c r="K41" s="171">
        <f ca="1">IF(K$6=OFFSET(Assumptions!$B$8,0,$C$1),AVERAGE(H$41/H$39,I$41/I$39,J$41/J$39),J$41/J$39)*K$39</f>
        <v>9.6712473021660968E-3</v>
      </c>
      <c r="L41" s="171">
        <f ca="1">IF(L$6=OFFSET(Assumptions!$B$8,0,$C$1),AVERAGE(I$41/I$39,J$41/J$39,K$41/K$39),K$41/K$39)*L$39</f>
        <v>1.0190275416534639E-2</v>
      </c>
      <c r="M41" s="171">
        <f ca="1">IF(M$6=OFFSET(Assumptions!$B$8,0,$C$1),AVERAGE(J$41/J$39,K$41/K$39,L$41/L$39),L$41/L$39)*M$39</f>
        <v>1.0695082364107079E-2</v>
      </c>
      <c r="N41" s="171">
        <f ca="1">IF(N$6=OFFSET(Assumptions!$B$8,0,$C$1),AVERAGE(K$41/K$39,L$41/L$39,M$41/M$39),M$41/M$39)*N$39</f>
        <v>1.1197893978004267E-2</v>
      </c>
      <c r="O41" s="171">
        <f ca="1">IF(O$6=OFFSET(Assumptions!$B$8,0,$C$1),AVERAGE(L$41/L$39,M$41/M$39,N$41/N$39),N$41/N$39)*O$39</f>
        <v>1.1685082028900003E-2</v>
      </c>
      <c r="P41" s="171">
        <f ca="1">IF(P$6=OFFSET(Assumptions!$B$8,0,$C$1),AVERAGE(M$41/M$39,N$41/N$39,O$41/O$39),O$41/O$39)*P$39</f>
        <v>1.2153141007079094E-2</v>
      </c>
      <c r="Q41" s="171">
        <f ca="1">IF(Q$6=OFFSET(Assumptions!$B$8,0,$C$1),AVERAGE(N$41/N$39,O$41/O$39,P$41/P$39),P$41/P$39)*Q$39</f>
        <v>1.2630830050264235E-2</v>
      </c>
      <c r="R41" s="171">
        <f ca="1">IF(R$6=OFFSET(Assumptions!$B$8,0,$C$1),AVERAGE(O$41/O$39,P$41/P$39,Q$41/Q$39),Q$41/Q$39)*R$39</f>
        <v>1.3116862521453195E-2</v>
      </c>
      <c r="S41" s="171">
        <f ca="1">IF(S$6=OFFSET(Assumptions!$B$8,0,$C$1),AVERAGE(P$41/P$39,Q$41/Q$39,R$41/R$39),R$41/R$39)*S$39</f>
        <v>1.3610850664503557E-2</v>
      </c>
      <c r="T41" s="171">
        <f ca="1">IF(T$6=OFFSET(Assumptions!$B$8,0,$C$1),AVERAGE(Q$41/Q$39,R$41/R$39,S$41/S$39),S$41/S$39)*T$39</f>
        <v>1.4119484670746271E-2</v>
      </c>
    </row>
    <row r="42" spans="1:20" ht="15">
      <c r="A42" s="168" t="s">
        <v>563</v>
      </c>
      <c r="B42" s="4"/>
      <c r="D42" s="138">
        <f ca="1">SUM(D$35,-D$36,-D$39,D$41)</f>
        <v>7.4289999999999914</v>
      </c>
      <c r="E42" s="138">
        <f t="shared" ref="E42:T42" ca="1" si="20">SUM(E$35,-E$36,-E$39,E$41)</f>
        <v>-23.056999999999967</v>
      </c>
      <c r="F42" s="137">
        <f t="shared" ca="1" si="20"/>
        <v>-15.126999999999986</v>
      </c>
      <c r="G42" s="137">
        <f t="shared" ca="1" si="20"/>
        <v>-18.408999999999999</v>
      </c>
      <c r="H42" s="137">
        <f t="shared" ca="1" si="20"/>
        <v>-9.4860000000000149</v>
      </c>
      <c r="I42" s="137">
        <f t="shared" ca="1" si="20"/>
        <v>-5.6500000000000075</v>
      </c>
      <c r="J42" s="137">
        <f t="shared" ca="1" si="20"/>
        <v>-2.3360000000000523</v>
      </c>
      <c r="K42" s="140">
        <f t="shared" ca="1" si="20"/>
        <v>-0.2245019230133489</v>
      </c>
      <c r="L42" s="140">
        <f t="shared" ca="1" si="20"/>
        <v>0.25182083505752684</v>
      </c>
      <c r="M42" s="140">
        <f t="shared" ca="1" si="20"/>
        <v>0.28723686441852503</v>
      </c>
      <c r="N42" s="140">
        <f t="shared" ca="1" si="20"/>
        <v>0.50288146565835279</v>
      </c>
      <c r="O42" s="140">
        <f t="shared" ca="1" si="20"/>
        <v>0.93802362358453639</v>
      </c>
      <c r="P42" s="140">
        <f t="shared" ca="1" si="20"/>
        <v>0.98049108207607516</v>
      </c>
      <c r="Q42" s="140">
        <f t="shared" ca="1" si="20"/>
        <v>1.0511379587189149</v>
      </c>
      <c r="R42" s="140">
        <f t="shared" ca="1" si="20"/>
        <v>1.0893833718252115</v>
      </c>
      <c r="S42" s="140">
        <f t="shared" ca="1" si="20"/>
        <v>1.0820941618810369</v>
      </c>
      <c r="T42" s="140">
        <f t="shared" ca="1" si="20"/>
        <v>1.1386729448562787</v>
      </c>
    </row>
    <row r="43" spans="1:20" ht="15">
      <c r="A43" s="26" t="s">
        <v>1233</v>
      </c>
      <c r="B43" s="4" t="s">
        <v>634</v>
      </c>
      <c r="D43" s="170" t="str">
        <f ca="1">IF(ROUND('Fiscal Forecasts'!D$34-D$42,3)=0,"OK","ERROR")</f>
        <v>OK</v>
      </c>
      <c r="E43" s="170" t="str">
        <f ca="1">IF(ROUND('Fiscal Forecasts'!E$34-E$42,3)=0,"OK","ERROR")</f>
        <v>OK</v>
      </c>
      <c r="F43" s="170" t="str">
        <f ca="1">IF(ROUND('Fiscal Forecasts'!F$34-F$42 +IF($C$2="Yes",('Fiscal Forecast Adjuster'!C$13-SUM('Fiscal Forecast Adjuster'!C$23,'Fiscal Forecast Adjuster'!C$24,'Fiscal Forecast Adjuster'!C$27,'Fiscal Forecast Adjuster'!C$35))/1000,0) +IF($C$3="Yes",'NZSF Adjuster'!Q$21-'NZSF Adjuster'!Q$23-('NZSF Adjuster'!Q$14-'NZSF Adjuster'!Q$15)-'NZSF Adjuster'!Q$9,0),3)=0,"OK","ERROR")</f>
        <v>OK</v>
      </c>
      <c r="G43" s="170" t="str">
        <f ca="1">IF(ROUND('Fiscal Forecasts'!G$34-G$42 +IF($C$2="Yes",('Fiscal Forecast Adjuster'!D$13-SUM('Fiscal Forecast Adjuster'!D$23,'Fiscal Forecast Adjuster'!D$24,'Fiscal Forecast Adjuster'!D$27,'Fiscal Forecast Adjuster'!D$35))/1000,0) +IF($C$3="Yes",'NZSF Adjuster'!R$21-'NZSF Adjuster'!R$23-('NZSF Adjuster'!R$14-'NZSF Adjuster'!R$15)-'NZSF Adjuster'!R$9,0),3)=0,"OK","ERROR")</f>
        <v>OK</v>
      </c>
      <c r="H43" s="170" t="str">
        <f ca="1">IF(ROUND('Fiscal Forecasts'!H$34-H$42 +IF($C$2="Yes",('Fiscal Forecast Adjuster'!E$13-SUM('Fiscal Forecast Adjuster'!E$23,'Fiscal Forecast Adjuster'!E$24,'Fiscal Forecast Adjuster'!E$27,'Fiscal Forecast Adjuster'!E$35))/1000,0) +IF($C$3="Yes",'NZSF Adjuster'!S$21-'NZSF Adjuster'!S$23-('NZSF Adjuster'!S$14-'NZSF Adjuster'!S$15)-'NZSF Adjuster'!S$9,0),3)=0,"OK","ERROR")</f>
        <v>OK</v>
      </c>
      <c r="I43" s="170" t="str">
        <f ca="1">IF(ROUND('Fiscal Forecasts'!I$34-I$42 +IF($C$2="Yes",('Fiscal Forecast Adjuster'!F$13-SUM('Fiscal Forecast Adjuster'!F$23,'Fiscal Forecast Adjuster'!F$24,'Fiscal Forecast Adjuster'!F$27,'Fiscal Forecast Adjuster'!F$35))/1000,0) +IF($C$3="Yes",'NZSF Adjuster'!T$21-'NZSF Adjuster'!T$23-('NZSF Adjuster'!T$14-'NZSF Adjuster'!T$15)-'NZSF Adjuster'!T$9,0),3)=0,"OK","ERROR")</f>
        <v>OK</v>
      </c>
      <c r="J43" s="170" t="str">
        <f ca="1">IF(ROUND('Fiscal Forecasts'!J$34-J$42 +IF($C$2="Yes",('Fiscal Forecast Adjuster'!G$13-SUM('Fiscal Forecast Adjuster'!G$23,'Fiscal Forecast Adjuster'!G$24,'Fiscal Forecast Adjuster'!G$27,'Fiscal Forecast Adjuster'!G$35))/1000,0) +IF($C$3="Yes",'NZSF Adjuster'!U$21-'NZSF Adjuster'!U$23-('NZSF Adjuster'!U$14-'NZSF Adjuster'!U$15)-'NZSF Adjuster'!U$9,0),3)=0,"OK","ERROR")</f>
        <v>OK</v>
      </c>
      <c r="K43" s="146"/>
      <c r="L43" s="146"/>
      <c r="M43" s="146"/>
      <c r="N43" s="146"/>
      <c r="O43" s="146"/>
      <c r="P43" s="146"/>
      <c r="Q43" s="146"/>
      <c r="R43" s="146"/>
      <c r="S43" s="146"/>
      <c r="T43" s="146"/>
    </row>
    <row r="44" spans="1:20" ht="15">
      <c r="A44" s="26" t="s">
        <v>565</v>
      </c>
      <c r="D44" s="170" t="str">
        <f t="shared" ref="D44:T44" si="21">IF(ROUND(D$36-SUM(D$192,D$233,D$245,D$248,D$253,D$259,D$268,D$276,D$280,D$284,D$291,D$298,D$302,D$306,D$310,D$316,D$320),3)=0,"OK","ERROR")</f>
        <v>OK</v>
      </c>
      <c r="E44" s="170" t="str">
        <f t="shared" si="21"/>
        <v>OK</v>
      </c>
      <c r="F44" s="170" t="str">
        <f t="shared" si="21"/>
        <v>OK</v>
      </c>
      <c r="G44" s="170" t="str">
        <f t="shared" si="21"/>
        <v>OK</v>
      </c>
      <c r="H44" s="170" t="str">
        <f t="shared" si="21"/>
        <v>OK</v>
      </c>
      <c r="I44" s="170" t="str">
        <f t="shared" si="21"/>
        <v>OK</v>
      </c>
      <c r="J44" s="170" t="str">
        <f t="shared" si="21"/>
        <v>OK</v>
      </c>
      <c r="K44" s="170" t="str">
        <f t="shared" ca="1" si="21"/>
        <v>OK</v>
      </c>
      <c r="L44" s="170" t="str">
        <f t="shared" ca="1" si="21"/>
        <v>OK</v>
      </c>
      <c r="M44" s="170" t="str">
        <f t="shared" ca="1" si="21"/>
        <v>OK</v>
      </c>
      <c r="N44" s="170" t="str">
        <f t="shared" ca="1" si="21"/>
        <v>OK</v>
      </c>
      <c r="O44" s="170" t="str">
        <f t="shared" ca="1" si="21"/>
        <v>OK</v>
      </c>
      <c r="P44" s="170" t="str">
        <f t="shared" ca="1" si="21"/>
        <v>OK</v>
      </c>
      <c r="Q44" s="170" t="str">
        <f t="shared" ca="1" si="21"/>
        <v>OK</v>
      </c>
      <c r="R44" s="170" t="str">
        <f t="shared" ca="1" si="21"/>
        <v>OK</v>
      </c>
      <c r="S44" s="170" t="str">
        <f t="shared" ca="1" si="21"/>
        <v>OK</v>
      </c>
      <c r="T44" s="170" t="str">
        <f t="shared" ca="1" si="21"/>
        <v>OK</v>
      </c>
    </row>
    <row r="45" spans="1:20" ht="15">
      <c r="A45" s="167" t="s">
        <v>561</v>
      </c>
      <c r="D45" s="142">
        <f t="shared" ref="D45:T45" ca="1" si="22">SUM(D$135,D$140,D$147,D$154,D$163,D$171)</f>
        <v>93.474000000000004</v>
      </c>
      <c r="E45" s="142">
        <f t="shared" ca="1" si="22"/>
        <v>91.923000000000002</v>
      </c>
      <c r="F45" s="141">
        <f t="shared" ca="1" si="22"/>
        <v>97.942000000000007</v>
      </c>
      <c r="G45" s="141">
        <f t="shared" ca="1" si="22"/>
        <v>99.778000000000006</v>
      </c>
      <c r="H45" s="141">
        <f t="shared" ca="1" si="22"/>
        <v>108.93700000000001</v>
      </c>
      <c r="I45" s="141">
        <f t="shared" ca="1" si="22"/>
        <v>114.88300000000002</v>
      </c>
      <c r="J45" s="141">
        <f t="shared" ca="1" si="22"/>
        <v>121.343</v>
      </c>
      <c r="K45" s="134">
        <f t="shared" ca="1" si="22"/>
        <v>126.79500888525972</v>
      </c>
      <c r="L45" s="134">
        <f t="shared" ca="1" si="22"/>
        <v>132.43200089421401</v>
      </c>
      <c r="M45" s="134">
        <f t="shared" ca="1" si="22"/>
        <v>138.01176263418395</v>
      </c>
      <c r="N45" s="134">
        <f t="shared" ca="1" si="22"/>
        <v>144.02942759532118</v>
      </c>
      <c r="O45" s="134">
        <f t="shared" ca="1" si="22"/>
        <v>149.94531595735938</v>
      </c>
      <c r="P45" s="134">
        <f t="shared" ca="1" si="22"/>
        <v>155.98305093461477</v>
      </c>
      <c r="Q45" s="134">
        <f t="shared" ca="1" si="22"/>
        <v>162.19882671441556</v>
      </c>
      <c r="R45" s="134">
        <f t="shared" ca="1" si="22"/>
        <v>168.54332381214937</v>
      </c>
      <c r="S45" s="134">
        <f t="shared" ca="1" si="22"/>
        <v>174.99772783592115</v>
      </c>
      <c r="T45" s="134">
        <f t="shared" ca="1" si="22"/>
        <v>181.64484783663247</v>
      </c>
    </row>
    <row r="46" spans="1:20" ht="15">
      <c r="A46" s="167" t="s">
        <v>562</v>
      </c>
      <c r="D46" s="142">
        <f t="shared" ref="D46:T46" si="23">SUM(D$187,D$205,D$212,D$222,D$229,D$237,D$245,D$248)</f>
        <v>86.959000000000003</v>
      </c>
      <c r="E46" s="142">
        <f t="shared" si="23"/>
        <v>108.83199999999999</v>
      </c>
      <c r="F46" s="141">
        <f t="shared" si="23"/>
        <v>110.745</v>
      </c>
      <c r="G46" s="141">
        <f t="shared" si="23"/>
        <v>114.71699999999998</v>
      </c>
      <c r="H46" s="141">
        <f t="shared" si="23"/>
        <v>115.43599999999999</v>
      </c>
      <c r="I46" s="141">
        <f t="shared" si="23"/>
        <v>117.803</v>
      </c>
      <c r="J46" s="141">
        <f t="shared" si="23"/>
        <v>121.145</v>
      </c>
      <c r="K46" s="134">
        <f t="shared" ca="1" si="23"/>
        <v>124.35789502951371</v>
      </c>
      <c r="L46" s="134">
        <f t="shared" ca="1" si="23"/>
        <v>129.14521062492744</v>
      </c>
      <c r="M46" s="134">
        <f t="shared" ca="1" si="23"/>
        <v>134.25044096537923</v>
      </c>
      <c r="N46" s="134">
        <f t="shared" ca="1" si="23"/>
        <v>139.56377524408558</v>
      </c>
      <c r="O46" s="134">
        <f t="shared" ca="1" si="23"/>
        <v>144.52138722004506</v>
      </c>
      <c r="P46" s="134">
        <f t="shared" ca="1" si="23"/>
        <v>149.92751791926608</v>
      </c>
      <c r="Q46" s="134">
        <f t="shared" ca="1" si="23"/>
        <v>155.42308572740987</v>
      </c>
      <c r="R46" s="134">
        <f t="shared" ca="1" si="23"/>
        <v>161.02346545829258</v>
      </c>
      <c r="S46" s="134">
        <f t="shared" ca="1" si="23"/>
        <v>166.71912063187068</v>
      </c>
      <c r="T46" s="134">
        <f t="shared" ca="1" si="23"/>
        <v>172.48219203518784</v>
      </c>
    </row>
    <row r="47" spans="1:20" ht="15">
      <c r="A47" s="167" t="s">
        <v>246</v>
      </c>
      <c r="D47" s="142">
        <f t="shared" ref="D47:T47" ca="1" si="24">SUM(D$45,-D$46,D$333,D$340)</f>
        <v>9.7070000000000007</v>
      </c>
      <c r="E47" s="142">
        <f t="shared" ca="1" si="24"/>
        <v>-20.882999999999992</v>
      </c>
      <c r="F47" s="141">
        <f t="shared" ca="1" si="24"/>
        <v>-8.5649999999999977</v>
      </c>
      <c r="G47" s="141">
        <f t="shared" ca="1" si="24"/>
        <v>-12.118999999999978</v>
      </c>
      <c r="H47" s="141">
        <f t="shared" ca="1" si="24"/>
        <v>-2.4939999999999811</v>
      </c>
      <c r="I47" s="141">
        <f t="shared" ca="1" si="24"/>
        <v>1.4190000000000271</v>
      </c>
      <c r="J47" s="141">
        <f t="shared" ca="1" si="24"/>
        <v>4.9000000000000075</v>
      </c>
      <c r="K47" s="134">
        <f t="shared" ca="1" si="24"/>
        <v>7.5596261369850239</v>
      </c>
      <c r="L47" s="134">
        <f t="shared" ca="1" si="24"/>
        <v>8.8140244396119058</v>
      </c>
      <c r="M47" s="134">
        <f t="shared" ca="1" si="24"/>
        <v>9.6998979279303867</v>
      </c>
      <c r="N47" s="134">
        <f t="shared" ca="1" si="24"/>
        <v>10.823422616557879</v>
      </c>
      <c r="O47" s="134">
        <f t="shared" ca="1" si="24"/>
        <v>12.211239063285003</v>
      </c>
      <c r="P47" s="134">
        <f t="shared" ca="1" si="24"/>
        <v>13.284890900396606</v>
      </c>
      <c r="Q47" s="134">
        <f t="shared" ca="1" si="24"/>
        <v>14.46076986731496</v>
      </c>
      <c r="R47" s="134">
        <f t="shared" ca="1" si="24"/>
        <v>15.673637294424069</v>
      </c>
      <c r="S47" s="134">
        <f t="shared" ca="1" si="24"/>
        <v>16.912803079410686</v>
      </c>
      <c r="T47" s="134">
        <f t="shared" ca="1" si="24"/>
        <v>18.289002389920689</v>
      </c>
    </row>
    <row r="48" spans="1:20" ht="15">
      <c r="A48" s="167" t="s">
        <v>566</v>
      </c>
      <c r="B48" s="4"/>
      <c r="D48" s="142">
        <f t="shared" ref="D48:T48" ca="1" si="25">SUM(D$45-D$154)-SUM(D$46-D$229)</f>
        <v>9.144999999999996</v>
      </c>
      <c r="E48" s="142">
        <f t="shared" ca="1" si="25"/>
        <v>-14.530999999999992</v>
      </c>
      <c r="F48" s="141">
        <f t="shared" ca="1" si="25"/>
        <v>-11.551000000000002</v>
      </c>
      <c r="G48" s="141">
        <f t="shared" ca="1" si="25"/>
        <v>-13.927999999999983</v>
      </c>
      <c r="H48" s="141">
        <f t="shared" ca="1" si="25"/>
        <v>-5.4359999999999786</v>
      </c>
      <c r="I48" s="141">
        <f t="shared" ca="1" si="25"/>
        <v>-1.4289999999999736</v>
      </c>
      <c r="J48" s="141">
        <f t="shared" ca="1" si="25"/>
        <v>2.119000000000014</v>
      </c>
      <c r="K48" s="134">
        <f t="shared" ca="1" si="25"/>
        <v>4.9713516917306748</v>
      </c>
      <c r="L48" s="134">
        <f t="shared" ca="1" si="25"/>
        <v>6.2587568441237806</v>
      </c>
      <c r="M48" s="134">
        <f t="shared" ca="1" si="25"/>
        <v>7.2458274737974762</v>
      </c>
      <c r="N48" s="134">
        <f t="shared" ca="1" si="25"/>
        <v>8.4656697369949825</v>
      </c>
      <c r="O48" s="134">
        <f t="shared" ca="1" si="25"/>
        <v>9.9281432659883535</v>
      </c>
      <c r="P48" s="134">
        <f t="shared" ca="1" si="25"/>
        <v>11.044612983222436</v>
      </c>
      <c r="Q48" s="134">
        <f t="shared" ca="1" si="25"/>
        <v>12.227484629298999</v>
      </c>
      <c r="R48" s="134">
        <f t="shared" ca="1" si="25"/>
        <v>13.406391221943466</v>
      </c>
      <c r="S48" s="134">
        <f t="shared" ca="1" si="25"/>
        <v>14.563022928283516</v>
      </c>
      <c r="T48" s="134">
        <f t="shared" ca="1" si="25"/>
        <v>15.799369516504186</v>
      </c>
    </row>
    <row r="49" spans="1:20" ht="15">
      <c r="A49" s="167" t="s">
        <v>567</v>
      </c>
      <c r="B49" s="4"/>
      <c r="D49" s="142">
        <f t="shared" ref="D49:T49" si="26">D$492</f>
        <v>-0.7100000000000124</v>
      </c>
      <c r="E49" s="142">
        <f t="shared" si="26"/>
        <v>-23.692000000000007</v>
      </c>
      <c r="F49" s="141">
        <f t="shared" si="26"/>
        <v>-25.27699999999999</v>
      </c>
      <c r="G49" s="141">
        <f t="shared" si="26"/>
        <v>-39.231999999999985</v>
      </c>
      <c r="H49" s="141">
        <f t="shared" si="26"/>
        <v>-25.653999999999993</v>
      </c>
      <c r="I49" s="141">
        <f t="shared" si="26"/>
        <v>-5.9989999999999952</v>
      </c>
      <c r="J49" s="141">
        <f t="shared" si="26"/>
        <v>3.2839999999999776</v>
      </c>
      <c r="K49" s="134">
        <f t="shared" ca="1" si="26"/>
        <v>4.0842281472244162</v>
      </c>
      <c r="L49" s="134">
        <f t="shared" ca="1" si="26"/>
        <v>-3.5339960021853365</v>
      </c>
      <c r="M49" s="134">
        <f t="shared" ca="1" si="26"/>
        <v>-2.7580125040784935</v>
      </c>
      <c r="N49" s="134">
        <f t="shared" ca="1" si="26"/>
        <v>-1.8708409601679019</v>
      </c>
      <c r="O49" s="134">
        <f t="shared" ca="1" si="26"/>
        <v>-0.69905003646084651</v>
      </c>
      <c r="P49" s="134">
        <f t="shared" ca="1" si="26"/>
        <v>0.12127512769590254</v>
      </c>
      <c r="Q49" s="134">
        <f t="shared" ca="1" si="26"/>
        <v>0.94482570642452401</v>
      </c>
      <c r="R49" s="134">
        <f t="shared" ca="1" si="26"/>
        <v>1.8151333750039349</v>
      </c>
      <c r="S49" s="134">
        <f t="shared" ca="1" si="26"/>
        <v>2.7411411187532213</v>
      </c>
      <c r="T49" s="134">
        <f t="shared" ca="1" si="26"/>
        <v>3.7707157973703644</v>
      </c>
    </row>
    <row r="50" spans="1:20" ht="15">
      <c r="A50" s="26" t="s">
        <v>1234</v>
      </c>
      <c r="B50" s="4" t="str">
        <f>$B$43</f>
        <v>History &amp; Forecast only</v>
      </c>
      <c r="D50" s="170" t="str">
        <f ca="1">IF(ROUND('Fiscal Forecasts'!D$169-D$47,3)=0,"OK","ERROR")</f>
        <v>OK</v>
      </c>
      <c r="E50" s="170" t="str">
        <f ca="1">IF(ROUND('Fiscal Forecasts'!E$169-E$47,3)=0,"OK","ERROR")</f>
        <v>OK</v>
      </c>
      <c r="F50" s="170" t="str">
        <f ca="1">IF(ROUND('Fiscal Forecasts'!F$169-F$47 +IF($C$2="Yes",('Fiscal Forecast Adjuster'!C$13-SUM('Fiscal Forecast Adjuster'!C$23,'Fiscal Forecast Adjuster'!C$24,'Fiscal Forecast Adjuster'!C$27,'Fiscal Forecast Adjuster'!C$35))/1000,0) +IF($C$3="Yes",'NZSF Adjuster'!Q$21-'NZSF Adjuster'!Q$23-('NZSF Adjuster'!Q$14-'NZSF Adjuster'!Q$15)-'NZSF Adjuster'!Q$9,0),3)=0,"OK","ERROR")</f>
        <v>OK</v>
      </c>
      <c r="G50" s="170" t="str">
        <f ca="1">IF(ROUND('Fiscal Forecasts'!G$169-G$47 +IF($C$2="Yes",('Fiscal Forecast Adjuster'!D$13-SUM('Fiscal Forecast Adjuster'!D$23,'Fiscal Forecast Adjuster'!D$24,'Fiscal Forecast Adjuster'!D$27,'Fiscal Forecast Adjuster'!D$35))/1000,0) +IF($C$3="Yes",'NZSF Adjuster'!R$21-'NZSF Adjuster'!R$23-('NZSF Adjuster'!R$14-'NZSF Adjuster'!R$15)-'NZSF Adjuster'!R$9,0),3)=0,"OK","ERROR")</f>
        <v>OK</v>
      </c>
      <c r="H50" s="170" t="str">
        <f ca="1">IF(ROUND('Fiscal Forecasts'!H$169-H$47 +IF($C$2="Yes",('Fiscal Forecast Adjuster'!E$13-SUM('Fiscal Forecast Adjuster'!E$23,'Fiscal Forecast Adjuster'!E$24,'Fiscal Forecast Adjuster'!E$27,'Fiscal Forecast Adjuster'!E$35))/1000,0) +IF($C$3="Yes",'NZSF Adjuster'!S$21-'NZSF Adjuster'!S$23-('NZSF Adjuster'!S$14-'NZSF Adjuster'!S$15)-'NZSF Adjuster'!S$9,0),3)=0,"OK","ERROR")</f>
        <v>OK</v>
      </c>
      <c r="I50" s="170" t="str">
        <f ca="1">IF(ROUND('Fiscal Forecasts'!I$169-I$47 +IF($C$2="Yes",('Fiscal Forecast Adjuster'!F$13-SUM('Fiscal Forecast Adjuster'!F$23,'Fiscal Forecast Adjuster'!F$24,'Fiscal Forecast Adjuster'!F$27,'Fiscal Forecast Adjuster'!F$35))/1000,0) +IF($C$3="Yes",'NZSF Adjuster'!T$21-'NZSF Adjuster'!T$23-('NZSF Adjuster'!T$14-'NZSF Adjuster'!T$15)-'NZSF Adjuster'!T$9,0),3)=0,"OK","ERROR")</f>
        <v>OK</v>
      </c>
      <c r="J50" s="170" t="str">
        <f ca="1">IF(ROUND('Fiscal Forecasts'!J$169-J$47 +IF($C$2="Yes",('Fiscal Forecast Adjuster'!G$13-SUM('Fiscal Forecast Adjuster'!G$23,'Fiscal Forecast Adjuster'!G$24,'Fiscal Forecast Adjuster'!G$27,'Fiscal Forecast Adjuster'!G$35))/1000,0) +IF($C$3="Yes",'NZSF Adjuster'!U$21-'NZSF Adjuster'!U$23-('NZSF Adjuster'!U$14-'NZSF Adjuster'!U$15)-'NZSF Adjuster'!U$9,0),3)=0,"OK","ERROR")</f>
        <v>OK</v>
      </c>
      <c r="K50" s="170"/>
      <c r="L50" s="170"/>
      <c r="M50" s="170"/>
      <c r="N50" s="170"/>
      <c r="O50" s="170"/>
      <c r="P50" s="170"/>
      <c r="Q50" s="170"/>
      <c r="R50" s="170"/>
      <c r="S50" s="170"/>
      <c r="T50" s="170"/>
    </row>
    <row r="51" spans="1:20" ht="15">
      <c r="A51" s="26" t="s">
        <v>568</v>
      </c>
      <c r="D51" s="164" t="str">
        <f>IF(ROUND(D$46-SUM(D$189,D$229,D$245,D$248,D$252,D$256,D$265,D$275,D$279,D$283,D$287,D$297,D$301,D$305,D$309,D$315,D$319)-0.001,3)=0,"OK","ERROR")</f>
        <v>OK</v>
      </c>
      <c r="E51" s="170" t="str">
        <f>IF(ROUND(E$46-SUM(E$189,E$229,E$245,E$248,E$252,E$256,E$265,E$275,E$279,E$283,E$287,E$297,E$301,E$305,E$309,E$315,E$319),3)=0,"OK","ERROR")</f>
        <v>OK</v>
      </c>
      <c r="F51" s="170" t="str">
        <f t="shared" ref="F51:T51" si="27">IF(ROUND(F$46-SUM(F$189,F$229,F$245,F$248,F$252,F$256,F$265,F$275,F$279,F$283,F$287,F$297,F$301,F$305,F$309,F$315,F$319),3)=0,"OK","ERROR")</f>
        <v>OK</v>
      </c>
      <c r="G51" s="170" t="str">
        <f t="shared" si="27"/>
        <v>OK</v>
      </c>
      <c r="H51" s="170" t="str">
        <f t="shared" si="27"/>
        <v>OK</v>
      </c>
      <c r="I51" s="170" t="str">
        <f t="shared" si="27"/>
        <v>OK</v>
      </c>
      <c r="J51" s="170" t="str">
        <f t="shared" si="27"/>
        <v>OK</v>
      </c>
      <c r="K51" s="170" t="str">
        <f t="shared" ca="1" si="27"/>
        <v>OK</v>
      </c>
      <c r="L51" s="170" t="str">
        <f t="shared" ca="1" si="27"/>
        <v>OK</v>
      </c>
      <c r="M51" s="170" t="str">
        <f t="shared" ca="1" si="27"/>
        <v>OK</v>
      </c>
      <c r="N51" s="170" t="str">
        <f t="shared" ca="1" si="27"/>
        <v>OK</v>
      </c>
      <c r="O51" s="170" t="str">
        <f t="shared" ca="1" si="27"/>
        <v>OK</v>
      </c>
      <c r="P51" s="170" t="str">
        <f t="shared" ca="1" si="27"/>
        <v>OK</v>
      </c>
      <c r="Q51" s="170" t="str">
        <f t="shared" ca="1" si="27"/>
        <v>OK</v>
      </c>
      <c r="R51" s="170" t="str">
        <f t="shared" ca="1" si="27"/>
        <v>OK</v>
      </c>
      <c r="S51" s="170" t="str">
        <f t="shared" ca="1" si="27"/>
        <v>OK</v>
      </c>
      <c r="T51" s="170" t="str">
        <f t="shared" ca="1" si="27"/>
        <v>OK</v>
      </c>
    </row>
    <row r="52" spans="1:20" ht="15">
      <c r="A52" s="26"/>
      <c r="D52" s="170"/>
      <c r="E52" s="170"/>
      <c r="F52" s="170"/>
      <c r="G52" s="170"/>
      <c r="H52" s="170"/>
      <c r="I52" s="170"/>
      <c r="J52" s="170"/>
      <c r="K52" s="170"/>
      <c r="L52" s="170"/>
      <c r="M52" s="170"/>
      <c r="N52" s="170"/>
      <c r="O52" s="170"/>
      <c r="P52" s="170"/>
      <c r="Q52" s="170"/>
      <c r="R52" s="170"/>
      <c r="S52" s="170"/>
      <c r="T52" s="170"/>
    </row>
    <row r="53" spans="1:20">
      <c r="A53" s="18" t="s">
        <v>197</v>
      </c>
    </row>
    <row r="54" spans="1:20">
      <c r="A54" s="167" t="s">
        <v>569</v>
      </c>
      <c r="D54" s="175">
        <f t="shared" ref="D54:T54" ca="1" si="28">SUM(D$347,D$354,D$363,D$372,D$388,D$398,D$411,D$415,D$421,D$430,D$436,D$442,D$443)</f>
        <v>364.65199999999999</v>
      </c>
      <c r="E54" s="175">
        <f t="shared" ca="1" si="28"/>
        <v>393.4</v>
      </c>
      <c r="F54" s="176">
        <f t="shared" ca="1" si="28"/>
        <v>406.952</v>
      </c>
      <c r="G54" s="176">
        <f t="shared" ca="1" si="28"/>
        <v>434.23899999999998</v>
      </c>
      <c r="H54" s="176">
        <f t="shared" ca="1" si="28"/>
        <v>460.14299999999997</v>
      </c>
      <c r="I54" s="176">
        <f t="shared" ca="1" si="28"/>
        <v>470.37099999999998</v>
      </c>
      <c r="J54" s="176">
        <f t="shared" ca="1" si="28"/>
        <v>475.05299999999988</v>
      </c>
      <c r="K54" s="171">
        <f t="shared" ca="1" si="28"/>
        <v>489.21320605440525</v>
      </c>
      <c r="L54" s="171">
        <f t="shared" ca="1" si="28"/>
        <v>513.11440071681875</v>
      </c>
      <c r="M54" s="171">
        <f t="shared" ca="1" si="28"/>
        <v>537.086109226914</v>
      </c>
      <c r="N54" s="171">
        <f t="shared" ca="1" si="28"/>
        <v>561.07973415323397</v>
      </c>
      <c r="O54" s="171">
        <f t="shared" ca="1" si="28"/>
        <v>584.96940473094719</v>
      </c>
      <c r="P54" s="171">
        <f t="shared" ca="1" si="28"/>
        <v>608.76744458672135</v>
      </c>
      <c r="Q54" s="171">
        <f t="shared" ca="1" si="28"/>
        <v>632.71955714387832</v>
      </c>
      <c r="R54" s="171">
        <f t="shared" ca="1" si="28"/>
        <v>656.83689635206281</v>
      </c>
      <c r="S54" s="171">
        <f t="shared" ca="1" si="28"/>
        <v>681.12438355975905</v>
      </c>
      <c r="T54" s="171">
        <f t="shared" ca="1" si="28"/>
        <v>705.68088770290728</v>
      </c>
    </row>
    <row r="55" spans="1:20">
      <c r="A55" s="167" t="s">
        <v>573</v>
      </c>
      <c r="D55" s="175">
        <f t="shared" ref="D55:T55" si="29">SUM(D$69,D$446,D$453,D$457,D$463,D$468,D$474)</f>
        <v>221.31299999999999</v>
      </c>
      <c r="E55" s="175">
        <f t="shared" si="29"/>
        <v>277.45699999999999</v>
      </c>
      <c r="F55" s="176">
        <f t="shared" si="29"/>
        <v>289.68899999999996</v>
      </c>
      <c r="G55" s="176">
        <f t="shared" si="29"/>
        <v>332.05199999999996</v>
      </c>
      <c r="H55" s="176">
        <f t="shared" si="29"/>
        <v>362.99799999999999</v>
      </c>
      <c r="I55" s="176">
        <f t="shared" si="29"/>
        <v>373.93199999999996</v>
      </c>
      <c r="J55" s="176">
        <f t="shared" si="29"/>
        <v>375.41000000000008</v>
      </c>
      <c r="K55" s="171">
        <f t="shared" ca="1" si="29"/>
        <v>384.0471754338293</v>
      </c>
      <c r="L55" s="171">
        <f t="shared" ca="1" si="29"/>
        <v>401.49886653048151</v>
      </c>
      <c r="M55" s="171">
        <f t="shared" ca="1" si="29"/>
        <v>418.52567817975751</v>
      </c>
      <c r="N55" s="171">
        <f t="shared" ca="1" si="29"/>
        <v>434.88954969972389</v>
      </c>
      <c r="O55" s="171">
        <f t="shared" ca="1" si="29"/>
        <v>450.2347833777801</v>
      </c>
      <c r="P55" s="171">
        <f t="shared" ca="1" si="29"/>
        <v>464.95910373307805</v>
      </c>
      <c r="Q55" s="171">
        <f t="shared" ca="1" si="29"/>
        <v>479.26688761251819</v>
      </c>
      <c r="R55" s="171">
        <f t="shared" ca="1" si="29"/>
        <v>493.17720059442951</v>
      </c>
      <c r="S55" s="171">
        <f t="shared" ca="1" si="29"/>
        <v>506.72222741931307</v>
      </c>
      <c r="T55" s="171">
        <f t="shared" ca="1" si="29"/>
        <v>519.93212427312324</v>
      </c>
    </row>
    <row r="56" spans="1:20" ht="15">
      <c r="A56" s="168" t="s">
        <v>574</v>
      </c>
      <c r="B56" s="4"/>
      <c r="D56" s="138">
        <f t="shared" ref="D56:T56" ca="1" si="30">SUM(D$54,-D$55)</f>
        <v>143.339</v>
      </c>
      <c r="E56" s="138">
        <f t="shared" ca="1" si="30"/>
        <v>115.94299999999998</v>
      </c>
      <c r="F56" s="137">
        <f t="shared" ca="1" si="30"/>
        <v>117.26300000000003</v>
      </c>
      <c r="G56" s="137">
        <f t="shared" ca="1" si="30"/>
        <v>102.18700000000001</v>
      </c>
      <c r="H56" s="137">
        <f t="shared" ca="1" si="30"/>
        <v>97.144999999999982</v>
      </c>
      <c r="I56" s="137">
        <f t="shared" ca="1" si="30"/>
        <v>96.439000000000021</v>
      </c>
      <c r="J56" s="137">
        <f t="shared" ca="1" si="30"/>
        <v>99.642999999999802</v>
      </c>
      <c r="K56" s="140">
        <f t="shared" ca="1" si="30"/>
        <v>105.16603062057595</v>
      </c>
      <c r="L56" s="140">
        <f t="shared" ca="1" si="30"/>
        <v>111.61553418633724</v>
      </c>
      <c r="M56" s="140">
        <f t="shared" ca="1" si="30"/>
        <v>118.5604310471565</v>
      </c>
      <c r="N56" s="140">
        <f t="shared" ca="1" si="30"/>
        <v>126.19018445351008</v>
      </c>
      <c r="O56" s="140">
        <f t="shared" ca="1" si="30"/>
        <v>134.73462135316709</v>
      </c>
      <c r="P56" s="140">
        <f t="shared" ca="1" si="30"/>
        <v>143.8083408536433</v>
      </c>
      <c r="Q56" s="140">
        <f t="shared" ca="1" si="30"/>
        <v>153.45266953136013</v>
      </c>
      <c r="R56" s="140">
        <f t="shared" ca="1" si="30"/>
        <v>163.6596957576333</v>
      </c>
      <c r="S56" s="140">
        <f t="shared" ca="1" si="30"/>
        <v>174.40215614044598</v>
      </c>
      <c r="T56" s="140">
        <f t="shared" ca="1" si="30"/>
        <v>185.74876342978405</v>
      </c>
    </row>
    <row r="57" spans="1:20">
      <c r="A57" s="167" t="s">
        <v>268</v>
      </c>
      <c r="B57" s="4" t="str">
        <f>$B$39</f>
        <v>From Fiscal Forecasts</v>
      </c>
      <c r="D57" s="175">
        <f>'Fiscal Forecasts'!D$140</f>
        <v>6.39</v>
      </c>
      <c r="E57" s="175">
        <f>'Fiscal Forecasts'!E$140</f>
        <v>5.6230000000000002</v>
      </c>
      <c r="F57" s="176">
        <f>'Fiscal Forecasts'!F$140</f>
        <v>5.2729999999999997</v>
      </c>
      <c r="G57" s="176">
        <f>'Fiscal Forecasts'!G$140</f>
        <v>5.6360000000000001</v>
      </c>
      <c r="H57" s="176">
        <f>'Fiscal Forecasts'!H$140</f>
        <v>5.6369999999999996</v>
      </c>
      <c r="I57" s="176">
        <f>'Fiscal Forecasts'!I$140</f>
        <v>5.6219999999999999</v>
      </c>
      <c r="J57" s="176">
        <f>'Fiscal Forecasts'!J$140</f>
        <v>5.6050000000000004</v>
      </c>
      <c r="K57" s="171">
        <f ca="1">IF(K$6=OFFSET(Assumptions!$B$8,0,$C$1),AVERAGE(H$57/SUM(H$361,H$370),I$57/SUM(I$361,I$370),J$57/SUM(J$361,J$370)),J$57/SUM(J$361,J$370))*SUM(K$361,K$370)</f>
        <v>6.042828683972485</v>
      </c>
      <c r="L57" s="171">
        <f ca="1">IF(L$6=OFFSET(Assumptions!$B$8,0,$C$1),AVERAGE(I$57/SUM(I$361,I$370),J$57/SUM(J$361,J$370),K$57/SUM(K$361,K$370)),K$57/SUM(K$361,K$370))*SUM(L$361,L$370)</f>
        <v>6.3671299741061693</v>
      </c>
      <c r="M57" s="171">
        <f ca="1">IF(M$6=OFFSET(Assumptions!$B$8,0,$C$1),AVERAGE(J$57/SUM(J$361,J$370),K$57/SUM(K$361,K$370),L$57/SUM(L$361,L$370)),L$57/SUM(L$361,L$370))*SUM(M$361,M$370)</f>
        <v>6.6825455360653923</v>
      </c>
      <c r="N57" s="171">
        <f ca="1">IF(N$6=OFFSET(Assumptions!$B$8,0,$C$1),AVERAGE(K$57/SUM(K$361,K$370),L$57/SUM(L$361,L$370),M$57/SUM(M$361,M$370)),M$57/SUM(M$361,M$370))*SUM(N$361,N$370)</f>
        <v>6.9967143653964241</v>
      </c>
      <c r="O57" s="171">
        <f ca="1">IF(O$6=OFFSET(Assumptions!$B$8,0,$C$1),AVERAGE(L$57/SUM(L$361,L$370),M$57/SUM(M$361,M$370),N$57/SUM(N$361,N$370)),N$57/SUM(N$361,N$370))*SUM(O$361,O$370)</f>
        <v>7.3011212155637262</v>
      </c>
      <c r="P57" s="171">
        <f ca="1">IF(P$6=OFFSET(Assumptions!$B$8,0,$C$1),AVERAGE(M$57/SUM(M$361,M$370),N$57/SUM(N$361,N$370),O$57/SUM(O$361,O$370)),O$57/SUM(O$361,O$370))*SUM(P$361,P$370)</f>
        <v>7.5935757595084326</v>
      </c>
      <c r="Q57" s="171">
        <f ca="1">IF(Q$6=OFFSET(Assumptions!$B$8,0,$C$1),AVERAGE(N$57/SUM(N$361,N$370),O$57/SUM(O$361,O$370),P$57/SUM(P$361,P$370)),P$57/SUM(P$361,P$370))*SUM(Q$361,Q$370)</f>
        <v>7.8920474004447598</v>
      </c>
      <c r="R57" s="171">
        <f ca="1">IF(R$6=OFFSET(Assumptions!$B$8,0,$C$1),AVERAGE(O$57/SUM(O$361,O$370),P$57/SUM(P$361,P$370),Q$57/SUM(Q$361,Q$370)),Q$57/SUM(Q$361,Q$370))*SUM(R$361,R$370)</f>
        <v>8.1957322165268458</v>
      </c>
      <c r="S57" s="171">
        <f ca="1">IF(S$6=OFFSET(Assumptions!$B$8,0,$C$1),AVERAGE(P$57/SUM(P$361,P$370),Q$57/SUM(Q$361,Q$370),R$57/SUM(R$361,R$370)),R$57/SUM(R$361,R$370))*SUM(S$361,S$370)</f>
        <v>8.5043879283602557</v>
      </c>
      <c r="T57" s="171">
        <f ca="1">IF(T$6=OFFSET(Assumptions!$B$8,0,$C$1),AVERAGE(Q$57/SUM(Q$361,Q$370),R$57/SUM(R$361,R$370),S$57/SUM(S$361,S$370)),S$57/SUM(S$361,S$370))*SUM(T$361,T$370)</f>
        <v>8.8221947289245328</v>
      </c>
    </row>
    <row r="58" spans="1:20" ht="15">
      <c r="A58" s="168" t="s">
        <v>570</v>
      </c>
      <c r="D58" s="138">
        <f t="shared" ref="D58:T58" ca="1" si="31">SUM(D$56,-D$57)</f>
        <v>136.94900000000001</v>
      </c>
      <c r="E58" s="138">
        <f t="shared" ca="1" si="31"/>
        <v>110.31999999999998</v>
      </c>
      <c r="F58" s="137">
        <f t="shared" ca="1" si="31"/>
        <v>111.99000000000004</v>
      </c>
      <c r="G58" s="137">
        <f t="shared" ca="1" si="31"/>
        <v>96.551000000000016</v>
      </c>
      <c r="H58" s="137">
        <f t="shared" ca="1" si="31"/>
        <v>91.507999999999981</v>
      </c>
      <c r="I58" s="137">
        <f t="shared" ca="1" si="31"/>
        <v>90.817000000000021</v>
      </c>
      <c r="J58" s="137">
        <f t="shared" ca="1" si="31"/>
        <v>94.037999999999798</v>
      </c>
      <c r="K58" s="140">
        <f t="shared" ca="1" si="31"/>
        <v>99.123201936603465</v>
      </c>
      <c r="L58" s="140">
        <f t="shared" ca="1" si="31"/>
        <v>105.24840421223108</v>
      </c>
      <c r="M58" s="140">
        <f t="shared" ca="1" si="31"/>
        <v>111.87788551109111</v>
      </c>
      <c r="N58" s="140">
        <f t="shared" ca="1" si="31"/>
        <v>119.19347008811366</v>
      </c>
      <c r="O58" s="140">
        <f t="shared" ca="1" si="31"/>
        <v>127.43350013760336</v>
      </c>
      <c r="P58" s="140">
        <f t="shared" ca="1" si="31"/>
        <v>136.21476509413486</v>
      </c>
      <c r="Q58" s="140">
        <f t="shared" ca="1" si="31"/>
        <v>145.56062213091536</v>
      </c>
      <c r="R58" s="140">
        <f t="shared" ca="1" si="31"/>
        <v>155.46396354110647</v>
      </c>
      <c r="S58" s="140">
        <f t="shared" ca="1" si="31"/>
        <v>165.89776821208574</v>
      </c>
      <c r="T58" s="140">
        <f t="shared" ca="1" si="31"/>
        <v>176.92656870085952</v>
      </c>
    </row>
    <row r="59" spans="1:20" ht="15">
      <c r="A59" s="26" t="s">
        <v>571</v>
      </c>
      <c r="B59" s="4" t="str">
        <f>$B$43</f>
        <v>History &amp; Forecast only</v>
      </c>
      <c r="D59" s="170" t="str">
        <f ca="1">IF(ROUND('Fiscal Forecasts'!D$138-D$56,3)=0,"OK","ERROR")</f>
        <v>OK</v>
      </c>
      <c r="E59" s="170" t="str">
        <f ca="1">IF(ROUND('Fiscal Forecasts'!E$138-E$56,3)=0,"OK","ERROR")</f>
        <v>OK</v>
      </c>
      <c r="F59" s="170" t="str">
        <f ca="1">IF(ROUND('Fiscal Forecasts'!F$138-F$56 +IF($C$2="Yes",('Fiscal Forecast Adjuster'!C$29-'Fiscal Forecast Adjuster'!C$38)/1000,0) +IF($C$3="Yes",'NZSF Adjuster'!Q$26-'Fiscal Forecasts'!F$350-'NZSF Adjuster'!Q$11,0),3)=0,"OK","ERROR")</f>
        <v>OK</v>
      </c>
      <c r="G59" s="170" t="str">
        <f ca="1">IF(ROUND('Fiscal Forecasts'!G$138-G$56 +IF($C$2="Yes",('Fiscal Forecast Adjuster'!D$29-'Fiscal Forecast Adjuster'!D$38)/1000,0) +IF($C$3="Yes",'NZSF Adjuster'!R$26-'Fiscal Forecasts'!G$350-'NZSF Adjuster'!R$11,0),3)=0,"OK","ERROR")</f>
        <v>OK</v>
      </c>
      <c r="H59" s="170" t="str">
        <f ca="1">IF(ROUND('Fiscal Forecasts'!H$138-H$56 +IF($C$2="Yes",('Fiscal Forecast Adjuster'!E$29-'Fiscal Forecast Adjuster'!E$38)/1000,0) +IF($C$3="Yes",'NZSF Adjuster'!S$26-'Fiscal Forecasts'!H$350-'NZSF Adjuster'!S$11,0),3)=0,"OK","ERROR")</f>
        <v>OK</v>
      </c>
      <c r="I59" s="170" t="str">
        <f ca="1">IF(ROUND('Fiscal Forecasts'!I$138-I$56 +IF($C$2="Yes",('Fiscal Forecast Adjuster'!F$29-'Fiscal Forecast Adjuster'!F$38)/1000,0) +IF($C$3="Yes",'NZSF Adjuster'!T$26-'Fiscal Forecasts'!I$350-'NZSF Adjuster'!T$11,0),3)=0,"OK","ERROR")</f>
        <v>OK</v>
      </c>
      <c r="J59" s="170" t="str">
        <f ca="1">IF(ROUND('Fiscal Forecasts'!J$138-J$56 +IF($C$2="Yes",('Fiscal Forecast Adjuster'!G$29-'Fiscal Forecast Adjuster'!G$38)/1000,0) +IF($C$3="Yes",'NZSF Adjuster'!U$26-'Fiscal Forecasts'!J$350-'NZSF Adjuster'!U$11,0),3)=0,"OK","ERROR")</f>
        <v>OK</v>
      </c>
      <c r="K59" s="148"/>
      <c r="L59" s="148"/>
      <c r="M59" s="148"/>
      <c r="N59" s="148"/>
      <c r="O59" s="148"/>
      <c r="P59" s="148"/>
      <c r="Q59" s="148"/>
      <c r="R59" s="148"/>
      <c r="S59" s="148"/>
      <c r="T59" s="148"/>
    </row>
    <row r="60" spans="1:20" ht="15">
      <c r="A60" s="26" t="s">
        <v>572</v>
      </c>
      <c r="B60" s="4" t="s">
        <v>269</v>
      </c>
      <c r="K60" s="170" t="str">
        <f ca="1">IF(ROUND(K$40-(K$56-J$56),3)=0,"OK","ERROR")</f>
        <v>OK</v>
      </c>
      <c r="L60" s="170" t="str">
        <f t="shared" ref="L60:T60" ca="1" si="32">IF(ROUND(L$40-(L$56-K$56),3)=0,"OK","ERROR")</f>
        <v>OK</v>
      </c>
      <c r="M60" s="170" t="str">
        <f t="shared" ca="1" si="32"/>
        <v>OK</v>
      </c>
      <c r="N60" s="170" t="str">
        <f t="shared" ca="1" si="32"/>
        <v>OK</v>
      </c>
      <c r="O60" s="170" t="str">
        <f t="shared" ca="1" si="32"/>
        <v>OK</v>
      </c>
      <c r="P60" s="170" t="str">
        <f t="shared" ca="1" si="32"/>
        <v>OK</v>
      </c>
      <c r="Q60" s="170" t="str">
        <f t="shared" ca="1" si="32"/>
        <v>OK</v>
      </c>
      <c r="R60" s="170" t="str">
        <f t="shared" ca="1" si="32"/>
        <v>OK</v>
      </c>
      <c r="S60" s="170" t="str">
        <f t="shared" ca="1" si="32"/>
        <v>OK</v>
      </c>
      <c r="T60" s="170" t="str">
        <f t="shared" ca="1" si="32"/>
        <v>OK</v>
      </c>
    </row>
    <row r="61" spans="1:20">
      <c r="A61" s="167" t="s">
        <v>249</v>
      </c>
      <c r="D61" s="175">
        <f t="shared" ref="D61:T61" ca="1" si="33">SUM(D$346,D$353,D$359,D$368,D$388,D$395,D$410,D$414,D$418,D$429,D$433,D$442,D$443)</f>
        <v>201.42400000000004</v>
      </c>
      <c r="E61" s="175">
        <f t="shared" ca="1" si="33"/>
        <v>219.821</v>
      </c>
      <c r="F61" s="176">
        <f t="shared" ca="1" si="33"/>
        <v>225.428</v>
      </c>
      <c r="G61" s="176">
        <f t="shared" ca="1" si="33"/>
        <v>249.19499999999999</v>
      </c>
      <c r="H61" s="176">
        <f t="shared" ca="1" si="33"/>
        <v>270.38199999999995</v>
      </c>
      <c r="I61" s="176">
        <f t="shared" ca="1" si="33"/>
        <v>276.101</v>
      </c>
      <c r="J61" s="176">
        <f t="shared" ca="1" si="33"/>
        <v>276.44699999999995</v>
      </c>
      <c r="K61" s="171">
        <f t="shared" ca="1" si="33"/>
        <v>281.33927992768753</v>
      </c>
      <c r="L61" s="171">
        <f t="shared" ca="1" si="33"/>
        <v>295.14381335498382</v>
      </c>
      <c r="M61" s="171">
        <f t="shared" ca="1" si="33"/>
        <v>309.38749300482726</v>
      </c>
      <c r="N61" s="171">
        <f t="shared" ca="1" si="33"/>
        <v>323.92160743104893</v>
      </c>
      <c r="O61" s="171">
        <f t="shared" ca="1" si="33"/>
        <v>338.67212338942699</v>
      </c>
      <c r="P61" s="171">
        <f t="shared" ca="1" si="33"/>
        <v>353.6751592515169</v>
      </c>
      <c r="Q61" s="171">
        <f t="shared" ca="1" si="33"/>
        <v>369.08589060846271</v>
      </c>
      <c r="R61" s="171">
        <f t="shared" ca="1" si="33"/>
        <v>384.87129441714831</v>
      </c>
      <c r="S61" s="171">
        <f t="shared" ca="1" si="33"/>
        <v>401.00434545889499</v>
      </c>
      <c r="T61" s="171">
        <f t="shared" ca="1" si="33"/>
        <v>417.54755204119743</v>
      </c>
    </row>
    <row r="62" spans="1:20">
      <c r="A62" s="167" t="s">
        <v>575</v>
      </c>
      <c r="B62" s="4" t="str">
        <f>$B$39</f>
        <v>From Fiscal Forecasts</v>
      </c>
      <c r="D62" s="175">
        <f>'Fiscal Forecasts'!D$183</f>
        <v>91.51</v>
      </c>
      <c r="E62" s="175">
        <f>'Fiscal Forecasts'!E$183</f>
        <v>126.34099999999999</v>
      </c>
      <c r="F62" s="176">
        <f>'Fiscal Forecasts'!F$183 +IF($C$2="Yes",'Fiscal Forecast Adjuster'!C$38/1000,0) +IF($C$3="Yes",'NZSF Adjuster'!Q$11,0)</f>
        <v>139.892</v>
      </c>
      <c r="G62" s="176">
        <f>'Fiscal Forecasts'!G$183 +IF($C$2="Yes",'Fiscal Forecast Adjuster'!D$38/1000,0) +IF($C$3="Yes",'NZSF Adjuster'!R$11,0)</f>
        <v>177.60499999999999</v>
      </c>
      <c r="H62" s="176">
        <f>'Fiscal Forecasts'!H$183 +IF($C$2="Yes",'Fiscal Forecast Adjuster'!E$38/1000,0) +IF($C$3="Yes",'NZSF Adjuster'!S$11,0)</f>
        <v>201.661</v>
      </c>
      <c r="I62" s="176">
        <f>'Fiscal Forecasts'!I$183 +IF($C$2="Yes",'Fiscal Forecast Adjuster'!F$38/1000,0) +IF($C$3="Yes",'NZSF Adjuster'!T$11,0)</f>
        <v>206.39699999999999</v>
      </c>
      <c r="J62" s="176">
        <f>'Fiscal Forecasts'!J$183 +IF($C$2="Yes",'Fiscal Forecast Adjuster'!G$38/1000,0) +IF($C$3="Yes",'NZSF Adjuster'!U$11,0)</f>
        <v>203.441</v>
      </c>
      <c r="K62" s="171">
        <f t="shared" ref="K62:T62" ca="1" si="34">K$70</f>
        <v>200.14628837659674</v>
      </c>
      <c r="L62" s="171">
        <f t="shared" ca="1" si="34"/>
        <v>204.48213734536185</v>
      </c>
      <c r="M62" s="171">
        <f t="shared" ca="1" si="34"/>
        <v>208.20053415976614</v>
      </c>
      <c r="N62" s="171">
        <f t="shared" ca="1" si="34"/>
        <v>211.00723409335455</v>
      </c>
      <c r="O62" s="171">
        <f t="shared" ca="1" si="34"/>
        <v>212.59916221859336</v>
      </c>
      <c r="P62" s="171">
        <f t="shared" ca="1" si="34"/>
        <v>213.32051313848291</v>
      </c>
      <c r="Q62" s="171">
        <f t="shared" ca="1" si="34"/>
        <v>213.2385982612642</v>
      </c>
      <c r="R62" s="171">
        <f t="shared" ca="1" si="34"/>
        <v>212.30422721386449</v>
      </c>
      <c r="S62" s="171">
        <f t="shared" ca="1" si="34"/>
        <v>210.46030992364814</v>
      </c>
      <c r="T62" s="171">
        <f t="shared" ca="1" si="34"/>
        <v>207.61225515311884</v>
      </c>
    </row>
    <row r="63" spans="1:20">
      <c r="A63" s="167" t="s">
        <v>941</v>
      </c>
      <c r="D63" s="175">
        <f t="shared" ref="D63:T63" si="35">SUM(D$446,D$452,D$456,D$460,D$466,D$473)</f>
        <v>41.370000000000005</v>
      </c>
      <c r="E63" s="175">
        <f t="shared" si="35"/>
        <v>46.363999999999997</v>
      </c>
      <c r="F63" s="176">
        <f t="shared" si="35"/>
        <v>46.317000000000007</v>
      </c>
      <c r="G63" s="176">
        <f t="shared" si="35"/>
        <v>44.274999999999999</v>
      </c>
      <c r="H63" s="176">
        <f t="shared" si="35"/>
        <v>43.686</v>
      </c>
      <c r="I63" s="176">
        <f t="shared" si="35"/>
        <v>43.045999999999999</v>
      </c>
      <c r="J63" s="176">
        <f t="shared" si="35"/>
        <v>41.255000000000003</v>
      </c>
      <c r="K63" s="171">
        <f t="shared" ca="1" si="35"/>
        <v>41.882365414105799</v>
      </c>
      <c r="L63" s="171">
        <f t="shared" ca="1" si="35"/>
        <v>42.537025433025057</v>
      </c>
      <c r="M63" s="171">
        <f t="shared" ca="1" si="35"/>
        <v>43.36241034053387</v>
      </c>
      <c r="N63" s="171">
        <f t="shared" ca="1" si="35"/>
        <v>44.266402216609208</v>
      </c>
      <c r="O63" s="171">
        <f t="shared" ca="1" si="35"/>
        <v>45.213750986463467</v>
      </c>
      <c r="P63" s="171">
        <f t="shared" ca="1" si="35"/>
        <v>46.210545028267212</v>
      </c>
      <c r="Q63" s="171">
        <f t="shared" ca="1" si="35"/>
        <v>47.2424213951168</v>
      </c>
      <c r="R63" s="171">
        <f t="shared" ca="1" si="35"/>
        <v>48.288558956778019</v>
      </c>
      <c r="S63" s="171">
        <f t="shared" ca="1" si="35"/>
        <v>49.352724209330368</v>
      </c>
      <c r="T63" s="171">
        <f t="shared" ca="1" si="35"/>
        <v>50.454983172241342</v>
      </c>
    </row>
    <row r="64" spans="1:20" ht="15">
      <c r="A64" s="168" t="s">
        <v>306</v>
      </c>
      <c r="B64" s="4"/>
      <c r="D64" s="138">
        <f t="shared" ref="D64:T64" ca="1" si="36">SUM(D$61,-D$62,-D$63)</f>
        <v>68.544000000000025</v>
      </c>
      <c r="E64" s="138">
        <f t="shared" ca="1" si="36"/>
        <v>47.116000000000007</v>
      </c>
      <c r="F64" s="137">
        <f t="shared" ca="1" si="36"/>
        <v>39.218999999999994</v>
      </c>
      <c r="G64" s="137">
        <f t="shared" ca="1" si="36"/>
        <v>27.315000000000005</v>
      </c>
      <c r="H64" s="137">
        <f t="shared" ca="1" si="36"/>
        <v>25.034999999999947</v>
      </c>
      <c r="I64" s="137">
        <f t="shared" ca="1" si="36"/>
        <v>26.658000000000008</v>
      </c>
      <c r="J64" s="137">
        <f t="shared" ca="1" si="36"/>
        <v>31.750999999999941</v>
      </c>
      <c r="K64" s="140">
        <f t="shared" ca="1" si="36"/>
        <v>39.310626136984986</v>
      </c>
      <c r="L64" s="140">
        <f t="shared" ca="1" si="36"/>
        <v>48.124650576596913</v>
      </c>
      <c r="M64" s="140">
        <f t="shared" ca="1" si="36"/>
        <v>57.824548504527257</v>
      </c>
      <c r="N64" s="140">
        <f t="shared" ca="1" si="36"/>
        <v>68.647971121085163</v>
      </c>
      <c r="O64" s="140">
        <f t="shared" ca="1" si="36"/>
        <v>80.859210184370156</v>
      </c>
      <c r="P64" s="140">
        <f t="shared" ca="1" si="36"/>
        <v>94.144101084766788</v>
      </c>
      <c r="Q64" s="140">
        <f t="shared" ca="1" si="36"/>
        <v>108.60487095208171</v>
      </c>
      <c r="R64" s="140">
        <f t="shared" ca="1" si="36"/>
        <v>124.27850824650579</v>
      </c>
      <c r="S64" s="140">
        <f t="shared" ca="1" si="36"/>
        <v>141.19131132591647</v>
      </c>
      <c r="T64" s="140">
        <f t="shared" ca="1" si="36"/>
        <v>159.48031371583727</v>
      </c>
    </row>
    <row r="65" spans="1:20" ht="15">
      <c r="A65" s="26" t="s">
        <v>307</v>
      </c>
      <c r="B65" s="4" t="str">
        <f>$B$43</f>
        <v>History &amp; Forecast only</v>
      </c>
      <c r="D65" s="170" t="str">
        <f ca="1">IF(ROUND('Fiscal Forecasts'!D$191-D$64,3)=0,"OK","ERROR")</f>
        <v>OK</v>
      </c>
      <c r="E65" s="170" t="str">
        <f ca="1">IF(ROUND('Fiscal Forecasts'!E$191-E$64,3)=0,"OK","ERROR")</f>
        <v>OK</v>
      </c>
      <c r="F65" s="170" t="str">
        <f ca="1">IF(ROUND('Fiscal Forecasts'!F$191-F$64 +IF($C$2="Yes",('Fiscal Forecast Adjuster'!C$29-'Fiscal Forecast Adjuster'!C$38)/1000,0) +IF($C$3="Yes",'NZSF Adjuster'!Q$26-'Fiscal Forecasts'!F$350-'NZSF Adjuster'!Q$11,0),3)=0,"OK","ERROR")</f>
        <v>OK</v>
      </c>
      <c r="G65" s="170" t="str">
        <f ca="1">IF(ROUND('Fiscal Forecasts'!G$191-G$64 +IF($C$2="Yes",('Fiscal Forecast Adjuster'!D$29-'Fiscal Forecast Adjuster'!D$38)/1000,0) +IF($C$3="Yes",'NZSF Adjuster'!R$26-'Fiscal Forecasts'!G$350-'NZSF Adjuster'!R$11,0),3)=0,"OK","ERROR")</f>
        <v>OK</v>
      </c>
      <c r="H65" s="170" t="str">
        <f ca="1">IF(ROUND('Fiscal Forecasts'!H$191-H$64 +IF($C$2="Yes",('Fiscal Forecast Adjuster'!E$29-'Fiscal Forecast Adjuster'!E$38)/1000,0) +IF($C$3="Yes",'NZSF Adjuster'!S$26-'Fiscal Forecasts'!H$350-'NZSF Adjuster'!S$11,0),3)=0,"OK","ERROR")</f>
        <v>OK</v>
      </c>
      <c r="I65" s="170" t="str">
        <f ca="1">IF(ROUND('Fiscal Forecasts'!I$191-I$64 +IF($C$2="Yes",('Fiscal Forecast Adjuster'!F$29-'Fiscal Forecast Adjuster'!F$38)/1000,0) +IF($C$3="Yes",'NZSF Adjuster'!T$26-'Fiscal Forecasts'!I$350-'NZSF Adjuster'!T$11,0),3)=0,"OK","ERROR")</f>
        <v>OK</v>
      </c>
      <c r="J65" s="170" t="str">
        <f ca="1">IF(ROUND('Fiscal Forecasts'!J$191-J$64 +IF($C$2="Yes",('Fiscal Forecast Adjuster'!G$29-'Fiscal Forecast Adjuster'!G$38)/1000,0) +IF($C$3="Yes",'NZSF Adjuster'!U$26-'Fiscal Forecasts'!J$350-'NZSF Adjuster'!U$11,0),3)=0,"OK","ERROR")</f>
        <v>OK</v>
      </c>
    </row>
    <row r="66" spans="1:20" ht="15">
      <c r="A66" s="26" t="s">
        <v>308</v>
      </c>
      <c r="B66" s="4" t="str">
        <f>$B$60</f>
        <v>Projected Years only</v>
      </c>
      <c r="K66" s="170" t="str">
        <f t="shared" ref="K66:T66" ca="1" si="37">IF(ROUND(K$47-(K$64-J$64)-(J$70-J$62),3)=0,"OK","ERROR")</f>
        <v>OK</v>
      </c>
      <c r="L66" s="170" t="str">
        <f t="shared" ca="1" si="37"/>
        <v>OK</v>
      </c>
      <c r="M66" s="170" t="str">
        <f t="shared" ca="1" si="37"/>
        <v>OK</v>
      </c>
      <c r="N66" s="170" t="str">
        <f t="shared" ca="1" si="37"/>
        <v>OK</v>
      </c>
      <c r="O66" s="170" t="str">
        <f t="shared" ca="1" si="37"/>
        <v>OK</v>
      </c>
      <c r="P66" s="170" t="str">
        <f t="shared" ca="1" si="37"/>
        <v>OK</v>
      </c>
      <c r="Q66" s="170" t="str">
        <f t="shared" ca="1" si="37"/>
        <v>OK</v>
      </c>
      <c r="R66" s="170" t="str">
        <f t="shared" ca="1" si="37"/>
        <v>OK</v>
      </c>
      <c r="S66" s="170" t="str">
        <f t="shared" ca="1" si="37"/>
        <v>OK</v>
      </c>
      <c r="T66" s="170" t="str">
        <f t="shared" ca="1" si="37"/>
        <v>OK</v>
      </c>
    </row>
    <row r="67" spans="1:20" ht="15">
      <c r="A67" s="26"/>
      <c r="B67" s="4"/>
      <c r="H67" s="170"/>
      <c r="I67" s="170"/>
      <c r="J67" s="170"/>
      <c r="K67" s="170"/>
      <c r="L67" s="170"/>
      <c r="M67" s="170"/>
      <c r="N67" s="170"/>
      <c r="O67" s="170"/>
      <c r="P67" s="170"/>
      <c r="Q67" s="170"/>
      <c r="R67" s="170"/>
      <c r="S67" s="170"/>
      <c r="T67" s="170"/>
    </row>
    <row r="68" spans="1:20">
      <c r="A68" s="18" t="s">
        <v>222</v>
      </c>
    </row>
    <row r="69" spans="1:20">
      <c r="A69" s="167" t="s">
        <v>267</v>
      </c>
      <c r="B69" s="4" t="str">
        <f>$B$39</f>
        <v>From Fiscal Forecasts</v>
      </c>
      <c r="D69" s="175">
        <f>'Fiscal Forecasts'!D$133</f>
        <v>110.248</v>
      </c>
      <c r="E69" s="175">
        <f>'Fiscal Forecasts'!E$133</f>
        <v>152.71700000000001</v>
      </c>
      <c r="F69" s="176">
        <f>'Fiscal Forecasts'!F$133 +IF($C$2="Yes",'Fiscal Forecast Adjuster'!C$38/1000,0) +IF($C$3="Yes",'NZSF Adjuster'!Q$11,0)</f>
        <v>173.227</v>
      </c>
      <c r="G69" s="176">
        <f>'Fiscal Forecasts'!G$133 +IF($C$2="Yes",'Fiscal Forecast Adjuster'!D$38/1000,0) +IF($C$3="Yes",'NZSF Adjuster'!R$11,0)</f>
        <v>215.23400000000001</v>
      </c>
      <c r="H69" s="176">
        <f>'Fiscal Forecasts'!H$133 +IF($C$2="Yes",'Fiscal Forecast Adjuster'!E$38/1000,0) +IF($C$3="Yes",'NZSF Adjuster'!S$11,0)</f>
        <v>245.21799999999999</v>
      </c>
      <c r="I69" s="176">
        <f>'Fiscal Forecasts'!I$133 +IF($C$2="Yes",'Fiscal Forecast Adjuster'!F$38/1000,0) +IF($C$3="Yes",'NZSF Adjuster'!T$11,0)</f>
        <v>254.45699999999999</v>
      </c>
      <c r="J69" s="176">
        <f>'Fiscal Forecasts'!J$133 +IF($C$2="Yes",'Fiscal Forecast Adjuster'!G$38/1000,0) +IF($C$3="Yes",'NZSF Adjuster'!U$11,0)</f>
        <v>255.084</v>
      </c>
      <c r="K69" s="171">
        <f t="shared" ref="K69:T69" ca="1" si="38">SUM(J$69,K$102)</f>
        <v>260.48782800258169</v>
      </c>
      <c r="L69" s="171">
        <f t="shared" ca="1" si="38"/>
        <v>274.55557957596204</v>
      </c>
      <c r="M69" s="171">
        <f t="shared" ca="1" si="38"/>
        <v>287.90948961620717</v>
      </c>
      <c r="N69" s="171">
        <f t="shared" ca="1" si="38"/>
        <v>300.3909372710259</v>
      </c>
      <c r="O69" s="171">
        <f t="shared" ca="1" si="38"/>
        <v>311.65499896092649</v>
      </c>
      <c r="P69" s="171">
        <f t="shared" ca="1" si="38"/>
        <v>322.09316423575603</v>
      </c>
      <c r="Q69" s="171">
        <f t="shared" ca="1" si="38"/>
        <v>331.91443712668382</v>
      </c>
      <c r="R69" s="171">
        <f t="shared" ca="1" si="38"/>
        <v>341.15948123673655</v>
      </c>
      <c r="S69" s="171">
        <f t="shared" ca="1" si="38"/>
        <v>349.85348265038317</v>
      </c>
      <c r="T69" s="171">
        <f t="shared" ca="1" si="38"/>
        <v>357.98879902173337</v>
      </c>
    </row>
    <row r="70" spans="1:20">
      <c r="A70" s="167" t="s">
        <v>309</v>
      </c>
      <c r="B70" s="4" t="str">
        <f>$B$39</f>
        <v>From Fiscal Forecasts</v>
      </c>
      <c r="D70" s="175">
        <f>'Fiscal Forecasts'!D$142</f>
        <v>91.832999999999998</v>
      </c>
      <c r="E70" s="175">
        <f>'Fiscal Forecasts'!E$142</f>
        <v>126.82</v>
      </c>
      <c r="F70" s="176">
        <f>'Fiscal Forecasts'!F$142 +IF($C$2="Yes",'Fiscal Forecast Adjuster'!C$38/1000,0) +IF($C$3="Yes",'NZSF Adjuster'!Q$11,0)</f>
        <v>139.892</v>
      </c>
      <c r="G70" s="176">
        <f>'Fiscal Forecasts'!G$142 +IF($C$2="Yes",'Fiscal Forecast Adjuster'!D$38/1000,0) +IF($C$3="Yes",'NZSF Adjuster'!R$11,0)</f>
        <v>177.60499999999999</v>
      </c>
      <c r="H70" s="176">
        <f>'Fiscal Forecasts'!H$142 +IF($C$2="Yes",'Fiscal Forecast Adjuster'!E$38/1000,0) +IF($C$3="Yes",'NZSF Adjuster'!S$11,0)</f>
        <v>201.661</v>
      </c>
      <c r="I70" s="176">
        <f>'Fiscal Forecasts'!I$142 +IF($C$2="Yes",'Fiscal Forecast Adjuster'!F$38/1000,0) +IF($C$3="Yes",'NZSF Adjuster'!T$11,0)</f>
        <v>206.39699999999999</v>
      </c>
      <c r="J70" s="176">
        <f>'Fiscal Forecasts'!J$142 +IF($C$2="Yes",'Fiscal Forecast Adjuster'!G$38/1000,0) +IF($C$3="Yes",'NZSF Adjuster'!U$11,0)</f>
        <v>203.441</v>
      </c>
      <c r="K70" s="171">
        <f t="shared" ref="K70:T70" ca="1" si="39">SUM(J$70,K$506)</f>
        <v>200.14628837659674</v>
      </c>
      <c r="L70" s="171">
        <f t="shared" ca="1" si="39"/>
        <v>204.48213734536185</v>
      </c>
      <c r="M70" s="171">
        <f t="shared" ca="1" si="39"/>
        <v>208.20053415976614</v>
      </c>
      <c r="N70" s="171">
        <f t="shared" ca="1" si="39"/>
        <v>211.00723409335455</v>
      </c>
      <c r="O70" s="171">
        <f t="shared" ca="1" si="39"/>
        <v>212.59916221859336</v>
      </c>
      <c r="P70" s="171">
        <f t="shared" ca="1" si="39"/>
        <v>213.32051313848291</v>
      </c>
      <c r="Q70" s="171">
        <f t="shared" ca="1" si="39"/>
        <v>213.2385982612642</v>
      </c>
      <c r="R70" s="171">
        <f t="shared" ca="1" si="39"/>
        <v>212.30422721386449</v>
      </c>
      <c r="S70" s="171">
        <f t="shared" ca="1" si="39"/>
        <v>210.46030992364814</v>
      </c>
      <c r="T70" s="171">
        <f t="shared" ca="1" si="39"/>
        <v>207.61225515311884</v>
      </c>
    </row>
    <row r="71" spans="1:20">
      <c r="A71" s="167" t="s">
        <v>599</v>
      </c>
      <c r="B71" s="4" t="str">
        <f>$B$39</f>
        <v>From Fiscal Forecasts</v>
      </c>
      <c r="D71" s="175">
        <f>'Fiscal Forecasts'!D$143</f>
        <v>0.90300000000000002</v>
      </c>
      <c r="E71" s="175">
        <f>'Fiscal Forecasts'!E$143</f>
        <v>2.6749999999999998</v>
      </c>
      <c r="F71" s="176">
        <f>'Fiscal Forecasts'!F$143</f>
        <v>2.9729999999999999</v>
      </c>
      <c r="G71" s="176">
        <f>'Fiscal Forecasts'!G$143</f>
        <v>3.11</v>
      </c>
      <c r="H71" s="176">
        <f>'Fiscal Forecasts'!H$143</f>
        <v>3.2320000000000002</v>
      </c>
      <c r="I71" s="176">
        <f>'Fiscal Forecasts'!I$143</f>
        <v>3.4359999999999999</v>
      </c>
      <c r="J71" s="176">
        <f>'Fiscal Forecasts'!J$143</f>
        <v>3.6059999999999999</v>
      </c>
      <c r="K71" s="171">
        <f t="shared" ref="K71:T71" ca="1" si="40">K$385-K$449</f>
        <v>3.6250232569831904</v>
      </c>
      <c r="L71" s="171">
        <f t="shared" ca="1" si="40"/>
        <v>3.6949339606895135</v>
      </c>
      <c r="M71" s="171">
        <f t="shared" ca="1" si="40"/>
        <v>3.964205317669018</v>
      </c>
      <c r="N71" s="171">
        <f t="shared" ca="1" si="40"/>
        <v>4.2394868760633555</v>
      </c>
      <c r="O71" s="171">
        <f t="shared" ca="1" si="40"/>
        <v>4.5223528823208987</v>
      </c>
      <c r="P71" s="171">
        <f t="shared" ca="1" si="40"/>
        <v>4.8140416105949697</v>
      </c>
      <c r="Q71" s="171">
        <f t="shared" ca="1" si="40"/>
        <v>5.1146798776106834</v>
      </c>
      <c r="R71" s="171">
        <f t="shared" ca="1" si="40"/>
        <v>5.4233488595923971</v>
      </c>
      <c r="S71" s="171">
        <f t="shared" ca="1" si="40"/>
        <v>5.7391149744826695</v>
      </c>
      <c r="T71" s="171">
        <f t="shared" ca="1" si="40"/>
        <v>6.0630791084660247</v>
      </c>
    </row>
    <row r="72" spans="1:20" ht="15">
      <c r="A72" s="168" t="s">
        <v>310</v>
      </c>
      <c r="D72" s="138">
        <f t="shared" ref="D72:T72" si="41">SUM(D$70,-D$71)</f>
        <v>90.929999999999993</v>
      </c>
      <c r="E72" s="138">
        <f t="shared" si="41"/>
        <v>124.145</v>
      </c>
      <c r="F72" s="137">
        <f t="shared" si="41"/>
        <v>136.91899999999998</v>
      </c>
      <c r="G72" s="137">
        <f t="shared" si="41"/>
        <v>174.49499999999998</v>
      </c>
      <c r="H72" s="137">
        <f t="shared" si="41"/>
        <v>198.429</v>
      </c>
      <c r="I72" s="137">
        <f t="shared" si="41"/>
        <v>202.96099999999998</v>
      </c>
      <c r="J72" s="137">
        <f t="shared" si="41"/>
        <v>199.83500000000001</v>
      </c>
      <c r="K72" s="140">
        <f t="shared" ca="1" si="41"/>
        <v>196.52126511961356</v>
      </c>
      <c r="L72" s="140">
        <f t="shared" ca="1" si="41"/>
        <v>200.78720338467232</v>
      </c>
      <c r="M72" s="140">
        <f t="shared" ca="1" si="41"/>
        <v>204.23632884209712</v>
      </c>
      <c r="N72" s="140">
        <f t="shared" ca="1" si="41"/>
        <v>206.7677472172912</v>
      </c>
      <c r="O72" s="140">
        <f t="shared" ca="1" si="41"/>
        <v>208.07680933627248</v>
      </c>
      <c r="P72" s="140">
        <f t="shared" ca="1" si="41"/>
        <v>208.50647152788792</v>
      </c>
      <c r="Q72" s="140">
        <f t="shared" ca="1" si="41"/>
        <v>208.12391838365352</v>
      </c>
      <c r="R72" s="140">
        <f t="shared" ca="1" si="41"/>
        <v>206.88087835427208</v>
      </c>
      <c r="S72" s="140">
        <f t="shared" ca="1" si="41"/>
        <v>204.72119494916547</v>
      </c>
      <c r="T72" s="140">
        <f t="shared" ca="1" si="41"/>
        <v>201.54917604465282</v>
      </c>
    </row>
    <row r="73" spans="1:20">
      <c r="A73" s="167" t="s">
        <v>311</v>
      </c>
      <c r="B73" s="4" t="str">
        <f>$B$39</f>
        <v>From Fiscal Forecasts</v>
      </c>
      <c r="D73" s="175">
        <f>'Fiscal Forecasts'!D$145</f>
        <v>90.715000000000003</v>
      </c>
      <c r="E73" s="175">
        <f>'Fiscal Forecasts'!E$145</f>
        <v>102.169</v>
      </c>
      <c r="F73" s="176">
        <f>'Fiscal Forecasts'!F$145</f>
        <v>102.036</v>
      </c>
      <c r="G73" s="176">
        <f>'Fiscal Forecasts'!G$145</f>
        <v>117.33499999999999</v>
      </c>
      <c r="H73" s="176">
        <f>'Fiscal Forecasts'!H$145</f>
        <v>130.53399999999999</v>
      </c>
      <c r="I73" s="176">
        <f>'Fiscal Forecasts'!I$145</f>
        <v>128.352</v>
      </c>
      <c r="J73" s="176">
        <f>'Fiscal Forecasts'!J$145</f>
        <v>121.937</v>
      </c>
      <c r="K73" s="171">
        <f ca="1">SUM(K$346,K$359,K$368,K$388,K$395)</f>
        <v>120.39910506523725</v>
      </c>
      <c r="L73" s="171">
        <f t="shared" ref="L73:T73" ca="1" si="42">SUM(L$346,L$359,L$368,L$388,L$395)</f>
        <v>128.30580085265512</v>
      </c>
      <c r="M73" s="171">
        <f t="shared" ca="1" si="42"/>
        <v>136.463695323064</v>
      </c>
      <c r="N73" s="171">
        <f t="shared" ca="1" si="42"/>
        <v>144.74831959473858</v>
      </c>
      <c r="O73" s="171">
        <f t="shared" ca="1" si="42"/>
        <v>153.15681900339024</v>
      </c>
      <c r="P73" s="171">
        <f t="shared" ca="1" si="42"/>
        <v>161.69466573613795</v>
      </c>
      <c r="Q73" s="171">
        <f t="shared" ca="1" si="42"/>
        <v>170.50057684068992</v>
      </c>
      <c r="R73" s="171">
        <f t="shared" ca="1" si="42"/>
        <v>179.54227888853691</v>
      </c>
      <c r="S73" s="171">
        <f t="shared" ca="1" si="42"/>
        <v>188.7915620279453</v>
      </c>
      <c r="T73" s="171">
        <f t="shared" ca="1" si="42"/>
        <v>198.28982266350508</v>
      </c>
    </row>
    <row r="74" spans="1:20" ht="15">
      <c r="A74" s="168" t="s">
        <v>227</v>
      </c>
      <c r="D74" s="138">
        <f t="shared" ref="D74:T74" si="43">SUM(D$72,-D$73)</f>
        <v>0.2149999999999892</v>
      </c>
      <c r="E74" s="138">
        <f t="shared" si="43"/>
        <v>21.975999999999999</v>
      </c>
      <c r="F74" s="137">
        <f t="shared" si="43"/>
        <v>34.882999999999981</v>
      </c>
      <c r="G74" s="137">
        <f t="shared" si="43"/>
        <v>57.159999999999982</v>
      </c>
      <c r="H74" s="137">
        <f t="shared" si="43"/>
        <v>67.89500000000001</v>
      </c>
      <c r="I74" s="137">
        <f t="shared" si="43"/>
        <v>74.60899999999998</v>
      </c>
      <c r="J74" s="137">
        <f t="shared" si="43"/>
        <v>77.89800000000001</v>
      </c>
      <c r="K74" s="140">
        <f t="shared" ca="1" si="43"/>
        <v>76.122160054376309</v>
      </c>
      <c r="L74" s="140">
        <f t="shared" ca="1" si="43"/>
        <v>72.481402532017199</v>
      </c>
      <c r="M74" s="140">
        <f t="shared" ca="1" si="43"/>
        <v>67.772633519033121</v>
      </c>
      <c r="N74" s="140">
        <f t="shared" ca="1" si="43"/>
        <v>62.019427622552627</v>
      </c>
      <c r="O74" s="140">
        <f t="shared" ca="1" si="43"/>
        <v>54.919990332882236</v>
      </c>
      <c r="P74" s="140">
        <f t="shared" ca="1" si="43"/>
        <v>46.811805791749975</v>
      </c>
      <c r="Q74" s="140">
        <f t="shared" ca="1" si="43"/>
        <v>37.623341542963601</v>
      </c>
      <c r="R74" s="140">
        <f t="shared" ca="1" si="43"/>
        <v>27.338599465735172</v>
      </c>
      <c r="S74" s="140">
        <f t="shared" ca="1" si="43"/>
        <v>15.929632921220161</v>
      </c>
      <c r="T74" s="140">
        <f t="shared" ca="1" si="43"/>
        <v>3.2593533811477471</v>
      </c>
    </row>
    <row r="75" spans="1:20">
      <c r="A75" s="167" t="s">
        <v>1235</v>
      </c>
      <c r="B75" s="4" t="str">
        <f>$B$39</f>
        <v>From Fiscal Forecasts</v>
      </c>
      <c r="D75" s="175">
        <f>'Fiscal Forecasts'!D$147</f>
        <v>43.676000000000002</v>
      </c>
      <c r="E75" s="175">
        <f>'Fiscal Forecasts'!E$147</f>
        <v>46.843000000000004</v>
      </c>
      <c r="F75" s="176">
        <f>'Fiscal Forecasts'!F$147</f>
        <v>58.363</v>
      </c>
      <c r="G75" s="176">
        <f>'Fiscal Forecasts'!G$147</f>
        <v>61.895000000000003</v>
      </c>
      <c r="H75" s="176">
        <f>'Fiscal Forecasts'!H$147</f>
        <v>66.974000000000004</v>
      </c>
      <c r="I75" s="176">
        <f>'Fiscal Forecasts'!I$147</f>
        <v>72.721000000000004</v>
      </c>
      <c r="J75" s="176">
        <f>'Fiscal Forecasts'!J$147</f>
        <v>79.034999999999997</v>
      </c>
      <c r="K75" s="171">
        <f ca="1">SUM(K$344,K$357,K$366,K$388,K$391)</f>
        <v>85.260418694368852</v>
      </c>
      <c r="L75" s="171">
        <f t="shared" ref="L75:T75" ca="1" si="44">SUM(L$344,L$357,L$366,L$388,L$391)</f>
        <v>91.6425520723445</v>
      </c>
      <c r="M75" s="171">
        <f t="shared" ca="1" si="44"/>
        <v>98.323046214550331</v>
      </c>
      <c r="N75" s="171">
        <f t="shared" ca="1" si="44"/>
        <v>105.15265059185747</v>
      </c>
      <c r="O75" s="171">
        <f t="shared" ca="1" si="44"/>
        <v>112.17042150900897</v>
      </c>
      <c r="P75" s="171">
        <f t="shared" ca="1" si="44"/>
        <v>119.4070799580941</v>
      </c>
      <c r="Q75" s="171">
        <f t="shared" ca="1" si="44"/>
        <v>126.86577220167466</v>
      </c>
      <c r="R75" s="171">
        <f t="shared" ca="1" si="44"/>
        <v>134.52370265941116</v>
      </c>
      <c r="S75" s="171">
        <f t="shared" ca="1" si="44"/>
        <v>142.35770960502242</v>
      </c>
      <c r="T75" s="171">
        <f t="shared" ca="1" si="44"/>
        <v>150.39510550051426</v>
      </c>
    </row>
    <row r="76" spans="1:20">
      <c r="A76" s="167" t="s">
        <v>1226</v>
      </c>
      <c r="B76" s="4" t="str">
        <f>$B$39</f>
        <v>From Fiscal Forecasts</v>
      </c>
      <c r="D76" s="175">
        <f>'Fiscal Forecasts'!D$148</f>
        <v>0</v>
      </c>
      <c r="E76" s="175">
        <f>'Fiscal Forecasts'!E$148</f>
        <v>0</v>
      </c>
      <c r="F76" s="176">
        <f>'Fiscal Forecasts'!F$148</f>
        <v>4.54</v>
      </c>
      <c r="G76" s="176">
        <f>'Fiscal Forecasts'!G$148</f>
        <v>18.72</v>
      </c>
      <c r="H76" s="176">
        <f>'Fiscal Forecasts'!H$148</f>
        <v>28</v>
      </c>
      <c r="I76" s="176">
        <f>'Fiscal Forecasts'!I$148</f>
        <v>21.76</v>
      </c>
      <c r="J76" s="176">
        <f>'Fiscal Forecasts'!J$148</f>
        <v>9.2799999999999994</v>
      </c>
      <c r="K76" s="171">
        <f ca="1">IF(K$6=OFFSET(Assumptions!$B$8,0,$C$1),0,J$76)</f>
        <v>0</v>
      </c>
      <c r="L76" s="171">
        <f ca="1">IF(L$6=OFFSET(Assumptions!$B$8,0,$C$1),0,K$76)</f>
        <v>0</v>
      </c>
      <c r="M76" s="171">
        <f ca="1">IF(M$6=OFFSET(Assumptions!$B$8,0,$C$1),0,L$76)</f>
        <v>0</v>
      </c>
      <c r="N76" s="171">
        <f ca="1">IF(N$6=OFFSET(Assumptions!$B$8,0,$C$1),0,M$76)</f>
        <v>0</v>
      </c>
      <c r="O76" s="171">
        <f ca="1">IF(O$6=OFFSET(Assumptions!$B$8,0,$C$1),0,N$76)</f>
        <v>0</v>
      </c>
      <c r="P76" s="171">
        <f ca="1">IF(P$6=OFFSET(Assumptions!$B$8,0,$C$1),0,O$76)</f>
        <v>0</v>
      </c>
      <c r="Q76" s="171">
        <f ca="1">IF(Q$6=OFFSET(Assumptions!$B$8,0,$C$1),0,P$76)</f>
        <v>0</v>
      </c>
      <c r="R76" s="171">
        <f ca="1">IF(R$6=OFFSET(Assumptions!$B$8,0,$C$1),0,Q$76)</f>
        <v>0</v>
      </c>
      <c r="S76" s="171">
        <f ca="1">IF(S$6=OFFSET(Assumptions!$B$8,0,$C$1),0,R$76)</f>
        <v>0</v>
      </c>
      <c r="T76" s="171">
        <f ca="1">IF(T$6=OFFSET(Assumptions!$B$8,0,$C$1),0,S$76)</f>
        <v>0</v>
      </c>
    </row>
    <row r="77" spans="1:20">
      <c r="A77" s="167" t="s">
        <v>1236</v>
      </c>
      <c r="B77" s="4" t="str">
        <f>$B$39</f>
        <v>From Fiscal Forecasts</v>
      </c>
      <c r="D77" s="175">
        <f>'Fiscal Forecasts'!D$149</f>
        <v>13.845000000000001</v>
      </c>
      <c r="E77" s="175">
        <f>'Fiscal Forecasts'!E$149</f>
        <v>14.555999999999999</v>
      </c>
      <c r="F77" s="176">
        <f>'Fiscal Forecasts'!F$149</f>
        <v>15.869</v>
      </c>
      <c r="G77" s="176">
        <f>'Fiscal Forecasts'!G$149</f>
        <v>15.536</v>
      </c>
      <c r="H77" s="176">
        <f>'Fiscal Forecasts'!H$149</f>
        <v>15.609</v>
      </c>
      <c r="I77" s="176">
        <f>'Fiscal Forecasts'!I$149</f>
        <v>15.153</v>
      </c>
      <c r="J77" s="176">
        <f>'Fiscal Forecasts'!J$149</f>
        <v>14.571</v>
      </c>
      <c r="K77" s="171">
        <f ca="1">SUM(K$392:K$394)</f>
        <v>14.786805343210105</v>
      </c>
      <c r="L77" s="171">
        <f t="shared" ref="L77:T77" ca="1" si="45">SUM(L$392:L$394)</f>
        <v>15.066389330782997</v>
      </c>
      <c r="M77" s="171">
        <f t="shared" ca="1" si="45"/>
        <v>15.355858800989525</v>
      </c>
      <c r="N77" s="171">
        <f t="shared" ca="1" si="45"/>
        <v>15.658339702651345</v>
      </c>
      <c r="O77" s="171">
        <f t="shared" ca="1" si="45"/>
        <v>15.965506134209676</v>
      </c>
      <c r="P77" s="171">
        <f t="shared" ca="1" si="45"/>
        <v>16.264454740460735</v>
      </c>
      <c r="Q77" s="171">
        <f t="shared" ca="1" si="45"/>
        <v>16.588813374698649</v>
      </c>
      <c r="R77" s="171">
        <f t="shared" ca="1" si="45"/>
        <v>16.93185922329894</v>
      </c>
      <c r="S77" s="171">
        <f t="shared" ca="1" si="45"/>
        <v>17.289374450599936</v>
      </c>
      <c r="T77" s="171">
        <f t="shared" ca="1" si="45"/>
        <v>17.661117507070568</v>
      </c>
    </row>
    <row r="78" spans="1:20" ht="15">
      <c r="A78" s="168" t="s">
        <v>312</v>
      </c>
      <c r="D78" s="138">
        <f t="shared" ref="D78:T78" si="46">SUM(D$74:D$77)</f>
        <v>57.73599999999999</v>
      </c>
      <c r="E78" s="138">
        <f t="shared" si="46"/>
        <v>83.375</v>
      </c>
      <c r="F78" s="137">
        <f t="shared" si="46"/>
        <v>113.65499999999999</v>
      </c>
      <c r="G78" s="137">
        <f t="shared" si="46"/>
        <v>153.31099999999998</v>
      </c>
      <c r="H78" s="137">
        <f t="shared" si="46"/>
        <v>178.47800000000004</v>
      </c>
      <c r="I78" s="137">
        <f t="shared" si="46"/>
        <v>184.24299999999997</v>
      </c>
      <c r="J78" s="137">
        <f t="shared" si="46"/>
        <v>180.78399999999999</v>
      </c>
      <c r="K78" s="140">
        <f t="shared" ca="1" si="46"/>
        <v>176.16938409195529</v>
      </c>
      <c r="L78" s="140">
        <f t="shared" ca="1" si="46"/>
        <v>179.19034393514471</v>
      </c>
      <c r="M78" s="140">
        <f t="shared" ca="1" si="46"/>
        <v>181.45153853457296</v>
      </c>
      <c r="N78" s="140">
        <f t="shared" ca="1" si="46"/>
        <v>182.83041791706142</v>
      </c>
      <c r="O78" s="140">
        <f t="shared" ca="1" si="46"/>
        <v>183.05591797610089</v>
      </c>
      <c r="P78" s="140">
        <f t="shared" ca="1" si="46"/>
        <v>182.48334049030481</v>
      </c>
      <c r="Q78" s="140">
        <f t="shared" ca="1" si="46"/>
        <v>181.07792711933689</v>
      </c>
      <c r="R78" s="140">
        <f t="shared" ca="1" si="46"/>
        <v>178.79416134844527</v>
      </c>
      <c r="S78" s="140">
        <f t="shared" ca="1" si="46"/>
        <v>175.57671697684253</v>
      </c>
      <c r="T78" s="140">
        <f t="shared" ca="1" si="46"/>
        <v>171.31557638873258</v>
      </c>
    </row>
    <row r="79" spans="1:20" ht="15">
      <c r="A79" s="26" t="s">
        <v>939</v>
      </c>
      <c r="B79" s="4" t="str">
        <f>$B$43</f>
        <v>History &amp; Forecast only</v>
      </c>
      <c r="D79" s="170" t="str">
        <f>IF(ROUND('Fiscal Forecasts'!D$151-D$78,3)=0,"OK","ERROR")</f>
        <v>OK</v>
      </c>
      <c r="E79" s="170" t="str">
        <f>IF(ROUND('Fiscal Forecasts'!E$151-E$78,3)=0,"OK","ERROR")</f>
        <v>OK</v>
      </c>
      <c r="F79" s="170" t="str">
        <f>IF(ROUND('Fiscal Forecasts'!F$151-F$78 +IF($C$2="Yes",'Fiscal Forecast Adjuster'!C$38/1000,0) +IF($C$3="Yes",'NZSF Adjuster'!Q$11,0),3)=0,"OK","ERROR")</f>
        <v>OK</v>
      </c>
      <c r="G79" s="170" t="str">
        <f>IF(ROUND('Fiscal Forecasts'!G$151-G$78 +IF($C$2="Yes",'Fiscal Forecast Adjuster'!D$38/1000,0) +IF($C$3="Yes",'NZSF Adjuster'!R$11,0),3)=0,"OK","ERROR")</f>
        <v>OK</v>
      </c>
      <c r="H79" s="170" t="str">
        <f>IF(ROUND('Fiscal Forecasts'!H$151-H$78 +IF($C$2="Yes",'Fiscal Forecast Adjuster'!E$38/1000,0) +IF($C$3="Yes",'NZSF Adjuster'!S$11,0),3)=0,"OK","ERROR")</f>
        <v>OK</v>
      </c>
      <c r="I79" s="170" t="str">
        <f>IF(ROUND('Fiscal Forecasts'!I$151-I$78 +IF($C$2="Yes",'Fiscal Forecast Adjuster'!F$38/1000,0) +IF($C$3="Yes",'NZSF Adjuster'!T$11,0),3)=0,"OK","ERROR")</f>
        <v>OK</v>
      </c>
      <c r="J79" s="170" t="str">
        <f>IF(ROUND('Fiscal Forecasts'!J$151-J$78 +IF($C$2="Yes",'Fiscal Forecast Adjuster'!G$38/1000,0) +IF($C$3="Yes",'NZSF Adjuster'!U$11,0),3)=0,"OK","ERROR")</f>
        <v>OK</v>
      </c>
    </row>
    <row r="80" spans="1:20" ht="15">
      <c r="A80" s="26"/>
      <c r="B80" s="4"/>
      <c r="D80" s="170"/>
      <c r="E80" s="170"/>
      <c r="F80" s="170"/>
      <c r="G80" s="170"/>
    </row>
    <row r="81" spans="1:20">
      <c r="A81" s="18" t="s">
        <v>161</v>
      </c>
    </row>
    <row r="82" spans="1:20">
      <c r="A82" s="167" t="s">
        <v>162</v>
      </c>
      <c r="B82" s="4" t="str">
        <f>$B$39</f>
        <v>From Fiscal Forecasts</v>
      </c>
      <c r="D82" s="175">
        <f>'Fiscal Forecasts'!D$71</f>
        <v>83.016999999999996</v>
      </c>
      <c r="E82" s="175">
        <f>'Fiscal Forecasts'!E$71</f>
        <v>83.156000000000006</v>
      </c>
      <c r="F82" s="176">
        <f>'Fiscal Forecasts'!F$71 +IF($C$2="Yes",SUM('Fiscal Forecast Adjuster'!C$8:C$12)/1000,0)</f>
        <v>89.620999999999995</v>
      </c>
      <c r="G82" s="176">
        <f>'Fiscal Forecasts'!G$71 +IF($C$2="Yes",SUM('Fiscal Forecast Adjuster'!D$8:D$12)/1000,0)</f>
        <v>92.581999999999994</v>
      </c>
      <c r="H82" s="176">
        <f>'Fiscal Forecasts'!H$71 +IF($C$2="Yes",SUM('Fiscal Forecast Adjuster'!E$8:E$12)/1000,0)</f>
        <v>99.69</v>
      </c>
      <c r="I82" s="176">
        <f>'Fiscal Forecasts'!I$71 +IF($C$2="Yes",SUM('Fiscal Forecast Adjuster'!F$8:F$12)/1000,0)</f>
        <v>105.599</v>
      </c>
      <c r="J82" s="176">
        <f>'Fiscal Forecasts'!J$71 +IF($C$2="Yes",SUM('Fiscal Forecast Adjuster'!G$8:G$12)/1000,0)</f>
        <v>111.56699999999999</v>
      </c>
      <c r="K82" s="171">
        <f t="shared" ref="K82:T82" ca="1" si="47">SUM(K$477-K$376,K$134)</f>
        <v>116.75745776528265</v>
      </c>
      <c r="L82" s="171">
        <f t="shared" ca="1" si="47"/>
        <v>122.00277067741081</v>
      </c>
      <c r="M82" s="171">
        <f t="shared" ca="1" si="47"/>
        <v>127.14616744118723</v>
      </c>
      <c r="N82" s="171">
        <f t="shared" ca="1" si="47"/>
        <v>132.66470001226759</v>
      </c>
      <c r="O82" s="171">
        <f t="shared" ca="1" si="47"/>
        <v>138.11612175562436</v>
      </c>
      <c r="P82" s="171">
        <f t="shared" ca="1" si="47"/>
        <v>143.65789083065499</v>
      </c>
      <c r="Q82" s="171">
        <f t="shared" ca="1" si="47"/>
        <v>149.31345817432236</v>
      </c>
      <c r="R82" s="171">
        <f t="shared" ca="1" si="47"/>
        <v>155.06929670912916</v>
      </c>
      <c r="S82" s="171">
        <f t="shared" ca="1" si="47"/>
        <v>160.91988717508931</v>
      </c>
      <c r="T82" s="171">
        <f t="shared" ca="1" si="47"/>
        <v>166.93732802192429</v>
      </c>
    </row>
    <row r="83" spans="1:20">
      <c r="A83" s="167" t="s">
        <v>163</v>
      </c>
      <c r="B83" s="4" t="str">
        <f>$B$39</f>
        <v>From Fiscal Forecasts</v>
      </c>
      <c r="D83" s="175">
        <f>'Fiscal Forecasts'!D$72</f>
        <v>5.1870000000000003</v>
      </c>
      <c r="E83" s="175">
        <f>'Fiscal Forecasts'!E$72</f>
        <v>5.2939999999999996</v>
      </c>
      <c r="F83" s="176">
        <f>'Fiscal Forecasts'!F$72</f>
        <v>6.4729999999999999</v>
      </c>
      <c r="G83" s="176">
        <f>'Fiscal Forecasts'!G$72</f>
        <v>6.008</v>
      </c>
      <c r="H83" s="176">
        <f>'Fiscal Forecasts'!H$72</f>
        <v>6.4690000000000003</v>
      </c>
      <c r="I83" s="176">
        <f>'Fiscal Forecasts'!I$72</f>
        <v>6.9779999999999998</v>
      </c>
      <c r="J83" s="176">
        <f>'Fiscal Forecasts'!J$72</f>
        <v>7.3769999999999998</v>
      </c>
      <c r="K83" s="171">
        <f ca="1">SUM(K$139,K$141,K$142,K$144)</f>
        <v>7.8209146879908928</v>
      </c>
      <c r="L83" s="171">
        <f t="shared" ref="L83:T83" ca="1" si="48">SUM(L$139,L$141,L$142,L$144)</f>
        <v>8.1682906148038121</v>
      </c>
      <c r="M83" s="171">
        <f t="shared" ca="1" si="48"/>
        <v>8.5197794298057232</v>
      </c>
      <c r="N83" s="171">
        <f t="shared" ca="1" si="48"/>
        <v>8.8752865890897503</v>
      </c>
      <c r="O83" s="171">
        <f t="shared" ca="1" si="48"/>
        <v>9.2454501912996747</v>
      </c>
      <c r="P83" s="171">
        <f t="shared" ca="1" si="48"/>
        <v>9.6279353501928302</v>
      </c>
      <c r="Q83" s="171">
        <f t="shared" ca="1" si="48"/>
        <v>10.016949149950683</v>
      </c>
      <c r="R83" s="171">
        <f t="shared" ca="1" si="48"/>
        <v>10.416961450835474</v>
      </c>
      <c r="S83" s="171">
        <f t="shared" ca="1" si="48"/>
        <v>10.825858613567783</v>
      </c>
      <c r="T83" s="171">
        <f t="shared" ca="1" si="48"/>
        <v>11.25158131156595</v>
      </c>
    </row>
    <row r="84" spans="1:20">
      <c r="A84" s="167" t="s">
        <v>130</v>
      </c>
      <c r="B84" s="4" t="str">
        <f>$B$39</f>
        <v>From Fiscal Forecasts</v>
      </c>
      <c r="D84" s="175">
        <f>'Fiscal Forecasts'!D$73</f>
        <v>19.763999999999999</v>
      </c>
      <c r="E84" s="175">
        <f>'Fiscal Forecasts'!E$73</f>
        <v>18.289000000000001</v>
      </c>
      <c r="F84" s="176">
        <f>'Fiscal Forecasts'!F$73</f>
        <v>16.829999999999998</v>
      </c>
      <c r="G84" s="176">
        <f>'Fiscal Forecasts'!G$73</f>
        <v>17.995000000000001</v>
      </c>
      <c r="H84" s="176">
        <f>'Fiscal Forecasts'!H$73</f>
        <v>18.751999999999999</v>
      </c>
      <c r="I84" s="176">
        <f>'Fiscal Forecasts'!I$73</f>
        <v>19.164999999999999</v>
      </c>
      <c r="J84" s="176">
        <f>'Fiscal Forecasts'!J$73</f>
        <v>19.477</v>
      </c>
      <c r="K84" s="171">
        <f t="shared" ref="K84:T84" ca="1" si="49">K$148</f>
        <v>21.243525563685779</v>
      </c>
      <c r="L84" s="171">
        <f t="shared" ca="1" si="49"/>
        <v>22.150382878729722</v>
      </c>
      <c r="M84" s="171">
        <f t="shared" ca="1" si="49"/>
        <v>23.067410961798139</v>
      </c>
      <c r="N84" s="171">
        <f t="shared" ca="1" si="49"/>
        <v>24.027681774310778</v>
      </c>
      <c r="O84" s="171">
        <f t="shared" ca="1" si="49"/>
        <v>25.008750892683572</v>
      </c>
      <c r="P84" s="171">
        <f t="shared" ca="1" si="49"/>
        <v>26.010504270145038</v>
      </c>
      <c r="Q84" s="171">
        <f t="shared" ca="1" si="49"/>
        <v>27.032868191565125</v>
      </c>
      <c r="R84" s="171">
        <f t="shared" ca="1" si="49"/>
        <v>28.073088959177863</v>
      </c>
      <c r="S84" s="171">
        <f t="shared" ca="1" si="49"/>
        <v>29.130336686059998</v>
      </c>
      <c r="T84" s="171">
        <f t="shared" ca="1" si="49"/>
        <v>30.218929913408456</v>
      </c>
    </row>
    <row r="85" spans="1:20">
      <c r="A85" s="167" t="s">
        <v>959</v>
      </c>
      <c r="B85" s="4" t="str">
        <f>$B$39</f>
        <v>From Fiscal Forecasts</v>
      </c>
      <c r="D85" s="175">
        <f>'Fiscal Forecasts'!D$74</f>
        <v>2.528</v>
      </c>
      <c r="E85" s="175">
        <f>'Fiscal Forecasts'!E$74</f>
        <v>2.3069999999999999</v>
      </c>
      <c r="F85" s="176">
        <f ca="1">'Fiscal Forecasts'!F$74 +IF($C$3="Yes",OFFSET(Assumptions!$B$80,0,$C$1)*('NZSF Adjuster'!Q$21-'Fiscal Forecasts'!F$344),0)</f>
        <v>1.9590000000000001</v>
      </c>
      <c r="G85" s="176">
        <f ca="1">'Fiscal Forecasts'!G$74 +IF($C$3="Yes",OFFSET(Assumptions!$B$80,0,$C$1)*('NZSF Adjuster'!R$21-'Fiscal Forecasts'!G$344),0)</f>
        <v>1.7370000000000001</v>
      </c>
      <c r="H85" s="176">
        <f ca="1">'Fiscal Forecasts'!H$74 +IF($C$3="Yes",OFFSET(Assumptions!$B$80,0,$C$1)*('NZSF Adjuster'!S$21-'Fiscal Forecasts'!H$344),0)</f>
        <v>1.925</v>
      </c>
      <c r="I85" s="176">
        <f ca="1">'Fiscal Forecasts'!I$74 +IF($C$3="Yes",OFFSET(Assumptions!$B$80,0,$C$1)*('NZSF Adjuster'!T$21-'Fiscal Forecasts'!I$344),0)</f>
        <v>2.1030000000000002</v>
      </c>
      <c r="J85" s="176">
        <f ca="1">'Fiscal Forecasts'!J$74 +IF($C$3="Yes",OFFSET(Assumptions!$B$80,0,$C$1)*('NZSF Adjuster'!U$21-'Fiscal Forecasts'!J$344),0)</f>
        <v>2.294</v>
      </c>
      <c r="K85" s="171">
        <f t="shared" ref="K85:T85" ca="1" si="50">SUM(K$152,K$153,K$155,K$156,K$157,K$332)</f>
        <v>2.350052866149472</v>
      </c>
      <c r="L85" s="171">
        <f t="shared" ca="1" si="50"/>
        <v>2.5045832380320623</v>
      </c>
      <c r="M85" s="171">
        <f t="shared" ca="1" si="50"/>
        <v>2.6654011739298475</v>
      </c>
      <c r="N85" s="171">
        <f t="shared" ca="1" si="50"/>
        <v>2.8318212677016383</v>
      </c>
      <c r="O85" s="171">
        <f t="shared" ca="1" si="50"/>
        <v>3.0008419840926002</v>
      </c>
      <c r="P85" s="171">
        <f t="shared" ca="1" si="50"/>
        <v>3.1658073372282542</v>
      </c>
      <c r="Q85" s="171">
        <f t="shared" ca="1" si="50"/>
        <v>3.3329878065508005</v>
      </c>
      <c r="R85" s="171">
        <f t="shared" ca="1" si="50"/>
        <v>3.5172725485044753</v>
      </c>
      <c r="S85" s="171">
        <f t="shared" ca="1" si="50"/>
        <v>3.7127275878137511</v>
      </c>
      <c r="T85" s="171">
        <f t="shared" ca="1" si="50"/>
        <v>3.9039335295166135</v>
      </c>
    </row>
    <row r="86" spans="1:20">
      <c r="A86" s="167" t="s">
        <v>164</v>
      </c>
      <c r="B86" s="4" t="str">
        <f>$B$39</f>
        <v>From Fiscal Forecasts</v>
      </c>
      <c r="D86" s="175">
        <f>'Fiscal Forecasts'!D$75</f>
        <v>4.5629999999999997</v>
      </c>
      <c r="E86" s="175">
        <f>'Fiscal Forecasts'!E$75</f>
        <v>4.5439999999999996</v>
      </c>
      <c r="F86" s="176">
        <f ca="1">'Fiscal Forecasts'!F$75 +IF($C$3="Yes",(1-OFFSET(Assumptions!$B$80,0,$C$1))*('NZSF Adjuster'!Q$21-'Fiscal Forecasts'!F$344),0)</f>
        <v>4.2640000000000002</v>
      </c>
      <c r="G86" s="176">
        <f ca="1">'Fiscal Forecasts'!G$75 +IF($C$3="Yes",(1-OFFSET(Assumptions!$B$80,0,$C$1))*('NZSF Adjuster'!R$21-'Fiscal Forecasts'!G$344),0)</f>
        <v>4.2569999999999997</v>
      </c>
      <c r="H86" s="176">
        <f ca="1">'Fiscal Forecasts'!H$75 +IF($C$3="Yes",(1-OFFSET(Assumptions!$B$80,0,$C$1))*('NZSF Adjuster'!S$21-'Fiscal Forecasts'!H$344),0)</f>
        <v>4.4580000000000002</v>
      </c>
      <c r="I86" s="176">
        <f ca="1">'Fiscal Forecasts'!I$75 +IF($C$3="Yes",(1-OFFSET(Assumptions!$B$80,0,$C$1))*('NZSF Adjuster'!T$21-'Fiscal Forecasts'!I$344),0)</f>
        <v>4.7329999999999997</v>
      </c>
      <c r="J86" s="176">
        <f ca="1">'Fiscal Forecasts'!J$75 +IF($C$3="Yes",(1-OFFSET(Assumptions!$B$80,0,$C$1))*('NZSF Adjuster'!U$21-'Fiscal Forecasts'!J$344),0)</f>
        <v>4.8869999999999996</v>
      </c>
      <c r="K86" s="171">
        <f t="shared" ref="K86:T86" ca="1" si="51">SUM(K$166,K$172)</f>
        <v>4.8656239566691841</v>
      </c>
      <c r="L86" s="171">
        <f t="shared" ca="1" si="51"/>
        <v>5.1590499531094975</v>
      </c>
      <c r="M86" s="171">
        <f t="shared" ca="1" si="51"/>
        <v>5.4597907423462395</v>
      </c>
      <c r="N86" s="171">
        <f t="shared" ca="1" si="51"/>
        <v>5.7744929906495592</v>
      </c>
      <c r="O86" s="171">
        <f t="shared" ca="1" si="51"/>
        <v>6.0994845908493041</v>
      </c>
      <c r="P86" s="171">
        <f t="shared" ca="1" si="51"/>
        <v>6.435559990483716</v>
      </c>
      <c r="Q86" s="171">
        <f t="shared" ca="1" si="51"/>
        <v>6.7823682084270516</v>
      </c>
      <c r="R86" s="171">
        <f t="shared" ca="1" si="51"/>
        <v>7.1374425411137032</v>
      </c>
      <c r="S86" s="171">
        <f t="shared" ca="1" si="51"/>
        <v>7.5017488202128764</v>
      </c>
      <c r="T86" s="171">
        <f t="shared" ca="1" si="51"/>
        <v>7.8818562814605064</v>
      </c>
    </row>
    <row r="87" spans="1:20" ht="15">
      <c r="A87" s="168" t="s">
        <v>165</v>
      </c>
      <c r="D87" s="138">
        <f t="shared" ref="D87:T87" si="52">SUM(D$82:D$86)</f>
        <v>115.059</v>
      </c>
      <c r="E87" s="138">
        <f t="shared" si="52"/>
        <v>113.59</v>
      </c>
      <c r="F87" s="137">
        <f t="shared" ca="1" si="52"/>
        <v>119.14699999999999</v>
      </c>
      <c r="G87" s="137">
        <f t="shared" ca="1" si="52"/>
        <v>122.57899999999999</v>
      </c>
      <c r="H87" s="137">
        <f t="shared" ca="1" si="52"/>
        <v>131.29399999999998</v>
      </c>
      <c r="I87" s="137">
        <f t="shared" ca="1" si="52"/>
        <v>138.578</v>
      </c>
      <c r="J87" s="137">
        <f t="shared" ca="1" si="52"/>
        <v>145.602</v>
      </c>
      <c r="K87" s="140">
        <f t="shared" ca="1" si="52"/>
        <v>153.03757483977799</v>
      </c>
      <c r="L87" s="140">
        <f t="shared" ca="1" si="52"/>
        <v>159.98507736208592</v>
      </c>
      <c r="M87" s="140">
        <f t="shared" ca="1" si="52"/>
        <v>166.85854974906718</v>
      </c>
      <c r="N87" s="140">
        <f t="shared" ca="1" si="52"/>
        <v>174.1739826340193</v>
      </c>
      <c r="O87" s="140">
        <f t="shared" ca="1" si="52"/>
        <v>181.47064941454951</v>
      </c>
      <c r="P87" s="140">
        <f t="shared" ca="1" si="52"/>
        <v>188.89769777870484</v>
      </c>
      <c r="Q87" s="140">
        <f t="shared" ca="1" si="52"/>
        <v>196.47863153081599</v>
      </c>
      <c r="R87" s="140">
        <f t="shared" ca="1" si="52"/>
        <v>204.21406220876068</v>
      </c>
      <c r="S87" s="140">
        <f t="shared" ca="1" si="52"/>
        <v>212.09055888274372</v>
      </c>
      <c r="T87" s="140">
        <f t="shared" ca="1" si="52"/>
        <v>220.19362905787582</v>
      </c>
    </row>
    <row r="88" spans="1:20">
      <c r="A88" s="167" t="s">
        <v>133</v>
      </c>
      <c r="B88" s="4" t="str">
        <f>$B$39</f>
        <v>From Fiscal Forecasts</v>
      </c>
      <c r="D88" s="175">
        <f>'Fiscal Forecasts'!D$77</f>
        <v>27.981999999999999</v>
      </c>
      <c r="E88" s="175">
        <f>'Fiscal Forecasts'!E$77</f>
        <v>42.945</v>
      </c>
      <c r="F88" s="176">
        <f>'Fiscal Forecasts'!F$77 +IF($C$2="Yes",SUM('Fiscal Forecast Adjuster'!C$15:C$22)/1000,0)</f>
        <v>35.884999999999998</v>
      </c>
      <c r="G88" s="176">
        <f>'Fiscal Forecasts'!G$77 +IF($C$2="Yes",SUM('Fiscal Forecast Adjuster'!D$15:D$22)/1000,0)</f>
        <v>37.271000000000001</v>
      </c>
      <c r="H88" s="176">
        <f>'Fiscal Forecasts'!H$77 +IF($C$2="Yes",SUM('Fiscal Forecast Adjuster'!E$15:E$22)/1000,0)</f>
        <v>38.731999999999999</v>
      </c>
      <c r="I88" s="176">
        <f>'Fiscal Forecasts'!I$77 +IF($C$2="Yes",SUM('Fiscal Forecast Adjuster'!F$15:F$22)/1000,0)</f>
        <v>39.683</v>
      </c>
      <c r="J88" s="176">
        <f>'Fiscal Forecasts'!J$77 +IF($C$2="Yes",SUM('Fiscal Forecast Adjuster'!G$15:G$22)/1000,0)</f>
        <v>41.777999999999999</v>
      </c>
      <c r="K88" s="171">
        <f t="shared" ref="K88:T88" ca="1" si="53">K$186</f>
        <v>42.175333230244597</v>
      </c>
      <c r="L88" s="171">
        <f t="shared" ca="1" si="53"/>
        <v>44.330846203359151</v>
      </c>
      <c r="M88" s="171">
        <f t="shared" ca="1" si="53"/>
        <v>46.642671488490933</v>
      </c>
      <c r="N88" s="171">
        <f t="shared" ca="1" si="53"/>
        <v>48.969856019680442</v>
      </c>
      <c r="O88" s="171">
        <f t="shared" ca="1" si="53"/>
        <v>50.907964033873846</v>
      </c>
      <c r="P88" s="171">
        <f t="shared" ca="1" si="53"/>
        <v>53.267414745211589</v>
      </c>
      <c r="Q88" s="171">
        <f t="shared" ca="1" si="53"/>
        <v>55.689250032708017</v>
      </c>
      <c r="R88" s="171">
        <f t="shared" ca="1" si="53"/>
        <v>58.194547289277729</v>
      </c>
      <c r="S88" s="171">
        <f t="shared" ca="1" si="53"/>
        <v>60.781270845664963</v>
      </c>
      <c r="T88" s="171">
        <f t="shared" ca="1" si="53"/>
        <v>63.42724092894592</v>
      </c>
    </row>
    <row r="89" spans="1:20">
      <c r="A89" s="167" t="s">
        <v>166</v>
      </c>
      <c r="B89" s="4" t="str">
        <f>$B$39</f>
        <v>From Fiscal Forecasts</v>
      </c>
      <c r="D89" s="175">
        <f>'Fiscal Forecasts'!D$78</f>
        <v>72.078999999999994</v>
      </c>
      <c r="E89" s="175">
        <f>'Fiscal Forecasts'!E$78</f>
        <v>77.191999999999993</v>
      </c>
      <c r="F89" s="176">
        <f>'Fiscal Forecasts'!F$78 +IF($C$2="Yes",'Fiscal Forecast Adjuster'!C$24/1000,0) +IF($C$3="Yes",'NZSF Adjuster'!Q$23-'Fiscal Forecasts'!F$346,0)</f>
        <v>88.736999999999995</v>
      </c>
      <c r="G89" s="176">
        <f>'Fiscal Forecasts'!G$78 +IF($C$2="Yes",'Fiscal Forecast Adjuster'!D$24/1000,0) +IF($C$3="Yes",'NZSF Adjuster'!R$23-'Fiscal Forecasts'!G$346,0)</f>
        <v>91.242000000000004</v>
      </c>
      <c r="H89" s="176">
        <f>'Fiscal Forecasts'!H$78 +IF($C$2="Yes",'Fiscal Forecast Adjuster'!E$24/1000,0) +IF($C$3="Yes",'NZSF Adjuster'!S$23-'Fiscal Forecasts'!H$346,0)</f>
        <v>86.757999999999996</v>
      </c>
      <c r="I89" s="176">
        <f>'Fiscal Forecasts'!I$78 +IF($C$2="Yes",'Fiscal Forecast Adjuster'!F$24/1000,0) +IF($C$3="Yes",'NZSF Adjuster'!T$23-'Fiscal Forecasts'!I$346,0)</f>
        <v>85.671000000000006</v>
      </c>
      <c r="J89" s="176">
        <f>'Fiscal Forecasts'!J$78 +IF($C$2="Yes",'Fiscal Forecast Adjuster'!G$24/1000,0) +IF($C$3="Yes",'NZSF Adjuster'!U$23-'Fiscal Forecasts'!J$346,0)</f>
        <v>84.69</v>
      </c>
      <c r="K89" s="171">
        <f t="shared" ref="K89:T89" ca="1" si="54">SUM(K$209,K$226,K$240)-SUM(K$219,K$263,K$273,K$313,K$463-J$463,K$468-J$468)</f>
        <v>86.779104104634769</v>
      </c>
      <c r="L89" s="171">
        <f t="shared" ca="1" si="54"/>
        <v>87.589584363059345</v>
      </c>
      <c r="M89" s="171">
        <f t="shared" ca="1" si="54"/>
        <v>88.508680296251583</v>
      </c>
      <c r="N89" s="171">
        <f t="shared" ca="1" si="54"/>
        <v>89.641695654296683</v>
      </c>
      <c r="O89" s="171">
        <f t="shared" ca="1" si="54"/>
        <v>90.787067009657477</v>
      </c>
      <c r="P89" s="171">
        <f t="shared" ca="1" si="54"/>
        <v>91.99633064928841</v>
      </c>
      <c r="Q89" s="171">
        <f t="shared" ca="1" si="54"/>
        <v>93.23753492185206</v>
      </c>
      <c r="R89" s="171">
        <f t="shared" ca="1" si="54"/>
        <v>94.53215181945481</v>
      </c>
      <c r="S89" s="171">
        <f t="shared" ca="1" si="54"/>
        <v>95.859094067249202</v>
      </c>
      <c r="T89" s="171">
        <f t="shared" ca="1" si="54"/>
        <v>97.216704214148578</v>
      </c>
    </row>
    <row r="90" spans="1:20">
      <c r="A90" s="167" t="s">
        <v>167</v>
      </c>
      <c r="B90" s="4" t="str">
        <f>$B$39</f>
        <v>From Fiscal Forecasts</v>
      </c>
      <c r="D90" s="175">
        <f>'Fiscal Forecasts'!D$79</f>
        <v>4.0250000000000004</v>
      </c>
      <c r="E90" s="175">
        <f>'Fiscal Forecasts'!E$79</f>
        <v>3.8490000000000002</v>
      </c>
      <c r="F90" s="176">
        <f>'Fiscal Forecasts'!F$79 +IF($C$2="Yes",'Fiscal Forecast Adjuster'!C$35/1000,0) +IF($C$3="Yes",'NZSF Adjuster'!Q$9,0)</f>
        <v>3.7930000000000001</v>
      </c>
      <c r="G90" s="176">
        <f>'Fiscal Forecasts'!G$79 +IF($C$2="Yes",'Fiscal Forecast Adjuster'!D$35/1000,0) +IF($C$3="Yes",'NZSF Adjuster'!R$9,0)</f>
        <v>2.9620000000000002</v>
      </c>
      <c r="H90" s="176">
        <f>'Fiscal Forecasts'!H$79 +IF($C$2="Yes",'Fiscal Forecast Adjuster'!E$35/1000,0) +IF($C$3="Yes",'NZSF Adjuster'!S$9,0)</f>
        <v>3.2679999999999998</v>
      </c>
      <c r="I90" s="176">
        <f>'Fiscal Forecasts'!I$79 +IF($C$2="Yes",'Fiscal Forecast Adjuster'!F$35/1000,0) +IF($C$3="Yes",'NZSF Adjuster'!T$9,0)</f>
        <v>3.5209999999999999</v>
      </c>
      <c r="J90" s="176">
        <f>'Fiscal Forecasts'!J$79 +IF($C$2="Yes",'Fiscal Forecast Adjuster'!G$35/1000,0) +IF($C$3="Yes",'NZSF Adjuster'!U$9,0)</f>
        <v>4.0019999999999998</v>
      </c>
      <c r="K90" s="171">
        <f t="shared" ref="K90:T90" ca="1" si="55">(2*J$69-SUM(K$87,K$100,K$101)+SUM(K$88,K$89,K$91,K$103,K$347-J$347))/(2/K$234-1)</f>
        <v>4.2133804932667962</v>
      </c>
      <c r="L90" s="171">
        <f t="shared" ca="1" si="55"/>
        <v>5.0413113168819548</v>
      </c>
      <c r="M90" s="171">
        <f t="shared" ca="1" si="55"/>
        <v>6.002766331212845</v>
      </c>
      <c r="N90" s="171">
        <f t="shared" ca="1" si="55"/>
        <v>7.0138631919249299</v>
      </c>
      <c r="O90" s="171">
        <f t="shared" ca="1" si="55"/>
        <v>8.0620204475280275</v>
      </c>
      <c r="P90" s="171">
        <f t="shared" ca="1" si="55"/>
        <v>9.140072752649834</v>
      </c>
      <c r="Q90" s="171">
        <f t="shared" ca="1" si="55"/>
        <v>10.249768882285348</v>
      </c>
      <c r="R90" s="171">
        <f t="shared" ca="1" si="55"/>
        <v>11.389923315893837</v>
      </c>
      <c r="S90" s="171">
        <f t="shared" ca="1" si="55"/>
        <v>12.557258485914957</v>
      </c>
      <c r="T90" s="171">
        <f t="shared" ca="1" si="55"/>
        <v>13.747887863138621</v>
      </c>
    </row>
    <row r="91" spans="1:20">
      <c r="A91" s="167" t="s">
        <v>592</v>
      </c>
      <c r="B91" s="4"/>
      <c r="D91" s="175">
        <f t="shared" ref="D91:T91" si="56">SUM(D$245,D$248)</f>
        <v>0</v>
      </c>
      <c r="E91" s="175">
        <f t="shared" si="56"/>
        <v>0</v>
      </c>
      <c r="F91" s="176">
        <f t="shared" si="56"/>
        <v>-1.5249999999999999</v>
      </c>
      <c r="G91" s="176">
        <f t="shared" si="56"/>
        <v>1.4460000000000002</v>
      </c>
      <c r="H91" s="176">
        <f t="shared" si="56"/>
        <v>4.4509999999999996</v>
      </c>
      <c r="I91" s="176">
        <f t="shared" si="56"/>
        <v>7.1840000000000002</v>
      </c>
      <c r="J91" s="176">
        <f t="shared" si="56"/>
        <v>9.8580000000000005</v>
      </c>
      <c r="K91" s="171">
        <f t="shared" ca="1" si="56"/>
        <v>10.702</v>
      </c>
      <c r="L91" s="171">
        <f t="shared" ca="1" si="56"/>
        <v>12.72772</v>
      </c>
      <c r="M91" s="171">
        <f t="shared" ca="1" si="56"/>
        <v>14.793954400000001</v>
      </c>
      <c r="N91" s="171">
        <f t="shared" ca="1" si="56"/>
        <v>16.901513487999999</v>
      </c>
      <c r="O91" s="171">
        <f t="shared" ca="1" si="56"/>
        <v>19.051223757759999</v>
      </c>
      <c r="P91" s="171">
        <f t="shared" ca="1" si="56"/>
        <v>21.243928232915202</v>
      </c>
      <c r="Q91" s="171">
        <f t="shared" ca="1" si="56"/>
        <v>23.480486797573505</v>
      </c>
      <c r="R91" s="171">
        <f t="shared" ca="1" si="56"/>
        <v>25.761776533524976</v>
      </c>
      <c r="S91" s="171">
        <f t="shared" ca="1" si="56"/>
        <v>28.088692064195477</v>
      </c>
      <c r="T91" s="171">
        <f t="shared" ca="1" si="56"/>
        <v>30.462145905479389</v>
      </c>
    </row>
    <row r="92" spans="1:20" ht="15">
      <c r="A92" s="168" t="s">
        <v>594</v>
      </c>
      <c r="D92" s="138">
        <f t="shared" ref="D92:T92" si="57">SUM(D$88:D$91)</f>
        <v>104.086</v>
      </c>
      <c r="E92" s="138">
        <f t="shared" si="57"/>
        <v>123.986</v>
      </c>
      <c r="F92" s="137">
        <f t="shared" si="57"/>
        <v>126.88999999999999</v>
      </c>
      <c r="G92" s="137">
        <f t="shared" si="57"/>
        <v>132.92099999999999</v>
      </c>
      <c r="H92" s="137">
        <f t="shared" si="57"/>
        <v>133.20899999999997</v>
      </c>
      <c r="I92" s="137">
        <f t="shared" si="57"/>
        <v>136.059</v>
      </c>
      <c r="J92" s="137">
        <f t="shared" si="57"/>
        <v>140.328</v>
      </c>
      <c r="K92" s="140">
        <f t="shared" ca="1" si="57"/>
        <v>143.86981782814615</v>
      </c>
      <c r="L92" s="140">
        <f t="shared" ca="1" si="57"/>
        <v>149.68946188330045</v>
      </c>
      <c r="M92" s="140">
        <f t="shared" ca="1" si="57"/>
        <v>155.94807251595537</v>
      </c>
      <c r="N92" s="140">
        <f t="shared" ca="1" si="57"/>
        <v>162.52692835390206</v>
      </c>
      <c r="O92" s="140">
        <f t="shared" ca="1" si="57"/>
        <v>168.80827524881934</v>
      </c>
      <c r="P92" s="140">
        <f t="shared" ca="1" si="57"/>
        <v>175.64774638006506</v>
      </c>
      <c r="Q92" s="140">
        <f t="shared" ca="1" si="57"/>
        <v>182.65704063441893</v>
      </c>
      <c r="R92" s="140">
        <f t="shared" ca="1" si="57"/>
        <v>189.87839895815134</v>
      </c>
      <c r="S92" s="140">
        <f t="shared" ca="1" si="57"/>
        <v>197.28631546302458</v>
      </c>
      <c r="T92" s="140">
        <f t="shared" ca="1" si="57"/>
        <v>204.85397891171252</v>
      </c>
    </row>
    <row r="93" spans="1:20" ht="15">
      <c r="A93" s="168" t="s">
        <v>313</v>
      </c>
      <c r="D93" s="35">
        <f t="shared" ref="D93:T93" si="58">SUM(D$87,-D$92)</f>
        <v>10.972999999999999</v>
      </c>
      <c r="E93" s="35">
        <f t="shared" si="58"/>
        <v>-10.396000000000001</v>
      </c>
      <c r="F93" s="139">
        <f t="shared" ca="1" si="58"/>
        <v>-7.742999999999995</v>
      </c>
      <c r="G93" s="139">
        <f t="shared" ca="1" si="58"/>
        <v>-10.341999999999999</v>
      </c>
      <c r="H93" s="139">
        <f t="shared" ca="1" si="58"/>
        <v>-1.914999999999992</v>
      </c>
      <c r="I93" s="139">
        <f t="shared" ca="1" si="58"/>
        <v>2.5190000000000055</v>
      </c>
      <c r="J93" s="139">
        <f t="shared" ca="1" si="58"/>
        <v>5.2740000000000009</v>
      </c>
      <c r="K93" s="136">
        <f t="shared" ca="1" si="58"/>
        <v>9.167757011631835</v>
      </c>
      <c r="L93" s="136">
        <f t="shared" ca="1" si="58"/>
        <v>10.295615478785464</v>
      </c>
      <c r="M93" s="136">
        <f t="shared" ca="1" si="58"/>
        <v>10.910477233111806</v>
      </c>
      <c r="N93" s="136">
        <f t="shared" ca="1" si="58"/>
        <v>11.647054280117231</v>
      </c>
      <c r="O93" s="136">
        <f t="shared" ca="1" si="58"/>
        <v>12.662374165730171</v>
      </c>
      <c r="P93" s="136">
        <f t="shared" ca="1" si="58"/>
        <v>13.24995139863978</v>
      </c>
      <c r="Q93" s="136">
        <f t="shared" ca="1" si="58"/>
        <v>13.821590896397055</v>
      </c>
      <c r="R93" s="136">
        <f t="shared" ca="1" si="58"/>
        <v>14.335663250609343</v>
      </c>
      <c r="S93" s="136">
        <f t="shared" ca="1" si="58"/>
        <v>14.804243419719143</v>
      </c>
      <c r="T93" s="136">
        <f t="shared" ca="1" si="58"/>
        <v>15.339650146163308</v>
      </c>
    </row>
    <row r="94" spans="1:20">
      <c r="A94" s="167" t="s">
        <v>600</v>
      </c>
      <c r="B94" s="4" t="str">
        <f>$B$39</f>
        <v>From Fiscal Forecasts</v>
      </c>
      <c r="D94" s="175">
        <f>-'Fiscal Forecasts'!D$82</f>
        <v>8.4640000000000004</v>
      </c>
      <c r="E94" s="175">
        <f>-'Fiscal Forecasts'!E$82</f>
        <v>9.0709999999999997</v>
      </c>
      <c r="F94" s="176">
        <f>-'Fiscal Forecasts'!F$82</f>
        <v>11.311999999999999</v>
      </c>
      <c r="G94" s="176">
        <f>-'Fiscal Forecasts'!G$82</f>
        <v>16.039000000000001</v>
      </c>
      <c r="H94" s="176">
        <f>-'Fiscal Forecasts'!H$82</f>
        <v>13.211</v>
      </c>
      <c r="I94" s="176">
        <f>-'Fiscal Forecasts'!I$82</f>
        <v>11.756</v>
      </c>
      <c r="J94" s="176">
        <f>-'Fiscal Forecasts'!J$82</f>
        <v>10.333</v>
      </c>
      <c r="K94" s="171">
        <f t="shared" ref="K94:T94" ca="1" si="59">SUM(K$421-J$421,K$215,K$41)</f>
        <v>12.980772512635033</v>
      </c>
      <c r="L94" s="171">
        <f t="shared" ca="1" si="59"/>
        <v>12.844511036604006</v>
      </c>
      <c r="M94" s="171">
        <f t="shared" ca="1" si="59"/>
        <v>12.712503338890729</v>
      </c>
      <c r="N94" s="171">
        <f t="shared" ca="1" si="59"/>
        <v>12.600586569878667</v>
      </c>
      <c r="O94" s="171">
        <f t="shared" ca="1" si="59"/>
        <v>12.498419307713046</v>
      </c>
      <c r="P94" s="171">
        <f t="shared" ca="1" si="59"/>
        <v>12.405709253458758</v>
      </c>
      <c r="Q94" s="171">
        <f t="shared" ca="1" si="59"/>
        <v>12.322208945154038</v>
      </c>
      <c r="R94" s="171">
        <f t="shared" ca="1" si="59"/>
        <v>12.248502059453775</v>
      </c>
      <c r="S94" s="171">
        <f t="shared" ca="1" si="59"/>
        <v>12.184431635595262</v>
      </c>
      <c r="T94" s="171">
        <f t="shared" ca="1" si="59"/>
        <v>12.125735611803782</v>
      </c>
    </row>
    <row r="95" spans="1:20">
      <c r="A95" s="167" t="s">
        <v>601</v>
      </c>
      <c r="B95" s="4" t="str">
        <f>$B$39</f>
        <v>From Fiscal Forecasts</v>
      </c>
      <c r="D95" s="175">
        <f>-'Fiscal Forecasts'!D$83</f>
        <v>-3.8039999999999998</v>
      </c>
      <c r="E95" s="175">
        <f>-'Fiscal Forecasts'!E$83</f>
        <v>14.148999999999999</v>
      </c>
      <c r="F95" s="176">
        <f>-'Fiscal Forecasts'!F$83</f>
        <v>-11.558999999999999</v>
      </c>
      <c r="G95" s="176">
        <f>-'Fiscal Forecasts'!G$83</f>
        <v>4.7489999999999997</v>
      </c>
      <c r="H95" s="176">
        <f>-'Fiscal Forecasts'!H$83</f>
        <v>-8.1319999999999997</v>
      </c>
      <c r="I95" s="176">
        <f>-'Fiscal Forecasts'!I$83</f>
        <v>1.079</v>
      </c>
      <c r="J95" s="176">
        <f>-'Fiscal Forecasts'!J$83</f>
        <v>1.2609999999999999</v>
      </c>
      <c r="K95" s="171">
        <f t="shared" ref="K95:T95" ca="1" si="60">SUM(K$363-J$363,K$372-J$372,K$388-J$388)-SUM(K$331,K$334,K$335,K$336)</f>
        <v>3.1780624318883879</v>
      </c>
      <c r="L95" s="171">
        <f t="shared" ca="1" si="60"/>
        <v>2.7344828352677473</v>
      </c>
      <c r="M95" s="171">
        <f t="shared" ca="1" si="60"/>
        <v>2.6863537175127457</v>
      </c>
      <c r="N95" s="171">
        <f t="shared" ca="1" si="60"/>
        <v>2.534664819263142</v>
      </c>
      <c r="O95" s="171">
        <f t="shared" ca="1" si="60"/>
        <v>2.3897355283304851</v>
      </c>
      <c r="P95" s="171">
        <f t="shared" ca="1" si="60"/>
        <v>2.2341260532854825</v>
      </c>
      <c r="Q95" s="171">
        <f t="shared" ca="1" si="60"/>
        <v>1.9278297097755139</v>
      </c>
      <c r="R95" s="171">
        <f t="shared" ca="1" si="60"/>
        <v>1.2481544874245643</v>
      </c>
      <c r="S95" s="171">
        <f t="shared" ca="1" si="60"/>
        <v>0.99990782976329484</v>
      </c>
      <c r="T95" s="171">
        <f t="shared" ca="1" si="60"/>
        <v>0.76429600655893637</v>
      </c>
    </row>
    <row r="96" spans="1:20">
      <c r="A96" s="167" t="s">
        <v>602</v>
      </c>
      <c r="B96" s="4" t="str">
        <f>$B$39</f>
        <v>From Fiscal Forecasts</v>
      </c>
      <c r="D96" s="175">
        <f>-'Fiscal Forecasts'!D$84</f>
        <v>0.79100000000000004</v>
      </c>
      <c r="E96" s="175">
        <f>-'Fiscal Forecasts'!E$84</f>
        <v>0.85499999999999998</v>
      </c>
      <c r="F96" s="176">
        <f>-'Fiscal Forecasts'!F$84</f>
        <v>0.94399999999999995</v>
      </c>
      <c r="G96" s="176">
        <f>-'Fiscal Forecasts'!G$84</f>
        <v>0.95099999999999996</v>
      </c>
      <c r="H96" s="176">
        <f>-'Fiscal Forecasts'!H$84</f>
        <v>0.76800000000000002</v>
      </c>
      <c r="I96" s="176">
        <f>-'Fiscal Forecasts'!I$84</f>
        <v>0.66</v>
      </c>
      <c r="J96" s="176">
        <f>-'Fiscal Forecasts'!J$84</f>
        <v>0.63700000000000001</v>
      </c>
      <c r="K96" s="171">
        <f t="shared" ref="K96:T96" ca="1" si="61">SUM(K$436-J$436,K$219)</f>
        <v>1.2324841831850573</v>
      </c>
      <c r="L96" s="171">
        <f t="shared" ca="1" si="61"/>
        <v>1.2774523726123015</v>
      </c>
      <c r="M96" s="171">
        <f t="shared" ca="1" si="61"/>
        <v>1.3184012300181063</v>
      </c>
      <c r="N96" s="171">
        <f t="shared" ca="1" si="61"/>
        <v>1.3613511158407228</v>
      </c>
      <c r="O96" s="171">
        <f t="shared" ca="1" si="61"/>
        <v>1.3922642471967031</v>
      </c>
      <c r="P96" s="171">
        <f t="shared" ca="1" si="61"/>
        <v>1.4151855868880294</v>
      </c>
      <c r="Q96" s="171">
        <f t="shared" ca="1" si="61"/>
        <v>1.4665921568657179</v>
      </c>
      <c r="R96" s="171">
        <f t="shared" ca="1" si="61"/>
        <v>1.5181966067163448</v>
      </c>
      <c r="S96" s="171">
        <f t="shared" ca="1" si="61"/>
        <v>1.5703934681751168</v>
      </c>
      <c r="T96" s="171">
        <f t="shared" ca="1" si="61"/>
        <v>1.6272433866270333</v>
      </c>
    </row>
    <row r="97" spans="1:20">
      <c r="A97" s="167" t="s">
        <v>603</v>
      </c>
      <c r="B97" s="4" t="str">
        <f>$B$39</f>
        <v>From Fiscal Forecasts</v>
      </c>
      <c r="D97" s="175">
        <f>-'Fiscal Forecasts'!D$85</f>
        <v>1.9019999999999999</v>
      </c>
      <c r="E97" s="175">
        <f>-'Fiscal Forecasts'!E$85</f>
        <v>1.29</v>
      </c>
      <c r="F97" s="176">
        <f>-'Fiscal Forecasts'!F$85</f>
        <v>6.87</v>
      </c>
      <c r="G97" s="176">
        <f>-'Fiscal Forecasts'!G$85</f>
        <v>16.195</v>
      </c>
      <c r="H97" s="176">
        <f>-'Fiscal Forecasts'!H$85</f>
        <v>11.561</v>
      </c>
      <c r="I97" s="176">
        <f>-'Fiscal Forecasts'!I$85</f>
        <v>-4.07</v>
      </c>
      <c r="J97" s="176">
        <f>-'Fiscal Forecasts'!J$85</f>
        <v>-10.673</v>
      </c>
      <c r="K97" s="171">
        <f t="shared" ref="K97:T97" ca="1" si="62">SUM(K$398-J$398,-K$151,K$263)</f>
        <v>-8.8593648343284563</v>
      </c>
      <c r="L97" s="171">
        <f t="shared" ca="1" si="62"/>
        <v>1.9583158618833993</v>
      </c>
      <c r="M97" s="171">
        <f t="shared" ca="1" si="62"/>
        <v>1.9530877427853377</v>
      </c>
      <c r="N97" s="171">
        <f t="shared" ca="1" si="62"/>
        <v>1.9840651642110498</v>
      </c>
      <c r="O97" s="171">
        <f t="shared" ca="1" si="62"/>
        <v>1.9722622828404623</v>
      </c>
      <c r="P97" s="171">
        <f t="shared" ca="1" si="62"/>
        <v>1.9445445945666819</v>
      </c>
      <c r="Q97" s="171">
        <f t="shared" ca="1" si="62"/>
        <v>2.113856489592159</v>
      </c>
      <c r="R97" s="171">
        <f t="shared" ca="1" si="62"/>
        <v>2.6306411086643942</v>
      </c>
      <c r="S97" s="171">
        <f t="shared" ca="1" si="62"/>
        <v>2.6848666315306597</v>
      </c>
      <c r="T97" s="171">
        <f t="shared" ca="1" si="62"/>
        <v>2.7608353802073555</v>
      </c>
    </row>
    <row r="98" spans="1:20">
      <c r="A98" s="167" t="s">
        <v>604</v>
      </c>
      <c r="B98" s="4" t="str">
        <f>$B$39</f>
        <v>From Fiscal Forecasts</v>
      </c>
      <c r="D98" s="175">
        <f>-'Fiscal Forecasts'!D$86</f>
        <v>-0.13600000000000001</v>
      </c>
      <c r="E98" s="175">
        <f>-'Fiscal Forecasts'!E$86</f>
        <v>0.28599999999999998</v>
      </c>
      <c r="F98" s="176">
        <f>-'Fiscal Forecasts'!F$86</f>
        <v>0.40100000000000002</v>
      </c>
      <c r="G98" s="176">
        <f>-'Fiscal Forecasts'!G$86</f>
        <v>0.67400000000000004</v>
      </c>
      <c r="H98" s="176">
        <f>-'Fiscal Forecasts'!H$86</f>
        <v>0.45</v>
      </c>
      <c r="I98" s="176">
        <f>-'Fiscal Forecasts'!I$86</f>
        <v>0.192</v>
      </c>
      <c r="J98" s="176">
        <f>-'Fiscal Forecasts'!J$86</f>
        <v>0.1</v>
      </c>
      <c r="K98" s="171">
        <f t="shared" ref="K98:T98" ca="1" si="63">SUM(K$430-J$430,-K$341)</f>
        <v>0.84616051979607831</v>
      </c>
      <c r="L98" s="171">
        <f t="shared" ca="1" si="63"/>
        <v>0.81620048150529789</v>
      </c>
      <c r="M98" s="171">
        <f t="shared" ca="1" si="63"/>
        <v>0.78903114591883916</v>
      </c>
      <c r="N98" s="171">
        <f t="shared" ca="1" si="63"/>
        <v>0.78270555283044396</v>
      </c>
      <c r="O98" s="171">
        <f t="shared" ca="1" si="63"/>
        <v>0.75298926666339272</v>
      </c>
      <c r="P98" s="171">
        <f t="shared" ca="1" si="63"/>
        <v>0.71723343289640606</v>
      </c>
      <c r="Q98" s="171">
        <f t="shared" ca="1" si="63"/>
        <v>0.73039998906496262</v>
      </c>
      <c r="R98" s="171">
        <f t="shared" ca="1" si="63"/>
        <v>0.7413033198841783</v>
      </c>
      <c r="S98" s="171">
        <f t="shared" ca="1" si="63"/>
        <v>0.75148657054649415</v>
      </c>
      <c r="T98" s="171">
        <f t="shared" ca="1" si="63"/>
        <v>0.77303268039408468</v>
      </c>
    </row>
    <row r="99" spans="1:20">
      <c r="A99" s="167" t="s">
        <v>590</v>
      </c>
      <c r="B99" s="4"/>
      <c r="D99" s="175">
        <f>SUM(D$442-C$442,D$443-C$443)</f>
        <v>0</v>
      </c>
      <c r="E99" s="175">
        <f t="shared" ref="E99:T99" si="64">SUM(E$442-D$442,E$443-D$443)</f>
        <v>0</v>
      </c>
      <c r="F99" s="176">
        <f t="shared" si="64"/>
        <v>-0.8</v>
      </c>
      <c r="G99" s="176">
        <f t="shared" si="64"/>
        <v>-0.3919999999999999</v>
      </c>
      <c r="H99" s="176">
        <f t="shared" si="64"/>
        <v>1.4950000000000001</v>
      </c>
      <c r="I99" s="176">
        <f t="shared" si="64"/>
        <v>2.3530000000000006</v>
      </c>
      <c r="J99" s="176">
        <f t="shared" si="64"/>
        <v>2.8100000000000005</v>
      </c>
      <c r="K99" s="171">
        <f t="shared" ca="1" si="64"/>
        <v>4.4014999999999969</v>
      </c>
      <c r="L99" s="171">
        <f t="shared" ca="1" si="64"/>
        <v>3.947910000000002</v>
      </c>
      <c r="M99" s="171">
        <f t="shared" ca="1" si="64"/>
        <v>4.0268682</v>
      </c>
      <c r="N99" s="171">
        <f t="shared" ca="1" si="64"/>
        <v>4.1074055639999987</v>
      </c>
      <c r="O99" s="171">
        <f t="shared" ca="1" si="64"/>
        <v>4.1895536752800027</v>
      </c>
      <c r="P99" s="171">
        <f t="shared" ca="1" si="64"/>
        <v>4.2733447487856013</v>
      </c>
      <c r="Q99" s="171">
        <f t="shared" ca="1" si="64"/>
        <v>4.3588116437613129</v>
      </c>
      <c r="R99" s="171">
        <f t="shared" ca="1" si="64"/>
        <v>4.445987876636539</v>
      </c>
      <c r="S99" s="171">
        <f t="shared" ca="1" si="64"/>
        <v>4.5349076341692713</v>
      </c>
      <c r="T99" s="171">
        <f t="shared" ca="1" si="64"/>
        <v>4.6256057868526543</v>
      </c>
    </row>
    <row r="100" spans="1:20" ht="15">
      <c r="A100" s="168" t="s">
        <v>595</v>
      </c>
      <c r="D100" s="138">
        <f t="shared" ref="D100:T100" si="65">-SUM(D$94:D$99)</f>
        <v>-7.2170000000000005</v>
      </c>
      <c r="E100" s="138">
        <f t="shared" si="65"/>
        <v>-25.651</v>
      </c>
      <c r="F100" s="137">
        <f t="shared" si="65"/>
        <v>-7.1680000000000001</v>
      </c>
      <c r="G100" s="137">
        <f t="shared" si="65"/>
        <v>-38.215999999999994</v>
      </c>
      <c r="H100" s="137">
        <f t="shared" si="65"/>
        <v>-19.353000000000002</v>
      </c>
      <c r="I100" s="137">
        <f t="shared" si="65"/>
        <v>-11.970000000000002</v>
      </c>
      <c r="J100" s="137">
        <f t="shared" si="65"/>
        <v>-4.468</v>
      </c>
      <c r="K100" s="140">
        <f t="shared" ca="1" si="65"/>
        <v>-13.779614813176096</v>
      </c>
      <c r="L100" s="140">
        <f t="shared" ca="1" si="65"/>
        <v>-23.578872587872752</v>
      </c>
      <c r="M100" s="140">
        <f t="shared" ca="1" si="65"/>
        <v>-23.486245375125758</v>
      </c>
      <c r="N100" s="140">
        <f t="shared" ca="1" si="65"/>
        <v>-23.370778786024026</v>
      </c>
      <c r="O100" s="140">
        <f t="shared" ca="1" si="65"/>
        <v>-23.195224308024088</v>
      </c>
      <c r="P100" s="140">
        <f t="shared" ca="1" si="65"/>
        <v>-22.990143669880961</v>
      </c>
      <c r="Q100" s="140">
        <f t="shared" ca="1" si="65"/>
        <v>-22.919698934213706</v>
      </c>
      <c r="R100" s="140">
        <f t="shared" ca="1" si="65"/>
        <v>-22.832785458779796</v>
      </c>
      <c r="S100" s="140">
        <f t="shared" ca="1" si="65"/>
        <v>-22.7259937697801</v>
      </c>
      <c r="T100" s="140">
        <f t="shared" ca="1" si="65"/>
        <v>-22.676748852443843</v>
      </c>
    </row>
    <row r="101" spans="1:20">
      <c r="A101" s="167" t="s">
        <v>175</v>
      </c>
      <c r="B101" s="4" t="str">
        <f>$B$39</f>
        <v>From Fiscal Forecasts</v>
      </c>
      <c r="D101" s="175">
        <f>'Fiscal Forecasts'!D$89</f>
        <v>0.437</v>
      </c>
      <c r="E101" s="175">
        <f>'Fiscal Forecasts'!E$89</f>
        <v>1.2090000000000001</v>
      </c>
      <c r="F101" s="176">
        <f>'Fiscal Forecasts'!F$89</f>
        <v>0.39700000000000002</v>
      </c>
      <c r="G101" s="176">
        <f>'Fiscal Forecasts'!G$89</f>
        <v>8.4000000000000005E-2</v>
      </c>
      <c r="H101" s="176">
        <f>'Fiscal Forecasts'!H$89</f>
        <v>8.5000000000000006E-2</v>
      </c>
      <c r="I101" s="176">
        <f>'Fiscal Forecasts'!I$89</f>
        <v>8.5999999999999993E-2</v>
      </c>
      <c r="J101" s="176">
        <f>'Fiscal Forecasts'!J$89</f>
        <v>8.6999999999999994E-2</v>
      </c>
      <c r="K101" s="171">
        <f t="shared" ref="K101:T101" ca="1" si="66">K$446-J$446</f>
        <v>0.53038776082030736</v>
      </c>
      <c r="L101" s="171">
        <f t="shared" ca="1" si="66"/>
        <v>0.51303615899590937</v>
      </c>
      <c r="M101" s="171">
        <f t="shared" ca="1" si="66"/>
        <v>0.4968179046502037</v>
      </c>
      <c r="N101" s="171">
        <f t="shared" ca="1" si="66"/>
        <v>0.49196157767946858</v>
      </c>
      <c r="O101" s="171">
        <f t="shared" ca="1" si="66"/>
        <v>0.47354997742143112</v>
      </c>
      <c r="P101" s="171">
        <f t="shared" ca="1" si="66"/>
        <v>0.4513023581001363</v>
      </c>
      <c r="Q101" s="171">
        <f t="shared" ca="1" si="66"/>
        <v>0.4605876645433451</v>
      </c>
      <c r="R101" s="171">
        <f t="shared" ca="1" si="66"/>
        <v>0.468632395887699</v>
      </c>
      <c r="S101" s="171">
        <f t="shared" ca="1" si="66"/>
        <v>0.47630325284954544</v>
      </c>
      <c r="T101" s="171">
        <f t="shared" ca="1" si="66"/>
        <v>0.49042479073956891</v>
      </c>
    </row>
    <row r="102" spans="1:20">
      <c r="A102" s="167" t="s">
        <v>315</v>
      </c>
      <c r="B102" s="4" t="str">
        <f>$B$39</f>
        <v>From Fiscal Forecasts</v>
      </c>
      <c r="D102" s="175">
        <f>SUM('Fiscal Forecasts'!D$90:D$92)</f>
        <v>-2.5789999999999997</v>
      </c>
      <c r="E102" s="175">
        <f>SUM('Fiscal Forecasts'!E$90:E$92)</f>
        <v>36.155999999999999</v>
      </c>
      <c r="F102" s="176">
        <f>SUM('Fiscal Forecasts'!F$90:F$92) +IF($C$2="Yes",'Fiscal Forecast Adjuster'!C$37/1000,0)</f>
        <v>8.8780000000000001</v>
      </c>
      <c r="G102" s="176">
        <f>SUM('Fiscal Forecasts'!G$90:G$92) +IF($C$2="Yes",'Fiscal Forecast Adjuster'!D$37/1000,0)</f>
        <v>46.211999999999996</v>
      </c>
      <c r="H102" s="176">
        <f>SUM('Fiscal Forecasts'!H$90:H$92) +IF($C$2="Yes",'Fiscal Forecast Adjuster'!E$37/1000,0)</f>
        <v>20.794</v>
      </c>
      <c r="I102" s="176">
        <f>SUM('Fiscal Forecasts'!I$90:I$92) +IF($C$2="Yes",'Fiscal Forecast Adjuster'!F$37/1000,0)</f>
        <v>8.8020000000000032</v>
      </c>
      <c r="J102" s="176">
        <f>SUM('Fiscal Forecasts'!J$90:J$92) +IF($C$2="Yes",'Fiscal Forecast Adjuster'!G$37/1000,0)</f>
        <v>-0.92899999999999849</v>
      </c>
      <c r="K102" s="171">
        <f t="shared" ref="K102:T102" ca="1" si="67">SUM(K$347-J$347,K$103)-SUM(K$93,K$100,K$101)</f>
        <v>5.4038280025816992</v>
      </c>
      <c r="L102" s="171">
        <f t="shared" ca="1" si="67"/>
        <v>14.067751573380338</v>
      </c>
      <c r="M102" s="171">
        <f t="shared" ca="1" si="67"/>
        <v>13.353910040245117</v>
      </c>
      <c r="N102" s="171">
        <f t="shared" ca="1" si="67"/>
        <v>12.481447654818709</v>
      </c>
      <c r="O102" s="171">
        <f t="shared" ca="1" si="67"/>
        <v>11.264061689900595</v>
      </c>
      <c r="P102" s="171">
        <f t="shared" ca="1" si="67"/>
        <v>10.438165274829515</v>
      </c>
      <c r="Q102" s="171">
        <f t="shared" ca="1" si="67"/>
        <v>9.821272890927764</v>
      </c>
      <c r="R102" s="171">
        <f t="shared" ca="1" si="67"/>
        <v>9.2450441100527154</v>
      </c>
      <c r="S102" s="171">
        <f t="shared" ca="1" si="67"/>
        <v>8.6940014136466459</v>
      </c>
      <c r="T102" s="171">
        <f t="shared" ca="1" si="67"/>
        <v>8.1353163713502052</v>
      </c>
    </row>
    <row r="103" spans="1:20">
      <c r="A103" s="167" t="s">
        <v>942</v>
      </c>
      <c r="B103" s="4" t="str">
        <f>$B$39</f>
        <v>From Fiscal Forecasts</v>
      </c>
      <c r="D103" s="175">
        <f>-'Fiscal Forecasts'!D$93</f>
        <v>0.504</v>
      </c>
      <c r="E103" s="175">
        <f>-'Fiscal Forecasts'!E$93</f>
        <v>0.47899999999999998</v>
      </c>
      <c r="F103" s="176">
        <f>-'Fiscal Forecasts'!F$93</f>
        <v>0.23899999999999999</v>
      </c>
      <c r="G103" s="176">
        <f>-'Fiscal Forecasts'!G$93</f>
        <v>0.26700000000000002</v>
      </c>
      <c r="H103" s="176">
        <f>-'Fiscal Forecasts'!H$93</f>
        <v>0.20599999999999999</v>
      </c>
      <c r="I103" s="176">
        <f>-'Fiscal Forecasts'!I$93</f>
        <v>0.214</v>
      </c>
      <c r="J103" s="176">
        <f>-'Fiscal Forecasts'!J$93</f>
        <v>0.223</v>
      </c>
      <c r="K103" s="171">
        <f ca="1">K$39-K$41</f>
        <v>0.36443429299015356</v>
      </c>
      <c r="L103" s="171">
        <f t="shared" ref="L103:T103" ca="1" si="68">L$39-L$41</f>
        <v>0.38399243662893201</v>
      </c>
      <c r="M103" s="171">
        <f t="shared" ca="1" si="68"/>
        <v>0.403014694801761</v>
      </c>
      <c r="N103" s="171">
        <f t="shared" ca="1" si="68"/>
        <v>0.42196176432575289</v>
      </c>
      <c r="O103" s="171">
        <f t="shared" ca="1" si="68"/>
        <v>0.44032010294890778</v>
      </c>
      <c r="P103" s="171">
        <f t="shared" ca="1" si="68"/>
        <v>0.45795761520156064</v>
      </c>
      <c r="Q103" s="171">
        <f t="shared" ca="1" si="68"/>
        <v>0.47595800990590548</v>
      </c>
      <c r="R103" s="171">
        <f t="shared" ca="1" si="68"/>
        <v>0.49427280369350041</v>
      </c>
      <c r="S103" s="171">
        <f t="shared" ca="1" si="68"/>
        <v>0.51288738504308051</v>
      </c>
      <c r="T103" s="171">
        <f t="shared" ca="1" si="68"/>
        <v>0.53205385537150396</v>
      </c>
    </row>
    <row r="104" spans="1:20" ht="15">
      <c r="A104" s="168" t="s">
        <v>317</v>
      </c>
      <c r="D104" s="138">
        <f t="shared" ref="D104:T104" si="69">SUM(D$101,D$102,-D$103)</f>
        <v>-2.6459999999999999</v>
      </c>
      <c r="E104" s="138">
        <f t="shared" si="69"/>
        <v>36.886000000000003</v>
      </c>
      <c r="F104" s="137">
        <f t="shared" si="69"/>
        <v>9.0359999999999996</v>
      </c>
      <c r="G104" s="137">
        <f t="shared" si="69"/>
        <v>46.028999999999996</v>
      </c>
      <c r="H104" s="137">
        <f t="shared" si="69"/>
        <v>20.673000000000002</v>
      </c>
      <c r="I104" s="137">
        <f t="shared" si="69"/>
        <v>8.674000000000003</v>
      </c>
      <c r="J104" s="137">
        <f t="shared" si="69"/>
        <v>-1.0649999999999986</v>
      </c>
      <c r="K104" s="140">
        <f t="shared" ca="1" si="69"/>
        <v>5.5697814704118533</v>
      </c>
      <c r="L104" s="140">
        <f t="shared" ca="1" si="69"/>
        <v>14.196795295747316</v>
      </c>
      <c r="M104" s="140">
        <f t="shared" ca="1" si="69"/>
        <v>13.447713250093559</v>
      </c>
      <c r="N104" s="140">
        <f t="shared" ca="1" si="69"/>
        <v>12.551447468172425</v>
      </c>
      <c r="O104" s="140">
        <f t="shared" ca="1" si="69"/>
        <v>11.297291564373118</v>
      </c>
      <c r="P104" s="140">
        <f t="shared" ca="1" si="69"/>
        <v>10.43151001772809</v>
      </c>
      <c r="Q104" s="140">
        <f t="shared" ca="1" si="69"/>
        <v>9.8059025455652034</v>
      </c>
      <c r="R104" s="140">
        <f t="shared" ca="1" si="69"/>
        <v>9.2194037022469146</v>
      </c>
      <c r="S104" s="140">
        <f t="shared" ca="1" si="69"/>
        <v>8.6574172814531103</v>
      </c>
      <c r="T104" s="140">
        <f t="shared" ca="1" si="69"/>
        <v>8.0936873067182695</v>
      </c>
    </row>
    <row r="105" spans="1:20" ht="15">
      <c r="A105" s="168" t="s">
        <v>181</v>
      </c>
      <c r="D105" s="35">
        <f t="shared" ref="D105:T105" si="70">SUM(D$93,D$100,D$104)</f>
        <v>1.1099999999999985</v>
      </c>
      <c r="E105" s="35">
        <f t="shared" si="70"/>
        <v>0.83900000000000574</v>
      </c>
      <c r="F105" s="139">
        <f t="shared" ca="1" si="70"/>
        <v>-5.8749999999999947</v>
      </c>
      <c r="G105" s="139">
        <f t="shared" ca="1" si="70"/>
        <v>-2.5289999999999964</v>
      </c>
      <c r="H105" s="139">
        <f t="shared" ca="1" si="70"/>
        <v>-0.59499999999999176</v>
      </c>
      <c r="I105" s="139">
        <f t="shared" ca="1" si="70"/>
        <v>-0.77699999999999392</v>
      </c>
      <c r="J105" s="139">
        <f t="shared" ca="1" si="70"/>
        <v>-0.25899999999999768</v>
      </c>
      <c r="K105" s="136">
        <f t="shared" ca="1" si="70"/>
        <v>0.9579236688675925</v>
      </c>
      <c r="L105" s="136">
        <f t="shared" ca="1" si="70"/>
        <v>0.91353818666002873</v>
      </c>
      <c r="M105" s="136">
        <f t="shared" ca="1" si="70"/>
        <v>0.8719451080796059</v>
      </c>
      <c r="N105" s="136">
        <f t="shared" ca="1" si="70"/>
        <v>0.82772296226563036</v>
      </c>
      <c r="O105" s="136">
        <f t="shared" ca="1" si="70"/>
        <v>0.76444142207920152</v>
      </c>
      <c r="P105" s="136">
        <f t="shared" ca="1" si="70"/>
        <v>0.69131774648690936</v>
      </c>
      <c r="Q105" s="136">
        <f t="shared" ca="1" si="70"/>
        <v>0.70779450774855235</v>
      </c>
      <c r="R105" s="136">
        <f t="shared" ca="1" si="70"/>
        <v>0.72228149407646214</v>
      </c>
      <c r="S105" s="136">
        <f t="shared" ca="1" si="70"/>
        <v>0.73566693139215289</v>
      </c>
      <c r="T105" s="136">
        <f t="shared" ca="1" si="70"/>
        <v>0.75658860043773402</v>
      </c>
    </row>
    <row r="106" spans="1:20">
      <c r="A106" s="18" t="s">
        <v>316</v>
      </c>
    </row>
    <row r="107" spans="1:20" ht="15">
      <c r="A107" s="168" t="s">
        <v>1237</v>
      </c>
      <c r="D107" s="138">
        <f t="shared" ref="D107:T107" si="71">SUM(D$337,D$341,-D$39)</f>
        <v>-7.3769999999999989</v>
      </c>
      <c r="E107" s="138">
        <f t="shared" si="71"/>
        <v>-7.1269999999999998</v>
      </c>
      <c r="F107" s="137">
        <f t="shared" si="71"/>
        <v>16.288999999999998</v>
      </c>
      <c r="G107" s="137">
        <f t="shared" si="71"/>
        <v>2.4830000000000001</v>
      </c>
      <c r="H107" s="137">
        <f t="shared" si="71"/>
        <v>3.8889999999999998</v>
      </c>
      <c r="I107" s="137">
        <f t="shared" si="71"/>
        <v>4.4359999999999999</v>
      </c>
      <c r="J107" s="137">
        <f t="shared" si="71"/>
        <v>5.0440000000000005</v>
      </c>
      <c r="K107" s="140">
        <f t="shared" ca="1" si="71"/>
        <v>5.3830982505992582</v>
      </c>
      <c r="L107" s="140">
        <f t="shared" ca="1" si="71"/>
        <v>5.8136902940747843</v>
      </c>
      <c r="M107" s="140">
        <f t="shared" ca="1" si="71"/>
        <v>6.2546453015990959</v>
      </c>
      <c r="N107" s="140">
        <f t="shared" ca="1" si="71"/>
        <v>6.7049101763693821</v>
      </c>
      <c r="O107" s="140">
        <f t="shared" ca="1" si="71"/>
        <v>7.1660931731236888</v>
      </c>
      <c r="P107" s="140">
        <f t="shared" ca="1" si="71"/>
        <v>7.6352708031985719</v>
      </c>
      <c r="Q107" s="140">
        <f t="shared" ca="1" si="71"/>
        <v>8.1172327090921605</v>
      </c>
      <c r="R107" s="140">
        <f t="shared" ca="1" si="71"/>
        <v>8.6233700507542324</v>
      </c>
      <c r="S107" s="140">
        <f t="shared" ca="1" si="71"/>
        <v>9.147478835888549</v>
      </c>
      <c r="T107" s="140">
        <f t="shared" ca="1" si="71"/>
        <v>9.6758804891105239</v>
      </c>
    </row>
    <row r="108" spans="1:20">
      <c r="A108" s="167" t="s">
        <v>989</v>
      </c>
      <c r="D108" s="53">
        <f t="shared" ref="D108:T108" si="72">D$215</f>
        <v>4.5540000000000003</v>
      </c>
      <c r="E108" s="53">
        <f t="shared" si="72"/>
        <v>5.2940000000000005</v>
      </c>
      <c r="F108" s="143">
        <f t="shared" si="72"/>
        <v>5.6340000000000003</v>
      </c>
      <c r="G108" s="143">
        <f t="shared" si="72"/>
        <v>5.7560000000000002</v>
      </c>
      <c r="H108" s="143">
        <f t="shared" si="72"/>
        <v>5.9440000000000008</v>
      </c>
      <c r="I108" s="143">
        <f t="shared" si="72"/>
        <v>6.1120000000000001</v>
      </c>
      <c r="J108" s="143">
        <f t="shared" si="72"/>
        <v>6.2799999999999994</v>
      </c>
      <c r="K108" s="144">
        <f t="shared" ca="1" si="72"/>
        <v>6.6638399999999987</v>
      </c>
      <c r="L108" s="144">
        <f t="shared" ca="1" si="72"/>
        <v>6.9851028379599853</v>
      </c>
      <c r="M108" s="144">
        <f t="shared" ca="1" si="72"/>
        <v>7.27901667565681</v>
      </c>
      <c r="N108" s="144">
        <f t="shared" ca="1" si="72"/>
        <v>7.5625064690829031</v>
      </c>
      <c r="O108" s="144">
        <f t="shared" ca="1" si="72"/>
        <v>7.8365351022074368</v>
      </c>
      <c r="P108" s="144">
        <f t="shared" ca="1" si="72"/>
        <v>8.1017276861701379</v>
      </c>
      <c r="Q108" s="144">
        <f t="shared" ca="1" si="72"/>
        <v>8.358682881422153</v>
      </c>
      <c r="R108" s="144">
        <f t="shared" ca="1" si="72"/>
        <v>8.6079740877454416</v>
      </c>
      <c r="S108" s="144">
        <f t="shared" ca="1" si="72"/>
        <v>8.8501760573201445</v>
      </c>
      <c r="T108" s="144">
        <f t="shared" ca="1" si="72"/>
        <v>9.0858426281735394</v>
      </c>
    </row>
    <row r="109" spans="1:20">
      <c r="A109" s="167" t="s">
        <v>972</v>
      </c>
      <c r="B109" s="4"/>
      <c r="D109" s="53">
        <f t="shared" ref="D109:T109" si="73">D$219</f>
        <v>0.93400000000000005</v>
      </c>
      <c r="E109" s="53">
        <f t="shared" si="73"/>
        <v>2.375</v>
      </c>
      <c r="F109" s="143">
        <f t="shared" si="73"/>
        <v>0.78600000000000003</v>
      </c>
      <c r="G109" s="143">
        <f t="shared" si="73"/>
        <v>0.83099999999999996</v>
      </c>
      <c r="H109" s="143">
        <f t="shared" si="73"/>
        <v>0.88500000000000001</v>
      </c>
      <c r="I109" s="143">
        <f t="shared" si="73"/>
        <v>0.88</v>
      </c>
      <c r="J109" s="143">
        <f t="shared" si="73"/>
        <v>0.874</v>
      </c>
      <c r="K109" s="144">
        <f t="shared" ca="1" si="73"/>
        <v>0.92230475595219064</v>
      </c>
      <c r="L109" s="144">
        <f t="shared" ca="1" si="73"/>
        <v>0.98235705877497304</v>
      </c>
      <c r="M109" s="144">
        <f t="shared" ca="1" si="73"/>
        <v>1.0391791389091523</v>
      </c>
      <c r="N109" s="144">
        <f t="shared" ca="1" si="73"/>
        <v>1.0936555543829609</v>
      </c>
      <c r="O109" s="144">
        <f t="shared" ca="1" si="73"/>
        <v>1.1441476281155794</v>
      </c>
      <c r="P109" s="144">
        <f t="shared" ca="1" si="73"/>
        <v>1.1899777359725303</v>
      </c>
      <c r="Q109" s="144">
        <f t="shared" ca="1" si="73"/>
        <v>1.2367507739696399</v>
      </c>
      <c r="R109" s="144">
        <f t="shared" ca="1" si="73"/>
        <v>1.2843407607341875</v>
      </c>
      <c r="S109" s="144">
        <f t="shared" ca="1" si="73"/>
        <v>1.3327097290298682</v>
      </c>
      <c r="T109" s="144">
        <f t="shared" ca="1" si="73"/>
        <v>1.3825127505561372</v>
      </c>
    </row>
    <row r="110" spans="1:20">
      <c r="A110" s="167" t="s">
        <v>990</v>
      </c>
      <c r="B110" s="4" t="str">
        <f>$B$39</f>
        <v>From Fiscal Forecasts</v>
      </c>
      <c r="D110" s="175">
        <f>-'Fiscal Forecasts'!D$101</f>
        <v>0.76300000000000001</v>
      </c>
      <c r="E110" s="175">
        <f>-'Fiscal Forecasts'!E$101</f>
        <v>1.2789999999999999</v>
      </c>
      <c r="F110" s="143">
        <f>-'Fiscal Forecasts'!F$101</f>
        <v>0.93400000000000005</v>
      </c>
      <c r="G110" s="143">
        <f>-'Fiscal Forecasts'!G$101</f>
        <v>0.746</v>
      </c>
      <c r="H110" s="143">
        <f>-'Fiscal Forecasts'!H$101</f>
        <v>0.68700000000000006</v>
      </c>
      <c r="I110" s="143">
        <f>-'Fiscal Forecasts'!I$101</f>
        <v>0.61199999999999999</v>
      </c>
      <c r="J110" s="143">
        <f>-'Fiscal Forecasts'!J$101</f>
        <v>0.628</v>
      </c>
      <c r="K110" s="171">
        <f t="shared" ref="K110:T110" si="74">K$263</f>
        <v>0.61699999999999999</v>
      </c>
      <c r="L110" s="171">
        <f t="shared" si="74"/>
        <v>0.65100000000000002</v>
      </c>
      <c r="M110" s="171">
        <f t="shared" si="74"/>
        <v>0.68600000000000005</v>
      </c>
      <c r="N110" s="171">
        <f t="shared" si="74"/>
        <v>0.72</v>
      </c>
      <c r="O110" s="171">
        <f t="shared" si="74"/>
        <v>0.753</v>
      </c>
      <c r="P110" s="171">
        <f t="shared" si="74"/>
        <v>0.78400000000000003</v>
      </c>
      <c r="Q110" s="171">
        <f t="shared" si="74"/>
        <v>0.81299999999999994</v>
      </c>
      <c r="R110" s="171">
        <f t="shared" si="74"/>
        <v>0.84</v>
      </c>
      <c r="S110" s="171">
        <f t="shared" si="74"/>
        <v>0.86499999999999999</v>
      </c>
      <c r="T110" s="171">
        <f t="shared" si="74"/>
        <v>0.88800000000000001</v>
      </c>
    </row>
    <row r="111" spans="1:20">
      <c r="A111" s="167" t="s">
        <v>991</v>
      </c>
      <c r="B111" s="4" t="str">
        <f>$B$39</f>
        <v>From Fiscal Forecasts</v>
      </c>
      <c r="D111" s="175">
        <f>-'Fiscal Forecasts'!D$102</f>
        <v>4.1000000000000002E-2</v>
      </c>
      <c r="E111" s="175">
        <f>-'Fiscal Forecasts'!E$102</f>
        <v>5.2999999999999999E-2</v>
      </c>
      <c r="F111" s="143">
        <f>-'Fiscal Forecasts'!F$102</f>
        <v>5.0999999999999997E-2</v>
      </c>
      <c r="G111" s="143">
        <f>-'Fiscal Forecasts'!G$102</f>
        <v>0.1</v>
      </c>
      <c r="H111" s="143">
        <f>-'Fiscal Forecasts'!H$102</f>
        <v>8.5000000000000006E-2</v>
      </c>
      <c r="I111" s="143">
        <f>-'Fiscal Forecasts'!I$102</f>
        <v>6.4000000000000001E-2</v>
      </c>
      <c r="J111" s="143">
        <f>-'Fiscal Forecasts'!J$102</f>
        <v>3.7999999999999999E-2</v>
      </c>
      <c r="K111" s="171">
        <f ca="1">IF(K$6&lt;OFFSET(Assumptions!$B$8,0,$C$1),J$111,0)</f>
        <v>0</v>
      </c>
      <c r="L111" s="171">
        <f ca="1">IF(L$6&lt;OFFSET(Assumptions!$B$8,0,$C$1),K$111,0)</f>
        <v>0</v>
      </c>
      <c r="M111" s="171">
        <f ca="1">IF(M$6&lt;OFFSET(Assumptions!$B$8,0,$C$1),L$111,0)</f>
        <v>0</v>
      </c>
      <c r="N111" s="171">
        <f ca="1">IF(N$6&lt;OFFSET(Assumptions!$B$8,0,$C$1),M$111,0)</f>
        <v>0</v>
      </c>
      <c r="O111" s="171">
        <f ca="1">IF(O$6&lt;OFFSET(Assumptions!$B$8,0,$C$1),N$111,0)</f>
        <v>0</v>
      </c>
      <c r="P111" s="171">
        <f ca="1">IF(P$6&lt;OFFSET(Assumptions!$B$8,0,$C$1),O$111,0)</f>
        <v>0</v>
      </c>
      <c r="Q111" s="171">
        <f ca="1">IF(Q$6&lt;OFFSET(Assumptions!$B$8,0,$C$1),P$111,0)</f>
        <v>0</v>
      </c>
      <c r="R111" s="171">
        <f ca="1">IF(R$6&lt;OFFSET(Assumptions!$B$8,0,$C$1),Q$111,0)</f>
        <v>0</v>
      </c>
      <c r="S111" s="171">
        <f ca="1">IF(S$6&lt;OFFSET(Assumptions!$B$8,0,$C$1),R$111,0)</f>
        <v>0</v>
      </c>
      <c r="T111" s="171">
        <f ca="1">IF(T$6&lt;OFFSET(Assumptions!$B$8,0,$C$1),S$111,0)</f>
        <v>0</v>
      </c>
    </row>
    <row r="112" spans="1:20">
      <c r="A112" s="167" t="s">
        <v>606</v>
      </c>
      <c r="B112" s="4" t="str">
        <f>$B$39</f>
        <v>From Fiscal Forecasts</v>
      </c>
      <c r="D112" s="175">
        <f>-'Fiscal Forecasts'!D$103</f>
        <v>1.768</v>
      </c>
      <c r="E112" s="175">
        <f>-'Fiscal Forecasts'!E$103</f>
        <v>2.351</v>
      </c>
      <c r="F112" s="176">
        <f>-'Fiscal Forecasts'!F$103</f>
        <v>1.3080000000000001</v>
      </c>
      <c r="G112" s="176">
        <f>-'Fiscal Forecasts'!G$103</f>
        <v>1.4450000000000001</v>
      </c>
      <c r="H112" s="176">
        <f>-'Fiscal Forecasts'!H$103</f>
        <v>1.7270000000000001</v>
      </c>
      <c r="I112" s="176">
        <f>-'Fiscal Forecasts'!I$103</f>
        <v>1.931</v>
      </c>
      <c r="J112" s="176">
        <f>-'Fiscal Forecasts'!J$103</f>
        <v>2.1819999999999999</v>
      </c>
      <c r="K112" s="144">
        <f t="shared" ref="K112:T112" ca="1" si="75">K$463-J$463</f>
        <v>2.1441675150554715</v>
      </c>
      <c r="L112" s="144">
        <f t="shared" ca="1" si="75"/>
        <v>2.2611247294174319</v>
      </c>
      <c r="M112" s="144">
        <f t="shared" ca="1" si="75"/>
        <v>2.3801085276767964</v>
      </c>
      <c r="N112" s="144">
        <f t="shared" ca="1" si="75"/>
        <v>2.5066430914050244</v>
      </c>
      <c r="O112" s="144">
        <f t="shared" ca="1" si="75"/>
        <v>2.6576544014077967</v>
      </c>
      <c r="P112" s="144">
        <f t="shared" ca="1" si="75"/>
        <v>2.8089607746240404</v>
      </c>
      <c r="Q112" s="144">
        <f t="shared" ca="1" si="75"/>
        <v>2.9708326780781249</v>
      </c>
      <c r="R112" s="144">
        <f t="shared" ca="1" si="75"/>
        <v>3.1319184609580617</v>
      </c>
      <c r="S112" s="144">
        <f t="shared" ca="1" si="75"/>
        <v>3.295904321195124</v>
      </c>
      <c r="T112" s="144">
        <f t="shared" ca="1" si="75"/>
        <v>3.4715910237644749</v>
      </c>
    </row>
    <row r="113" spans="1:20">
      <c r="A113" s="167" t="s">
        <v>607</v>
      </c>
      <c r="B113" s="4" t="str">
        <f>$B$39</f>
        <v>From Fiscal Forecasts</v>
      </c>
      <c r="D113" s="175">
        <f>-'Fiscal Forecasts'!D$104</f>
        <v>-2.5139999999999998</v>
      </c>
      <c r="E113" s="175">
        <f>-'Fiscal Forecasts'!E$104</f>
        <v>0.35100000000000003</v>
      </c>
      <c r="F113" s="176">
        <f>-'Fiscal Forecasts'!F$104</f>
        <v>0</v>
      </c>
      <c r="G113" s="176">
        <f>-'Fiscal Forecasts'!G$104</f>
        <v>0</v>
      </c>
      <c r="H113" s="176">
        <f>-'Fiscal Forecasts'!H$104</f>
        <v>0</v>
      </c>
      <c r="I113" s="176">
        <f>-'Fiscal Forecasts'!I$104</f>
        <v>0</v>
      </c>
      <c r="J113" s="176">
        <f>-'Fiscal Forecasts'!J$104</f>
        <v>0</v>
      </c>
      <c r="K113" s="144">
        <f ca="1">IF(K$6=OFFSET(Assumptions!$B$8,0,$C$1),0,J$113)</f>
        <v>0</v>
      </c>
      <c r="L113" s="144">
        <f ca="1">IF(L$6=OFFSET(Assumptions!$B$8,0,$C$1),0,K$113)</f>
        <v>0</v>
      </c>
      <c r="M113" s="144">
        <f ca="1">IF(M$6=OFFSET(Assumptions!$B$8,0,$C$1),0,L$113)</f>
        <v>0</v>
      </c>
      <c r="N113" s="144">
        <f ca="1">IF(N$6=OFFSET(Assumptions!$B$8,0,$C$1),0,M$113)</f>
        <v>0</v>
      </c>
      <c r="O113" s="144">
        <f ca="1">IF(O$6=OFFSET(Assumptions!$B$8,0,$C$1),0,N$113)</f>
        <v>0</v>
      </c>
      <c r="P113" s="144">
        <f ca="1">IF(P$6=OFFSET(Assumptions!$B$8,0,$C$1),0,O$113)</f>
        <v>0</v>
      </c>
      <c r="Q113" s="144">
        <f ca="1">IF(Q$6=OFFSET(Assumptions!$B$8,0,$C$1),0,P$113)</f>
        <v>0</v>
      </c>
      <c r="R113" s="144">
        <f ca="1">IF(R$6=OFFSET(Assumptions!$B$8,0,$C$1),0,Q$113)</f>
        <v>0</v>
      </c>
      <c r="S113" s="144">
        <f ca="1">IF(S$6=OFFSET(Assumptions!$B$8,0,$C$1),0,R$113)</f>
        <v>0</v>
      </c>
      <c r="T113" s="144">
        <f ca="1">IF(T$6=OFFSET(Assumptions!$B$8,0,$C$1),0,S$113)</f>
        <v>0</v>
      </c>
    </row>
    <row r="114" spans="1:20" ht="15">
      <c r="A114" s="168" t="s">
        <v>597</v>
      </c>
      <c r="D114" s="138">
        <f t="shared" ref="D114:T114" si="76">-SUM(D$108:D$113)</f>
        <v>-5.5460000000000012</v>
      </c>
      <c r="E114" s="138">
        <f t="shared" si="76"/>
        <v>-11.703000000000001</v>
      </c>
      <c r="F114" s="137">
        <f t="shared" si="76"/>
        <v>-8.713000000000001</v>
      </c>
      <c r="G114" s="137">
        <f t="shared" si="76"/>
        <v>-8.8780000000000001</v>
      </c>
      <c r="H114" s="137">
        <f t="shared" si="76"/>
        <v>-9.3280000000000012</v>
      </c>
      <c r="I114" s="137">
        <f t="shared" si="76"/>
        <v>-9.5990000000000002</v>
      </c>
      <c r="J114" s="137">
        <f t="shared" si="76"/>
        <v>-10.001999999999999</v>
      </c>
      <c r="K114" s="140">
        <f t="shared" ca="1" si="76"/>
        <v>-10.347312271007659</v>
      </c>
      <c r="L114" s="140">
        <f t="shared" ca="1" si="76"/>
        <v>-10.87958462615239</v>
      </c>
      <c r="M114" s="140">
        <f t="shared" ca="1" si="76"/>
        <v>-11.384304342242759</v>
      </c>
      <c r="N114" s="140">
        <f t="shared" ca="1" si="76"/>
        <v>-11.882805114870889</v>
      </c>
      <c r="O114" s="140">
        <f t="shared" ca="1" si="76"/>
        <v>-12.391337131730813</v>
      </c>
      <c r="P114" s="140">
        <f t="shared" ca="1" si="76"/>
        <v>-12.884666196766709</v>
      </c>
      <c r="Q114" s="140">
        <f t="shared" ca="1" si="76"/>
        <v>-13.379266333469918</v>
      </c>
      <c r="R114" s="140">
        <f t="shared" ca="1" si="76"/>
        <v>-13.86423330943769</v>
      </c>
      <c r="S114" s="140">
        <f t="shared" ca="1" si="76"/>
        <v>-14.343790107545138</v>
      </c>
      <c r="T114" s="140">
        <f t="shared" ca="1" si="76"/>
        <v>-14.827946402494151</v>
      </c>
    </row>
    <row r="115" spans="1:20">
      <c r="A115" s="167" t="s">
        <v>187</v>
      </c>
      <c r="B115" s="4" t="str">
        <f t="shared" ref="B115:B121" si="77">$B$39</f>
        <v>From Fiscal Forecasts</v>
      </c>
      <c r="D115" s="175">
        <f>'Fiscal Forecasts'!D$106</f>
        <v>4.1879999999999997</v>
      </c>
      <c r="E115" s="175">
        <f>'Fiscal Forecasts'!E$106</f>
        <v>0.63100000000000001</v>
      </c>
      <c r="F115" s="176">
        <f>'Fiscal Forecasts'!F$106</f>
        <v>0.67500000000000004</v>
      </c>
      <c r="G115" s="176">
        <f>'Fiscal Forecasts'!G$106</f>
        <v>-0.55000000000000004</v>
      </c>
      <c r="H115" s="176">
        <f>'Fiscal Forecasts'!H$106</f>
        <v>1.177</v>
      </c>
      <c r="I115" s="176">
        <f>'Fiscal Forecasts'!I$106</f>
        <v>0.76400000000000001</v>
      </c>
      <c r="J115" s="176">
        <f>'Fiscal Forecasts'!J$106</f>
        <v>0.89200000000000002</v>
      </c>
      <c r="K115" s="144">
        <f t="shared" ref="K115:T115" ca="1" si="78">K$354-J$354</f>
        <v>1.5064164627433385</v>
      </c>
      <c r="L115" s="144">
        <f t="shared" ca="1" si="78"/>
        <v>1.4389836615512124</v>
      </c>
      <c r="M115" s="144">
        <f t="shared" ca="1" si="78"/>
        <v>1.5523162836470732</v>
      </c>
      <c r="N115" s="144">
        <f t="shared" ca="1" si="78"/>
        <v>1.6183495103604031</v>
      </c>
      <c r="O115" s="144">
        <f t="shared" ca="1" si="78"/>
        <v>1.6149866504058465</v>
      </c>
      <c r="P115" s="144">
        <f t="shared" ca="1" si="78"/>
        <v>1.6417141040752483</v>
      </c>
      <c r="Q115" s="144">
        <f t="shared" ca="1" si="78"/>
        <v>1.667952843690081</v>
      </c>
      <c r="R115" s="144">
        <f t="shared" ca="1" si="78"/>
        <v>1.6915503950815065</v>
      </c>
      <c r="S115" s="144">
        <f t="shared" ca="1" si="78"/>
        <v>1.7143969949669469</v>
      </c>
      <c r="T115" s="144">
        <f t="shared" ca="1" si="78"/>
        <v>1.7574396955733249</v>
      </c>
    </row>
    <row r="116" spans="1:20">
      <c r="A116" s="167" t="s">
        <v>188</v>
      </c>
      <c r="B116" s="4" t="str">
        <f t="shared" si="77"/>
        <v>From Fiscal Forecasts</v>
      </c>
      <c r="D116" s="175">
        <f>'Fiscal Forecasts'!D$107</f>
        <v>3.6999999999999998E-2</v>
      </c>
      <c r="E116" s="175">
        <f>'Fiscal Forecasts'!E$107</f>
        <v>2.1000000000000001E-2</v>
      </c>
      <c r="F116" s="176">
        <f>'Fiscal Forecasts'!F$107</f>
        <v>1.391</v>
      </c>
      <c r="G116" s="176">
        <f>'Fiscal Forecasts'!G$107</f>
        <v>0.98299999999999998</v>
      </c>
      <c r="H116" s="176">
        <f>'Fiscal Forecasts'!H$107</f>
        <v>0.91700000000000004</v>
      </c>
      <c r="I116" s="176">
        <f>'Fiscal Forecasts'!I$107</f>
        <v>0.57999999999999996</v>
      </c>
      <c r="J116" s="176">
        <f>'Fiscal Forecasts'!J$107</f>
        <v>0.49199999999999999</v>
      </c>
      <c r="K116" s="144">
        <f t="shared" ref="K116:T116" ca="1" si="79">K$151-K$332</f>
        <v>0.15490348712912463</v>
      </c>
      <c r="L116" s="144">
        <f t="shared" ca="1" si="79"/>
        <v>0.1734597480762769</v>
      </c>
      <c r="M116" s="144">
        <f t="shared" ca="1" si="79"/>
        <v>0.19096617071003849</v>
      </c>
      <c r="N116" s="144">
        <f t="shared" ca="1" si="79"/>
        <v>0.20726069737913699</v>
      </c>
      <c r="O116" s="144">
        <f t="shared" ca="1" si="79"/>
        <v>0.22145330917976536</v>
      </c>
      <c r="P116" s="144">
        <f t="shared" ca="1" si="79"/>
        <v>0.23454456495848519</v>
      </c>
      <c r="Q116" s="144">
        <f t="shared" ca="1" si="79"/>
        <v>0.2475348259306682</v>
      </c>
      <c r="R116" s="144">
        <f t="shared" ca="1" si="79"/>
        <v>0.2594375856350436</v>
      </c>
      <c r="S116" s="144">
        <f t="shared" ca="1" si="79"/>
        <v>0.27125691064401369</v>
      </c>
      <c r="T116" s="144">
        <f t="shared" ca="1" si="79"/>
        <v>0.28192263792350369</v>
      </c>
    </row>
    <row r="117" spans="1:20">
      <c r="A117" s="167" t="s">
        <v>189</v>
      </c>
      <c r="B117" s="4" t="str">
        <f t="shared" si="77"/>
        <v>From Fiscal Forecasts</v>
      </c>
      <c r="D117" s="175">
        <f>'Fiscal Forecasts'!D$108</f>
        <v>0.17499999999999999</v>
      </c>
      <c r="E117" s="175">
        <f>'Fiscal Forecasts'!E$108</f>
        <v>0.254</v>
      </c>
      <c r="F117" s="176">
        <f>'Fiscal Forecasts'!F$108</f>
        <v>0.30199999999999999</v>
      </c>
      <c r="G117" s="176">
        <f>'Fiscal Forecasts'!G$108</f>
        <v>0.42399999999999999</v>
      </c>
      <c r="H117" s="176">
        <f>'Fiscal Forecasts'!H$108</f>
        <v>0.41799999999999998</v>
      </c>
      <c r="I117" s="176">
        <f>'Fiscal Forecasts'!I$108</f>
        <v>0.251</v>
      </c>
      <c r="J117" s="176">
        <f>'Fiscal Forecasts'!J$108</f>
        <v>0.245</v>
      </c>
      <c r="K117" s="144">
        <f t="shared" ref="K117:T117" ca="1" si="80">K$411-J$411</f>
        <v>0.11231365332165</v>
      </c>
      <c r="L117" s="144">
        <f t="shared" ca="1" si="80"/>
        <v>0.11239534657104011</v>
      </c>
      <c r="M117" s="144">
        <f t="shared" ca="1" si="80"/>
        <v>0.11221610138812865</v>
      </c>
      <c r="N117" s="144">
        <f t="shared" ca="1" si="80"/>
        <v>0.11326783256461415</v>
      </c>
      <c r="O117" s="144">
        <f t="shared" ca="1" si="80"/>
        <v>0.11431937057242614</v>
      </c>
      <c r="P117" s="144">
        <f t="shared" ca="1" si="80"/>
        <v>0.11533526316621412</v>
      </c>
      <c r="Q117" s="144">
        <f t="shared" ca="1" si="80"/>
        <v>0.11615194382766347</v>
      </c>
      <c r="R117" s="144">
        <f t="shared" ca="1" si="80"/>
        <v>0.11697083950857312</v>
      </c>
      <c r="S117" s="144">
        <f t="shared" ca="1" si="80"/>
        <v>0.11786946210971116</v>
      </c>
      <c r="T117" s="144">
        <f t="shared" ca="1" si="80"/>
        <v>0.12021617769501614</v>
      </c>
    </row>
    <row r="118" spans="1:20">
      <c r="A118" s="167" t="s">
        <v>190</v>
      </c>
      <c r="B118" s="4" t="str">
        <f t="shared" si="77"/>
        <v>From Fiscal Forecasts</v>
      </c>
      <c r="D118" s="175">
        <f>'Fiscal Forecasts'!D$109</f>
        <v>3.5999999999999997E-2</v>
      </c>
      <c r="E118" s="175">
        <f>'Fiscal Forecasts'!E$109</f>
        <v>0.108</v>
      </c>
      <c r="F118" s="176">
        <f>'Fiscal Forecasts'!F$109</f>
        <v>0.06</v>
      </c>
      <c r="G118" s="176">
        <f>'Fiscal Forecasts'!G$109</f>
        <v>1.2E-2</v>
      </c>
      <c r="H118" s="176">
        <f>'Fiscal Forecasts'!H$109</f>
        <v>5.0000000000000001E-3</v>
      </c>
      <c r="I118" s="176">
        <f>'Fiscal Forecasts'!I$109</f>
        <v>4.0000000000000001E-3</v>
      </c>
      <c r="J118" s="176">
        <f>'Fiscal Forecasts'!J$109</f>
        <v>2E-3</v>
      </c>
      <c r="K118" s="144">
        <f t="shared" ref="K118:T118" ca="1" si="81">K$415-J$415</f>
        <v>0.10464618153028082</v>
      </c>
      <c r="L118" s="144">
        <f t="shared" ca="1" si="81"/>
        <v>0.10472229771342123</v>
      </c>
      <c r="M118" s="144">
        <f t="shared" ca="1" si="81"/>
        <v>0.1045552893097712</v>
      </c>
      <c r="N118" s="144">
        <f t="shared" ca="1" si="81"/>
        <v>0.10553522049676944</v>
      </c>
      <c r="O118" s="144">
        <f t="shared" ca="1" si="81"/>
        <v>0.1065149717024072</v>
      </c>
      <c r="P118" s="144">
        <f t="shared" ca="1" si="81"/>
        <v>0.10746151094889012</v>
      </c>
      <c r="Q118" s="144">
        <f t="shared" ca="1" si="81"/>
        <v>0.10822243814004473</v>
      </c>
      <c r="R118" s="144">
        <f t="shared" ca="1" si="81"/>
        <v>0.1089854291348562</v>
      </c>
      <c r="S118" s="144">
        <f t="shared" ca="1" si="81"/>
        <v>0.10982270422176477</v>
      </c>
      <c r="T118" s="144">
        <f t="shared" ca="1" si="81"/>
        <v>0.11200921332263469</v>
      </c>
    </row>
    <row r="119" spans="1:20">
      <c r="A119" s="167" t="s">
        <v>608</v>
      </c>
      <c r="B119" s="4" t="str">
        <f t="shared" si="77"/>
        <v>From Fiscal Forecasts</v>
      </c>
      <c r="D119" s="175">
        <f>-'Fiscal Forecasts'!D$110</f>
        <v>9.7000000000000003E-2</v>
      </c>
      <c r="E119" s="175">
        <f>-'Fiscal Forecasts'!E$110</f>
        <v>6.8000000000000005E-2</v>
      </c>
      <c r="F119" s="176">
        <f>-'Fiscal Forecasts'!F$110</f>
        <v>-0.254</v>
      </c>
      <c r="G119" s="176">
        <f>-'Fiscal Forecasts'!G$110</f>
        <v>0.34</v>
      </c>
      <c r="H119" s="176">
        <f>-'Fiscal Forecasts'!H$110</f>
        <v>0.14299999999999999</v>
      </c>
      <c r="I119" s="176">
        <f>-'Fiscal Forecasts'!I$110</f>
        <v>0.13100000000000001</v>
      </c>
      <c r="J119" s="176">
        <f>-'Fiscal Forecasts'!J$110</f>
        <v>0.254</v>
      </c>
      <c r="K119" s="144">
        <f t="shared" ref="K119:T119" ca="1" si="82">K$457-J$457</f>
        <v>0.21695983485193082</v>
      </c>
      <c r="L119" s="144">
        <f t="shared" ca="1" si="82"/>
        <v>0.21711764428446134</v>
      </c>
      <c r="M119" s="144">
        <f t="shared" ca="1" si="82"/>
        <v>0.21677139069789986</v>
      </c>
      <c r="N119" s="144">
        <f t="shared" ca="1" si="82"/>
        <v>0.21880305306138359</v>
      </c>
      <c r="O119" s="144">
        <f t="shared" ca="1" si="82"/>
        <v>0.22083434227483334</v>
      </c>
      <c r="P119" s="144">
        <f t="shared" ca="1" si="82"/>
        <v>0.22279677411510423</v>
      </c>
      <c r="Q119" s="144">
        <f t="shared" ca="1" si="82"/>
        <v>0.2243743819677082</v>
      </c>
      <c r="R119" s="144">
        <f t="shared" ca="1" si="82"/>
        <v>0.22595626864342933</v>
      </c>
      <c r="S119" s="144">
        <f t="shared" ca="1" si="82"/>
        <v>0.22769216633147593</v>
      </c>
      <c r="T119" s="144">
        <f t="shared" ca="1" si="82"/>
        <v>0.23222539101765083</v>
      </c>
    </row>
    <row r="120" spans="1:20">
      <c r="A120" s="167" t="s">
        <v>609</v>
      </c>
      <c r="B120" s="4" t="str">
        <f t="shared" si="77"/>
        <v>From Fiscal Forecasts</v>
      </c>
      <c r="D120" s="175">
        <f>-'Fiscal Forecasts'!D$111</f>
        <v>2.5710000000000002</v>
      </c>
      <c r="E120" s="175">
        <f>-'Fiscal Forecasts'!E$111</f>
        <v>0.95599999999999996</v>
      </c>
      <c r="F120" s="176">
        <f>-'Fiscal Forecasts'!F$111</f>
        <v>1.919</v>
      </c>
      <c r="G120" s="176">
        <f>-'Fiscal Forecasts'!G$111</f>
        <v>0.191</v>
      </c>
      <c r="H120" s="176">
        <f>-'Fiscal Forecasts'!H$111</f>
        <v>1.036</v>
      </c>
      <c r="I120" s="176">
        <f>-'Fiscal Forecasts'!I$111</f>
        <v>0.48899999999999999</v>
      </c>
      <c r="J120" s="176">
        <f>-'Fiscal Forecasts'!J$111</f>
        <v>-0.56899999999999995</v>
      </c>
      <c r="K120" s="144">
        <f t="shared" ref="K120:T120" ca="1" si="83">SUM(K$453-J$453,K$474-J$474)</f>
        <v>0.68190435653787773</v>
      </c>
      <c r="L120" s="144">
        <f t="shared" ca="1" si="83"/>
        <v>0.7197245223399964</v>
      </c>
      <c r="M120" s="144">
        <f t="shared" ca="1" si="83"/>
        <v>0.90276306564571485</v>
      </c>
      <c r="N120" s="144">
        <f t="shared" ca="1" si="83"/>
        <v>0.99675201093577215</v>
      </c>
      <c r="O120" s="144">
        <f t="shared" ca="1" si="83"/>
        <v>1.0667095551955939</v>
      </c>
      <c r="P120" s="144">
        <f t="shared" ca="1" si="83"/>
        <v>1.1476799660254038</v>
      </c>
      <c r="Q120" s="144">
        <f t="shared" ca="1" si="83"/>
        <v>1.1788053084453445</v>
      </c>
      <c r="R120" s="144">
        <f t="shared" ca="1" si="83"/>
        <v>1.1938592951438238</v>
      </c>
      <c r="S120" s="144">
        <f t="shared" ca="1" si="83"/>
        <v>1.2085593877192551</v>
      </c>
      <c r="T120" s="144">
        <f t="shared" ca="1" si="83"/>
        <v>1.2366049097546146</v>
      </c>
    </row>
    <row r="121" spans="1:20">
      <c r="A121" s="167" t="s">
        <v>605</v>
      </c>
      <c r="B121" s="4" t="str">
        <f t="shared" si="77"/>
        <v>From Fiscal Forecasts</v>
      </c>
      <c r="D121" s="175">
        <f>-'Fiscal Forecasts'!D$112</f>
        <v>-0.57099999999999995</v>
      </c>
      <c r="E121" s="175">
        <f>-'Fiscal Forecasts'!E$112</f>
        <v>0.80400000000000005</v>
      </c>
      <c r="F121" s="176">
        <f>-'Fiscal Forecasts'!F$112</f>
        <v>-0.67800000000000005</v>
      </c>
      <c r="G121" s="176">
        <f>-'Fiscal Forecasts'!G$112</f>
        <v>-0.751</v>
      </c>
      <c r="H121" s="176">
        <f>-'Fiscal Forecasts'!H$112</f>
        <v>-0.77100000000000002</v>
      </c>
      <c r="I121" s="176">
        <f>-'Fiscal Forecasts'!I$112</f>
        <v>-0.78400000000000003</v>
      </c>
      <c r="J121" s="176">
        <f>-'Fiscal Forecasts'!J$112</f>
        <v>-0.78300000000000003</v>
      </c>
      <c r="K121" s="144">
        <f t="shared" ref="K121:T121" ca="1" si="84">K$468-J$468</f>
        <v>-0.34007203601800917</v>
      </c>
      <c r="L121" s="144">
        <f t="shared" ca="1" si="84"/>
        <v>-0.32706353176588365</v>
      </c>
      <c r="M121" s="144">
        <f t="shared" ca="1" si="84"/>
        <v>-0.32355927963981834</v>
      </c>
      <c r="N121" s="144">
        <f t="shared" ca="1" si="84"/>
        <v>-0.33173586793396836</v>
      </c>
      <c r="O121" s="144">
        <f t="shared" ca="1" si="84"/>
        <v>-0.3375762881440707</v>
      </c>
      <c r="P121" s="144">
        <f t="shared" ca="1" si="84"/>
        <v>-0.34458479239619866</v>
      </c>
      <c r="Q121" s="144">
        <f t="shared" ca="1" si="84"/>
        <v>-0.34808904452226042</v>
      </c>
      <c r="R121" s="144">
        <f t="shared" ca="1" si="84"/>
        <v>-0.35509754877438748</v>
      </c>
      <c r="S121" s="144">
        <f t="shared" ca="1" si="84"/>
        <v>-0.35743371685842895</v>
      </c>
      <c r="T121" s="144">
        <f t="shared" ca="1" si="84"/>
        <v>-0.35626563281640866</v>
      </c>
    </row>
    <row r="122" spans="1:20" ht="15">
      <c r="A122" s="168" t="s">
        <v>193</v>
      </c>
      <c r="D122" s="138">
        <f t="shared" ref="D122:T122" si="85">SUM(D$115:D$118)-SUM(D$119:D$121)</f>
        <v>2.3389999999999986</v>
      </c>
      <c r="E122" s="138">
        <f t="shared" si="85"/>
        <v>-0.81400000000000006</v>
      </c>
      <c r="F122" s="137">
        <f t="shared" si="85"/>
        <v>1.4409999999999998</v>
      </c>
      <c r="G122" s="137">
        <f t="shared" si="85"/>
        <v>1.089</v>
      </c>
      <c r="H122" s="137">
        <f t="shared" si="85"/>
        <v>2.1090000000000004</v>
      </c>
      <c r="I122" s="137">
        <f t="shared" si="85"/>
        <v>1.7629999999999999</v>
      </c>
      <c r="J122" s="137">
        <f t="shared" si="85"/>
        <v>2.7290000000000001</v>
      </c>
      <c r="K122" s="140">
        <f t="shared" ca="1" si="85"/>
        <v>1.3194876293525946</v>
      </c>
      <c r="L122" s="140">
        <f t="shared" ca="1" si="85"/>
        <v>1.2197824190533766</v>
      </c>
      <c r="M122" s="140">
        <f t="shared" ca="1" si="85"/>
        <v>1.1640786683512152</v>
      </c>
      <c r="N122" s="140">
        <f t="shared" ca="1" si="85"/>
        <v>1.1605940647377362</v>
      </c>
      <c r="O122" s="140">
        <f t="shared" ca="1" si="85"/>
        <v>1.1073066925340886</v>
      </c>
      <c r="P122" s="140">
        <f t="shared" ca="1" si="85"/>
        <v>1.0731634954045282</v>
      </c>
      <c r="Q122" s="140">
        <f t="shared" ca="1" si="85"/>
        <v>1.0847714056976652</v>
      </c>
      <c r="R122" s="140">
        <f t="shared" ca="1" si="85"/>
        <v>1.1122262343471139</v>
      </c>
      <c r="S122" s="140">
        <f t="shared" ca="1" si="85"/>
        <v>1.1345282347501344</v>
      </c>
      <c r="T122" s="140">
        <f t="shared" ca="1" si="85"/>
        <v>1.1590230565586226</v>
      </c>
    </row>
    <row r="123" spans="1:20" ht="15">
      <c r="A123" s="168" t="s">
        <v>953</v>
      </c>
      <c r="D123" s="35">
        <f t="shared" ref="D123:T123" si="86">SUM(D$93,D$107,D$114,D$122)</f>
        <v>0.38899999999999757</v>
      </c>
      <c r="E123" s="35">
        <f t="shared" si="86"/>
        <v>-30.04</v>
      </c>
      <c r="F123" s="139">
        <f t="shared" ca="1" si="86"/>
        <v>1.2740000000000018</v>
      </c>
      <c r="G123" s="139">
        <f t="shared" ca="1" si="86"/>
        <v>-15.647999999999998</v>
      </c>
      <c r="H123" s="139">
        <f t="shared" ca="1" si="86"/>
        <v>-5.2449999999999939</v>
      </c>
      <c r="I123" s="139">
        <f t="shared" ca="1" si="86"/>
        <v>-0.8809999999999949</v>
      </c>
      <c r="J123" s="139">
        <f t="shared" ca="1" si="86"/>
        <v>3.0450000000000026</v>
      </c>
      <c r="K123" s="136">
        <f t="shared" ca="1" si="86"/>
        <v>5.5230306205760273</v>
      </c>
      <c r="L123" s="136">
        <f t="shared" ca="1" si="86"/>
        <v>6.4495035657612361</v>
      </c>
      <c r="M123" s="136">
        <f t="shared" ca="1" si="86"/>
        <v>6.9448968608193598</v>
      </c>
      <c r="N123" s="136">
        <f t="shared" ca="1" si="86"/>
        <v>7.6297534063534602</v>
      </c>
      <c r="O123" s="136">
        <f t="shared" ca="1" si="86"/>
        <v>8.5444368996571338</v>
      </c>
      <c r="P123" s="136">
        <f t="shared" ca="1" si="86"/>
        <v>9.073719500476173</v>
      </c>
      <c r="Q123" s="136">
        <f t="shared" ca="1" si="86"/>
        <v>9.6443286777169632</v>
      </c>
      <c r="R123" s="136">
        <f t="shared" ca="1" si="86"/>
        <v>10.207026226272999</v>
      </c>
      <c r="S123" s="136">
        <f t="shared" ca="1" si="86"/>
        <v>10.742460382812688</v>
      </c>
      <c r="T123" s="136">
        <f t="shared" ca="1" si="86"/>
        <v>11.346607289338305</v>
      </c>
    </row>
    <row r="124" spans="1:20" ht="15">
      <c r="A124" s="26" t="s">
        <v>1238</v>
      </c>
      <c r="D124" s="170" t="str">
        <f t="shared" ref="D124:T124" ca="1" si="87">IF(ROUND(D$40-D$123,3)=0,"OK","ERROR")</f>
        <v>OK</v>
      </c>
      <c r="E124" s="170" t="str">
        <f t="shared" ca="1" si="87"/>
        <v>OK</v>
      </c>
      <c r="F124" s="170" t="str">
        <f t="shared" ca="1" si="87"/>
        <v>OK</v>
      </c>
      <c r="G124" s="170" t="str">
        <f t="shared" ca="1" si="87"/>
        <v>OK</v>
      </c>
      <c r="H124" s="170" t="str">
        <f t="shared" ca="1" si="87"/>
        <v>OK</v>
      </c>
      <c r="I124" s="170" t="str">
        <f t="shared" ca="1" si="87"/>
        <v>OK</v>
      </c>
      <c r="J124" s="170" t="str">
        <f t="shared" ca="1" si="87"/>
        <v>OK</v>
      </c>
      <c r="K124" s="170" t="str">
        <f t="shared" ca="1" si="87"/>
        <v>OK</v>
      </c>
      <c r="L124" s="170" t="str">
        <f t="shared" ca="1" si="87"/>
        <v>OK</v>
      </c>
      <c r="M124" s="170" t="str">
        <f t="shared" ca="1" si="87"/>
        <v>OK</v>
      </c>
      <c r="N124" s="170" t="str">
        <f t="shared" ca="1" si="87"/>
        <v>OK</v>
      </c>
      <c r="O124" s="170" t="str">
        <f t="shared" ca="1" si="87"/>
        <v>OK</v>
      </c>
      <c r="P124" s="170" t="str">
        <f t="shared" ca="1" si="87"/>
        <v>OK</v>
      </c>
      <c r="Q124" s="170" t="str">
        <f t="shared" ca="1" si="87"/>
        <v>OK</v>
      </c>
      <c r="R124" s="170" t="str">
        <f t="shared" ca="1" si="87"/>
        <v>OK</v>
      </c>
      <c r="S124" s="170" t="str">
        <f t="shared" ca="1" si="87"/>
        <v>OK</v>
      </c>
      <c r="T124" s="170" t="str">
        <f t="shared" ca="1" si="87"/>
        <v>OK</v>
      </c>
    </row>
    <row r="125" spans="1:20" ht="15">
      <c r="A125" s="26"/>
    </row>
    <row r="126" spans="1:20">
      <c r="A126" s="18" t="s">
        <v>232</v>
      </c>
    </row>
    <row r="127" spans="1:20">
      <c r="A127" s="18" t="s">
        <v>233</v>
      </c>
    </row>
    <row r="128" spans="1:20">
      <c r="A128" s="167" t="s">
        <v>376</v>
      </c>
      <c r="B128" s="4" t="str">
        <f>$B$39</f>
        <v>From Fiscal Forecasts</v>
      </c>
      <c r="D128" s="175">
        <f>'Fiscal Forecasts'!D$211</f>
        <v>32.878999999999998</v>
      </c>
      <c r="E128" s="175">
        <f>'Fiscal Forecasts'!E$211</f>
        <v>34.963000000000001</v>
      </c>
      <c r="F128" s="176">
        <f>'Fiscal Forecasts'!F$211 +IF($C$2="Yes",'Fiscal Forecast Adjuster'!C$8/1000,0)</f>
        <v>37.090000000000003</v>
      </c>
      <c r="G128" s="176">
        <f>'Fiscal Forecasts'!G$211 +IF($C$2="Yes",'Fiscal Forecast Adjuster'!D$8/1000,0)</f>
        <v>39.448999999999998</v>
      </c>
      <c r="H128" s="176">
        <f>'Fiscal Forecasts'!H$211 +IF($C$2="Yes",'Fiscal Forecast Adjuster'!E$8/1000,0)</f>
        <v>41.776000000000003</v>
      </c>
      <c r="I128" s="176">
        <f>'Fiscal Forecasts'!I$211 +IF($C$2="Yes",'Fiscal Forecast Adjuster'!F$8/1000,0)</f>
        <v>44.014000000000003</v>
      </c>
      <c r="J128" s="176">
        <f>'Fiscal Forecasts'!J$211 +IF($C$2="Yes",'Fiscal Forecast Adjuster'!G$8/1000,0)</f>
        <v>46.517000000000003</v>
      </c>
      <c r="K128" s="171">
        <f ca="1">IF(OFFSET(Assumptions!$B$28,0,$C$1)="Yes",J$128*(1+K$18)*(1+OFFSET(Assumptions!$B$29,0,$C$1)*K$27),(J$128/J$13+MIN(ABS(OFFSET(Assumptions!$B$31,0,$C$1)-J$128/J$13),OFFSET(Assumptions!$B$30,0,$C$1))*SIGN(OFFSET(Assumptions!$B$31,0,$C$1)-J$128/J$13))*K$13)</f>
        <v>48.808652888824795</v>
      </c>
      <c r="L128" s="171">
        <f ca="1">IF(OFFSET(Assumptions!$B$28,0,$C$1)="Yes",K$128*(1+L$18)*(1+OFFSET(Assumptions!$B$29,0,$C$1)*L$27),(K$128/K$13+MIN(ABS(OFFSET(Assumptions!$B$31,0,$C$1)-K$128/K$13),OFFSET(Assumptions!$B$30,0,$C$1))*SIGN(OFFSET(Assumptions!$B$31,0,$C$1)-K$128/K$13))*L$13)</f>
        <v>51.003190892709398</v>
      </c>
      <c r="M128" s="171">
        <f ca="1">IF(OFFSET(Assumptions!$B$28,0,$C$1)="Yes",L$128*(1+M$18)*(1+OFFSET(Assumptions!$B$29,0,$C$1)*M$27),(L$128/L$13+MIN(ABS(OFFSET(Assumptions!$B$31,0,$C$1)-L$128/L$13),OFFSET(Assumptions!$B$30,0,$C$1))*SIGN(OFFSET(Assumptions!$B$31,0,$C$1)-L$128/L$13))*M$13)</f>
        <v>53.114728134786908</v>
      </c>
      <c r="N128" s="171">
        <f ca="1">IF(OFFSET(Assumptions!$B$28,0,$C$1)="Yes",M$128*(1+N$18)*(1+OFFSET(Assumptions!$B$29,0,$C$1)*N$27),(M$128/M$13+MIN(ABS(OFFSET(Assumptions!$B$31,0,$C$1)-M$128/M$13),OFFSET(Assumptions!$B$30,0,$C$1))*SIGN(OFFSET(Assumptions!$B$31,0,$C$1)-M$128/M$13))*N$13)</f>
        <v>55.325835537644046</v>
      </c>
      <c r="O128" s="171">
        <f ca="1">IF(OFFSET(Assumptions!$B$28,0,$C$1)="Yes",N$128*(1+O$18)*(1+OFFSET(Assumptions!$B$29,0,$C$1)*O$27),(N$128/N$13+MIN(ABS(OFFSET(Assumptions!$B$31,0,$C$1)-N$128/N$13),OFFSET(Assumptions!$B$30,0,$C$1))*SIGN(OFFSET(Assumptions!$B$31,0,$C$1)-N$128/N$13))*O$13)</f>
        <v>57.584832855986534</v>
      </c>
      <c r="P128" s="171">
        <f ca="1">IF(OFFSET(Assumptions!$B$28,0,$C$1)="Yes",O$128*(1+P$18)*(1+OFFSET(Assumptions!$B$29,0,$C$1)*P$27),(O$128/O$13+MIN(ABS(OFFSET(Assumptions!$B$31,0,$C$1)-O$128/O$13),OFFSET(Assumptions!$B$30,0,$C$1))*SIGN(OFFSET(Assumptions!$B$31,0,$C$1)-O$128/O$13))*P$13)</f>
        <v>59.891457487163727</v>
      </c>
      <c r="Q128" s="171">
        <f ca="1">IF(OFFSET(Assumptions!$B$28,0,$C$1)="Yes",P$128*(1+Q$18)*(1+OFFSET(Assumptions!$B$29,0,$C$1)*Q$27),(P$128/P$13+MIN(ABS(OFFSET(Assumptions!$B$31,0,$C$1)-P$128/P$13),OFFSET(Assumptions!$B$30,0,$C$1))*SIGN(OFFSET(Assumptions!$B$31,0,$C$1)-P$128/P$13))*Q$13)</f>
        <v>62.245539695651402</v>
      </c>
      <c r="R128" s="171">
        <f ca="1">IF(OFFSET(Assumptions!$B$28,0,$C$1)="Yes",Q$128*(1+R$18)*(1+OFFSET(Assumptions!$B$29,0,$C$1)*R$27),(Q$128/Q$13+MIN(ABS(OFFSET(Assumptions!$B$31,0,$C$1)-Q$128/Q$13),OFFSET(Assumptions!$B$30,0,$C$1))*SIGN(OFFSET(Assumptions!$B$31,0,$C$1)-Q$128/Q$13))*R$13)</f>
        <v>64.64073885187274</v>
      </c>
      <c r="S128" s="171">
        <f ca="1">IF(OFFSET(Assumptions!$B$28,0,$C$1)="Yes",R$128*(1+S$18)*(1+OFFSET(Assumptions!$B$29,0,$C$1)*S$27),(R$128/R$13+MIN(ABS(OFFSET(Assumptions!$B$31,0,$C$1)-R$128/R$13),OFFSET(Assumptions!$B$30,0,$C$1))*SIGN(OFFSET(Assumptions!$B$31,0,$C$1)-R$128/R$13))*S$13)</f>
        <v>67.075144068715886</v>
      </c>
      <c r="T128" s="171">
        <f ca="1">IF(OFFSET(Assumptions!$B$28,0,$C$1)="Yes",S$128*(1+T$18)*(1+OFFSET(Assumptions!$B$29,0,$C$1)*T$27),(S$128/S$13+MIN(ABS(OFFSET(Assumptions!$B$31,0,$C$1)-S$128/S$13),OFFSET(Assumptions!$B$30,0,$C$1))*SIGN(OFFSET(Assumptions!$B$31,0,$C$1)-S$128/S$13))*T$13)</f>
        <v>69.581725037674204</v>
      </c>
    </row>
    <row r="129" spans="1:20">
      <c r="A129" s="167" t="s">
        <v>377</v>
      </c>
      <c r="B129" s="4" t="str">
        <f>$B$39</f>
        <v>From Fiscal Forecasts</v>
      </c>
      <c r="D129" s="175">
        <f>'Fiscal Forecasts'!D$212</f>
        <v>15.199</v>
      </c>
      <c r="E129" s="175">
        <f>'Fiscal Forecasts'!E$212</f>
        <v>12.103999999999999</v>
      </c>
      <c r="F129" s="176">
        <f>'Fiscal Forecasts'!F$212 +IF($C$2="Yes",'Fiscal Forecast Adjuster'!C$9/1000,0)</f>
        <v>13.351000000000001</v>
      </c>
      <c r="G129" s="176">
        <f>'Fiscal Forecasts'!G$212 +IF($C$2="Yes",'Fiscal Forecast Adjuster'!D$9/1000,0)</f>
        <v>13.092000000000001</v>
      </c>
      <c r="H129" s="176">
        <f>'Fiscal Forecasts'!H$212 +IF($C$2="Yes",'Fiscal Forecast Adjuster'!E$9/1000,0)</f>
        <v>16.545000000000002</v>
      </c>
      <c r="I129" s="176">
        <f>'Fiscal Forecasts'!I$212 +IF($C$2="Yes",'Fiscal Forecast Adjuster'!F$9/1000,0)</f>
        <v>17.152999999999999</v>
      </c>
      <c r="J129" s="176">
        <f>'Fiscal Forecasts'!J$212 +IF($C$2="Yes",'Fiscal Forecast Adjuster'!G$9/1000,0)</f>
        <v>18.356999999999999</v>
      </c>
      <c r="K129" s="171">
        <f ca="1">(J$129/J$13+MIN(ABS(OFFSET(Assumptions!$B$32,0,$C$1)-J$129/J$13),OFFSET(Assumptions!$B$30,0,$C$1))*SIGN(OFFSET(Assumptions!$B$32,0,$C$1)-J$129/J$13))*K$13</f>
        <v>19.392380113032587</v>
      </c>
      <c r="L129" s="171">
        <f ca="1">(K$129/K$13+MIN(ABS(OFFSET(Assumptions!$B$32,0,$C$1)-K$129/K$13),OFFSET(Assumptions!$B$30,0,$C$1))*SIGN(OFFSET(Assumptions!$B$32,0,$C$1)-K$129/K$13))*L$13</f>
        <v>20.311005222760379</v>
      </c>
      <c r="M129" s="171">
        <f ca="1">(L$129/L$13+MIN(ABS(OFFSET(Assumptions!$B$32,0,$C$1)-L$129/L$13),OFFSET(Assumptions!$B$30,0,$C$1))*SIGN(OFFSET(Assumptions!$B$32,0,$C$1)-L$129/L$13))*M$13</f>
        <v>21.151882885534608</v>
      </c>
      <c r="N129" s="171">
        <f ca="1">(M$129/M$13+MIN(ABS(OFFSET(Assumptions!$B$32,0,$C$1)-M$129/M$13),OFFSET(Assumptions!$B$30,0,$C$1))*SIGN(OFFSET(Assumptions!$B$32,0,$C$1)-M$129/M$13))*N$13</f>
        <v>22.032412382247628</v>
      </c>
      <c r="O129" s="171">
        <f ca="1">(N$129/N$13+MIN(ABS(OFFSET(Assumptions!$B$32,0,$C$1)-N$129/N$13),OFFSET(Assumptions!$B$30,0,$C$1))*SIGN(OFFSET(Assumptions!$B$32,0,$C$1)-N$129/N$13))*O$13</f>
        <v>22.932013084242424</v>
      </c>
      <c r="P129" s="171">
        <f ca="1">(O$129/O$13+MIN(ABS(OFFSET(Assumptions!$B$32,0,$C$1)-O$129/O$13),OFFSET(Assumptions!$B$30,0,$C$1))*SIGN(OFFSET(Assumptions!$B$32,0,$C$1)-O$129/O$13))*P$13</f>
        <v>23.850580415242192</v>
      </c>
      <c r="Q129" s="171">
        <f ca="1">(P$129/P$13+MIN(ABS(OFFSET(Assumptions!$B$32,0,$C$1)-P$129/P$13),OFFSET(Assumptions!$B$30,0,$C$1))*SIGN(OFFSET(Assumptions!$B$32,0,$C$1)-P$129/P$13))*Q$13</f>
        <v>24.788046781454096</v>
      </c>
      <c r="R129" s="171">
        <f ca="1">(Q$129/Q$13+MIN(ABS(OFFSET(Assumptions!$B$32,0,$C$1)-Q$129/Q$13),OFFSET(Assumptions!$B$30,0,$C$1))*SIGN(OFFSET(Assumptions!$B$32,0,$C$1)-Q$129/Q$13))*R$13</f>
        <v>25.741887153400647</v>
      </c>
      <c r="S129" s="171">
        <f ca="1">(R$129/R$13+MIN(ABS(OFFSET(Assumptions!$B$32,0,$C$1)-R$129/R$13),OFFSET(Assumptions!$B$30,0,$C$1))*SIGN(OFFSET(Assumptions!$B$32,0,$C$1)-R$129/R$13))*S$13</f>
        <v>26.711340558338183</v>
      </c>
      <c r="T129" s="171">
        <f ca="1">(S$129/S$13+MIN(ABS(OFFSET(Assumptions!$B$32,0,$C$1)-S$129/S$13),OFFSET(Assumptions!$B$30,0,$C$1))*SIGN(OFFSET(Assumptions!$B$32,0,$C$1)-S$129/S$13))*T$13</f>
        <v>27.709536519427775</v>
      </c>
    </row>
    <row r="130" spans="1:20">
      <c r="A130" s="167" t="s">
        <v>378</v>
      </c>
      <c r="B130" s="4" t="str">
        <f>$B$39</f>
        <v>From Fiscal Forecasts</v>
      </c>
      <c r="D130" s="175">
        <f>'Fiscal Forecasts'!D$213</f>
        <v>21.861999999999998</v>
      </c>
      <c r="E130" s="175">
        <f>'Fiscal Forecasts'!E$213</f>
        <v>21.748999999999999</v>
      </c>
      <c r="F130" s="176">
        <f>'Fiscal Forecasts'!F$213 +IF($C$2="Yes",'Fiscal Forecast Adjuster'!C$10/1000,0)</f>
        <v>24.524000000000001</v>
      </c>
      <c r="G130" s="176">
        <f>'Fiscal Forecasts'!G$213 +IF($C$2="Yes",'Fiscal Forecast Adjuster'!D$10/1000,0)</f>
        <v>25.047999999999998</v>
      </c>
      <c r="H130" s="176">
        <f>'Fiscal Forecasts'!H$213 +IF($C$2="Yes",'Fiscal Forecast Adjuster'!E$10/1000,0)</f>
        <v>26.51</v>
      </c>
      <c r="I130" s="176">
        <f>'Fiscal Forecasts'!I$213 +IF($C$2="Yes",'Fiscal Forecast Adjuster'!F$10/1000,0)</f>
        <v>28.173999999999999</v>
      </c>
      <c r="J130" s="176">
        <f>'Fiscal Forecasts'!J$213 +IF($C$2="Yes",'Fiscal Forecast Adjuster'!G$10/1000,0)</f>
        <v>29.72</v>
      </c>
      <c r="K130" s="171">
        <f ca="1">(J$130/J$13+MIN(ABS(OFFSET(Assumptions!$B$33,0,$C$1)-J$130/J$13),OFFSET(Assumptions!$B$30,0,$C$1))*SIGN(OFFSET(Assumptions!$B$33,0,$C$1)-J$130/J$13))*K$13</f>
        <v>31.167125988649079</v>
      </c>
      <c r="L130" s="171">
        <f ca="1">(K$130/K$13+MIN(ABS(OFFSET(Assumptions!$B$33,0,$C$1)-K$130/K$13),OFFSET(Assumptions!$B$30,0,$C$1))*SIGN(OFFSET(Assumptions!$B$33,0,$C$1)-K$130/K$13))*L$13</f>
        <v>32.497608356416606</v>
      </c>
      <c r="M130" s="171">
        <f ca="1">(L$130/L$13+MIN(ABS(OFFSET(Assumptions!$B$33,0,$C$1)-L$130/L$13),OFFSET(Assumptions!$B$30,0,$C$1))*SIGN(OFFSET(Assumptions!$B$33,0,$C$1)-L$130/L$13))*M$13</f>
        <v>33.843012616855376</v>
      </c>
      <c r="N130" s="171">
        <f ca="1">(M$130/M$13+MIN(ABS(OFFSET(Assumptions!$B$33,0,$C$1)-M$130/M$13),OFFSET(Assumptions!$B$30,0,$C$1))*SIGN(OFFSET(Assumptions!$B$33,0,$C$1)-M$130/M$13))*N$13</f>
        <v>35.251859811596205</v>
      </c>
      <c r="O130" s="171">
        <f ca="1">(N$130/N$13+MIN(ABS(OFFSET(Assumptions!$B$33,0,$C$1)-N$130/N$13),OFFSET(Assumptions!$B$30,0,$C$1))*SIGN(OFFSET(Assumptions!$B$33,0,$C$1)-N$130/N$13))*O$13</f>
        <v>36.691220934787879</v>
      </c>
      <c r="P130" s="171">
        <f ca="1">(O$130/O$13+MIN(ABS(OFFSET(Assumptions!$B$33,0,$C$1)-O$130/O$13),OFFSET(Assumptions!$B$30,0,$C$1))*SIGN(OFFSET(Assumptions!$B$33,0,$C$1)-O$130/O$13))*P$13</f>
        <v>38.160928664387505</v>
      </c>
      <c r="Q130" s="171">
        <f ca="1">(P$130/P$13+MIN(ABS(OFFSET(Assumptions!$B$33,0,$C$1)-P$130/P$13),OFFSET(Assumptions!$B$30,0,$C$1))*SIGN(OFFSET(Assumptions!$B$33,0,$C$1)-P$130/P$13))*Q$13</f>
        <v>39.66087485032655</v>
      </c>
      <c r="R130" s="171">
        <f ca="1">(Q$130/Q$13+MIN(ABS(OFFSET(Assumptions!$B$33,0,$C$1)-Q$130/Q$13),OFFSET(Assumptions!$B$30,0,$C$1))*SIGN(OFFSET(Assumptions!$B$33,0,$C$1)-Q$130/Q$13))*R$13</f>
        <v>41.187019445441038</v>
      </c>
      <c r="S130" s="171">
        <f ca="1">(R$130/R$13+MIN(ABS(OFFSET(Assumptions!$B$33,0,$C$1)-R$130/R$13),OFFSET(Assumptions!$B$30,0,$C$1))*SIGN(OFFSET(Assumptions!$B$33,0,$C$1)-R$130/R$13))*S$13</f>
        <v>42.738144893341094</v>
      </c>
      <c r="T130" s="171">
        <f ca="1">(S$130/S$13+MIN(ABS(OFFSET(Assumptions!$B$33,0,$C$1)-S$130/S$13),OFFSET(Assumptions!$B$30,0,$C$1))*SIGN(OFFSET(Assumptions!$B$33,0,$C$1)-S$130/S$13))*T$13</f>
        <v>44.335258431084441</v>
      </c>
    </row>
    <row r="131" spans="1:20">
      <c r="A131" s="167" t="s">
        <v>382</v>
      </c>
      <c r="B131" s="4" t="str">
        <f>$B$39</f>
        <v>From Fiscal Forecasts</v>
      </c>
      <c r="D131" s="175">
        <f>'Fiscal Forecasts'!D$214</f>
        <v>3.8820000000000001</v>
      </c>
      <c r="E131" s="175">
        <f>'Fiscal Forecasts'!E$214</f>
        <v>3.819</v>
      </c>
      <c r="F131" s="176">
        <f>'Fiscal Forecasts'!F$214 +IF($C$2="Yes",'Fiscal Forecast Adjuster'!C$11/1000,0)</f>
        <v>4.2569999999999997</v>
      </c>
      <c r="G131" s="176">
        <f>'Fiscal Forecasts'!G$214 +IF($C$2="Yes",'Fiscal Forecast Adjuster'!D$11/1000,0)</f>
        <v>4.4029999999999996</v>
      </c>
      <c r="H131" s="176">
        <f>'Fiscal Forecasts'!H$214 +IF($C$2="Yes",'Fiscal Forecast Adjuster'!E$11/1000,0)</f>
        <v>4.5110000000000001</v>
      </c>
      <c r="I131" s="176">
        <f>'Fiscal Forecasts'!I$214 +IF($C$2="Yes",'Fiscal Forecast Adjuster'!F$11/1000,0)</f>
        <v>4.6109999999999998</v>
      </c>
      <c r="J131" s="176">
        <f>'Fiscal Forecasts'!J$214 +IF($C$2="Yes",'Fiscal Forecast Adjuster'!G$11/1000,0)</f>
        <v>4.7050000000000001</v>
      </c>
      <c r="K131" s="171">
        <f ca="1">(J$131/J$13+MIN(ABS(OFFSET(Assumptions!$B$34,0,$C$1)-J$131/J$13),OFFSET(Assumptions!$B$30,0,$C$1))*SIGN(OFFSET(Assumptions!$B$34,0,$C$1)-J$131/J$13))*K$13</f>
        <v>4.6984608939034818</v>
      </c>
      <c r="L131" s="171">
        <f ca="1">(K$131/K$13+MIN(ABS(OFFSET(Assumptions!$B$34,0,$C$1)-K$131/K$13),OFFSET(Assumptions!$B$30,0,$C$1))*SIGN(OFFSET(Assumptions!$B$34,0,$C$1)-K$131/K$13))*L$13</f>
        <v>4.673353985849503</v>
      </c>
      <c r="M131" s="171">
        <f ca="1">(L$131/L$13+MIN(ABS(OFFSET(Assumptions!$B$34,0,$C$1)-L$131/L$13),OFFSET(Assumptions!$B$30,0,$C$1))*SIGN(OFFSET(Assumptions!$B$34,0,$C$1)-L$131/L$13))*M$13</f>
        <v>4.7004184190076908</v>
      </c>
      <c r="N131" s="171">
        <f ca="1">(M$131/M$13+MIN(ABS(OFFSET(Assumptions!$B$34,0,$C$1)-M$131/M$13),OFFSET(Assumptions!$B$30,0,$C$1))*SIGN(OFFSET(Assumptions!$B$34,0,$C$1)-M$131/M$13))*N$13</f>
        <v>4.8960916404994732</v>
      </c>
      <c r="O131" s="171">
        <f ca="1">(N$131/N$13+MIN(ABS(OFFSET(Assumptions!$B$34,0,$C$1)-N$131/N$13),OFFSET(Assumptions!$B$30,0,$C$1))*SIGN(OFFSET(Assumptions!$B$34,0,$C$1)-N$131/N$13))*O$13</f>
        <v>5.096002907609428</v>
      </c>
      <c r="P131" s="171">
        <f ca="1">(O$131/O$13+MIN(ABS(OFFSET(Assumptions!$B$34,0,$C$1)-O$131/O$13),OFFSET(Assumptions!$B$30,0,$C$1))*SIGN(OFFSET(Assumptions!$B$34,0,$C$1)-O$131/O$13))*P$13</f>
        <v>5.3001289811649315</v>
      </c>
      <c r="Q131" s="171">
        <f ca="1">(P$131/P$13+MIN(ABS(OFFSET(Assumptions!$B$34,0,$C$1)-P$131/P$13),OFFSET(Assumptions!$B$30,0,$C$1))*SIGN(OFFSET(Assumptions!$B$34,0,$C$1)-P$131/P$13))*Q$13</f>
        <v>5.5084548403231324</v>
      </c>
      <c r="R131" s="171">
        <f ca="1">(Q$131/Q$13+MIN(ABS(OFFSET(Assumptions!$B$34,0,$C$1)-Q$131/Q$13),OFFSET(Assumptions!$B$30,0,$C$1))*SIGN(OFFSET(Assumptions!$B$34,0,$C$1)-Q$131/Q$13))*R$13</f>
        <v>5.7204193674223669</v>
      </c>
      <c r="S131" s="171">
        <f ca="1">(R$131/R$13+MIN(ABS(OFFSET(Assumptions!$B$34,0,$C$1)-R$131/R$13),OFFSET(Assumptions!$B$30,0,$C$1))*SIGN(OFFSET(Assumptions!$B$34,0,$C$1)-R$131/R$13))*S$13</f>
        <v>5.9358534574084851</v>
      </c>
      <c r="T131" s="171">
        <f ca="1">(S$131/S$13+MIN(ABS(OFFSET(Assumptions!$B$34,0,$C$1)-S$131/S$13),OFFSET(Assumptions!$B$30,0,$C$1))*SIGN(OFFSET(Assumptions!$B$34,0,$C$1)-S$131/S$13))*T$13</f>
        <v>6.1576747820950617</v>
      </c>
    </row>
    <row r="132" spans="1:20">
      <c r="A132" s="167" t="s">
        <v>238</v>
      </c>
      <c r="B132" s="4" t="str">
        <f>$B$39</f>
        <v>From Fiscal Forecasts</v>
      </c>
      <c r="D132" s="175">
        <f>'Fiscal Forecasts'!D$215</f>
        <v>11.901</v>
      </c>
      <c r="E132" s="175">
        <f>'Fiscal Forecasts'!E$215</f>
        <v>11.885999999999999</v>
      </c>
      <c r="F132" s="176">
        <f>'Fiscal Forecasts'!F$215 +IF($C$2="Yes",'Fiscal Forecast Adjuster'!C$12/1000,0)</f>
        <v>11.717000000000001</v>
      </c>
      <c r="G132" s="176">
        <f>'Fiscal Forecasts'!G$215 +IF($C$2="Yes",'Fiscal Forecast Adjuster'!D$12/1000,0)</f>
        <v>10.682000000000002</v>
      </c>
      <c r="H132" s="176">
        <f>'Fiscal Forecasts'!H$215 +IF($C$2="Yes",'Fiscal Forecast Adjuster'!E$12/1000,0)</f>
        <v>11.760999999999999</v>
      </c>
      <c r="I132" s="176">
        <f>'Fiscal Forecasts'!I$215 +IF($C$2="Yes",'Fiscal Forecast Adjuster'!F$12/1000,0)</f>
        <v>12.515999999999998</v>
      </c>
      <c r="J132" s="176">
        <f>'Fiscal Forecasts'!J$215 +IF($C$2="Yes",'Fiscal Forecast Adjuster'!G$12/1000,0)</f>
        <v>13.255999999999998</v>
      </c>
      <c r="K132" s="171">
        <f ca="1">(J$132/J$13+MIN(ABS(OFFSET(Assumptions!$B$35,0,$C$1)-J$132/J$13),OFFSET(Assumptions!$B$30,0,$C$1))*SIGN(OFFSET(Assumptions!$B$35,0,$C$1)-J$132/J$13))*K$13</f>
        <v>14.063814508298355</v>
      </c>
      <c r="L132" s="171">
        <f ca="1">(K$132/K$13+MIN(ABS(OFFSET(Assumptions!$B$35,0,$C$1)-K$132/K$13),OFFSET(Assumptions!$B$30,0,$C$1))*SIGN(OFFSET(Assumptions!$B$35,0,$C$1)-K$132/K$13))*L$13</f>
        <v>14.889857524831481</v>
      </c>
      <c r="M132" s="171">
        <f ca="1">(L$132/L$13+MIN(ABS(OFFSET(Assumptions!$B$35,0,$C$1)-L$132/L$13),OFFSET(Assumptions!$B$30,0,$C$1))*SIGN(OFFSET(Assumptions!$B$35,0,$C$1)-L$132/L$13))*M$13</f>
        <v>15.741320047622976</v>
      </c>
      <c r="N132" s="171">
        <f ca="1">(M$132/M$13+MIN(ABS(OFFSET(Assumptions!$B$35,0,$C$1)-M$132/M$13),OFFSET(Assumptions!$B$30,0,$C$1))*SIGN(OFFSET(Assumptions!$B$35,0,$C$1)-M$132/M$13))*N$13</f>
        <v>16.641418377922772</v>
      </c>
      <c r="O132" s="171">
        <f ca="1">(N$132/N$13+MIN(ABS(OFFSET(Assumptions!$B$35,0,$C$1)-N$132/N$13),OFFSET(Assumptions!$B$30,0,$C$1))*SIGN(OFFSET(Assumptions!$B$35,0,$C$1)-N$132/N$13))*O$13</f>
        <v>17.326409885872057</v>
      </c>
      <c r="P132" s="171">
        <f ca="1">(O$132/O$13+MIN(ABS(OFFSET(Assumptions!$B$35,0,$C$1)-O$132/O$13),OFFSET(Assumptions!$B$30,0,$C$1))*SIGN(OFFSET(Assumptions!$B$35,0,$C$1)-O$132/O$13))*P$13</f>
        <v>18.020438535960768</v>
      </c>
      <c r="Q132" s="171">
        <f ca="1">(P$132/P$13+MIN(ABS(OFFSET(Assumptions!$B$35,0,$C$1)-P$132/P$13),OFFSET(Assumptions!$B$30,0,$C$1))*SIGN(OFFSET(Assumptions!$B$35,0,$C$1)-P$132/P$13))*Q$13</f>
        <v>18.728746457098651</v>
      </c>
      <c r="R132" s="171">
        <f ca="1">(Q$132/Q$13+MIN(ABS(OFFSET(Assumptions!$B$35,0,$C$1)-Q$132/Q$13),OFFSET(Assumptions!$B$30,0,$C$1))*SIGN(OFFSET(Assumptions!$B$35,0,$C$1)-Q$132/Q$13))*R$13</f>
        <v>19.449425849236047</v>
      </c>
      <c r="S132" s="171">
        <f ca="1">(R$132/R$13+MIN(ABS(OFFSET(Assumptions!$B$35,0,$C$1)-R$132/R$13),OFFSET(Assumptions!$B$30,0,$C$1))*SIGN(OFFSET(Assumptions!$B$35,0,$C$1)-R$132/R$13))*S$13</f>
        <v>20.18190175518885</v>
      </c>
      <c r="T132" s="171">
        <f ca="1">(S$132/S$13+MIN(ABS(OFFSET(Assumptions!$B$35,0,$C$1)-S$132/S$13),OFFSET(Assumptions!$B$30,0,$C$1))*SIGN(OFFSET(Assumptions!$B$35,0,$C$1)-S$132/S$13))*T$13</f>
        <v>20.936094259123212</v>
      </c>
    </row>
    <row r="133" spans="1:20" ht="15">
      <c r="A133" s="168" t="s">
        <v>379</v>
      </c>
      <c r="D133" s="138">
        <f t="shared" ref="D133:T133" si="88">SUM(D$128:D$132)</f>
        <v>85.722999999999999</v>
      </c>
      <c r="E133" s="138">
        <f t="shared" si="88"/>
        <v>84.521000000000001</v>
      </c>
      <c r="F133" s="137">
        <f t="shared" si="88"/>
        <v>90.939000000000007</v>
      </c>
      <c r="G133" s="137">
        <f t="shared" si="88"/>
        <v>92.674000000000007</v>
      </c>
      <c r="H133" s="137">
        <f t="shared" si="88"/>
        <v>101.10299999999999</v>
      </c>
      <c r="I133" s="137">
        <f t="shared" si="88"/>
        <v>106.46800000000002</v>
      </c>
      <c r="J133" s="137">
        <f t="shared" si="88"/>
        <v>112.55499999999999</v>
      </c>
      <c r="K133" s="140">
        <f t="shared" ca="1" si="88"/>
        <v>118.1304343927083</v>
      </c>
      <c r="L133" s="140">
        <f t="shared" ca="1" si="88"/>
        <v>123.37501598256736</v>
      </c>
      <c r="M133" s="140">
        <f t="shared" ca="1" si="88"/>
        <v>128.55136210380755</v>
      </c>
      <c r="N133" s="140">
        <f t="shared" ca="1" si="88"/>
        <v>134.14761774991013</v>
      </c>
      <c r="O133" s="140">
        <f t="shared" ca="1" si="88"/>
        <v>139.63047966849834</v>
      </c>
      <c r="P133" s="140">
        <f t="shared" ca="1" si="88"/>
        <v>145.22353408391913</v>
      </c>
      <c r="Q133" s="140">
        <f t="shared" ca="1" si="88"/>
        <v>150.93166262485383</v>
      </c>
      <c r="R133" s="140">
        <f t="shared" ca="1" si="88"/>
        <v>156.73949066737282</v>
      </c>
      <c r="S133" s="140">
        <f t="shared" ca="1" si="88"/>
        <v>162.6423847329925</v>
      </c>
      <c r="T133" s="140">
        <f t="shared" ca="1" si="88"/>
        <v>168.72028902940471</v>
      </c>
    </row>
    <row r="134" spans="1:20">
      <c r="A134" s="167" t="s">
        <v>380</v>
      </c>
      <c r="B134" s="4" t="str">
        <f>$B$39</f>
        <v>From Fiscal Forecasts</v>
      </c>
      <c r="D134" s="175">
        <f>D$133-'Fiscal Forecasts'!D$154</f>
        <v>-0.74500000000000455</v>
      </c>
      <c r="E134" s="175">
        <f>E$133-'Fiscal Forecasts'!E$154</f>
        <v>-0.58100000000000307</v>
      </c>
      <c r="F134" s="176">
        <f>F$133-'Fiscal Forecasts'!F$154 -IF($C$2="Yes",SUM('Fiscal Forecast Adjuster'!C$8:C$12)/1000,0)</f>
        <v>-0.6039999999999992</v>
      </c>
      <c r="G134" s="176">
        <f>G$133-'Fiscal Forecasts'!G$154 -IF($C$2="Yes",SUM('Fiscal Forecast Adjuster'!D$8:D$12)/1000,0)</f>
        <v>-0.51399999999999579</v>
      </c>
      <c r="H134" s="176">
        <f>H$133-'Fiscal Forecasts'!H$154 -IF($C$2="Yes",SUM('Fiscal Forecast Adjuster'!E$8:E$12)/1000,0)</f>
        <v>-0.59000000000000341</v>
      </c>
      <c r="I134" s="176">
        <f>I$133-'Fiscal Forecasts'!I$154 -IF($C$2="Yes",SUM('Fiscal Forecast Adjuster'!F$8:F$12)/1000,0)</f>
        <v>-0.63999999999998636</v>
      </c>
      <c r="J134" s="176">
        <f>J$133-'Fiscal Forecasts'!J$154 -IF($C$2="Yes",SUM('Fiscal Forecast Adjuster'!G$8:G$12)/1000,0)</f>
        <v>-0.69000000000001194</v>
      </c>
      <c r="K134" s="171">
        <f ca="1">(J$134/J$13-MIN(ABS(OFFSET(Assumptions!$B$36,0,$C$1)+J$134/J$13),OFFSET(Assumptions!$B$30,0,$C$1))*SIGN(OFFSET(Assumptions!$B$36,0,$C$1)+J$134/J$13))*K$13</f>
        <v>-0.86575349968469673</v>
      </c>
      <c r="L134" s="171">
        <f ca="1">(K$134/K$13-MIN(ABS(OFFSET(Assumptions!$B$36,0,$C$1)+K$134/K$13),OFFSET(Assumptions!$B$30,0,$C$1))*SIGN(OFFSET(Assumptions!$B$36,0,$C$1)+K$134/K$13))*L$13</f>
        <v>-0.90271134323379465</v>
      </c>
      <c r="M134" s="171">
        <f ca="1">(L$134/L$13-MIN(ABS(OFFSET(Assumptions!$B$36,0,$C$1)+L$134/L$13),OFFSET(Assumptions!$B$30,0,$C$1))*SIGN(OFFSET(Assumptions!$B$36,0,$C$1)+L$134/L$13))*M$13</f>
        <v>-0.94008368380153817</v>
      </c>
      <c r="N134" s="171">
        <f ca="1">(M$134/M$13-MIN(ABS(OFFSET(Assumptions!$B$36,0,$C$1)+M$134/M$13),OFFSET(Assumptions!$B$30,0,$C$1))*SIGN(OFFSET(Assumptions!$B$36,0,$C$1)+M$134/M$13))*N$13</f>
        <v>-0.97921832809989462</v>
      </c>
      <c r="O134" s="171">
        <f ca="1">(N$134/N$13-MIN(ABS(OFFSET(Assumptions!$B$36,0,$C$1)+N$134/N$13),OFFSET(Assumptions!$B$30,0,$C$1))*SIGN(OFFSET(Assumptions!$B$36,0,$C$1)+N$134/N$13))*O$13</f>
        <v>-1.0192005815218856</v>
      </c>
      <c r="P134" s="171">
        <f ca="1">(O$134/O$13-MIN(ABS(OFFSET(Assumptions!$B$36,0,$C$1)+O$134/O$13),OFFSET(Assumptions!$B$30,0,$C$1))*SIGN(OFFSET(Assumptions!$B$36,0,$C$1)+O$134/O$13))*P$13</f>
        <v>-1.0600257962329862</v>
      </c>
      <c r="Q134" s="171">
        <f ca="1">(P$134/P$13-MIN(ABS(OFFSET(Assumptions!$B$36,0,$C$1)+P$134/P$13),OFFSET(Assumptions!$B$30,0,$C$1))*SIGN(OFFSET(Assumptions!$B$36,0,$C$1)+P$134/P$13))*Q$13</f>
        <v>-1.1016909680646265</v>
      </c>
      <c r="R134" s="171">
        <f ca="1">(Q$134/Q$13-MIN(ABS(OFFSET(Assumptions!$B$36,0,$C$1)+Q$134/Q$13),OFFSET(Assumptions!$B$30,0,$C$1))*SIGN(OFFSET(Assumptions!$B$36,0,$C$1)+Q$134/Q$13))*R$13</f>
        <v>-1.1440838734844734</v>
      </c>
      <c r="S134" s="171">
        <f ca="1">(R$134/R$13-MIN(ABS(OFFSET(Assumptions!$B$36,0,$C$1)+R$134/R$13),OFFSET(Assumptions!$B$30,0,$C$1))*SIGN(OFFSET(Assumptions!$B$36,0,$C$1)+R$134/R$13))*S$13</f>
        <v>-1.1871706914816971</v>
      </c>
      <c r="T134" s="171">
        <f ca="1">(S$134/S$13-MIN(ABS(OFFSET(Assumptions!$B$36,0,$C$1)+S$134/S$13),OFFSET(Assumptions!$B$30,0,$C$1))*SIGN(OFFSET(Assumptions!$B$36,0,$C$1)+S$134/S$13))*T$13</f>
        <v>-1.2315349564190123</v>
      </c>
    </row>
    <row r="135" spans="1:20" ht="15">
      <c r="A135" s="168" t="s">
        <v>381</v>
      </c>
      <c r="D135" s="138">
        <f t="shared" ref="D135:T135" si="89">SUM(D$133,-D$134)</f>
        <v>86.468000000000004</v>
      </c>
      <c r="E135" s="138">
        <f t="shared" si="89"/>
        <v>85.102000000000004</v>
      </c>
      <c r="F135" s="137">
        <f t="shared" si="89"/>
        <v>91.543000000000006</v>
      </c>
      <c r="G135" s="137">
        <f t="shared" si="89"/>
        <v>93.188000000000002</v>
      </c>
      <c r="H135" s="137">
        <f t="shared" si="89"/>
        <v>101.693</v>
      </c>
      <c r="I135" s="137">
        <f t="shared" si="89"/>
        <v>107.108</v>
      </c>
      <c r="J135" s="137">
        <f t="shared" si="89"/>
        <v>113.245</v>
      </c>
      <c r="K135" s="140">
        <f t="shared" ca="1" si="89"/>
        <v>118.996187892393</v>
      </c>
      <c r="L135" s="140">
        <f t="shared" ca="1" si="89"/>
        <v>124.27772732580115</v>
      </c>
      <c r="M135" s="140">
        <f t="shared" ca="1" si="89"/>
        <v>129.49144578760908</v>
      </c>
      <c r="N135" s="140">
        <f t="shared" ca="1" si="89"/>
        <v>135.12683607801003</v>
      </c>
      <c r="O135" s="140">
        <f t="shared" ca="1" si="89"/>
        <v>140.64968025002023</v>
      </c>
      <c r="P135" s="140">
        <f t="shared" ca="1" si="89"/>
        <v>146.28355988015213</v>
      </c>
      <c r="Q135" s="140">
        <f t="shared" ca="1" si="89"/>
        <v>152.03335359291844</v>
      </c>
      <c r="R135" s="140">
        <f t="shared" ca="1" si="89"/>
        <v>157.8835745408573</v>
      </c>
      <c r="S135" s="140">
        <f t="shared" ca="1" si="89"/>
        <v>163.82955542447419</v>
      </c>
      <c r="T135" s="140">
        <f t="shared" ca="1" si="89"/>
        <v>169.95182398582372</v>
      </c>
    </row>
    <row r="136" spans="1:20" ht="15">
      <c r="A136" s="168"/>
      <c r="D136" s="145"/>
      <c r="E136" s="145"/>
      <c r="F136" s="145"/>
      <c r="G136" s="145"/>
      <c r="H136" s="146"/>
      <c r="I136" s="146"/>
      <c r="J136" s="146"/>
      <c r="K136" s="146"/>
      <c r="L136" s="146"/>
      <c r="M136" s="146"/>
      <c r="N136" s="146"/>
      <c r="O136" s="146"/>
      <c r="P136" s="146"/>
      <c r="Q136" s="146"/>
      <c r="R136" s="146"/>
      <c r="S136" s="146"/>
      <c r="T136" s="146"/>
    </row>
    <row r="137" spans="1:20">
      <c r="A137" s="18" t="s">
        <v>253</v>
      </c>
    </row>
    <row r="138" spans="1:20">
      <c r="A138" s="167" t="s">
        <v>1315</v>
      </c>
      <c r="B138" s="4" t="str">
        <f>$B$39</f>
        <v>From Fiscal Forecasts</v>
      </c>
      <c r="D138" s="175">
        <f>'Fiscal Forecasts'!D$362</f>
        <v>0.42499999999999999</v>
      </c>
      <c r="E138" s="175">
        <f>'Fiscal Forecasts'!E$362</f>
        <v>0.82699999999999996</v>
      </c>
      <c r="F138" s="176">
        <f>'Fiscal Forecasts'!F$362</f>
        <v>0.34200000000000003</v>
      </c>
      <c r="G138" s="176">
        <f>'Fiscal Forecasts'!G$362</f>
        <v>1.4670000000000001</v>
      </c>
      <c r="H138" s="176">
        <f>'Fiscal Forecasts'!H$362</f>
        <v>1.5269999999999999</v>
      </c>
      <c r="I138" s="176">
        <f>'Fiscal Forecasts'!I$362</f>
        <v>1.726</v>
      </c>
      <c r="J138" s="176">
        <f>'Fiscal Forecasts'!J$362</f>
        <v>1.8069999999999999</v>
      </c>
      <c r="K138" s="171">
        <f ca="1">IF(J$138*(1-K$30)&gt;SUM(K$144,K$313),J$138*(1-K$30),SUM(K$144,K$313))</f>
        <v>1.7694456596646071</v>
      </c>
      <c r="L138" s="171">
        <f t="shared" ref="L138:T138" ca="1" si="90">IF(K$138*(1-L$30)&gt;SUM(L$144,L$313),K$138*(1-L$30),SUM(L$144,L$313))</f>
        <v>1.7333795782117998</v>
      </c>
      <c r="M138" s="171">
        <f t="shared" ca="1" si="90"/>
        <v>1.6987119866475637</v>
      </c>
      <c r="N138" s="171">
        <f t="shared" ca="1" si="90"/>
        <v>1.6647377469146125</v>
      </c>
      <c r="O138" s="171">
        <f t="shared" ca="1" si="90"/>
        <v>1.6314429919763203</v>
      </c>
      <c r="P138" s="171">
        <f t="shared" ca="1" si="90"/>
        <v>1.5988141321367939</v>
      </c>
      <c r="Q138" s="171">
        <f t="shared" ca="1" si="90"/>
        <v>1.6157477939229934</v>
      </c>
      <c r="R138" s="171">
        <f t="shared" ca="1" si="90"/>
        <v>1.6480627498014533</v>
      </c>
      <c r="S138" s="171">
        <f t="shared" ca="1" si="90"/>
        <v>1.6810240047974825</v>
      </c>
      <c r="T138" s="171">
        <f t="shared" ca="1" si="90"/>
        <v>1.7146444848934321</v>
      </c>
    </row>
    <row r="139" spans="1:20">
      <c r="A139" s="167" t="s">
        <v>969</v>
      </c>
      <c r="B139" s="4" t="str">
        <f>$B$39</f>
        <v>From Fiscal Forecasts</v>
      </c>
      <c r="D139" s="175">
        <f>'Fiscal Forecasts'!D$155-SUM(D$138:D$138)</f>
        <v>1.552</v>
      </c>
      <c r="E139" s="175">
        <f>'Fiscal Forecasts'!E$155-SUM(E$138:E$138)</f>
        <v>1.2930000000000001</v>
      </c>
      <c r="F139" s="176">
        <f>'Fiscal Forecasts'!F$155-SUM(F$138:F$138)</f>
        <v>1.9179999999999997</v>
      </c>
      <c r="G139" s="176">
        <f>'Fiscal Forecasts'!G$155-SUM(G$138:G$138)</f>
        <v>0.95199999999999996</v>
      </c>
      <c r="H139" s="176">
        <f>'Fiscal Forecasts'!H$155-SUM(H$138:H$138)</f>
        <v>1.087</v>
      </c>
      <c r="I139" s="176">
        <f>'Fiscal Forecasts'!I$155-SUM(I$138:I$138)</f>
        <v>1.2930000000000001</v>
      </c>
      <c r="J139" s="176">
        <f>'Fiscal Forecasts'!J$155-SUM(J$138:J$138)</f>
        <v>1.35</v>
      </c>
      <c r="K139" s="171">
        <f ca="1">IF(K$6=OFFSET(Assumptions!$B$8,0,$C$1),AVERAGE(H$139/H$13,I$139/I$13,J$139/J$13),J$139/J$13)*K$13</f>
        <v>1.3669692269705624</v>
      </c>
      <c r="L139" s="171">
        <f ca="1">IF(L$6=OFFSET(Assumptions!$B$8,0,$C$1),AVERAGE(I$139/I$13,J$139/J$13,K$139/K$13),K$139/K$13)*L$13</f>
        <v>1.4253232906217155</v>
      </c>
      <c r="M139" s="171">
        <f ca="1">IF(M$6=OFFSET(Assumptions!$B$8,0,$C$1),AVERAGE(J$139/J$13,K$139/K$13,L$139/L$13),L$139/L$13)*M$13</f>
        <v>1.4843318184700864</v>
      </c>
      <c r="N139" s="171">
        <f ca="1">IF(N$6=OFFSET(Assumptions!$B$8,0,$C$1),AVERAGE(K$139/K$13,L$139/L$13,M$139/M$13),M$139/M$13)*N$13</f>
        <v>1.5461229108350323</v>
      </c>
      <c r="O139" s="171">
        <f ca="1">IF(O$6=OFFSET(Assumptions!$B$8,0,$C$1),AVERAGE(L$139/L$13,M$139/M$13,N$139/N$13),N$139/N$13)*O$13</f>
        <v>1.6092523236213563</v>
      </c>
      <c r="P139" s="171">
        <f ca="1">IF(P$6=OFFSET(Assumptions!$B$8,0,$C$1),AVERAGE(M$139/M$13,N$139/N$13,O$139/O$13),O$139/O$13)*P$13</f>
        <v>1.6737127181965619</v>
      </c>
      <c r="Q139" s="171">
        <f ca="1">IF(Q$6=OFFSET(Assumptions!$B$8,0,$C$1),AVERAGE(N$139/N$13,O$139/O$13,P$139/P$13),P$139/P$13)*Q$13</f>
        <v>1.7394993511712316</v>
      </c>
      <c r="R139" s="171">
        <f ca="1">IF(R$6=OFFSET(Assumptions!$B$8,0,$C$1),AVERAGE(O$139/O$13,P$139/P$13,Q$139/Q$13),Q$139/Q$13)*R$13</f>
        <v>1.8064350287883699</v>
      </c>
      <c r="S139" s="171">
        <f ca="1">IF(S$6=OFFSET(Assumptions!$B$8,0,$C$1),AVERAGE(P$139/P$13,Q$139/Q$13,R$139/R$13),R$139/R$13)*S$13</f>
        <v>1.8744663498419225</v>
      </c>
      <c r="T139" s="171">
        <f ca="1">IF(T$6=OFFSET(Assumptions!$B$8,0,$C$1),AVERAGE(Q$139/Q$13,R$139/R$13,S$139/S$13),S$139/S$13)*T$13</f>
        <v>1.9445146776495092</v>
      </c>
    </row>
    <row r="140" spans="1:20" ht="15">
      <c r="A140" s="168" t="s">
        <v>389</v>
      </c>
      <c r="B140" s="4"/>
      <c r="D140" s="138">
        <f t="shared" ref="D140:T140" si="91">SUM(D$138:D$139)</f>
        <v>1.9770000000000001</v>
      </c>
      <c r="E140" s="138">
        <f t="shared" si="91"/>
        <v>2.12</v>
      </c>
      <c r="F140" s="137">
        <f t="shared" si="91"/>
        <v>2.2599999999999998</v>
      </c>
      <c r="G140" s="137">
        <f t="shared" si="91"/>
        <v>2.419</v>
      </c>
      <c r="H140" s="137">
        <f t="shared" si="91"/>
        <v>2.6139999999999999</v>
      </c>
      <c r="I140" s="137">
        <f t="shared" si="91"/>
        <v>3.0190000000000001</v>
      </c>
      <c r="J140" s="137">
        <f t="shared" si="91"/>
        <v>3.157</v>
      </c>
      <c r="K140" s="140">
        <f t="shared" ca="1" si="91"/>
        <v>3.1364148866351695</v>
      </c>
      <c r="L140" s="140">
        <f t="shared" ca="1" si="91"/>
        <v>3.1587028688335153</v>
      </c>
      <c r="M140" s="140">
        <f t="shared" ca="1" si="91"/>
        <v>3.1830438051176504</v>
      </c>
      <c r="N140" s="140">
        <f t="shared" ca="1" si="91"/>
        <v>3.2108606577496448</v>
      </c>
      <c r="O140" s="140">
        <f t="shared" ca="1" si="91"/>
        <v>3.2406953155976765</v>
      </c>
      <c r="P140" s="140">
        <f t="shared" ca="1" si="91"/>
        <v>3.2725268503333558</v>
      </c>
      <c r="Q140" s="140">
        <f t="shared" ca="1" si="91"/>
        <v>3.3552471450942249</v>
      </c>
      <c r="R140" s="140">
        <f t="shared" ca="1" si="91"/>
        <v>3.4544977785898232</v>
      </c>
      <c r="S140" s="140">
        <f t="shared" ca="1" si="91"/>
        <v>3.5554903546394048</v>
      </c>
      <c r="T140" s="140">
        <f t="shared" ca="1" si="91"/>
        <v>3.6591591625429416</v>
      </c>
    </row>
    <row r="141" spans="1:20">
      <c r="A141" s="167" t="s">
        <v>240</v>
      </c>
      <c r="B141" s="4" t="str">
        <f>$B$39</f>
        <v>From Fiscal Forecasts</v>
      </c>
      <c r="D141" s="175">
        <f>'Fiscal Forecasts'!D$218</f>
        <v>3.0139999999999998</v>
      </c>
      <c r="E141" s="175">
        <f>'Fiscal Forecasts'!E$218</f>
        <v>3.032</v>
      </c>
      <c r="F141" s="176">
        <f>'Fiscal Forecasts'!F$218</f>
        <v>3.1709999999999998</v>
      </c>
      <c r="G141" s="176">
        <f>'Fiscal Forecasts'!G$218</f>
        <v>3.278</v>
      </c>
      <c r="H141" s="176">
        <f>'Fiscal Forecasts'!H$218</f>
        <v>3.5419999999999998</v>
      </c>
      <c r="I141" s="176">
        <f>'Fiscal Forecasts'!I$218</f>
        <v>3.8809999999999998</v>
      </c>
      <c r="J141" s="176">
        <f>'Fiscal Forecasts'!J$218</f>
        <v>4.2640000000000002</v>
      </c>
      <c r="K141" s="171">
        <f>J$141*(Exogenous!V$23-Exogenous!V$24)/(Exogenous!U$23-Exogenous!U$24)</f>
        <v>4.4778732371586498</v>
      </c>
      <c r="L141" s="171">
        <f>K$141*(Exogenous!W$23-Exogenous!W$24)/(Exogenous!V$23-Exogenous!V$24)</f>
        <v>4.6962692768125525</v>
      </c>
      <c r="M141" s="171">
        <f>L$141*(Exogenous!X$23-Exogenous!X$24)/(Exogenous!W$23-Exogenous!W$24)</f>
        <v>4.9174569947558151</v>
      </c>
      <c r="N141" s="171">
        <f>M$141*(Exogenous!Y$23-Exogenous!Y$24)/(Exogenous!X$23-Exogenous!X$24)</f>
        <v>5.136859783314887</v>
      </c>
      <c r="O141" s="171">
        <f>N$141*(Exogenous!Z$23-Exogenous!Z$24)/(Exogenous!Y$23-Exogenous!Y$24)</f>
        <v>5.3679924122966458</v>
      </c>
      <c r="P141" s="171">
        <f>O$141*(Exogenous!AA$23-Exogenous!AA$24)/(Exogenous!Z$23-Exogenous!Z$24)</f>
        <v>5.6085295130913257</v>
      </c>
      <c r="Q141" s="171">
        <f>P$141*(Exogenous!AB$23-Exogenous!AB$24)/(Exogenous!AA$23-Exogenous!AA$24)</f>
        <v>5.8526824067304153</v>
      </c>
      <c r="R141" s="171">
        <f>Q$141*(Exogenous!AC$23-Exogenous!AC$24)/(Exogenous!AB$23-Exogenous!AB$24)</f>
        <v>6.1052691754603039</v>
      </c>
      <c r="S141" s="171">
        <f>R$141*(Exogenous!AD$23-Exogenous!AD$24)/(Exogenous!AC$23-Exogenous!AC$24)</f>
        <v>6.3642772924471895</v>
      </c>
      <c r="T141" s="171">
        <f>S$141*(Exogenous!AE$23-Exogenous!AE$24)/(Exogenous!AD$23-Exogenous!AD$24)</f>
        <v>6.6358034901312219</v>
      </c>
    </row>
    <row r="142" spans="1:20">
      <c r="A142" s="167" t="s">
        <v>390</v>
      </c>
      <c r="B142" s="4" t="str">
        <f>$B$39</f>
        <v>From Fiscal Forecasts</v>
      </c>
      <c r="D142" s="175">
        <f>'Fiscal Forecasts'!D$10-SUM(D$140:D$141)</f>
        <v>1.0369999999999999</v>
      </c>
      <c r="E142" s="175">
        <f>'Fiscal Forecasts'!E$10-SUM(E$140:E$141)</f>
        <v>1.117</v>
      </c>
      <c r="F142" s="176">
        <f>'Fiscal Forecasts'!F$10-SUM(F$140:F$141)</f>
        <v>1.1830000000000007</v>
      </c>
      <c r="G142" s="176">
        <f>'Fiscal Forecasts'!G$10-SUM(G$140:G$141)</f>
        <v>1.1979999999999995</v>
      </c>
      <c r="H142" s="176">
        <f>'Fiscal Forecasts'!H$10-SUM(H$140:H$141)</f>
        <v>1.2160000000000002</v>
      </c>
      <c r="I142" s="176">
        <f>'Fiscal Forecasts'!I$10-SUM(I$140:I$141)</f>
        <v>1.2329999999999988</v>
      </c>
      <c r="J142" s="176">
        <f>'Fiscal Forecasts'!J$10-SUM(J$140:J$141)</f>
        <v>1.2510000000000003</v>
      </c>
      <c r="K142" s="171">
        <f ca="1">IF(K$6=OFFSET(Assumptions!$B$8,0,$C$1),AVERAGE(H$142/H$13,I$142/I$13,J$142/J$13),J$142/J$13)*K$13</f>
        <v>1.3605402552826871</v>
      </c>
      <c r="L142" s="171">
        <f ca="1">IF(L$6=OFFSET(Assumptions!$B$8,0,$C$1),AVERAGE(I$142/I$13,J$142/J$13,K$142/K$13),K$142/K$13)*L$13</f>
        <v>1.4186198748456458</v>
      </c>
      <c r="M142" s="171">
        <f ca="1">IF(M$6=OFFSET(Assumptions!$B$8,0,$C$1),AVERAGE(J$142/J$13,K$142/K$13,L$142/L$13),L$142/L$13)*M$13</f>
        <v>1.4773508806054461</v>
      </c>
      <c r="N142" s="171">
        <f ca="1">IF(N$6=OFFSET(Assumptions!$B$8,0,$C$1),AVERAGE(K$142/K$13,L$142/L$13,M$142/M$13),M$142/M$13)*N$13</f>
        <v>1.5388513642459678</v>
      </c>
      <c r="O142" s="171">
        <f ca="1">IF(O$6=OFFSET(Assumptions!$B$8,0,$C$1),AVERAGE(L$142/L$13,M$142/M$13,N$142/N$13),N$142/N$13)*O$13</f>
        <v>1.6016838740739312</v>
      </c>
      <c r="P142" s="171">
        <f ca="1">IF(P$6=OFFSET(Assumptions!$B$8,0,$C$1),AVERAGE(M$142/M$13,N$142/N$13,O$142/O$13),O$142/O$13)*P$13</f>
        <v>1.6658411059710481</v>
      </c>
      <c r="Q142" s="171">
        <f ca="1">IF(Q$6=OFFSET(Assumptions!$B$8,0,$C$1),AVERAGE(N$142/N$13,O$142/O$13,P$142/P$13),P$142/P$13)*Q$13</f>
        <v>1.7313183388564619</v>
      </c>
      <c r="R142" s="171">
        <f ca="1">IF(R$6=OFFSET(Assumptions!$B$8,0,$C$1),AVERAGE(O$142/O$13,P$142/P$13,Q$142/Q$13),Q$142/Q$13)*R$13</f>
        <v>1.7979392123303768</v>
      </c>
      <c r="S142" s="171">
        <f ca="1">IF(S$6=OFFSET(Assumptions!$B$8,0,$C$1),AVERAGE(P$142/P$13,Q$142/Q$13,R$142/R$13),R$142/R$13)*S$13</f>
        <v>1.8656505763371189</v>
      </c>
      <c r="T142" s="171">
        <f ca="1">IF(T$6=OFFSET(Assumptions!$B$8,0,$C$1),AVERAGE(Q$142/Q$13,R$142/R$13,S$142/S$13),S$142/S$13)*T$13</f>
        <v>1.9353694609448349</v>
      </c>
    </row>
    <row r="143" spans="1:20" ht="15">
      <c r="A143" s="168" t="s">
        <v>391</v>
      </c>
      <c r="D143" s="138">
        <f t="shared" ref="D143:T143" si="92">SUM(D$140:D$142)</f>
        <v>6.0279999999999996</v>
      </c>
      <c r="E143" s="138">
        <f t="shared" si="92"/>
        <v>6.2690000000000001</v>
      </c>
      <c r="F143" s="137">
        <f t="shared" si="92"/>
        <v>6.6139999999999999</v>
      </c>
      <c r="G143" s="137">
        <f t="shared" si="92"/>
        <v>6.8949999999999996</v>
      </c>
      <c r="H143" s="137">
        <f t="shared" si="92"/>
        <v>7.3719999999999999</v>
      </c>
      <c r="I143" s="137">
        <f t="shared" si="92"/>
        <v>8.1329999999999991</v>
      </c>
      <c r="J143" s="137">
        <f t="shared" si="92"/>
        <v>8.6720000000000006</v>
      </c>
      <c r="K143" s="140">
        <f t="shared" ca="1" si="92"/>
        <v>8.9748283790765075</v>
      </c>
      <c r="L143" s="140">
        <f t="shared" ca="1" si="92"/>
        <v>9.2735920204917139</v>
      </c>
      <c r="M143" s="140">
        <f t="shared" ca="1" si="92"/>
        <v>9.5778516804789113</v>
      </c>
      <c r="N143" s="140">
        <f t="shared" ca="1" si="92"/>
        <v>9.8865718053104992</v>
      </c>
      <c r="O143" s="140">
        <f t="shared" ca="1" si="92"/>
        <v>10.210371601968253</v>
      </c>
      <c r="P143" s="140">
        <f t="shared" ca="1" si="92"/>
        <v>10.546897469395729</v>
      </c>
      <c r="Q143" s="140">
        <f t="shared" ca="1" si="92"/>
        <v>10.939247890681102</v>
      </c>
      <c r="R143" s="140">
        <f t="shared" ca="1" si="92"/>
        <v>11.357706166380504</v>
      </c>
      <c r="S143" s="140">
        <f t="shared" ca="1" si="92"/>
        <v>11.785418223423713</v>
      </c>
      <c r="T143" s="140">
        <f t="shared" ca="1" si="92"/>
        <v>12.230332113618999</v>
      </c>
    </row>
    <row r="144" spans="1:20">
      <c r="A144" s="167" t="s">
        <v>1239</v>
      </c>
      <c r="D144" s="175">
        <f>'Fiscal Forecasts'!D$361</f>
        <v>0</v>
      </c>
      <c r="E144" s="175">
        <f>'Fiscal Forecasts'!E$361</f>
        <v>0</v>
      </c>
      <c r="F144" s="176">
        <f>'Fiscal Forecasts'!F$361</f>
        <v>0.35099999999999998</v>
      </c>
      <c r="G144" s="176">
        <f>'Fiscal Forecasts'!G$361</f>
        <v>0.70699999999999996</v>
      </c>
      <c r="H144" s="176">
        <f>'Fiscal Forecasts'!H$361</f>
        <v>0.69899999999999995</v>
      </c>
      <c r="I144" s="176">
        <f>'Fiscal Forecasts'!I$361</f>
        <v>0.66</v>
      </c>
      <c r="J144" s="176">
        <f>'Fiscal Forecasts'!J$361</f>
        <v>0.60299999999999998</v>
      </c>
      <c r="K144" s="171">
        <f ca="1">J$144*(1+K$30)</f>
        <v>0.61553196857899384</v>
      </c>
      <c r="L144" s="171">
        <f t="shared" ref="L144:T144" ca="1" si="93">K$144*(1+L$30)</f>
        <v>0.62807817252389753</v>
      </c>
      <c r="M144" s="171">
        <f t="shared" ca="1" si="93"/>
        <v>0.64063973597437551</v>
      </c>
      <c r="N144" s="171">
        <f t="shared" ca="1" si="93"/>
        <v>0.653452530693863</v>
      </c>
      <c r="O144" s="171">
        <f t="shared" ca="1" si="93"/>
        <v>0.66652158130774031</v>
      </c>
      <c r="P144" s="171">
        <f t="shared" ca="1" si="93"/>
        <v>0.67985201293389508</v>
      </c>
      <c r="Q144" s="171">
        <f t="shared" ca="1" si="93"/>
        <v>0.693449053192573</v>
      </c>
      <c r="R144" s="171">
        <f t="shared" ca="1" si="93"/>
        <v>0.70731803425642448</v>
      </c>
      <c r="S144" s="171">
        <f t="shared" ca="1" si="93"/>
        <v>0.72146439494155301</v>
      </c>
      <c r="T144" s="171">
        <f t="shared" ca="1" si="93"/>
        <v>0.73589368284038403</v>
      </c>
    </row>
    <row r="145" spans="1:20" ht="15">
      <c r="A145" s="168"/>
      <c r="D145" s="145"/>
      <c r="E145" s="145"/>
      <c r="F145" s="145"/>
      <c r="G145" s="145"/>
      <c r="H145" s="145"/>
      <c r="I145" s="145"/>
      <c r="J145" s="145"/>
      <c r="K145" s="145"/>
      <c r="L145" s="145"/>
      <c r="M145" s="145"/>
      <c r="N145" s="145"/>
      <c r="O145" s="145"/>
      <c r="P145" s="145"/>
      <c r="Q145" s="145"/>
      <c r="R145" s="145"/>
      <c r="S145" s="145"/>
      <c r="T145" s="145"/>
    </row>
    <row r="146" spans="1:20">
      <c r="A146" s="18" t="s">
        <v>130</v>
      </c>
    </row>
    <row r="147" spans="1:20" ht="15">
      <c r="A147" s="168" t="s">
        <v>392</v>
      </c>
      <c r="B147" s="4" t="str">
        <f>$B$39</f>
        <v>From Fiscal Forecasts</v>
      </c>
      <c r="D147" s="142">
        <f>'Fiscal Forecasts'!D$156</f>
        <v>1.583</v>
      </c>
      <c r="E147" s="142">
        <f>'Fiscal Forecasts'!E$156</f>
        <v>1.5529999999999999</v>
      </c>
      <c r="F147" s="141">
        <f>'Fiscal Forecasts'!F$156</f>
        <v>1.4930000000000001</v>
      </c>
      <c r="G147" s="141">
        <f>'Fiscal Forecasts'!G$156</f>
        <v>1.5089999999999999</v>
      </c>
      <c r="H147" s="141">
        <f>'Fiscal Forecasts'!H$156</f>
        <v>1.768</v>
      </c>
      <c r="I147" s="141">
        <f>'Fiscal Forecasts'!I$156</f>
        <v>1.7150000000000001</v>
      </c>
      <c r="J147" s="141">
        <f>'Fiscal Forecasts'!J$156</f>
        <v>1.724</v>
      </c>
      <c r="K147" s="134">
        <f ca="1">IF(K$6=OFFSET(Assumptions!$B$8,0,$C$1),AVERAGE(H$147/H$13,I$147/I$13,J$147/J$13),J$147/J$13)*K$13</f>
        <v>1.9165691757389081</v>
      </c>
      <c r="L147" s="134">
        <f ca="1">IF(L$6=OFFSET(Assumptions!$B$8,0,$C$1),AVERAGE(I$147/I$13,J$147/J$13,K$147/K$13),K$147/K$13)*L$13</f>
        <v>1.9983849163322511</v>
      </c>
      <c r="M147" s="134">
        <f ca="1">IF(M$6=OFFSET(Assumptions!$B$8,0,$C$1),AVERAGE(J$147/J$13,K$147/K$13,L$147/L$13),L$147/L$13)*M$13</f>
        <v>2.0811182532271526</v>
      </c>
      <c r="N147" s="134">
        <f ca="1">IF(N$6=OFFSET(Assumptions!$B$8,0,$C$1),AVERAGE(K$147/K$13,L$147/L$13,M$147/M$13),M$147/M$13)*N$13</f>
        <v>2.16775290499934</v>
      </c>
      <c r="O147" s="134">
        <f ca="1">IF(O$6=OFFSET(Assumptions!$B$8,0,$C$1),AVERAGE(L$147/L$13,M$147/M$13,N$147/N$13),N$147/N$13)*O$13</f>
        <v>2.2562639586804134</v>
      </c>
      <c r="P147" s="134">
        <f ca="1">IF(P$6=OFFSET(Assumptions!$B$8,0,$C$1),AVERAGE(M$147/M$13,N$147/N$13,O$147/O$13),O$147/O$13)*P$13</f>
        <v>2.3466411250871499</v>
      </c>
      <c r="Q147" s="134">
        <f ca="1">IF(Q$6=OFFSET(Assumptions!$B$8,0,$C$1),AVERAGE(N$147/N$13,O$147/O$13,P$147/P$13),P$147/P$13)*Q$13</f>
        <v>2.4388777537158175</v>
      </c>
      <c r="R147" s="134">
        <f ca="1">IF(R$6=OFFSET(Assumptions!$B$8,0,$C$1),AVERAGE(O$147/O$13,P$147/P$13,Q$147/Q$13),Q$147/Q$13)*R$13</f>
        <v>2.5327254087669187</v>
      </c>
      <c r="S147" s="134">
        <f ca="1">IF(S$6=OFFSET(Assumptions!$B$8,0,$C$1),AVERAGE(P$147/P$13,Q$147/Q$13,R$147/R$13),R$147/R$13)*S$13</f>
        <v>2.6281092186899815</v>
      </c>
      <c r="T147" s="134">
        <f ca="1">IF(T$6=OFFSET(Assumptions!$B$8,0,$C$1),AVERAGE(Q$147/Q$13,R$147/R$13,S$147/S$13),S$147/S$13)*T$13</f>
        <v>2.7263209876451628</v>
      </c>
    </row>
    <row r="148" spans="1:20" ht="15">
      <c r="A148" s="168" t="s">
        <v>393</v>
      </c>
      <c r="B148" s="4" t="str">
        <f>$B$39</f>
        <v>From Fiscal Forecasts</v>
      </c>
      <c r="D148" s="142">
        <f>'Fiscal Forecasts'!D$11</f>
        <v>19.795999999999999</v>
      </c>
      <c r="E148" s="142">
        <f>'Fiscal Forecasts'!E$11</f>
        <v>18.437000000000001</v>
      </c>
      <c r="F148" s="141">
        <f>'Fiscal Forecasts'!F$11</f>
        <v>17.728999999999999</v>
      </c>
      <c r="G148" s="141">
        <f>'Fiscal Forecasts'!G$11</f>
        <v>17.675999999999998</v>
      </c>
      <c r="H148" s="141">
        <f>'Fiscal Forecasts'!H$11</f>
        <v>18.843</v>
      </c>
      <c r="I148" s="141">
        <f>'Fiscal Forecasts'!I$11</f>
        <v>19.315000000000001</v>
      </c>
      <c r="J148" s="141">
        <f>'Fiscal Forecasts'!J$11</f>
        <v>19.626999999999999</v>
      </c>
      <c r="K148" s="134">
        <f ca="1">SUM(K$147,IF(K$6=OFFSET(Assumptions!$B$8,0,$C$1),AVERAGE((H$148-H$147)/H$13,(I$148-I$147)/I$13,(J$148-J$147)/J$13),(J$148-J$147)/J$13)*K$13)</f>
        <v>21.243525563685779</v>
      </c>
      <c r="L148" s="134">
        <f ca="1">SUM(L$147,IF(L$6=OFFSET(Assumptions!$B$8,0,$C$1),AVERAGE((I$148-I$147)/I$13,(J$148-J$147)/J$13,(K$148-K$147)/K$13),(K$148-K$147)/K$13)*L$13)</f>
        <v>22.150382878729722</v>
      </c>
      <c r="M148" s="134">
        <f ca="1">SUM(M$147,IF(M$6=OFFSET(Assumptions!$B$8,0,$C$1),AVERAGE((J$148-J$147)/J$13,(K$148-K$147)/K$13,(L$148-L$147)/L$13),(L$148-L$147)/L$13)*M$13)</f>
        <v>23.067410961798139</v>
      </c>
      <c r="N148" s="134">
        <f ca="1">SUM(N$147,IF(N$6=OFFSET(Assumptions!$B$8,0,$C$1),AVERAGE((K$148-K$147)/K$13,(L$148-L$147)/L$13,(M$148-M$147)/M$13),(M$148-M$147)/M$13)*N$13)</f>
        <v>24.027681774310778</v>
      </c>
      <c r="O148" s="134">
        <f ca="1">SUM(O$147,IF(O$6=OFFSET(Assumptions!$B$8,0,$C$1),AVERAGE((L$148-L$147)/L$13,(M$148-M$147)/M$13,(N$148-N$147)/N$13),(N$148-N$147)/N$13)*O$13)</f>
        <v>25.008750892683572</v>
      </c>
      <c r="P148" s="134">
        <f ca="1">SUM(P$147,IF(P$6=OFFSET(Assumptions!$B$8,0,$C$1),AVERAGE((M$148-M$147)/M$13,(N$148-N$147)/N$13,(O$148-O$147)/O$13),(O$148-O$147)/O$13)*P$13)</f>
        <v>26.010504270145038</v>
      </c>
      <c r="Q148" s="134">
        <f ca="1">SUM(Q$147,IF(Q$6=OFFSET(Assumptions!$B$8,0,$C$1),AVERAGE((N$148-N$147)/N$13,(O$148-O$147)/O$13,(P$148-P$147)/P$13),(P$148-P$147)/P$13)*Q$13)</f>
        <v>27.032868191565125</v>
      </c>
      <c r="R148" s="134">
        <f ca="1">SUM(R$147,IF(R$6=OFFSET(Assumptions!$B$8,0,$C$1),AVERAGE((O$148-O$147)/O$13,(P$148-P$147)/P$13,(Q$148-Q$147)/Q$13),(Q$148-Q$147)/Q$13)*R$13)</f>
        <v>28.073088959177863</v>
      </c>
      <c r="S148" s="134">
        <f ca="1">SUM(S$147,IF(S$6=OFFSET(Assumptions!$B$8,0,$C$1),AVERAGE((P$148-P$147)/P$13,(Q$148-Q$147)/Q$13,(R$148-R$147)/R$13),(R$148-R$147)/R$13)*S$13)</f>
        <v>29.130336686059998</v>
      </c>
      <c r="T148" s="134">
        <f ca="1">SUM(T$147,IF(T$6=OFFSET(Assumptions!$B$8,0,$C$1),AVERAGE((Q$148-Q$147)/Q$13,(R$148-R$147)/R$13,(S$148-S$147)/S$13),(S$148-S$147)/S$13)*T$13)</f>
        <v>30.218929913408456</v>
      </c>
    </row>
    <row r="149" spans="1:20" ht="15">
      <c r="A149" s="168"/>
      <c r="B149" s="4"/>
      <c r="D149" s="142"/>
      <c r="E149" s="142"/>
      <c r="F149" s="141"/>
      <c r="G149" s="141"/>
      <c r="H149" s="141"/>
      <c r="I149" s="141"/>
      <c r="J149" s="141"/>
      <c r="K149" s="134"/>
      <c r="L149" s="134"/>
      <c r="M149" s="134"/>
      <c r="N149" s="134"/>
      <c r="O149" s="134"/>
      <c r="P149" s="134"/>
      <c r="Q149" s="134"/>
      <c r="R149" s="134"/>
      <c r="S149" s="134"/>
      <c r="T149" s="134"/>
    </row>
    <row r="150" spans="1:20">
      <c r="A150" s="18" t="s">
        <v>957</v>
      </c>
    </row>
    <row r="151" spans="1:20">
      <c r="A151" s="167" t="s">
        <v>556</v>
      </c>
      <c r="D151" s="175">
        <f t="shared" ref="D151:T151" si="94">D$405</f>
        <v>0.39400000000000002</v>
      </c>
      <c r="E151" s="175">
        <f t="shared" si="94"/>
        <v>0.33100000000000002</v>
      </c>
      <c r="F151" s="176">
        <f t="shared" si="94"/>
        <v>0.23400000000000001</v>
      </c>
      <c r="G151" s="176">
        <f t="shared" si="94"/>
        <v>0.19400000000000001</v>
      </c>
      <c r="H151" s="176">
        <f t="shared" si="94"/>
        <v>0.19800000000000001</v>
      </c>
      <c r="I151" s="176">
        <f t="shared" si="94"/>
        <v>0.21299999999999999</v>
      </c>
      <c r="J151" s="176">
        <f t="shared" si="94"/>
        <v>0.23599999999999999</v>
      </c>
      <c r="K151" s="171">
        <f t="shared" si="94"/>
        <v>0.25900000000000001</v>
      </c>
      <c r="L151" s="171">
        <f t="shared" si="94"/>
        <v>0.28199999999999997</v>
      </c>
      <c r="M151" s="171">
        <f t="shared" si="94"/>
        <v>0.30399999999999999</v>
      </c>
      <c r="N151" s="171">
        <f t="shared" si="94"/>
        <v>0.32500000000000001</v>
      </c>
      <c r="O151" s="171">
        <f t="shared" si="94"/>
        <v>0.34399999999999997</v>
      </c>
      <c r="P151" s="171">
        <f t="shared" si="94"/>
        <v>0.36199999999999999</v>
      </c>
      <c r="Q151" s="171">
        <f t="shared" si="94"/>
        <v>0.38</v>
      </c>
      <c r="R151" s="171">
        <f t="shared" si="94"/>
        <v>0.39700000000000002</v>
      </c>
      <c r="S151" s="171">
        <f t="shared" si="94"/>
        <v>0.41399999999999998</v>
      </c>
      <c r="T151" s="171">
        <f t="shared" si="94"/>
        <v>0.43</v>
      </c>
    </row>
    <row r="152" spans="1:20">
      <c r="A152" s="167" t="s">
        <v>975</v>
      </c>
      <c r="D152" s="175">
        <f ca="1">OFFSET(Assumptions!$B$80,0,$C$1)*D$375</f>
        <v>0.34369999999999995</v>
      </c>
      <c r="E152" s="175">
        <f ca="1">OFFSET(Assumptions!$B$80,0,$C$1)*E$375</f>
        <v>0.28105000000000002</v>
      </c>
      <c r="F152" s="176">
        <f ca="1">OFFSET(Assumptions!$B$80,0,$C$1)*F$375</f>
        <v>0.24149999999999996</v>
      </c>
      <c r="G152" s="176">
        <f ca="1">OFFSET(Assumptions!$B$80,0,$C$1)*G$375</f>
        <v>0.3024</v>
      </c>
      <c r="H152" s="176">
        <f ca="1">OFFSET(Assumptions!$B$80,0,$C$1)*H$375</f>
        <v>0.33844999999999997</v>
      </c>
      <c r="I152" s="176">
        <f ca="1">OFFSET(Assumptions!$B$80,0,$C$1)*I$375</f>
        <v>0.36854999999999993</v>
      </c>
      <c r="J152" s="176">
        <f ca="1">OFFSET(Assumptions!$B$80,0,$C$1)*J$375</f>
        <v>0.40319999999999995</v>
      </c>
      <c r="K152" s="171">
        <f ca="1">OFFSET(Assumptions!$B$80,0,$C$1)*K$375</f>
        <v>0.4365060178144507</v>
      </c>
      <c r="L152" s="171">
        <f ca="1">OFFSET(Assumptions!$B$80,0,$C$1)*L$375</f>
        <v>0.47138586389771542</v>
      </c>
      <c r="M152" s="171">
        <f ca="1">OFFSET(Assumptions!$B$80,0,$C$1)*M$375</f>
        <v>0.50683862388997125</v>
      </c>
      <c r="N152" s="171">
        <f ca="1">OFFSET(Assumptions!$B$80,0,$C$1)*N$375</f>
        <v>0.542955042922593</v>
      </c>
      <c r="O152" s="171">
        <f ca="1">OFFSET(Assumptions!$B$80,0,$C$1)*O$375</f>
        <v>0.57996432004000265</v>
      </c>
      <c r="P152" s="171">
        <f ca="1">OFFSET(Assumptions!$B$80,0,$C$1)*P$375</f>
        <v>0.61805525300884401</v>
      </c>
      <c r="Q152" s="171">
        <f ca="1">OFFSET(Assumptions!$B$80,0,$C$1)*Q$375</f>
        <v>0.657325324278211</v>
      </c>
      <c r="R152" s="171">
        <f ca="1">OFFSET(Assumptions!$B$80,0,$C$1)*R$375</f>
        <v>0.69772839837909517</v>
      </c>
      <c r="S152" s="171">
        <f ca="1">OFFSET(Assumptions!$B$80,0,$C$1)*S$375</f>
        <v>0.73914158301674682</v>
      </c>
      <c r="T152" s="171">
        <f ca="1">OFFSET(Assumptions!$B$80,0,$C$1)*T$375</f>
        <v>0.78156344244887466</v>
      </c>
    </row>
    <row r="153" spans="1:20">
      <c r="A153" s="167" t="s">
        <v>976</v>
      </c>
      <c r="B153" s="4" t="str">
        <f>$B$39</f>
        <v>From Fiscal Forecasts</v>
      </c>
      <c r="D153" s="175">
        <f ca="1">'Fiscal Forecasts'!D$157-SUM(D$151,OFFSET(Assumptions!$B$80,0,$C$1)*'Fiscal Forecasts'!D$344)</f>
        <v>0.32230000000000003</v>
      </c>
      <c r="E153" s="175">
        <f ca="1">'Fiscal Forecasts'!E$157-SUM(E$151,OFFSET(Assumptions!$B$80,0,$C$1)*'Fiscal Forecasts'!E$344)</f>
        <v>0.23794999999999999</v>
      </c>
      <c r="F153" s="176">
        <f ca="1">'Fiscal Forecasts'!F$157-SUM(F$151,OFFSET(Assumptions!$B$80,0,$C$1)*'Fiscal Forecasts'!F$344)</f>
        <v>0.23949999999999999</v>
      </c>
      <c r="G153" s="176">
        <f ca="1">'Fiscal Forecasts'!G$157-SUM(G$151,OFFSET(Assumptions!$B$80,0,$C$1)*'Fiscal Forecasts'!G$344)</f>
        <v>0.18060000000000004</v>
      </c>
      <c r="H153" s="176">
        <f ca="1">'Fiscal Forecasts'!H$157-SUM(H$151,OFFSET(Assumptions!$B$80,0,$C$1)*'Fiscal Forecasts'!H$344)</f>
        <v>0.23055000000000003</v>
      </c>
      <c r="I153" s="176">
        <f ca="1">'Fiscal Forecasts'!I$157-SUM(I$151,OFFSET(Assumptions!$B$80,0,$C$1)*'Fiscal Forecasts'!I$344)</f>
        <v>0.26145000000000007</v>
      </c>
      <c r="J153" s="176">
        <f ca="1">'Fiscal Forecasts'!J$157-SUM(J$151,OFFSET(Assumptions!$B$80,0,$C$1)*'Fiscal Forecasts'!J$344)</f>
        <v>0.27680000000000005</v>
      </c>
      <c r="K153" s="171">
        <f ca="1">OFFSET(Assumptions!$B$38,0,$C$1)*AVERAGE(SUM(J$345,J$394),SUM(K$345,K$394))*K$234</f>
        <v>6.8315822083687111E-2</v>
      </c>
      <c r="L153" s="171">
        <f ca="1">OFFSET(Assumptions!$B$38,0,$C$1)*AVERAGE(SUM(K$345,K$394),SUM(L$345,L$394))*L$234</f>
        <v>8.6497948007911468E-2</v>
      </c>
      <c r="M153" s="171">
        <f ca="1">OFFSET(Assumptions!$B$38,0,$C$1)*AVERAGE(SUM(L$345,L$394),SUM(M$345,M$394))*M$234</f>
        <v>0.10603337846428512</v>
      </c>
      <c r="N153" s="171">
        <f ca="1">OFFSET(Assumptions!$B$38,0,$C$1)*AVERAGE(SUM(M$345,M$394),SUM(N$345,N$394))*N$234</f>
        <v>0.12664429100461641</v>
      </c>
      <c r="O153" s="171">
        <f ca="1">OFFSET(Assumptions!$B$38,0,$C$1)*AVERAGE(SUM(N$345,N$394),SUM(O$345,O$394))*O$234</f>
        <v>0.14794339180817012</v>
      </c>
      <c r="P153" s="171">
        <f ca="1">OFFSET(Assumptions!$B$38,0,$C$1)*AVERAGE(SUM(O$345,O$394),SUM(P$345,P$394))*P$234</f>
        <v>0.16937687156789583</v>
      </c>
      <c r="Q153" s="171">
        <f ca="1">OFFSET(Assumptions!$B$38,0,$C$1)*AVERAGE(SUM(P$345,P$394),SUM(Q$345,Q$394))*Q$234</f>
        <v>0.19135924959086648</v>
      </c>
      <c r="R153" s="171">
        <f ca="1">OFFSET(Assumptions!$B$38,0,$C$1)*AVERAGE(SUM(Q$345,Q$394),SUM(R$345,R$394))*R$234</f>
        <v>0.21465630159634988</v>
      </c>
      <c r="S153" s="171">
        <f ca="1">OFFSET(Assumptions!$B$38,0,$C$1)*AVERAGE(SUM(R$345,R$394),SUM(S$345,S$394))*S$234</f>
        <v>0.23928624275736474</v>
      </c>
      <c r="T153" s="171">
        <f ca="1">OFFSET(Assumptions!$B$38,0,$C$1)*AVERAGE(SUM(S$345,S$394),SUM(T$345,T$394))*T$234</f>
        <v>0.2653394905074527</v>
      </c>
    </row>
    <row r="154" spans="1:20" ht="15">
      <c r="A154" s="168" t="s">
        <v>977</v>
      </c>
      <c r="D154" s="138">
        <f t="shared" ref="D154:T154" ca="1" si="95">SUM(D$151:D$153)</f>
        <v>1.06</v>
      </c>
      <c r="E154" s="138">
        <f t="shared" ca="1" si="95"/>
        <v>0.85</v>
      </c>
      <c r="F154" s="137">
        <f t="shared" ca="1" si="95"/>
        <v>0.71499999999999997</v>
      </c>
      <c r="G154" s="137">
        <f t="shared" ca="1" si="95"/>
        <v>0.67700000000000005</v>
      </c>
      <c r="H154" s="137">
        <f t="shared" ca="1" si="95"/>
        <v>0.76700000000000002</v>
      </c>
      <c r="I154" s="137">
        <f t="shared" ca="1" si="95"/>
        <v>0.84299999999999997</v>
      </c>
      <c r="J154" s="137">
        <f t="shared" ca="1" si="95"/>
        <v>0.91600000000000004</v>
      </c>
      <c r="K154" s="140">
        <f t="shared" ca="1" si="95"/>
        <v>0.7638218398981379</v>
      </c>
      <c r="L154" s="140">
        <f t="shared" ca="1" si="95"/>
        <v>0.83988381190562678</v>
      </c>
      <c r="M154" s="140">
        <f t="shared" ca="1" si="95"/>
        <v>0.91687200235425625</v>
      </c>
      <c r="N154" s="140">
        <f t="shared" ca="1" si="95"/>
        <v>0.99459933392720945</v>
      </c>
      <c r="O154" s="140">
        <f t="shared" ca="1" si="95"/>
        <v>1.0719077118481728</v>
      </c>
      <c r="P154" s="140">
        <f t="shared" ca="1" si="95"/>
        <v>1.1494321245767398</v>
      </c>
      <c r="Q154" s="140">
        <f t="shared" ca="1" si="95"/>
        <v>1.2286845738690775</v>
      </c>
      <c r="R154" s="140">
        <f t="shared" ca="1" si="95"/>
        <v>1.309384699975445</v>
      </c>
      <c r="S154" s="140">
        <f t="shared" ca="1" si="95"/>
        <v>1.3924278257741116</v>
      </c>
      <c r="T154" s="140">
        <f t="shared" ca="1" si="95"/>
        <v>1.4769029329563272</v>
      </c>
    </row>
    <row r="155" spans="1:20">
      <c r="A155" s="167" t="s">
        <v>256</v>
      </c>
      <c r="B155" s="4" t="str">
        <f>$B$39</f>
        <v>From Fiscal Forecasts</v>
      </c>
      <c r="D155" s="175">
        <f>'Fiscal Forecasts'!D$223</f>
        <v>1.016</v>
      </c>
      <c r="E155" s="175">
        <f>'Fiscal Forecasts'!E$223</f>
        <v>0.94699999999999995</v>
      </c>
      <c r="F155" s="176">
        <f>'Fiscal Forecasts'!F$223</f>
        <v>0.78700000000000003</v>
      </c>
      <c r="G155" s="176">
        <f>'Fiscal Forecasts'!G$223</f>
        <v>0.71599999999999997</v>
      </c>
      <c r="H155" s="176">
        <f>'Fiscal Forecasts'!H$223</f>
        <v>0.72899999999999998</v>
      </c>
      <c r="I155" s="176">
        <f>'Fiscal Forecasts'!I$223</f>
        <v>0.75700000000000001</v>
      </c>
      <c r="J155" s="176">
        <f>'Fiscal Forecasts'!J$223</f>
        <v>0.76200000000000001</v>
      </c>
      <c r="K155" s="171">
        <f>J$155*Exogenous!V$27/Exogenous!U$27</f>
        <v>0.81754511086628701</v>
      </c>
      <c r="L155" s="171">
        <f>K$155*Exogenous!W$27/Exogenous!V$27</f>
        <v>0.87957322919872571</v>
      </c>
      <c r="M155" s="171">
        <f>L$155*Exogenous!X$27/Exogenous!W$27</f>
        <v>0.94614949168465856</v>
      </c>
      <c r="N155" s="171">
        <f>M$155*Exogenous!Y$27/Exogenous!X$27</f>
        <v>1.0145177101086948</v>
      </c>
      <c r="O155" s="171">
        <f>N$155*Exogenous!Z$27/Exogenous!Y$27</f>
        <v>1.0827457522403319</v>
      </c>
      <c r="P155" s="171">
        <f>O$155*Exogenous!AA$27/Exogenous!Z$27</f>
        <v>1.1433222098589129</v>
      </c>
      <c r="Q155" s="171">
        <f>P$155*Exogenous!AB$27/Exogenous!AA$27</f>
        <v>1.2031343273124842</v>
      </c>
      <c r="R155" s="171">
        <f>Q$155*Exogenous!AC$27/Exogenous!AB$27</f>
        <v>1.2792971538070397</v>
      </c>
      <c r="S155" s="171">
        <f>R$155*Exogenous!AD$27/Exogenous!AC$27</f>
        <v>1.3648978340645728</v>
      </c>
      <c r="T155" s="171">
        <f>S$155*Exogenous!AE$27/Exogenous!AD$27</f>
        <v>1.4404656046402391</v>
      </c>
    </row>
    <row r="156" spans="1:20">
      <c r="A156" s="167" t="s">
        <v>418</v>
      </c>
      <c r="B156" s="4" t="str">
        <f>$B$39</f>
        <v>From Fiscal Forecasts</v>
      </c>
      <c r="D156" s="175">
        <f>'Fiscal Forecasts'!D$224</f>
        <v>1.014</v>
      </c>
      <c r="E156" s="175">
        <f>'Fiscal Forecasts'!E$224</f>
        <v>0.95299999999999996</v>
      </c>
      <c r="F156" s="176">
        <f>'Fiscal Forecasts'!F$224</f>
        <v>0.84099999999999997</v>
      </c>
      <c r="G156" s="176">
        <f>'Fiscal Forecasts'!G$224</f>
        <v>0.93200000000000005</v>
      </c>
      <c r="H156" s="176">
        <f>'Fiscal Forecasts'!H$224</f>
        <v>1.0249999999999999</v>
      </c>
      <c r="I156" s="176">
        <f>'Fiscal Forecasts'!I$224</f>
        <v>1.1319999999999999</v>
      </c>
      <c r="J156" s="176">
        <f>'Fiscal Forecasts'!J$224</f>
        <v>1.25</v>
      </c>
      <c r="K156" s="171">
        <f t="shared" ref="K156:T156" ca="1" si="96">J$156*K$396/J$396</f>
        <v>1.2634274142918172</v>
      </c>
      <c r="L156" s="171">
        <f t="shared" ca="1" si="96"/>
        <v>1.3173614182895415</v>
      </c>
      <c r="M156" s="171">
        <f t="shared" ca="1" si="96"/>
        <v>1.3719003137450418</v>
      </c>
      <c r="N156" s="171">
        <f t="shared" ca="1" si="96"/>
        <v>1.4290110068847286</v>
      </c>
      <c r="O156" s="171">
        <f t="shared" ca="1" si="96"/>
        <v>1.4873586486521637</v>
      </c>
      <c r="P156" s="171">
        <f t="shared" ca="1" si="96"/>
        <v>1.5469364562834809</v>
      </c>
      <c r="Q156" s="171">
        <f t="shared" ca="1" si="96"/>
        <v>1.6077400456798216</v>
      </c>
      <c r="R156" s="171">
        <f t="shared" ca="1" si="96"/>
        <v>1.6696056447197576</v>
      </c>
      <c r="S156" s="171">
        <f t="shared" ca="1" si="96"/>
        <v>1.7324838971000485</v>
      </c>
      <c r="T156" s="171">
        <f t="shared" ca="1" si="96"/>
        <v>1.7972263769827437</v>
      </c>
    </row>
    <row r="157" spans="1:20">
      <c r="A157" s="167" t="s">
        <v>419</v>
      </c>
      <c r="B157" s="4" t="str">
        <f>$B$39</f>
        <v>From Fiscal Forecasts</v>
      </c>
      <c r="D157" s="175">
        <f>'Fiscal Forecasts'!D$225</f>
        <v>-0.44400000000000001</v>
      </c>
      <c r="E157" s="175">
        <f>'Fiscal Forecasts'!E$225</f>
        <v>-0.45</v>
      </c>
      <c r="F157" s="176">
        <f>'Fiscal Forecasts'!F$225</f>
        <v>-0.32800000000000001</v>
      </c>
      <c r="G157" s="176">
        <f>'Fiscal Forecasts'!G$225</f>
        <v>-0.30499999999999999</v>
      </c>
      <c r="H157" s="176">
        <f>'Fiscal Forecasts'!H$225</f>
        <v>-0.30499999999999999</v>
      </c>
      <c r="I157" s="176">
        <f>'Fiscal Forecasts'!I$225</f>
        <v>-0.30499999999999999</v>
      </c>
      <c r="J157" s="176">
        <f>'Fiscal Forecasts'!J$225</f>
        <v>-0.311</v>
      </c>
      <c r="K157" s="171">
        <f ca="1">IF(K$6=OFFSET(Assumptions!$B$8,0,$C$1),AVERAGE(H$157/SUM(H$155:H$156),I$157/SUM(I$155:I$156),J$157/SUM(J$155:J$156)),J$157/SUM(J$155:J$156))*SUM(K$155:K$156)</f>
        <v>-0.33983801177764533</v>
      </c>
      <c r="L157" s="171">
        <f ca="1">IF(L$6=OFFSET(Assumptions!$B$8,0,$C$1),AVERAGE(I$157/SUM(I$155:I$156),J$157/SUM(J$155:J$156),K$157/SUM(K$155:K$156)),K$157/SUM(K$155:K$156))*SUM(L$155:L$156)</f>
        <v>-0.35877547328555476</v>
      </c>
      <c r="M157" s="171">
        <f ca="1">IF(M$6=OFFSET(Assumptions!$B$8,0,$C$1),AVERAGE(J$157/SUM(J$155:J$156),K$157/SUM(K$155:K$156),L$157/SUM(L$155:L$156)),L$157/SUM(L$155:L$156))*SUM(M$155:M$156)</f>
        <v>-0.3785544631440706</v>
      </c>
      <c r="N157" s="171">
        <f ca="1">IF(N$6=OFFSET(Assumptions!$B$8,0,$C$1),AVERAGE(K$157/SUM(K$155:K$156),L$157/SUM(L$155:L$156),M$157/SUM(M$155:M$156)),M$157/SUM(M$155:M$156))*SUM(N$155:N$156)</f>
        <v>-0.3990460858398574</v>
      </c>
      <c r="O157" s="171">
        <f ca="1">IF(O$6=OFFSET(Assumptions!$B$8,0,$C$1),AVERAGE(L$157/SUM(L$155:L$156),M$157/SUM(M$155:M$156),N$157/SUM(N$155:N$156)),N$157/SUM(N$155:N$156))*SUM(O$155:O$156)</f>
        <v>-0.41971681946830275</v>
      </c>
      <c r="P157" s="171">
        <f ca="1">IF(P$6=OFFSET(Assumptions!$B$8,0,$C$1),AVERAGE(M$157/SUM(M$155:M$156),N$157/SUM(N$155:N$156),O$157/SUM(O$155:O$156)),O$157/SUM(O$155:O$156))*SUM(P$155:P$156)</f>
        <v>-0.43933888853239422</v>
      </c>
      <c r="Q157" s="171">
        <f ca="1">IF(Q$6=OFFSET(Assumptions!$B$8,0,$C$1),AVERAGE(N$157/SUM(N$155:N$156),O$157/SUM(O$155:O$156),P$157/SUM(P$155:P$156)),P$157/SUM(P$155:P$156))*SUM(Q$155:Q$156)</f>
        <v>-0.45903631437991477</v>
      </c>
      <c r="R157" s="171">
        <f ca="1">IF(R$6=OFFSET(Assumptions!$B$8,0,$C$1),AVERAGE(O$157/SUM(O$155:O$156),P$157/SUM(P$155:P$156),Q$157/SUM(Q$155:Q$156)),Q$157/SUM(Q$155:Q$156))*SUM(R$155:R$156)</f>
        <v>-0.48157736436272341</v>
      </c>
      <c r="S157" s="171">
        <f ca="1">IF(S$6=OFFSET(Assumptions!$B$8,0,$C$1),AVERAGE(P$157/SUM(P$155:P$156),Q$157/SUM(Q$155:Q$156),R$157/SUM(R$155:R$156)),R$157/SUM(R$155:R$156))*SUM(S$155:S$156)</f>
        <v>-0.50582505848096815</v>
      </c>
      <c r="T157" s="171">
        <f ca="1">IF(T$6=OFFSET(Assumptions!$B$8,0,$C$1),AVERAGE(Q$157/SUM(Q$155:Q$156),R$157/SUM(R$155:R$156),S$157/SUM(S$155:S$156)),S$157/SUM(S$155:S$156))*SUM(T$155:T$156)</f>
        <v>-0.52873874713919311</v>
      </c>
    </row>
    <row r="158" spans="1:20" ht="15">
      <c r="A158" s="168" t="s">
        <v>978</v>
      </c>
      <c r="D158" s="138">
        <f t="shared" ref="D158:T158" ca="1" si="97">SUM(D$154:D$157)</f>
        <v>2.6459999999999999</v>
      </c>
      <c r="E158" s="138">
        <f t="shared" ca="1" si="97"/>
        <v>2.2999999999999998</v>
      </c>
      <c r="F158" s="137">
        <f t="shared" ca="1" si="97"/>
        <v>2.0150000000000001</v>
      </c>
      <c r="G158" s="137">
        <f t="shared" ca="1" si="97"/>
        <v>2.02</v>
      </c>
      <c r="H158" s="137">
        <f t="shared" ca="1" si="97"/>
        <v>2.2159999999999997</v>
      </c>
      <c r="I158" s="137">
        <f t="shared" ca="1" si="97"/>
        <v>2.427</v>
      </c>
      <c r="J158" s="137">
        <f t="shared" ca="1" si="97"/>
        <v>2.617</v>
      </c>
      <c r="K158" s="140">
        <f t="shared" ca="1" si="97"/>
        <v>2.504956353278597</v>
      </c>
      <c r="L158" s="140">
        <f t="shared" ca="1" si="97"/>
        <v>2.678042986108339</v>
      </c>
      <c r="M158" s="140">
        <f t="shared" ca="1" si="97"/>
        <v>2.8563673446398865</v>
      </c>
      <c r="N158" s="140">
        <f t="shared" ca="1" si="97"/>
        <v>3.0390819650807757</v>
      </c>
      <c r="O158" s="140">
        <f t="shared" ca="1" si="97"/>
        <v>3.2222952932723659</v>
      </c>
      <c r="P158" s="140">
        <f t="shared" ca="1" si="97"/>
        <v>3.4003519021867397</v>
      </c>
      <c r="Q158" s="140">
        <f t="shared" ca="1" si="97"/>
        <v>3.5805226324814687</v>
      </c>
      <c r="R158" s="140">
        <f t="shared" ca="1" si="97"/>
        <v>3.7767101341395191</v>
      </c>
      <c r="S158" s="140">
        <f t="shared" ca="1" si="97"/>
        <v>3.9839844984577644</v>
      </c>
      <c r="T158" s="140">
        <f t="shared" ca="1" si="97"/>
        <v>4.1858561674401171</v>
      </c>
    </row>
    <row r="159" spans="1:20" ht="15">
      <c r="A159" s="168"/>
      <c r="D159" s="145"/>
      <c r="E159" s="145"/>
      <c r="F159" s="145"/>
      <c r="G159" s="145"/>
      <c r="H159" s="146"/>
      <c r="I159" s="146"/>
      <c r="J159" s="146"/>
      <c r="K159" s="146"/>
      <c r="L159" s="146"/>
      <c r="M159" s="146"/>
      <c r="N159" s="146"/>
      <c r="O159" s="146"/>
      <c r="P159" s="146"/>
      <c r="Q159" s="146"/>
      <c r="R159" s="146"/>
      <c r="S159" s="146"/>
      <c r="T159" s="146"/>
    </row>
    <row r="160" spans="1:20" ht="15">
      <c r="A160" s="18" t="s">
        <v>974</v>
      </c>
      <c r="D160" s="145"/>
      <c r="E160" s="145"/>
      <c r="F160" s="145"/>
      <c r="G160" s="145"/>
      <c r="H160" s="146"/>
      <c r="I160" s="146"/>
      <c r="J160" s="146"/>
      <c r="K160" s="146"/>
      <c r="L160" s="146"/>
      <c r="M160" s="146"/>
      <c r="N160" s="146"/>
      <c r="O160" s="146"/>
      <c r="P160" s="146"/>
      <c r="Q160" s="146"/>
      <c r="R160" s="146"/>
      <c r="S160" s="146"/>
      <c r="T160" s="146"/>
    </row>
    <row r="161" spans="1:20">
      <c r="A161" s="167" t="s">
        <v>979</v>
      </c>
      <c r="D161" s="175">
        <f ca="1">OFFSET(Assumptions!$B$81,0,$C$1)*D$375</f>
        <v>0.58919999999999995</v>
      </c>
      <c r="E161" s="175">
        <f ca="1">OFFSET(Assumptions!$B$81,0,$C$1)*E$375</f>
        <v>0.48180000000000001</v>
      </c>
      <c r="F161" s="176">
        <f ca="1">OFFSET(Assumptions!$B$81,0,$C$1)*F$375</f>
        <v>0.41399999999999998</v>
      </c>
      <c r="G161" s="176">
        <f ca="1">OFFSET(Assumptions!$B$81,0,$C$1)*G$375</f>
        <v>0.51839999999999997</v>
      </c>
      <c r="H161" s="176">
        <f ca="1">OFFSET(Assumptions!$B$81,0,$C$1)*H$375</f>
        <v>0.58019999999999994</v>
      </c>
      <c r="I161" s="176">
        <f ca="1">OFFSET(Assumptions!$B$81,0,$C$1)*I$375</f>
        <v>0.63179999999999992</v>
      </c>
      <c r="J161" s="176">
        <f ca="1">OFFSET(Assumptions!$B$81,0,$C$1)*J$375</f>
        <v>0.69119999999999993</v>
      </c>
      <c r="K161" s="171">
        <f ca="1">OFFSET(Assumptions!$B$81,0,$C$1)*K$375</f>
        <v>0.74829603053905835</v>
      </c>
      <c r="L161" s="171">
        <f ca="1">OFFSET(Assumptions!$B$81,0,$C$1)*L$375</f>
        <v>0.80809005239608367</v>
      </c>
      <c r="M161" s="171">
        <f ca="1">OFFSET(Assumptions!$B$81,0,$C$1)*M$375</f>
        <v>0.86886621238280781</v>
      </c>
      <c r="N161" s="171">
        <f ca="1">OFFSET(Assumptions!$B$81,0,$C$1)*N$375</f>
        <v>0.9307800735815881</v>
      </c>
      <c r="O161" s="171">
        <f ca="1">OFFSET(Assumptions!$B$81,0,$C$1)*O$375</f>
        <v>0.99422454864000454</v>
      </c>
      <c r="P161" s="171">
        <f ca="1">OFFSET(Assumptions!$B$81,0,$C$1)*P$375</f>
        <v>1.059523290872304</v>
      </c>
      <c r="Q161" s="171">
        <f ca="1">OFFSET(Assumptions!$B$81,0,$C$1)*Q$375</f>
        <v>1.1268434130483618</v>
      </c>
      <c r="R161" s="171">
        <f ca="1">OFFSET(Assumptions!$B$81,0,$C$1)*R$375</f>
        <v>1.1961058257927346</v>
      </c>
      <c r="S161" s="171">
        <f ca="1">OFFSET(Assumptions!$B$81,0,$C$1)*S$375</f>
        <v>1.2670998566001375</v>
      </c>
      <c r="T161" s="171">
        <f ca="1">OFFSET(Assumptions!$B$81,0,$C$1)*T$375</f>
        <v>1.3398230441980707</v>
      </c>
    </row>
    <row r="162" spans="1:20">
      <c r="A162" s="167" t="s">
        <v>980</v>
      </c>
      <c r="B162" s="4" t="str">
        <f>$B$39</f>
        <v>From Fiscal Forecasts</v>
      </c>
      <c r="D162" s="175">
        <f ca="1">'Fiscal Forecasts'!D$228-OFFSET(Assumptions!$B$81,0,$C$1)*'Fiscal Forecasts'!D$344</f>
        <v>0.87380000000000013</v>
      </c>
      <c r="E162" s="175">
        <f ca="1">'Fiscal Forecasts'!E$228-OFFSET(Assumptions!$B$81,0,$C$1)*'Fiscal Forecasts'!E$344</f>
        <v>0.85420000000000007</v>
      </c>
      <c r="F162" s="176">
        <f ca="1">'Fiscal Forecasts'!F$228-OFFSET(Assumptions!$B$81,0,$C$1)*'Fiscal Forecasts'!F$344</f>
        <v>0.65600000000000014</v>
      </c>
      <c r="G162" s="176">
        <f ca="1">'Fiscal Forecasts'!G$228-OFFSET(Assumptions!$B$81,0,$C$1)*'Fiscal Forecasts'!G$344</f>
        <v>0.72760000000000002</v>
      </c>
      <c r="H162" s="176">
        <f ca="1">'Fiscal Forecasts'!H$228-OFFSET(Assumptions!$B$81,0,$C$1)*'Fiscal Forecasts'!H$344</f>
        <v>0.71879999999999999</v>
      </c>
      <c r="I162" s="176">
        <f ca="1">'Fiscal Forecasts'!I$228-OFFSET(Assumptions!$B$81,0,$C$1)*'Fiscal Forecasts'!I$344</f>
        <v>0.75619999999999998</v>
      </c>
      <c r="J162" s="176">
        <f ca="1">'Fiscal Forecasts'!J$228-OFFSET(Assumptions!$B$81,0,$C$1)*'Fiscal Forecasts'!J$344</f>
        <v>0.78480000000000005</v>
      </c>
      <c r="K162" s="171">
        <f t="shared" ref="K162:T162" ca="1" si="98">AVERAGE(SUM(J$345,J$358,J$367,J$394),SUM(K$345,K$358,K$367,K$394))*K$234-K$153</f>
        <v>0.33573386720264964</v>
      </c>
      <c r="L162" s="171">
        <f t="shared" ca="1" si="98"/>
        <v>0.41057209870595424</v>
      </c>
      <c r="M162" s="171">
        <f t="shared" ca="1" si="98"/>
        <v>0.49064020758482324</v>
      </c>
      <c r="N162" s="171">
        <f t="shared" ca="1" si="98"/>
        <v>0.57588984758847683</v>
      </c>
      <c r="O162" s="171">
        <f t="shared" ca="1" si="98"/>
        <v>0.66595747419776341</v>
      </c>
      <c r="P162" s="171">
        <f t="shared" ca="1" si="98"/>
        <v>0.75993481594497836</v>
      </c>
      <c r="Q162" s="171">
        <f t="shared" ca="1" si="98"/>
        <v>0.85856206205173358</v>
      </c>
      <c r="R162" s="171">
        <f t="shared" ca="1" si="98"/>
        <v>0.96308779076523598</v>
      </c>
      <c r="S162" s="171">
        <f t="shared" ca="1" si="98"/>
        <v>1.073593727199589</v>
      </c>
      <c r="T162" s="171">
        <f t="shared" ca="1" si="98"/>
        <v>1.1904855427730958</v>
      </c>
    </row>
    <row r="163" spans="1:20" ht="15">
      <c r="A163" s="168" t="s">
        <v>981</v>
      </c>
      <c r="D163" s="138">
        <f t="shared" ref="D163:J163" ca="1" si="99">SUM(D$161:D$162)</f>
        <v>1.4630000000000001</v>
      </c>
      <c r="E163" s="138">
        <f t="shared" ca="1" si="99"/>
        <v>1.3360000000000001</v>
      </c>
      <c r="F163" s="137">
        <f t="shared" ca="1" si="99"/>
        <v>1.07</v>
      </c>
      <c r="G163" s="137">
        <f t="shared" ca="1" si="99"/>
        <v>1.246</v>
      </c>
      <c r="H163" s="137">
        <f t="shared" ca="1" si="99"/>
        <v>1.2989999999999999</v>
      </c>
      <c r="I163" s="137">
        <f t="shared" ca="1" si="99"/>
        <v>1.3879999999999999</v>
      </c>
      <c r="J163" s="137">
        <f t="shared" ca="1" si="99"/>
        <v>1.476</v>
      </c>
      <c r="K163" s="140">
        <f t="shared" ref="K163:T163" ca="1" si="100">SUM(K$161:K$162)</f>
        <v>1.084029897741708</v>
      </c>
      <c r="L163" s="140">
        <f t="shared" ca="1" si="100"/>
        <v>1.2186621511020379</v>
      </c>
      <c r="M163" s="140">
        <f t="shared" ca="1" si="100"/>
        <v>1.359506419967631</v>
      </c>
      <c r="N163" s="140">
        <f t="shared" ca="1" si="100"/>
        <v>1.5066699211700649</v>
      </c>
      <c r="O163" s="140">
        <f t="shared" ca="1" si="100"/>
        <v>1.6601820228377679</v>
      </c>
      <c r="P163" s="140">
        <f t="shared" ca="1" si="100"/>
        <v>1.8194581068172824</v>
      </c>
      <c r="Q163" s="140">
        <f t="shared" ca="1" si="100"/>
        <v>1.9854054751000954</v>
      </c>
      <c r="R163" s="140">
        <f t="shared" ca="1" si="100"/>
        <v>2.1591936165579706</v>
      </c>
      <c r="S163" s="140">
        <f t="shared" ca="1" si="100"/>
        <v>2.3406935837997267</v>
      </c>
      <c r="T163" s="140">
        <f t="shared" ca="1" si="100"/>
        <v>2.5303085869711666</v>
      </c>
    </row>
    <row r="164" spans="1:20">
      <c r="A164" s="167" t="s">
        <v>256</v>
      </c>
      <c r="B164" s="4" t="str">
        <f>$B$39</f>
        <v>From Fiscal Forecasts</v>
      </c>
      <c r="D164" s="175">
        <f>'Fiscal Forecasts'!D$229</f>
        <v>0.42399999999999999</v>
      </c>
      <c r="E164" s="175">
        <f>'Fiscal Forecasts'!E$229</f>
        <v>0.39500000000000002</v>
      </c>
      <c r="F164" s="176">
        <f>'Fiscal Forecasts'!F$229</f>
        <v>0.43</v>
      </c>
      <c r="G164" s="176">
        <f>'Fiscal Forecasts'!G$229</f>
        <v>0.439</v>
      </c>
      <c r="H164" s="176">
        <f>'Fiscal Forecasts'!H$229</f>
        <v>0.44</v>
      </c>
      <c r="I164" s="176">
        <f>'Fiscal Forecasts'!I$229</f>
        <v>0.44500000000000001</v>
      </c>
      <c r="J164" s="176">
        <f>'Fiscal Forecasts'!J$229</f>
        <v>0.45700000000000002</v>
      </c>
      <c r="K164" s="171">
        <f>J$164*Exogenous!V$27/Exogenous!U$27</f>
        <v>0.49031248775051595</v>
      </c>
      <c r="L164" s="171">
        <f>K$164*Exogenous!W$27/Exogenous!V$27</f>
        <v>0.52751307840396011</v>
      </c>
      <c r="M164" s="171">
        <f>L$164*Exogenous!X$27/Exogenous!W$27</f>
        <v>0.5674413618108779</v>
      </c>
      <c r="N164" s="171">
        <f>M$164*Exogenous!Y$27/Exogenous!X$27</f>
        <v>0.60844434845101514</v>
      </c>
      <c r="O164" s="171">
        <f>N$164*Exogenous!Z$27/Exogenous!Y$27</f>
        <v>0.64936326610739059</v>
      </c>
      <c r="P164" s="171">
        <f>O$164*Exogenous!AA$27/Exogenous!Z$27</f>
        <v>0.68569324134583087</v>
      </c>
      <c r="Q164" s="171">
        <f>P$164*Exogenous!AB$27/Exogenous!AA$27</f>
        <v>0.72156481309948195</v>
      </c>
      <c r="R164" s="171">
        <f>Q$164*Exogenous!AC$27/Exogenous!AB$27</f>
        <v>0.76724251875304095</v>
      </c>
      <c r="S164" s="171">
        <f>R$164*Exogenous!AD$27/Exogenous!AC$27</f>
        <v>0.81858045953741454</v>
      </c>
      <c r="T164" s="171">
        <f>S$164*Exogenous!AE$27/Exogenous!AD$27</f>
        <v>0.8639012878222958</v>
      </c>
    </row>
    <row r="165" spans="1:20">
      <c r="A165" s="167" t="s">
        <v>982</v>
      </c>
      <c r="B165" s="4" t="str">
        <f>$B$39</f>
        <v>From Fiscal Forecasts</v>
      </c>
      <c r="D165" s="175">
        <f>'Fiscal Forecasts'!D$230</f>
        <v>-0.81699999999999995</v>
      </c>
      <c r="E165" s="175">
        <f>'Fiscal Forecasts'!E$230</f>
        <v>-0.82499999999999996</v>
      </c>
      <c r="F165" s="176">
        <f>'Fiscal Forecasts'!F$230</f>
        <v>-0.622</v>
      </c>
      <c r="G165" s="176">
        <f>'Fiscal Forecasts'!G$230</f>
        <v>-0.58399999999999996</v>
      </c>
      <c r="H165" s="176">
        <f>'Fiscal Forecasts'!H$230</f>
        <v>-0.56899999999999995</v>
      </c>
      <c r="I165" s="176">
        <f>'Fiscal Forecasts'!I$230</f>
        <v>-0.58699999999999997</v>
      </c>
      <c r="J165" s="176">
        <f>'Fiscal Forecasts'!J$230</f>
        <v>-0.59499999999999997</v>
      </c>
      <c r="K165" s="171">
        <f ca="1">IF(K$6=OFFSET(Assumptions!$B$8,0,$C$1),AVERAGE(H$165/H$164,I$165/I$164,J$165/J$164),J$165/J$164)*K$164</f>
        <v>-0.63973559547613312</v>
      </c>
      <c r="L165" s="171">
        <f ca="1">IF(L$6=OFFSET(Assumptions!$B$8,0,$C$1),AVERAGE(I$165/I$164,J$165/J$164,K$165/K$164),K$165/K$164)*L$164</f>
        <v>-0.6882730947409984</v>
      </c>
      <c r="M165" s="171">
        <f ca="1">IF(M$6=OFFSET(Assumptions!$B$8,0,$C$1),AVERAGE(J$165/J$164,K$165/K$164,L$165/L$164),L$165/L$164)*M$164</f>
        <v>-0.74036955322373976</v>
      </c>
      <c r="N165" s="171">
        <f ca="1">IF(N$6=OFFSET(Assumptions!$B$8,0,$C$1),AVERAGE(K$165/K$164,L$165/L$164,M$165/M$164),M$165/M$164)*N$164</f>
        <v>-0.79386823157654396</v>
      </c>
      <c r="O165" s="171">
        <f ca="1">IF(O$6=OFFSET(Assumptions!$B$8,0,$C$1),AVERAGE(L$165/L$164,M$165/M$164,N$165/N$164),N$165/N$164)*O$164</f>
        <v>-0.84725722085813027</v>
      </c>
      <c r="P165" s="171">
        <f ca="1">IF(P$6=OFFSET(Assumptions!$B$8,0,$C$1),AVERAGE(M$165/M$164,N$165/N$164,O$165/O$164),O$165/O$164)*P$164</f>
        <v>-0.89465878399070686</v>
      </c>
      <c r="Q165" s="171">
        <f ca="1">IF(Q$6=OFFSET(Assumptions!$B$8,0,$C$1),AVERAGE(N$165/N$164,O$165/O$164,P$165/P$164),P$165/P$164)*Q$164</f>
        <v>-0.94146224482396124</v>
      </c>
      <c r="R165" s="171">
        <f ca="1">IF(R$6=OFFSET(Assumptions!$B$8,0,$C$1),AVERAGE(O$165/O$164,P$165/P$164,Q$165/Q$164),Q$165/Q$164)*R$164</f>
        <v>-1.0010602664047044</v>
      </c>
      <c r="S165" s="171">
        <f ca="1">IF(S$6=OFFSET(Assumptions!$B$8,0,$C$1),AVERAGE(P$165/P$164,Q$165/Q$164,R$165/R$164),R$165/R$164)*S$164</f>
        <v>-1.0680434841254836</v>
      </c>
      <c r="T165" s="171">
        <f ca="1">IF(T$6=OFFSET(Assumptions!$B$8,0,$C$1),AVERAGE(Q$165/Q$164,R$165/R$164,S$165/S$164),S$165/S$164)*T$164</f>
        <v>-1.1271758696849814</v>
      </c>
    </row>
    <row r="166" spans="1:20" ht="15">
      <c r="A166" s="168" t="s">
        <v>983</v>
      </c>
      <c r="D166" s="138">
        <f t="shared" ref="D166:T166" ca="1" si="101">SUM(D$163:D$165)</f>
        <v>1.07</v>
      </c>
      <c r="E166" s="138">
        <f t="shared" ca="1" si="101"/>
        <v>0.90600000000000014</v>
      </c>
      <c r="F166" s="137">
        <f t="shared" ca="1" si="101"/>
        <v>0.878</v>
      </c>
      <c r="G166" s="137">
        <f t="shared" ca="1" si="101"/>
        <v>1.101</v>
      </c>
      <c r="H166" s="137">
        <f t="shared" ca="1" si="101"/>
        <v>1.17</v>
      </c>
      <c r="I166" s="137">
        <f t="shared" ca="1" si="101"/>
        <v>1.246</v>
      </c>
      <c r="J166" s="137">
        <f t="shared" ca="1" si="101"/>
        <v>1.3380000000000001</v>
      </c>
      <c r="K166" s="140">
        <f t="shared" ca="1" si="101"/>
        <v>0.93460679001609093</v>
      </c>
      <c r="L166" s="140">
        <f t="shared" ca="1" si="101"/>
        <v>1.0579021347649995</v>
      </c>
      <c r="M166" s="140">
        <f t="shared" ca="1" si="101"/>
        <v>1.186578228554769</v>
      </c>
      <c r="N166" s="140">
        <f t="shared" ca="1" si="101"/>
        <v>1.3212460380445363</v>
      </c>
      <c r="O166" s="140">
        <f t="shared" ca="1" si="101"/>
        <v>1.462288068087028</v>
      </c>
      <c r="P166" s="140">
        <f t="shared" ca="1" si="101"/>
        <v>1.6104925641724064</v>
      </c>
      <c r="Q166" s="140">
        <f t="shared" ca="1" si="101"/>
        <v>1.7655080433756161</v>
      </c>
      <c r="R166" s="140">
        <f t="shared" ca="1" si="101"/>
        <v>1.9253758689063072</v>
      </c>
      <c r="S166" s="140">
        <f t="shared" ca="1" si="101"/>
        <v>2.0912305592116578</v>
      </c>
      <c r="T166" s="140">
        <f t="shared" ca="1" si="101"/>
        <v>2.2670340051084814</v>
      </c>
    </row>
    <row r="167" spans="1:20" ht="15">
      <c r="A167" s="168"/>
      <c r="D167" s="46"/>
      <c r="E167" s="46"/>
      <c r="F167" s="145"/>
      <c r="G167" s="145"/>
      <c r="H167" s="146"/>
      <c r="I167" s="146"/>
      <c r="J167" s="146"/>
      <c r="K167" s="146"/>
      <c r="L167" s="146"/>
      <c r="M167" s="146"/>
      <c r="N167" s="146"/>
      <c r="O167" s="146"/>
      <c r="P167" s="146"/>
      <c r="Q167" s="146"/>
      <c r="R167" s="146"/>
      <c r="S167" s="146"/>
      <c r="T167" s="146"/>
    </row>
    <row r="168" spans="1:20">
      <c r="A168" s="18" t="s">
        <v>131</v>
      </c>
      <c r="F168" s="183"/>
      <c r="G168" s="183"/>
    </row>
    <row r="169" spans="1:20">
      <c r="A169" s="167" t="s">
        <v>984</v>
      </c>
      <c r="D169" s="175">
        <f t="shared" ref="D169:T169" ca="1" si="102">D$375-SUM(D$152,D$161)</f>
        <v>4.9100000000000144E-2</v>
      </c>
      <c r="E169" s="175">
        <f t="shared" ca="1" si="102"/>
        <v>4.0150000000000019E-2</v>
      </c>
      <c r="F169" s="176">
        <f t="shared" ca="1" si="102"/>
        <v>3.4499999999999975E-2</v>
      </c>
      <c r="G169" s="176">
        <f t="shared" ca="1" si="102"/>
        <v>4.3200000000000016E-2</v>
      </c>
      <c r="H169" s="176">
        <f t="shared" ca="1" si="102"/>
        <v>4.8350000000000004E-2</v>
      </c>
      <c r="I169" s="176">
        <f t="shared" ca="1" si="102"/>
        <v>5.2650000000000086E-2</v>
      </c>
      <c r="J169" s="176">
        <f t="shared" ca="1" si="102"/>
        <v>5.7600000000000096E-2</v>
      </c>
      <c r="K169" s="171">
        <f t="shared" ca="1" si="102"/>
        <v>6.235800254492152E-2</v>
      </c>
      <c r="L169" s="171">
        <f t="shared" ca="1" si="102"/>
        <v>6.7340837699673584E-2</v>
      </c>
      <c r="M169" s="171">
        <f t="shared" ca="1" si="102"/>
        <v>7.2405517698567401E-2</v>
      </c>
      <c r="N169" s="171">
        <f t="shared" ca="1" si="102"/>
        <v>7.7565006131799175E-2</v>
      </c>
      <c r="O169" s="171">
        <f t="shared" ca="1" si="102"/>
        <v>8.2852045720000378E-2</v>
      </c>
      <c r="P169" s="171">
        <f t="shared" ca="1" si="102"/>
        <v>8.8293607572692112E-2</v>
      </c>
      <c r="Q169" s="171">
        <f t="shared" ca="1" si="102"/>
        <v>9.390361775403E-2</v>
      </c>
      <c r="R169" s="171">
        <f t="shared" ca="1" si="102"/>
        <v>9.9675485482727977E-2</v>
      </c>
      <c r="S169" s="171">
        <f t="shared" ca="1" si="102"/>
        <v>0.1055916547166782</v>
      </c>
      <c r="T169" s="171">
        <f t="shared" ca="1" si="102"/>
        <v>0.11165192034983962</v>
      </c>
    </row>
    <row r="170" spans="1:20">
      <c r="A170" s="167" t="s">
        <v>985</v>
      </c>
      <c r="B170" s="4" t="str">
        <f>$B$39</f>
        <v>From Fiscal Forecasts</v>
      </c>
      <c r="D170" s="175">
        <f ca="1">'Fiscal Forecasts'!D$158-SUM(D$162,(1-OFFSET(Assumptions!$B$80,0,$C$1))*'Fiscal Forecasts'!D$344)</f>
        <v>0.8738999999999999</v>
      </c>
      <c r="E170" s="175">
        <f ca="1">'Fiscal Forecasts'!E$158-SUM(E$162,(1-OFFSET(Assumptions!$B$80,0,$C$1))*'Fiscal Forecasts'!E$344)</f>
        <v>0.92185000000000006</v>
      </c>
      <c r="F170" s="176">
        <f ca="1">'Fiscal Forecasts'!F$158-SUM(F$162,(1-OFFSET(Assumptions!$B$80,0,$C$1))*'Fiscal Forecasts'!F$344)</f>
        <v>0.82650000000000001</v>
      </c>
      <c r="G170" s="176">
        <f ca="1">'Fiscal Forecasts'!G$158-SUM(G$162,(1-OFFSET(Assumptions!$B$80,0,$C$1))*'Fiscal Forecasts'!G$344)</f>
        <v>0.69579999999999997</v>
      </c>
      <c r="H170" s="176">
        <f ca="1">'Fiscal Forecasts'!H$158-SUM(H$162,(1-OFFSET(Assumptions!$B$80,0,$C$1))*'Fiscal Forecasts'!H$344)</f>
        <v>0.74765000000000015</v>
      </c>
      <c r="I170" s="176">
        <f ca="1">'Fiscal Forecasts'!I$158-SUM(I$162,(1-OFFSET(Assumptions!$B$80,0,$C$1))*'Fiscal Forecasts'!I$344)</f>
        <v>0.75734999999999997</v>
      </c>
      <c r="J170" s="176">
        <f ca="1">'Fiscal Forecasts'!J$158-SUM(J$162,(1-OFFSET(Assumptions!$B$80,0,$C$1))*'Fiscal Forecasts'!J$344)</f>
        <v>0.76740000000000008</v>
      </c>
      <c r="K170" s="171">
        <f ca="1">IF(K$6=OFFSET(Assumptions!$B$8,0,$C$1),AVERAGE(H$170/H$13,I$170/I$13,J$170/J$13),J$170/J$13)*K$13</f>
        <v>0.83562719030785881</v>
      </c>
      <c r="L170" s="171">
        <f ca="1">IF(L$6=OFFSET(Assumptions!$B$8,0,$C$1),AVERAGE(I$170/I$13,J$170/J$13,K$170/K$13),K$170/K$13)*L$13</f>
        <v>0.87129898253973259</v>
      </c>
      <c r="M170" s="171">
        <f ca="1">IF(M$6=OFFSET(Assumptions!$B$8,0,$C$1),AVERAGE(J$170/J$13,K$170/K$13,L$170/L$13),L$170/L$13)*M$13</f>
        <v>0.90737084820960923</v>
      </c>
      <c r="N170" s="171">
        <f ca="1">IF(N$6=OFFSET(Assumptions!$B$8,0,$C$1),AVERAGE(K$170/K$13,L$170/L$13,M$170/M$13),M$170/M$13)*N$13</f>
        <v>0.94514369333312642</v>
      </c>
      <c r="O170" s="171">
        <f ca="1">IF(O$6=OFFSET(Assumptions!$B$8,0,$C$1),AVERAGE(L$170/L$13,M$170/M$13,N$170/N$13),N$170/N$13)*O$13</f>
        <v>0.98373465265510762</v>
      </c>
      <c r="P170" s="171">
        <f ca="1">IF(P$6=OFFSET(Assumptions!$B$8,0,$C$1),AVERAGE(M$170/M$13,N$170/N$13,O$170/O$13),O$170/O$13)*P$13</f>
        <v>1.0231392400754029</v>
      </c>
      <c r="Q170" s="171">
        <f ca="1">IF(Q$6=OFFSET(Assumptions!$B$8,0,$C$1),AVERAGE(N$170/N$13,O$170/O$13,P$170/P$13),P$170/P$13)*Q$13</f>
        <v>1.063354555963872</v>
      </c>
      <c r="R170" s="171">
        <f ca="1">IF(R$6=OFFSET(Assumptions!$B$8,0,$C$1),AVERAGE(O$170/O$13,P$170/P$13,Q$170/Q$13),Q$170/Q$13)*R$13</f>
        <v>1.1042722819192101</v>
      </c>
      <c r="S170" s="171">
        <f ca="1">IF(S$6=OFFSET(Assumptions!$B$8,0,$C$1),AVERAGE(P$170/P$13,Q$170/Q$13,R$170/R$13),R$170/R$13)*S$13</f>
        <v>1.1458597738270555</v>
      </c>
      <c r="T170" s="171">
        <f ca="1">IF(T$6=OFFSET(Assumptions!$B$8,0,$C$1),AVERAGE(Q$170/Q$13,R$170/R$13,S$170/S$13),S$170/S$13)*T$13</f>
        <v>1.1886802603433024</v>
      </c>
    </row>
    <row r="171" spans="1:20" ht="15">
      <c r="A171" s="168" t="s">
        <v>395</v>
      </c>
      <c r="B171" s="4"/>
      <c r="D171" s="138">
        <f t="shared" ref="D171:T171" ca="1" si="103">SUM(D$169:D$170)</f>
        <v>0.92300000000000004</v>
      </c>
      <c r="E171" s="138">
        <f t="shared" ca="1" si="103"/>
        <v>0.96200000000000008</v>
      </c>
      <c r="F171" s="137">
        <f t="shared" ca="1" si="103"/>
        <v>0.86099999999999999</v>
      </c>
      <c r="G171" s="137">
        <f t="shared" ca="1" si="103"/>
        <v>0.73899999999999999</v>
      </c>
      <c r="H171" s="137">
        <f t="shared" ca="1" si="103"/>
        <v>0.79600000000000015</v>
      </c>
      <c r="I171" s="137">
        <f t="shared" ca="1" si="103"/>
        <v>0.81</v>
      </c>
      <c r="J171" s="137">
        <f t="shared" ca="1" si="103"/>
        <v>0.82500000000000018</v>
      </c>
      <c r="K171" s="140">
        <f t="shared" ca="1" si="103"/>
        <v>0.89798519285278033</v>
      </c>
      <c r="L171" s="140">
        <f t="shared" ca="1" si="103"/>
        <v>0.93863982023940618</v>
      </c>
      <c r="M171" s="140">
        <f t="shared" ca="1" si="103"/>
        <v>0.97977636590817663</v>
      </c>
      <c r="N171" s="140">
        <f t="shared" ca="1" si="103"/>
        <v>1.0227086994649257</v>
      </c>
      <c r="O171" s="140">
        <f t="shared" ca="1" si="103"/>
        <v>1.066586698375108</v>
      </c>
      <c r="P171" s="140">
        <f t="shared" ca="1" si="103"/>
        <v>1.111432847648095</v>
      </c>
      <c r="Q171" s="140">
        <f t="shared" ca="1" si="103"/>
        <v>1.157258173717902</v>
      </c>
      <c r="R171" s="140">
        <f t="shared" ca="1" si="103"/>
        <v>1.2039477674019381</v>
      </c>
      <c r="S171" s="140">
        <f t="shared" ca="1" si="103"/>
        <v>1.2514514285437337</v>
      </c>
      <c r="T171" s="140">
        <f t="shared" ca="1" si="103"/>
        <v>1.300332180693142</v>
      </c>
    </row>
    <row r="172" spans="1:20" ht="15">
      <c r="A172" s="168" t="s">
        <v>396</v>
      </c>
      <c r="B172" s="4" t="str">
        <f>$B$39</f>
        <v>From Fiscal Forecasts</v>
      </c>
      <c r="D172" s="142">
        <f ca="1">'Fiscal Forecasts'!D$13-SUM(D$166,(1-OFFSET(Assumptions!$B$80,0,$C$1))*('Fiscal Forecasts'!D$344-D$375))</f>
        <v>3.8789999999999996</v>
      </c>
      <c r="E172" s="142">
        <f ca="1">'Fiscal Forecasts'!E$13-SUM(E$166,(1-OFFSET(Assumptions!$B$80,0,$C$1))*('Fiscal Forecasts'!E$344-E$375))</f>
        <v>3.57</v>
      </c>
      <c r="F172" s="141">
        <f ca="1">'Fiscal Forecasts'!F$13-SUM(F$166,(1-OFFSET(Assumptions!$B$80,0,$C$1))*('Fiscal Forecasts'!F$344-F$375))</f>
        <v>3.012</v>
      </c>
      <c r="G172" s="141">
        <f ca="1">'Fiscal Forecasts'!G$13-SUM(G$166,(1-OFFSET(Assumptions!$B$80,0,$C$1))*('Fiscal Forecasts'!G$344-G$375))</f>
        <v>3.5030000000000001</v>
      </c>
      <c r="H172" s="141">
        <f ca="1">'Fiscal Forecasts'!H$13-SUM(H$166,(1-OFFSET(Assumptions!$B$80,0,$C$1))*('Fiscal Forecasts'!H$344-H$375))</f>
        <v>3.4249999999999998</v>
      </c>
      <c r="I172" s="141">
        <f ca="1">'Fiscal Forecasts'!I$13-SUM(I$166,(1-OFFSET(Assumptions!$B$80,0,$C$1))*('Fiscal Forecasts'!I$344-I$375))</f>
        <v>3.6819999999999999</v>
      </c>
      <c r="J172" s="141">
        <f ca="1">'Fiscal Forecasts'!J$13-SUM(J$166,(1-OFFSET(Assumptions!$B$80,0,$C$1))*('Fiscal Forecasts'!J$344-J$375))</f>
        <v>3.5750000000000002</v>
      </c>
      <c r="K172" s="134">
        <f ca="1">SUM(K$171,IF(K$6=OFFSET(Assumptions!$B$8,0,$C$1),AVERAGE((H$172-H$171)/H$13,(I$172-I$171)/I$13,(J$172-J$171)/J$13),(J$172-J$171)/J$13)*K$13)</f>
        <v>3.9310171666530929</v>
      </c>
      <c r="L172" s="134">
        <f ca="1">SUM(L$171,IF(L$6=OFFSET(Assumptions!$B$8,0,$C$1),AVERAGE((I$172-I$171)/I$13,(J$172-J$171)/J$13,(K$172-K$171)/K$13),(K$172-K$171)/K$13)*L$13)</f>
        <v>4.101147818344498</v>
      </c>
      <c r="M172" s="134">
        <f ca="1">SUM(M$171,IF(M$6=OFFSET(Assumptions!$B$8,0,$C$1),AVERAGE((J$172-J$171)/J$13,(K$172-K$171)/K$13,(L$172-L$171)/L$13),(L$172-L$171)/L$13)*M$13)</f>
        <v>4.2732125137914707</v>
      </c>
      <c r="N172" s="134">
        <f ca="1">SUM(N$171,IF(N$6=OFFSET(Assumptions!$B$8,0,$C$1),AVERAGE((K$172-K$171)/K$13,(L$172-L$171)/L$13,(M$172-M$171)/M$13),(M$172-M$171)/M$13)*N$13)</f>
        <v>4.4532469526050225</v>
      </c>
      <c r="O172" s="134">
        <f ca="1">SUM(O$171,IF(O$6=OFFSET(Assumptions!$B$8,0,$C$1),AVERAGE((L$172-L$171)/L$13,(M$172-M$171)/M$13,(N$172-N$171)/N$13),(N$172-N$171)/N$13)*O$13)</f>
        <v>4.6371965227622756</v>
      </c>
      <c r="P172" s="134">
        <f ca="1">SUM(P$171,IF(P$6=OFFSET(Assumptions!$B$8,0,$C$1),AVERAGE((M$172-M$171)/M$13,(N$172-N$171)/N$13,(O$172-O$171)/O$13),(O$172-O$171)/O$13)*P$13)</f>
        <v>4.8250674263113096</v>
      </c>
      <c r="Q172" s="134">
        <f ca="1">SUM(Q$171,IF(Q$6=OFFSET(Assumptions!$B$8,0,$C$1),AVERAGE((N$172-N$171)/N$13,(O$172-O$171)/O$13,(P$172-P$171)/P$13),(P$172-P$171)/P$13)*Q$13)</f>
        <v>5.0168601650514351</v>
      </c>
      <c r="R172" s="134">
        <f ca="1">SUM(R$171,IF(R$6=OFFSET(Assumptions!$B$8,0,$C$1),AVERAGE((O$172-O$171)/O$13,(P$172-P$171)/P$13,(Q$172-Q$171)/Q$13),(Q$172-Q$171)/Q$13)*R$13)</f>
        <v>5.2120666722073956</v>
      </c>
      <c r="S172" s="134">
        <f ca="1">SUM(S$171,IF(S$6=OFFSET(Assumptions!$B$8,0,$C$1),AVERAGE((P$172-P$171)/P$13,(Q$172-Q$171)/Q$13,(R$172-R$171)/R$13),(R$172-R$171)/R$13)*S$13)</f>
        <v>5.4105182610012186</v>
      </c>
      <c r="T172" s="134">
        <f ca="1">SUM(T$171,IF(T$6=OFFSET(Assumptions!$B$8,0,$C$1),AVERAGE((Q$172-Q$171)/Q$13,(R$172-R$171)/R$13,(S$172-S$171)/S$13),(S$172-S$171)/S$13)*T$13)</f>
        <v>5.614822276352025</v>
      </c>
    </row>
    <row r="173" spans="1:20" ht="15">
      <c r="A173" s="168"/>
      <c r="B173" s="4"/>
      <c r="D173" s="183"/>
      <c r="E173" s="183"/>
      <c r="F173" s="183"/>
      <c r="G173" s="183"/>
    </row>
    <row r="174" spans="1:20">
      <c r="A174" s="18" t="s">
        <v>133</v>
      </c>
      <c r="D174" s="171"/>
      <c r="E174" s="171"/>
      <c r="F174" s="171"/>
      <c r="G174" s="171"/>
      <c r="H174" s="171"/>
      <c r="I174" s="171"/>
      <c r="J174" s="171"/>
      <c r="K174" s="171"/>
      <c r="L174" s="171"/>
      <c r="M174" s="171"/>
      <c r="N174" s="171"/>
      <c r="O174" s="171"/>
      <c r="P174" s="171"/>
      <c r="Q174" s="161"/>
      <c r="R174" s="161"/>
      <c r="S174" s="161"/>
      <c r="T174" s="161"/>
    </row>
    <row r="175" spans="1:20">
      <c r="A175" s="167" t="s">
        <v>398</v>
      </c>
      <c r="B175" s="4" t="str">
        <f t="shared" ref="B175:B180" si="104">$B$39</f>
        <v>From Fiscal Forecasts</v>
      </c>
      <c r="D175" s="175">
        <f>'Fiscal Forecasts'!D$233</f>
        <v>14.561999999999999</v>
      </c>
      <c r="E175" s="175">
        <f>'Fiscal Forecasts'!E$233</f>
        <v>15.521000000000001</v>
      </c>
      <c r="F175" s="176">
        <f>'Fiscal Forecasts'!F$233 +IF($C$2="Yes",'Fiscal Forecast Adjuster'!C$15/1000,0)</f>
        <v>16.553999999999998</v>
      </c>
      <c r="G175" s="176">
        <f>'Fiscal Forecasts'!G$233 +IF($C$2="Yes",'Fiscal Forecast Adjuster'!D$15/1000,0)</f>
        <v>17.690999999999999</v>
      </c>
      <c r="H175" s="176">
        <f>'Fiscal Forecasts'!H$233 +IF($C$2="Yes",'Fiscal Forecast Adjuster'!E$15/1000,0)</f>
        <v>18.931000000000001</v>
      </c>
      <c r="I175" s="176">
        <f>'Fiscal Forecasts'!I$233 +IF($C$2="Yes",'Fiscal Forecast Adjuster'!F$15/1000,0)</f>
        <v>19.977</v>
      </c>
      <c r="J175" s="176">
        <f>'Fiscal Forecasts'!J$233 +IF($C$2="Yes",'Fiscal Forecast Adjuster'!G$15/1000,0)</f>
        <v>21.021999999999998</v>
      </c>
      <c r="K175" s="171">
        <f t="shared" ref="K175:T175" ca="1" si="105">J$175*K$198/J$198*K$196/J$196</f>
        <v>22.466089546039985</v>
      </c>
      <c r="L175" s="171">
        <f t="shared" ca="1" si="105"/>
        <v>23.977633385101335</v>
      </c>
      <c r="M175" s="171">
        <f t="shared" ca="1" si="105"/>
        <v>25.53058011625378</v>
      </c>
      <c r="N175" s="171">
        <f t="shared" ca="1" si="105"/>
        <v>27.104569313774743</v>
      </c>
      <c r="O175" s="171">
        <f t="shared" ca="1" si="105"/>
        <v>28.685261488501279</v>
      </c>
      <c r="P175" s="171">
        <f t="shared" ca="1" si="105"/>
        <v>30.285144999988979</v>
      </c>
      <c r="Q175" s="171">
        <f t="shared" ca="1" si="105"/>
        <v>31.938202483004236</v>
      </c>
      <c r="R175" s="171">
        <f t="shared" ca="1" si="105"/>
        <v>33.672188971686289</v>
      </c>
      <c r="S175" s="171">
        <f t="shared" ca="1" si="105"/>
        <v>35.48658954326914</v>
      </c>
      <c r="T175" s="171">
        <f t="shared" ca="1" si="105"/>
        <v>37.341926681693309</v>
      </c>
    </row>
    <row r="176" spans="1:20">
      <c r="A176" s="167" t="s">
        <v>400</v>
      </c>
      <c r="B176" s="4" t="str">
        <f t="shared" si="104"/>
        <v>From Fiscal Forecasts</v>
      </c>
      <c r="D176" s="175">
        <f>'Fiscal Forecasts'!D$234</f>
        <v>1.8540000000000001</v>
      </c>
      <c r="E176" s="175">
        <f>'Fiscal Forecasts'!E$234</f>
        <v>2.2850000000000001</v>
      </c>
      <c r="F176" s="176">
        <f>'Fiscal Forecasts'!F$234 +IF($C$2="Yes",'Fiscal Forecast Adjuster'!C$16/1000,0)</f>
        <v>3.2730000000000001</v>
      </c>
      <c r="G176" s="176">
        <f>'Fiscal Forecasts'!G$234 +IF($C$2="Yes",'Fiscal Forecast Adjuster'!D$16/1000,0)</f>
        <v>3.8570000000000002</v>
      </c>
      <c r="H176" s="176">
        <f>'Fiscal Forecasts'!H$234 +IF($C$2="Yes",'Fiscal Forecast Adjuster'!E$16/1000,0)</f>
        <v>3.8679999999999999</v>
      </c>
      <c r="I176" s="176">
        <f>'Fiscal Forecasts'!I$234 +IF($C$2="Yes",'Fiscal Forecast Adjuster'!F$16/1000,0)</f>
        <v>3.742</v>
      </c>
      <c r="J176" s="176">
        <f>'Fiscal Forecasts'!J$234 +IF($C$2="Yes",'Fiscal Forecast Adjuster'!G$16/1000,0)</f>
        <v>3.5590000000000002</v>
      </c>
      <c r="K176" s="171">
        <f t="shared" ref="K176:T176" ca="1" si="106">J$176*K$199/J$199*K$195/J$195</f>
        <v>3.376369911947906</v>
      </c>
      <c r="L176" s="171">
        <f t="shared" ca="1" si="106"/>
        <v>3.5521821149674495</v>
      </c>
      <c r="M176" s="171">
        <f t="shared" ca="1" si="106"/>
        <v>3.7310372749610159</v>
      </c>
      <c r="N176" s="171">
        <f t="shared" ca="1" si="106"/>
        <v>3.8986291574604079</v>
      </c>
      <c r="O176" s="171">
        <f t="shared" ca="1" si="106"/>
        <v>3.6601676651060373</v>
      </c>
      <c r="P176" s="171">
        <f t="shared" ca="1" si="106"/>
        <v>3.8195337966134688</v>
      </c>
      <c r="Q176" s="171">
        <f t="shared" ca="1" si="106"/>
        <v>3.9816877921898759</v>
      </c>
      <c r="R176" s="171">
        <f t="shared" ca="1" si="106"/>
        <v>4.1451297189811038</v>
      </c>
      <c r="S176" s="171">
        <f t="shared" ca="1" si="106"/>
        <v>4.308216754196537</v>
      </c>
      <c r="T176" s="171">
        <f t="shared" ca="1" si="106"/>
        <v>4.4760706180417218</v>
      </c>
    </row>
    <row r="177" spans="1:20">
      <c r="A177" s="167" t="s">
        <v>272</v>
      </c>
      <c r="B177" s="4" t="str">
        <f t="shared" si="104"/>
        <v>From Fiscal Forecasts</v>
      </c>
      <c r="D177" s="175">
        <f>'Fiscal Forecasts'!D$235</f>
        <v>1.556</v>
      </c>
      <c r="E177" s="175">
        <f>'Fiscal Forecasts'!E$235</f>
        <v>1.65</v>
      </c>
      <c r="F177" s="176">
        <f>'Fiscal Forecasts'!F$235 +IF($C$2="Yes",'Fiscal Forecast Adjuster'!C$17/1000,0)</f>
        <v>1.831</v>
      </c>
      <c r="G177" s="176">
        <f>'Fiscal Forecasts'!G$235 +IF($C$2="Yes",'Fiscal Forecast Adjuster'!D$17/1000,0)</f>
        <v>2.0609999999999999</v>
      </c>
      <c r="H177" s="176">
        <f>'Fiscal Forecasts'!H$235 +IF($C$2="Yes",'Fiscal Forecast Adjuster'!E$17/1000,0)</f>
        <v>2.2309999999999999</v>
      </c>
      <c r="I177" s="176">
        <f>'Fiscal Forecasts'!I$235 +IF($C$2="Yes",'Fiscal Forecast Adjuster'!F$17/1000,0)</f>
        <v>2.2970000000000002</v>
      </c>
      <c r="J177" s="176">
        <f>'Fiscal Forecasts'!J$235 +IF($C$2="Yes",'Fiscal Forecast Adjuster'!G$17/1000,0)</f>
        <v>2.355</v>
      </c>
      <c r="K177" s="171">
        <f t="shared" ref="K177:T177" ca="1" si="107">J$177*K$200/J$200*K$195/J$195</f>
        <v>2.4473671115580706</v>
      </c>
      <c r="L177" s="171">
        <f t="shared" ca="1" si="107"/>
        <v>2.5378328468604621</v>
      </c>
      <c r="M177" s="171">
        <f t="shared" ca="1" si="107"/>
        <v>2.6272011800748194</v>
      </c>
      <c r="N177" s="171">
        <f t="shared" ca="1" si="107"/>
        <v>2.7214678482156254</v>
      </c>
      <c r="O177" s="171">
        <f t="shared" ca="1" si="107"/>
        <v>2.8210099443756653</v>
      </c>
      <c r="P177" s="171">
        <f t="shared" ca="1" si="107"/>
        <v>2.925663756638246</v>
      </c>
      <c r="Q177" s="171">
        <f t="shared" ca="1" si="107"/>
        <v>3.0331646783820507</v>
      </c>
      <c r="R177" s="171">
        <f t="shared" ca="1" si="107"/>
        <v>3.142008800416455</v>
      </c>
      <c r="S177" s="171">
        <f t="shared" ca="1" si="107"/>
        <v>3.2516052414625118</v>
      </c>
      <c r="T177" s="171">
        <f t="shared" ca="1" si="107"/>
        <v>3.3666802894465371</v>
      </c>
    </row>
    <row r="178" spans="1:20">
      <c r="A178" s="167" t="s">
        <v>273</v>
      </c>
      <c r="B178" s="4" t="str">
        <f t="shared" si="104"/>
        <v>From Fiscal Forecasts</v>
      </c>
      <c r="D178" s="175">
        <f>'Fiscal Forecasts'!D$236</f>
        <v>1.115</v>
      </c>
      <c r="E178" s="175">
        <f>'Fiscal Forecasts'!E$236</f>
        <v>1.2310000000000001</v>
      </c>
      <c r="F178" s="176">
        <f>'Fiscal Forecasts'!F$236 +IF($C$2="Yes",'Fiscal Forecast Adjuster'!C$18/1000,0)</f>
        <v>1.47</v>
      </c>
      <c r="G178" s="176">
        <f>'Fiscal Forecasts'!G$236 +IF($C$2="Yes",'Fiscal Forecast Adjuster'!D$18/1000,0)</f>
        <v>1.72</v>
      </c>
      <c r="H178" s="176">
        <f>'Fiscal Forecasts'!H$236 +IF($C$2="Yes",'Fiscal Forecast Adjuster'!E$18/1000,0)</f>
        <v>1.8779999999999999</v>
      </c>
      <c r="I178" s="176">
        <f>'Fiscal Forecasts'!I$236 +IF($C$2="Yes",'Fiscal Forecast Adjuster'!F$18/1000,0)</f>
        <v>1.8879999999999999</v>
      </c>
      <c r="J178" s="176">
        <f>'Fiscal Forecasts'!J$236 +IF($C$2="Yes",'Fiscal Forecast Adjuster'!G$18/1000,0)</f>
        <v>1.8680000000000001</v>
      </c>
      <c r="K178" s="171">
        <f t="shared" ref="K178:T178" ca="1" si="108">J$178*K$201/J$201*K$195/J$195</f>
        <v>1.9459371468166815</v>
      </c>
      <c r="L178" s="171">
        <f t="shared" ca="1" si="108"/>
        <v>2.0244882016497194</v>
      </c>
      <c r="M178" s="171">
        <f t="shared" ca="1" si="108"/>
        <v>2.1040122105808887</v>
      </c>
      <c r="N178" s="171">
        <f t="shared" ca="1" si="108"/>
        <v>2.1859225550241317</v>
      </c>
      <c r="O178" s="171">
        <f t="shared" ca="1" si="108"/>
        <v>2.270554850441902</v>
      </c>
      <c r="P178" s="171">
        <f t="shared" ca="1" si="108"/>
        <v>2.357537486047721</v>
      </c>
      <c r="Q178" s="171">
        <f t="shared" ca="1" si="108"/>
        <v>2.447415340333353</v>
      </c>
      <c r="R178" s="171">
        <f t="shared" ca="1" si="108"/>
        <v>2.5394128030480609</v>
      </c>
      <c r="S178" s="171">
        <f t="shared" ca="1" si="108"/>
        <v>2.6307822336111237</v>
      </c>
      <c r="T178" s="171">
        <f t="shared" ca="1" si="108"/>
        <v>2.7245544276454292</v>
      </c>
    </row>
    <row r="179" spans="1:20">
      <c r="A179" s="167" t="s">
        <v>405</v>
      </c>
      <c r="B179" s="4" t="str">
        <f t="shared" si="104"/>
        <v>From Fiscal Forecasts</v>
      </c>
      <c r="D179" s="175">
        <f>'Fiscal Forecasts'!D$237</f>
        <v>2.766</v>
      </c>
      <c r="E179" s="175">
        <f>'Fiscal Forecasts'!E$237</f>
        <v>2.83</v>
      </c>
      <c r="F179" s="176">
        <f>'Fiscal Forecasts'!F$237 +IF($C$2="Yes",'Fiscal Forecast Adjuster'!C$19/1000,0)</f>
        <v>2.7530000000000001</v>
      </c>
      <c r="G179" s="176">
        <f>'Fiscal Forecasts'!G$237 +IF($C$2="Yes",'Fiscal Forecast Adjuster'!D$19/1000,0)</f>
        <v>2.7109999999999999</v>
      </c>
      <c r="H179" s="176">
        <f>'Fiscal Forecasts'!H$237 +IF($C$2="Yes",'Fiscal Forecast Adjuster'!E$19/1000,0)</f>
        <v>2.9180000000000001</v>
      </c>
      <c r="I179" s="176">
        <f>'Fiscal Forecasts'!I$237 +IF($C$2="Yes",'Fiscal Forecast Adjuster'!F$19/1000,0)</f>
        <v>2.8889999999999998</v>
      </c>
      <c r="J179" s="176">
        <f>'Fiscal Forecasts'!J$237 +IF($C$2="Yes",'Fiscal Forecast Adjuster'!G$19/1000,0)</f>
        <v>2.9350000000000001</v>
      </c>
      <c r="K179" s="171">
        <f ca="1">IF(OFFSET(Assumptions!$B$50,0,$C$1)="Yes",K$13*(J$179/J$13+MIN(ABS(OFFSET(Assumptions!$B$51,0,$C$1)-J$179/J$13),OFFSET(Assumptions!$B$54,0,$C$1))*SIGN(OFFSET(Assumptions!$B$51,0,$C$1)-J$179/J$13)),J$179*(1+K$20)*(1+K$30))</f>
        <v>3.0418210746798211</v>
      </c>
      <c r="L179" s="171">
        <f ca="1">IF(OFFSET(Assumptions!$B$50,0,$C$1)="Yes",L$13*(K$179/K$13+MIN(ABS(OFFSET(Assumptions!$B$51,0,$C$1)-K$179/K$13),OFFSET(Assumptions!$B$54,0,$C$1))*SIGN(OFFSET(Assumptions!$B$51,0,$C$1)-K$179/K$13)),K$179*(1+L$20)*(1+L$30))</f>
        <v>3.1487872186068442</v>
      </c>
      <c r="M179" s="171">
        <f ca="1">IF(OFFSET(Assumptions!$B$50,0,$C$1)="Yes",M$13*(L$179/L$13+MIN(ABS(OFFSET(Assumptions!$B$51,0,$C$1)-L$179/L$13),OFFSET(Assumptions!$B$54,0,$C$1))*SIGN(OFFSET(Assumptions!$B$51,0,$C$1)-L$179/L$13)),L$179*(1+M$20)*(1+M$30))</f>
        <v>3.2555768989488034</v>
      </c>
      <c r="N179" s="171">
        <f ca="1">IF(OFFSET(Assumptions!$B$50,0,$C$1)="Yes",N$13*(M$179/M$13+MIN(ABS(OFFSET(Assumptions!$B$51,0,$C$1)-M$179/M$13),OFFSET(Assumptions!$B$54,0,$C$1))*SIGN(OFFSET(Assumptions!$B$51,0,$C$1)-M$179/M$13)),M$179*(1+N$20)*(1+N$30))</f>
        <v>3.3625312252210864</v>
      </c>
      <c r="O179" s="171">
        <f ca="1">IF(OFFSET(Assumptions!$B$50,0,$C$1)="Yes",O$13*(N$179/N$13+MIN(ABS(OFFSET(Assumptions!$B$51,0,$C$1)-N$179/N$13),OFFSET(Assumptions!$B$54,0,$C$1))*SIGN(OFFSET(Assumptions!$B$51,0,$C$1)-N$179/N$13)),N$179*(1+O$20)*(1+O$30))</f>
        <v>3.4705445858018904</v>
      </c>
      <c r="P179" s="171">
        <f ca="1">IF(OFFSET(Assumptions!$B$50,0,$C$1)="Yes",P$13*(O$179/O$13+MIN(ABS(OFFSET(Assumptions!$B$51,0,$C$1)-O$179/O$13),OFFSET(Assumptions!$B$54,0,$C$1))*SIGN(OFFSET(Assumptions!$B$51,0,$C$1)-O$179/O$13)),O$179*(1+P$20)*(1+P$30))</f>
        <v>3.5791814400025332</v>
      </c>
      <c r="Q179" s="171">
        <f ca="1">IF(OFFSET(Assumptions!$B$50,0,$C$1)="Yes",Q$13*(P$179/P$13+MIN(ABS(OFFSET(Assumptions!$B$51,0,$C$1)-P$179/P$13),OFFSET(Assumptions!$B$54,0,$C$1))*SIGN(OFFSET(Assumptions!$B$51,0,$C$1)-P$179/P$13)),P$179*(1+Q$20)*(1+Q$30))</f>
        <v>3.6886955860878019</v>
      </c>
      <c r="R179" s="171">
        <f ca="1">IF(OFFSET(Assumptions!$B$50,0,$C$1)="Yes",R$13*(Q$179/Q$13+MIN(ABS(OFFSET(Assumptions!$B$51,0,$C$1)-Q$179/Q$13),OFFSET(Assumptions!$B$54,0,$C$1))*SIGN(OFFSET(Assumptions!$B$51,0,$C$1)-Q$179/Q$13)),Q$179*(1+R$20)*(1+R$30))</f>
        <v>3.7979177056245597</v>
      </c>
      <c r="S179" s="171">
        <f ca="1">IF(OFFSET(Assumptions!$B$50,0,$C$1)="Yes",S$13*(R$179/R$13+MIN(ABS(OFFSET(Assumptions!$B$51,0,$C$1)-R$179/R$13),OFFSET(Assumptions!$B$54,0,$C$1))*SIGN(OFFSET(Assumptions!$B$51,0,$C$1)-R$179/R$13)),R$179*(1+S$20)*(1+S$30))</f>
        <v>3.907618215141043</v>
      </c>
      <c r="T179" s="171">
        <f ca="1">IF(OFFSET(Assumptions!$B$50,0,$C$1)="Yes",T$13*(S$179/S$13+MIN(ABS(OFFSET(Assumptions!$B$51,0,$C$1)-S$179/S$13),OFFSET(Assumptions!$B$54,0,$C$1))*SIGN(OFFSET(Assumptions!$B$51,0,$C$1)-S$179/S$13)),S$179*(1+T$20)*(1+T$30))</f>
        <v>4.0189817027980856</v>
      </c>
    </row>
    <row r="180" spans="1:20">
      <c r="A180" s="167" t="s">
        <v>406</v>
      </c>
      <c r="B180" s="4" t="str">
        <f t="shared" si="104"/>
        <v>From Fiscal Forecasts</v>
      </c>
      <c r="D180" s="175">
        <f>'Fiscal Forecasts'!D$238</f>
        <v>3.9910000000000001</v>
      </c>
      <c r="E180" s="175">
        <f>'Fiscal Forecasts'!E$238</f>
        <v>16.893999999999998</v>
      </c>
      <c r="F180" s="176">
        <f>'Fiscal Forecasts'!F$238 +IF($C$2="Yes",'Fiscal Forecast Adjuster'!C$20/1000,0)</f>
        <v>7.391</v>
      </c>
      <c r="G180" s="176">
        <f>'Fiscal Forecasts'!G$238 +IF($C$2="Yes",'Fiscal Forecast Adjuster'!D$20/1000,0)</f>
        <v>6.4649999999999999</v>
      </c>
      <c r="H180" s="176">
        <f>'Fiscal Forecasts'!H$238 +IF($C$2="Yes",'Fiscal Forecast Adjuster'!E$20/1000,0)</f>
        <v>6.0069999999999997</v>
      </c>
      <c r="I180" s="176">
        <f>'Fiscal Forecasts'!I$238 +IF($C$2="Yes",'Fiscal Forecast Adjuster'!F$20/1000,0)</f>
        <v>6.0650000000000004</v>
      </c>
      <c r="J180" s="176">
        <f>'Fiscal Forecasts'!J$238 +IF($C$2="Yes",'Fiscal Forecast Adjuster'!G$20/1000,0)</f>
        <v>6.1210000000000004</v>
      </c>
      <c r="K180" s="171">
        <f ca="1">IF(OFFSET(Assumptions!$B$50,0,$C$1)="Yes",K$13*(J$180/J$13+MIN(ABS(OFFSET(Assumptions!$B$52,0,$C$1)-J$180/J$13),OFFSET(Assumptions!$B$54,0,$C$1))*SIGN(OFFSET(Assumptions!$B$52,0,$C$1)-J$180/J$13)),J$180*AVERAGE(K$202/J$202,K$19/J$19)*(1+K$30))</f>
        <v>6.2307190768900318</v>
      </c>
      <c r="L180" s="171">
        <f ca="1">IF(OFFSET(Assumptions!$B$50,0,$C$1)="Yes",L$13*(K$180/K$13+MIN(ABS(OFFSET(Assumptions!$B$52,0,$C$1)-K$180/K$13),OFFSET(Assumptions!$B$54,0,$C$1))*SIGN(OFFSET(Assumptions!$B$52,0,$C$1)-K$180/K$13)),K$180*AVERAGE(L$202/K$202,L$19/K$19)*(1+L$30))</f>
        <v>6.3306263996479748</v>
      </c>
      <c r="M180" s="171">
        <f ca="1">IF(OFFSET(Assumptions!$B$50,0,$C$1)="Yes",M$13*(L$180/L$13+MIN(ABS(OFFSET(Assumptions!$B$52,0,$C$1)-L$180/L$13),OFFSET(Assumptions!$B$54,0,$C$1))*SIGN(OFFSET(Assumptions!$B$52,0,$C$1)-L$180/L$13)),L$180*AVERAGE(M$202/L$202,M$19/L$19)*(1+M$30))</f>
        <v>6.545326702541697</v>
      </c>
      <c r="N180" s="171">
        <f ca="1">IF(OFFSET(Assumptions!$B$50,0,$C$1)="Yes",N$13*(M$180/M$13+MIN(ABS(OFFSET(Assumptions!$B$52,0,$C$1)-M$180/M$13),OFFSET(Assumptions!$B$54,0,$C$1))*SIGN(OFFSET(Assumptions!$B$52,0,$C$1)-M$180/M$13)),M$180*AVERAGE(N$202/M$202,N$19/M$19)*(1+N$30))</f>
        <v>6.7603580255395865</v>
      </c>
      <c r="O180" s="171">
        <f ca="1">IF(OFFSET(Assumptions!$B$50,0,$C$1)="Yes",O$13*(N$180/N$13+MIN(ABS(OFFSET(Assumptions!$B$52,0,$C$1)-N$180/N$13),OFFSET(Assumptions!$B$54,0,$C$1))*SIGN(OFFSET(Assumptions!$B$52,0,$C$1)-N$180/N$13)),N$180*AVERAGE(O$202/N$202,O$19/N$19)*(1+O$30))</f>
        <v>6.9775185335494205</v>
      </c>
      <c r="P180" s="171">
        <f ca="1">IF(OFFSET(Assumptions!$B$50,0,$C$1)="Yes",P$13*(O$180/O$13+MIN(ABS(OFFSET(Assumptions!$B$52,0,$C$1)-O$180/O$13),OFFSET(Assumptions!$B$54,0,$C$1))*SIGN(OFFSET(Assumptions!$B$52,0,$C$1)-O$180/O$13)),O$180*AVERAGE(P$202/O$202,P$19/O$19)*(1+P$30))</f>
        <v>7.1959325734417634</v>
      </c>
      <c r="Q180" s="171">
        <f ca="1">IF(OFFSET(Assumptions!$B$50,0,$C$1)="Yes",Q$13*(P$180/P$13+MIN(ABS(OFFSET(Assumptions!$B$52,0,$C$1)-P$180/P$13),OFFSET(Assumptions!$B$54,0,$C$1))*SIGN(OFFSET(Assumptions!$B$52,0,$C$1)-P$180/P$13)),P$180*AVERAGE(Q$202/P$202,Q$19/P$19)*(1+Q$30))</f>
        <v>7.4161104057975002</v>
      </c>
      <c r="R180" s="171">
        <f ca="1">IF(OFFSET(Assumptions!$B$50,0,$C$1)="Yes",R$13*(Q$180/Q$13+MIN(ABS(OFFSET(Assumptions!$B$52,0,$C$1)-Q$180/Q$13),OFFSET(Assumptions!$B$54,0,$C$1))*SIGN(OFFSET(Assumptions!$B$52,0,$C$1)-Q$180/Q$13)),Q$180*AVERAGE(R$202/Q$202,R$19/Q$19)*(1+R$30))</f>
        <v>7.6357011197330174</v>
      </c>
      <c r="S180" s="171">
        <f ca="1">IF(OFFSET(Assumptions!$B$50,0,$C$1)="Yes",S$13*(R$180/R$13+MIN(ABS(OFFSET(Assumptions!$B$52,0,$C$1)-R$180/R$13),OFFSET(Assumptions!$B$54,0,$C$1))*SIGN(OFFSET(Assumptions!$B$52,0,$C$1)-R$180/R$13)),R$180*AVERAGE(S$202/R$202,S$19/R$19)*(1+S$30))</f>
        <v>7.8562536351573993</v>
      </c>
      <c r="T180" s="171">
        <f ca="1">IF(OFFSET(Assumptions!$B$50,0,$C$1)="Yes",T$13*(S$180/S$13+MIN(ABS(OFFSET(Assumptions!$B$52,0,$C$1)-S$180/S$13),OFFSET(Assumptions!$B$54,0,$C$1))*SIGN(OFFSET(Assumptions!$B$52,0,$C$1)-S$180/S$13)),S$180*AVERAGE(T$202/S$202,T$19/S$19)*(1+T$30))</f>
        <v>8.0801495626918314</v>
      </c>
    </row>
    <row r="181" spans="1:20" ht="15">
      <c r="A181" s="168" t="s">
        <v>407</v>
      </c>
      <c r="B181" s="4"/>
      <c r="D181" s="138">
        <f t="shared" ref="D181:T181" si="109">SUM(D$175:D$180)</f>
        <v>25.844000000000001</v>
      </c>
      <c r="E181" s="138">
        <f t="shared" si="109"/>
        <v>40.411000000000001</v>
      </c>
      <c r="F181" s="137">
        <f t="shared" si="109"/>
        <v>33.271999999999998</v>
      </c>
      <c r="G181" s="137">
        <f t="shared" si="109"/>
        <v>34.504999999999995</v>
      </c>
      <c r="H181" s="137">
        <f t="shared" si="109"/>
        <v>35.832999999999998</v>
      </c>
      <c r="I181" s="137">
        <f t="shared" si="109"/>
        <v>36.858000000000004</v>
      </c>
      <c r="J181" s="137">
        <f t="shared" si="109"/>
        <v>37.86</v>
      </c>
      <c r="K181" s="140">
        <f t="shared" ca="1" si="109"/>
        <v>39.508303867932497</v>
      </c>
      <c r="L181" s="140">
        <f t="shared" ca="1" si="109"/>
        <v>41.571550166833781</v>
      </c>
      <c r="M181" s="140">
        <f t="shared" ca="1" si="109"/>
        <v>43.793734383360999</v>
      </c>
      <c r="N181" s="140">
        <f t="shared" ca="1" si="109"/>
        <v>46.033478125235582</v>
      </c>
      <c r="O181" s="140">
        <f t="shared" ca="1" si="109"/>
        <v>47.885057067776195</v>
      </c>
      <c r="P181" s="140">
        <f t="shared" ca="1" si="109"/>
        <v>50.162994052732714</v>
      </c>
      <c r="Q181" s="140">
        <f t="shared" ca="1" si="109"/>
        <v>52.505276285794821</v>
      </c>
      <c r="R181" s="140">
        <f t="shared" ca="1" si="109"/>
        <v>54.932359119489476</v>
      </c>
      <c r="S181" s="140">
        <f t="shared" ca="1" si="109"/>
        <v>57.441065622837755</v>
      </c>
      <c r="T181" s="140">
        <f t="shared" ca="1" si="109"/>
        <v>60.008363282316914</v>
      </c>
    </row>
    <row r="182" spans="1:20">
      <c r="A182" s="167" t="s">
        <v>274</v>
      </c>
      <c r="B182" s="4" t="str">
        <f>$B$39</f>
        <v>From Fiscal Forecasts</v>
      </c>
      <c r="D182" s="175">
        <f>'Fiscal Forecasts'!D$239</f>
        <v>0.58299999999999996</v>
      </c>
      <c r="E182" s="175">
        <f>'Fiscal Forecasts'!E$239</f>
        <v>0.56699999999999995</v>
      </c>
      <c r="F182" s="176">
        <f>'Fiscal Forecasts'!F$239 +IF($C$2="Yes",'Fiscal Forecast Adjuster'!C$21/1000,0)</f>
        <v>0.61</v>
      </c>
      <c r="G182" s="176">
        <f>'Fiscal Forecasts'!G$239 +IF($C$2="Yes",'Fiscal Forecast Adjuster'!D$21/1000,0)</f>
        <v>0.65600000000000003</v>
      </c>
      <c r="H182" s="176">
        <f>'Fiscal Forecasts'!H$239 +IF($C$2="Yes",'Fiscal Forecast Adjuster'!E$21/1000,0)</f>
        <v>0.66700000000000004</v>
      </c>
      <c r="I182" s="176">
        <f>'Fiscal Forecasts'!I$239 +IF($C$2="Yes",'Fiscal Forecast Adjuster'!F$21/1000,0)</f>
        <v>0.63600000000000001</v>
      </c>
      <c r="J182" s="176">
        <f>'Fiscal Forecasts'!J$239 +IF($C$2="Yes",'Fiscal Forecast Adjuster'!G$21/1000,0)</f>
        <v>0.66700000000000004</v>
      </c>
      <c r="K182" s="171">
        <f ca="1">IF(OFFSET(Assumptions!$B$50,0,$C$1)="Yes",K$13*(J$182/J$13+MIN(ABS(OFFSET(Assumptions!$B$53,0,$C$1)-J$182/J$13),OFFSET(Assumptions!$B$54,0,$C$1))*SIGN(OFFSET(Assumptions!$B$53,0,$C$1)-J$182/J$13)),J$182*(1+K$20)*(1+K$30))</f>
        <v>0.69127586262740748</v>
      </c>
      <c r="L182" s="171">
        <f ca="1">IF(OFFSET(Assumptions!$B$50,0,$C$1)="Yes",L$13*(K$182/K$13+MIN(ABS(OFFSET(Assumptions!$B$53,0,$C$1)-K$182/K$13),OFFSET(Assumptions!$B$54,0,$C$1))*SIGN(OFFSET(Assumptions!$B$53,0,$C$1)-K$182/K$13)),K$182*(1+L$20)*(1+L$30))</f>
        <v>0.71558469329157248</v>
      </c>
      <c r="M182" s="171">
        <f ca="1">IF(OFFSET(Assumptions!$B$50,0,$C$1)="Yes",M$13*(L$182/L$13+MIN(ABS(OFFSET(Assumptions!$B$53,0,$C$1)-L$182/L$13),OFFSET(Assumptions!$B$54,0,$C$1))*SIGN(OFFSET(Assumptions!$B$53,0,$C$1)-L$182/L$13)),L$182*(1+M$20)*(1+M$30))</f>
        <v>0.73985342132839926</v>
      </c>
      <c r="N182" s="171">
        <f ca="1">IF(OFFSET(Assumptions!$B$50,0,$C$1)="Yes",N$13*(M$182/M$13+MIN(ABS(OFFSET(Assumptions!$B$53,0,$C$1)-M$182/M$13),OFFSET(Assumptions!$B$54,0,$C$1))*SIGN(OFFSET(Assumptions!$B$53,0,$C$1)-M$182/M$13)),M$182*(1+N$20)*(1+N$30))</f>
        <v>0.7641595663449624</v>
      </c>
      <c r="O182" s="171">
        <f ca="1">IF(OFFSET(Assumptions!$B$50,0,$C$1)="Yes",O$13*(N$182/N$13+MIN(ABS(OFFSET(Assumptions!$B$53,0,$C$1)-N$182/N$13),OFFSET(Assumptions!$B$54,0,$C$1))*SIGN(OFFSET(Assumptions!$B$53,0,$C$1)-N$182/N$13)),N$182*(1+O$20)*(1+O$30))</f>
        <v>0.78870638457576181</v>
      </c>
      <c r="P182" s="171">
        <f ca="1">IF(OFFSET(Assumptions!$B$50,0,$C$1)="Yes",P$13*(O$182/O$13+MIN(ABS(OFFSET(Assumptions!$B$53,0,$C$1)-O$182/O$13),OFFSET(Assumptions!$B$54,0,$C$1))*SIGN(OFFSET(Assumptions!$B$53,0,$C$1)-O$182/O$13)),O$182*(1+P$20)*(1+P$30))</f>
        <v>0.8133948962458909</v>
      </c>
      <c r="Q182" s="171">
        <f ca="1">IF(OFFSET(Assumptions!$B$50,0,$C$1)="Yes",Q$13*(P$182/P$13+MIN(ABS(OFFSET(Assumptions!$B$53,0,$C$1)-P$182/P$13),OFFSET(Assumptions!$B$54,0,$C$1))*SIGN(OFFSET(Assumptions!$B$53,0,$C$1)-P$182/P$13)),P$182*(1+Q$20)*(1+Q$30))</f>
        <v>0.83828277884857372</v>
      </c>
      <c r="R182" s="171">
        <f ca="1">IF(OFFSET(Assumptions!$B$50,0,$C$1)="Yes",R$13*(Q$182/Q$13+MIN(ABS(OFFSET(Assumptions!$B$53,0,$C$1)-Q$182/Q$13),OFFSET(Assumptions!$B$54,0,$C$1))*SIGN(OFFSET(Assumptions!$B$53,0,$C$1)-Q$182/Q$13)),Q$182*(1+R$20)*(1+R$30))</f>
        <v>0.86310429630377561</v>
      </c>
      <c r="S182" s="171">
        <f ca="1">IF(OFFSET(Assumptions!$B$50,0,$C$1)="Yes",S$13*(R$182/R$13+MIN(ABS(OFFSET(Assumptions!$B$53,0,$C$1)-R$182/R$13),OFFSET(Assumptions!$B$54,0,$C$1))*SIGN(OFFSET(Assumptions!$B$53,0,$C$1)-R$182/R$13)),R$182*(1+S$20)*(1+S$30))</f>
        <v>0.88803453134551136</v>
      </c>
      <c r="T182" s="171">
        <f ca="1">IF(OFFSET(Assumptions!$B$50,0,$C$1)="Yes",T$13*(S$182/S$13+MIN(ABS(OFFSET(Assumptions!$B$53,0,$C$1)-S$182/S$13),OFFSET(Assumptions!$B$54,0,$C$1))*SIGN(OFFSET(Assumptions!$B$53,0,$C$1)-S$182/S$13)),S$182*(1+T$20)*(1+T$30))</f>
        <v>0.91334269020999082</v>
      </c>
    </row>
    <row r="183" spans="1:20" ht="15">
      <c r="A183" s="168" t="s">
        <v>408</v>
      </c>
      <c r="D183" s="138">
        <f t="shared" ref="D183:T183" si="110">SUM(D$181:D$182)</f>
        <v>26.427</v>
      </c>
      <c r="E183" s="138">
        <f t="shared" si="110"/>
        <v>40.978000000000002</v>
      </c>
      <c r="F183" s="137">
        <f t="shared" si="110"/>
        <v>33.881999999999998</v>
      </c>
      <c r="G183" s="137">
        <f t="shared" si="110"/>
        <v>35.160999999999994</v>
      </c>
      <c r="H183" s="137">
        <f t="shared" si="110"/>
        <v>36.5</v>
      </c>
      <c r="I183" s="137">
        <f t="shared" si="110"/>
        <v>37.494000000000007</v>
      </c>
      <c r="J183" s="137">
        <f t="shared" si="110"/>
        <v>38.527000000000001</v>
      </c>
      <c r="K183" s="140">
        <f t="shared" ca="1" si="110"/>
        <v>40.199579730559904</v>
      </c>
      <c r="L183" s="140">
        <f t="shared" ca="1" si="110"/>
        <v>42.287134860125356</v>
      </c>
      <c r="M183" s="140">
        <f t="shared" ca="1" si="110"/>
        <v>44.533587804689397</v>
      </c>
      <c r="N183" s="140">
        <f t="shared" ca="1" si="110"/>
        <v>46.797637691580547</v>
      </c>
      <c r="O183" s="140">
        <f t="shared" ca="1" si="110"/>
        <v>48.673763452351956</v>
      </c>
      <c r="P183" s="140">
        <f t="shared" ca="1" si="110"/>
        <v>50.976388948978602</v>
      </c>
      <c r="Q183" s="140">
        <f t="shared" ca="1" si="110"/>
        <v>53.343559064643394</v>
      </c>
      <c r="R183" s="140">
        <f t="shared" ca="1" si="110"/>
        <v>55.79546341579325</v>
      </c>
      <c r="S183" s="140">
        <f t="shared" ca="1" si="110"/>
        <v>58.329100154183266</v>
      </c>
      <c r="T183" s="140">
        <f t="shared" ca="1" si="110"/>
        <v>60.921705972526908</v>
      </c>
    </row>
    <row r="184" spans="1:20">
      <c r="A184" s="167" t="s">
        <v>409</v>
      </c>
      <c r="B184" s="4" t="str">
        <f>$B$39</f>
        <v>From Fiscal Forecasts</v>
      </c>
      <c r="D184" s="175">
        <f>'Fiscal Forecasts'!D$240</f>
        <v>0.95099999999999996</v>
      </c>
      <c r="E184" s="175">
        <f>'Fiscal Forecasts'!E$240</f>
        <v>0.89300000000000002</v>
      </c>
      <c r="F184" s="176">
        <f>'Fiscal Forecasts'!F$240 +IF($C$2="Yes",'Fiscal Forecast Adjuster'!C$22/1000,0)</f>
        <v>0.92900000000000005</v>
      </c>
      <c r="G184" s="176">
        <f>'Fiscal Forecasts'!G$240 +IF($C$2="Yes",'Fiscal Forecast Adjuster'!D$22/1000,0)</f>
        <v>0.97399999999999998</v>
      </c>
      <c r="H184" s="176">
        <f>'Fiscal Forecasts'!H$240 +IF($C$2="Yes",'Fiscal Forecast Adjuster'!E$22/1000,0)</f>
        <v>1.0149999999999999</v>
      </c>
      <c r="I184" s="176">
        <f>'Fiscal Forecasts'!I$240 +IF($C$2="Yes",'Fiscal Forecast Adjuster'!F$22/1000,0)</f>
        <v>1.0509999999999999</v>
      </c>
      <c r="J184" s="176">
        <f>'Fiscal Forecasts'!J$240 +IF($C$2="Yes",'Fiscal Forecast Adjuster'!G$22/1000,0)</f>
        <v>1.083</v>
      </c>
      <c r="K184" s="171">
        <f ca="1">J$184*IF(K$6&lt;=OFFSET(Assumptions!$B$56,0,$C$1),Exogenous!V$36/Exogenous!U$36,1+K$14)</f>
        <v>1.1100000000000001</v>
      </c>
      <c r="L184" s="171">
        <f ca="1">K$184*IF(L$6&lt;=OFFSET(Assumptions!$B$56,0,$C$1),Exogenous!W$36/Exogenous!V$36,1+L$14)</f>
        <v>1.141</v>
      </c>
      <c r="M184" s="171">
        <f ca="1">L$184*IF(M$6&lt;=OFFSET(Assumptions!$B$56,0,$C$1),Exogenous!X$36/Exogenous!W$36,1+M$14)</f>
        <v>1.169</v>
      </c>
      <c r="N184" s="171">
        <f ca="1">M$184*IF(N$6&lt;=OFFSET(Assumptions!$B$56,0,$C$1),Exogenous!Y$36/Exogenous!X$36,1+N$14)</f>
        <v>1.1930000000000001</v>
      </c>
      <c r="O184" s="171">
        <f ca="1">N$184*IF(O$6&lt;=OFFSET(Assumptions!$B$56,0,$C$1),Exogenous!Z$36/Exogenous!Y$36,1+O$14)</f>
        <v>1.2150000000000001</v>
      </c>
      <c r="P184" s="171">
        <f ca="1">O$184*IF(P$6&lt;=OFFSET(Assumptions!$B$56,0,$C$1),Exogenous!AA$36/Exogenous!Z$36,1+P$14)</f>
        <v>1.2310000000000003</v>
      </c>
      <c r="Q184" s="171">
        <f ca="1">P$184*IF(Q$6&lt;=OFFSET(Assumptions!$B$56,0,$C$1),Exogenous!AB$36/Exogenous!AA$36,1+Q$14)</f>
        <v>1.2440000000000002</v>
      </c>
      <c r="R184" s="171">
        <f ca="1">Q$184*IF(R$6&lt;=OFFSET(Assumptions!$B$56,0,$C$1),Exogenous!AC$36/Exogenous!AB$36,1+R$14)</f>
        <v>1.2550000000000001</v>
      </c>
      <c r="S184" s="171">
        <f ca="1">R$184*IF(S$6&lt;=OFFSET(Assumptions!$B$56,0,$C$1),Exogenous!AD$36/Exogenous!AC$36,1+S$14)</f>
        <v>1.2650000000000001</v>
      </c>
      <c r="T184" s="171">
        <f ca="1">S$184*IF(T$6&lt;=OFFSET(Assumptions!$B$56,0,$C$1),Exogenous!AE$36/Exogenous!AD$36,1+T$14)</f>
        <v>1.2740000000000002</v>
      </c>
    </row>
    <row r="185" spans="1:20">
      <c r="A185" s="167" t="s">
        <v>277</v>
      </c>
      <c r="B185" s="4" t="str">
        <f>$B$39</f>
        <v>From Fiscal Forecasts</v>
      </c>
      <c r="D185" s="175">
        <f>'Fiscal Forecasts'!D$241</f>
        <v>0.70799999999999996</v>
      </c>
      <c r="E185" s="175">
        <f>'Fiscal Forecasts'!E$241</f>
        <v>0.73599999999999999</v>
      </c>
      <c r="F185" s="176">
        <f>'Fiscal Forecasts'!F$241</f>
        <v>0.82499999999999996</v>
      </c>
      <c r="G185" s="176">
        <f>'Fiscal Forecasts'!G$241</f>
        <v>0.82</v>
      </c>
      <c r="H185" s="176">
        <f>'Fiscal Forecasts'!H$241</f>
        <v>0.85799999999999998</v>
      </c>
      <c r="I185" s="176">
        <f>'Fiscal Forecasts'!I$241</f>
        <v>0.86099999999999999</v>
      </c>
      <c r="J185" s="176">
        <f>'Fiscal Forecasts'!J$241</f>
        <v>0.86099999999999999</v>
      </c>
      <c r="K185" s="171">
        <f ca="1">(J$185/J$13+MIN(ABS(OFFSET(Assumptions!$B$57,0,$C$1)-J$185/J$13),OFFSET(Assumptions!$B$54,0,$C$1))*SIGN(OFFSET(Assumptions!$B$57,0,$C$1)-J$185/J$13))*K$13</f>
        <v>0.86575349968469673</v>
      </c>
      <c r="L185" s="171">
        <f ca="1">(K$185/K$13+MIN(ABS(OFFSET(Assumptions!$B$57,0,$C$1)-K$185/K$13),OFFSET(Assumptions!$B$54,0,$C$1))*SIGN(OFFSET(Assumptions!$B$57,0,$C$1)-K$185/K$13))*L$13</f>
        <v>0.90271134323379465</v>
      </c>
      <c r="M185" s="171">
        <f ca="1">(L$185/L$13+MIN(ABS(OFFSET(Assumptions!$B$57,0,$C$1)-L$185/L$13),OFFSET(Assumptions!$B$54,0,$C$1))*SIGN(OFFSET(Assumptions!$B$57,0,$C$1)-L$185/L$13))*M$13</f>
        <v>0.94008368380153817</v>
      </c>
      <c r="N185" s="171">
        <f ca="1">(M$185/M$13+MIN(ABS(OFFSET(Assumptions!$B$57,0,$C$1)-M$185/M$13),OFFSET(Assumptions!$B$54,0,$C$1))*SIGN(OFFSET(Assumptions!$B$57,0,$C$1)-M$185/M$13))*N$13</f>
        <v>0.97921832809989462</v>
      </c>
      <c r="O185" s="171">
        <f ca="1">(N$185/N$13+MIN(ABS(OFFSET(Assumptions!$B$57,0,$C$1)-N$185/N$13),OFFSET(Assumptions!$B$54,0,$C$1))*SIGN(OFFSET(Assumptions!$B$57,0,$C$1)-N$185/N$13))*O$13</f>
        <v>1.0192005815218856</v>
      </c>
      <c r="P185" s="171">
        <f ca="1">(O$185/O$13+MIN(ABS(OFFSET(Assumptions!$B$57,0,$C$1)-O$185/O$13),OFFSET(Assumptions!$B$54,0,$C$1))*SIGN(OFFSET(Assumptions!$B$57,0,$C$1)-O$185/O$13))*P$13</f>
        <v>1.0600257962329862</v>
      </c>
      <c r="Q185" s="171">
        <f ca="1">(P$185/P$13+MIN(ABS(OFFSET(Assumptions!$B$57,0,$C$1)-P$185/P$13),OFFSET(Assumptions!$B$54,0,$C$1))*SIGN(OFFSET(Assumptions!$B$57,0,$C$1)-P$185/P$13))*Q$13</f>
        <v>1.1016909680646265</v>
      </c>
      <c r="R185" s="171">
        <f ca="1">(Q$185/Q$13+MIN(ABS(OFFSET(Assumptions!$B$57,0,$C$1)-Q$185/Q$13),OFFSET(Assumptions!$B$54,0,$C$1))*SIGN(OFFSET(Assumptions!$B$57,0,$C$1)-Q$185/Q$13))*R$13</f>
        <v>1.1440838734844734</v>
      </c>
      <c r="S185" s="171">
        <f ca="1">(R$185/R$13+MIN(ABS(OFFSET(Assumptions!$B$57,0,$C$1)-R$185/R$13),OFFSET(Assumptions!$B$54,0,$C$1))*SIGN(OFFSET(Assumptions!$B$57,0,$C$1)-R$185/R$13))*S$13</f>
        <v>1.1871706914816971</v>
      </c>
      <c r="T185" s="171">
        <f ca="1">(S$185/S$13+MIN(ABS(OFFSET(Assumptions!$B$57,0,$C$1)-S$185/S$13),OFFSET(Assumptions!$B$54,0,$C$1))*SIGN(OFFSET(Assumptions!$B$57,0,$C$1)-S$185/S$13))*T$13</f>
        <v>1.2315349564190123</v>
      </c>
    </row>
    <row r="186" spans="1:20" ht="15">
      <c r="A186" s="168" t="s">
        <v>410</v>
      </c>
      <c r="D186" s="138">
        <f t="shared" ref="D186:T186" si="111">SUM(D$183:D$185)</f>
        <v>28.085999999999999</v>
      </c>
      <c r="E186" s="138">
        <f t="shared" si="111"/>
        <v>42.606999999999999</v>
      </c>
      <c r="F186" s="137">
        <f t="shared" si="111"/>
        <v>35.636000000000003</v>
      </c>
      <c r="G186" s="137">
        <f t="shared" si="111"/>
        <v>36.954999999999991</v>
      </c>
      <c r="H186" s="137">
        <f t="shared" si="111"/>
        <v>38.372999999999998</v>
      </c>
      <c r="I186" s="137">
        <f t="shared" si="111"/>
        <v>39.406000000000006</v>
      </c>
      <c r="J186" s="137">
        <f t="shared" si="111"/>
        <v>40.470999999999997</v>
      </c>
      <c r="K186" s="140">
        <f t="shared" ca="1" si="111"/>
        <v>42.175333230244597</v>
      </c>
      <c r="L186" s="140">
        <f t="shared" ca="1" si="111"/>
        <v>44.330846203359151</v>
      </c>
      <c r="M186" s="140">
        <f t="shared" ca="1" si="111"/>
        <v>46.642671488490933</v>
      </c>
      <c r="N186" s="140">
        <f t="shared" ca="1" si="111"/>
        <v>48.969856019680442</v>
      </c>
      <c r="O186" s="140">
        <f t="shared" ca="1" si="111"/>
        <v>50.907964033873846</v>
      </c>
      <c r="P186" s="140">
        <f t="shared" ca="1" si="111"/>
        <v>53.267414745211589</v>
      </c>
      <c r="Q186" s="140">
        <f t="shared" ca="1" si="111"/>
        <v>55.689250032708017</v>
      </c>
      <c r="R186" s="140">
        <f t="shared" ca="1" si="111"/>
        <v>58.194547289277729</v>
      </c>
      <c r="S186" s="140">
        <f t="shared" ca="1" si="111"/>
        <v>60.781270845664963</v>
      </c>
      <c r="T186" s="140">
        <f t="shared" ca="1" si="111"/>
        <v>63.42724092894592</v>
      </c>
    </row>
    <row r="187" spans="1:20" ht="15">
      <c r="A187" s="168" t="s">
        <v>412</v>
      </c>
      <c r="B187" s="4" t="str">
        <f>$B$39</f>
        <v>From Fiscal Forecasts</v>
      </c>
      <c r="D187" s="142">
        <f>'Fiscal Forecasts'!D$161</f>
        <v>29.015000000000001</v>
      </c>
      <c r="E187" s="142">
        <f>'Fiscal Forecasts'!E$161</f>
        <v>43.616</v>
      </c>
      <c r="F187" s="141">
        <f>'Fiscal Forecasts'!F$161 +IF($C$2="Yes",SUM('Fiscal Forecast Adjuster'!C$15:C$22)/1000,0)</f>
        <v>36.773000000000003</v>
      </c>
      <c r="G187" s="141">
        <f>'Fiscal Forecasts'!G$161 +IF($C$2="Yes",SUM('Fiscal Forecast Adjuster'!D$15:D$22)/1000,0)</f>
        <v>38.177999999999997</v>
      </c>
      <c r="H187" s="141">
        <f>'Fiscal Forecasts'!H$161 +IF($C$2="Yes",SUM('Fiscal Forecast Adjuster'!E$15:E$22)/1000,0)</f>
        <v>39.683</v>
      </c>
      <c r="I187" s="141">
        <f>'Fiscal Forecasts'!I$161 +IF($C$2="Yes",SUM('Fiscal Forecast Adjuster'!F$15:F$22)/1000,0)</f>
        <v>40.807000000000002</v>
      </c>
      <c r="J187" s="141">
        <f>'Fiscal Forecasts'!J$161 +IF($C$2="Yes",SUM('Fiscal Forecast Adjuster'!G$15:G$22)/1000,0)</f>
        <v>41.886000000000003</v>
      </c>
      <c r="K187" s="134">
        <f t="shared" ref="K187:T187" ca="1" si="112">K$186</f>
        <v>42.175333230244597</v>
      </c>
      <c r="L187" s="134">
        <f t="shared" ca="1" si="112"/>
        <v>44.330846203359151</v>
      </c>
      <c r="M187" s="134">
        <f t="shared" ca="1" si="112"/>
        <v>46.642671488490933</v>
      </c>
      <c r="N187" s="134">
        <f t="shared" ca="1" si="112"/>
        <v>48.969856019680442</v>
      </c>
      <c r="O187" s="134">
        <f t="shared" ca="1" si="112"/>
        <v>50.907964033873846</v>
      </c>
      <c r="P187" s="134">
        <f t="shared" ca="1" si="112"/>
        <v>53.267414745211589</v>
      </c>
      <c r="Q187" s="134">
        <f t="shared" ca="1" si="112"/>
        <v>55.689250032708017</v>
      </c>
      <c r="R187" s="134">
        <f t="shared" ca="1" si="112"/>
        <v>58.194547289277729</v>
      </c>
      <c r="S187" s="134">
        <f t="shared" ca="1" si="112"/>
        <v>60.781270845664963</v>
      </c>
      <c r="T187" s="134">
        <f t="shared" ca="1" si="112"/>
        <v>63.42724092894592</v>
      </c>
    </row>
    <row r="188" spans="1:20">
      <c r="A188" s="167" t="s">
        <v>413</v>
      </c>
      <c r="B188" s="4" t="str">
        <f>$B$39</f>
        <v>From Fiscal Forecasts</v>
      </c>
      <c r="D188" s="175">
        <f>'Fiscal Forecasts'!D$54-D$181</f>
        <v>2.8959999999999972</v>
      </c>
      <c r="E188" s="175">
        <f>'Fiscal Forecasts'!E$54-E$181</f>
        <v>3.6169999999999973</v>
      </c>
      <c r="F188" s="176">
        <f>'Fiscal Forecasts'!F$54-F$181 +IF($C$2="Yes",SUM('Fiscal Forecast Adjuster'!C$15:C$20)/1000,0)</f>
        <v>4.1390000000000029</v>
      </c>
      <c r="G188" s="176">
        <f>'Fiscal Forecasts'!G$54-G$181 +IF($C$2="Yes",SUM('Fiscal Forecast Adjuster'!D$15:D$20)/1000,0)</f>
        <v>4.4120000000000061</v>
      </c>
      <c r="H188" s="176">
        <f>'Fiscal Forecasts'!H$54-H$181 +IF($C$2="Yes",SUM('Fiscal Forecast Adjuster'!E$15:E$20)/1000,0)</f>
        <v>4.4089999999999989</v>
      </c>
      <c r="I188" s="176">
        <f>'Fiscal Forecasts'!I$54-I$181 +IF($C$2="Yes",SUM('Fiscal Forecast Adjuster'!F$15:F$20)/1000,0)</f>
        <v>4.2039999999999935</v>
      </c>
      <c r="J188" s="176">
        <f>'Fiscal Forecasts'!J$54-J$181 +IF($C$2="Yes",SUM('Fiscal Forecast Adjuster'!G$15:G$20)/1000,0)</f>
        <v>4.3109999999999999</v>
      </c>
      <c r="K188" s="171">
        <f t="shared" ref="K188:T188" si="113">J$188</f>
        <v>4.3109999999999999</v>
      </c>
      <c r="L188" s="171">
        <f t="shared" si="113"/>
        <v>4.3109999999999999</v>
      </c>
      <c r="M188" s="171">
        <f t="shared" si="113"/>
        <v>4.3109999999999999</v>
      </c>
      <c r="N188" s="171">
        <f t="shared" si="113"/>
        <v>4.3109999999999999</v>
      </c>
      <c r="O188" s="171">
        <f t="shared" si="113"/>
        <v>4.3109999999999999</v>
      </c>
      <c r="P188" s="171">
        <f t="shared" si="113"/>
        <v>4.3109999999999999</v>
      </c>
      <c r="Q188" s="171">
        <f t="shared" si="113"/>
        <v>4.3109999999999999</v>
      </c>
      <c r="R188" s="171">
        <f t="shared" si="113"/>
        <v>4.3109999999999999</v>
      </c>
      <c r="S188" s="171">
        <f t="shared" si="113"/>
        <v>4.3109999999999999</v>
      </c>
      <c r="T188" s="171">
        <f t="shared" si="113"/>
        <v>4.3109999999999999</v>
      </c>
    </row>
    <row r="189" spans="1:20" ht="15">
      <c r="A189" s="168" t="s">
        <v>414</v>
      </c>
      <c r="B189" s="4"/>
      <c r="D189" s="142">
        <f t="shared" ref="D189:T189" si="114">SUM(D$181,D$188)</f>
        <v>28.74</v>
      </c>
      <c r="E189" s="142">
        <f t="shared" si="114"/>
        <v>44.027999999999999</v>
      </c>
      <c r="F189" s="141">
        <f t="shared" si="114"/>
        <v>37.411000000000001</v>
      </c>
      <c r="G189" s="141">
        <f t="shared" si="114"/>
        <v>38.917000000000002</v>
      </c>
      <c r="H189" s="141">
        <f t="shared" si="114"/>
        <v>40.241999999999997</v>
      </c>
      <c r="I189" s="141">
        <f t="shared" si="114"/>
        <v>41.061999999999998</v>
      </c>
      <c r="J189" s="141">
        <f t="shared" si="114"/>
        <v>42.170999999999999</v>
      </c>
      <c r="K189" s="134">
        <f t="shared" ca="1" si="114"/>
        <v>43.819303867932497</v>
      </c>
      <c r="L189" s="134">
        <f t="shared" ca="1" si="114"/>
        <v>45.882550166833781</v>
      </c>
      <c r="M189" s="134">
        <f t="shared" ca="1" si="114"/>
        <v>48.104734383360999</v>
      </c>
      <c r="N189" s="134">
        <f t="shared" ca="1" si="114"/>
        <v>50.344478125235582</v>
      </c>
      <c r="O189" s="134">
        <f t="shared" ca="1" si="114"/>
        <v>52.196057067776195</v>
      </c>
      <c r="P189" s="134">
        <f t="shared" ca="1" si="114"/>
        <v>54.473994052732714</v>
      </c>
      <c r="Q189" s="134">
        <f t="shared" ca="1" si="114"/>
        <v>56.816276285794821</v>
      </c>
      <c r="R189" s="134">
        <f t="shared" ca="1" si="114"/>
        <v>59.243359119489476</v>
      </c>
      <c r="S189" s="134">
        <f t="shared" ca="1" si="114"/>
        <v>61.752065622837755</v>
      </c>
      <c r="T189" s="134">
        <f t="shared" ca="1" si="114"/>
        <v>64.319363282316914</v>
      </c>
    </row>
    <row r="190" spans="1:20">
      <c r="A190" s="167" t="s">
        <v>415</v>
      </c>
      <c r="B190" s="4" t="str">
        <f>$B$39</f>
        <v>From Fiscal Forecasts</v>
      </c>
      <c r="D190" s="175">
        <f>'Fiscal Forecasts'!D$197</f>
        <v>6.6790000000000003</v>
      </c>
      <c r="E190" s="175">
        <f>'Fiscal Forecasts'!E$197</f>
        <v>7.6630000000000003</v>
      </c>
      <c r="F190" s="176">
        <f>'Fiscal Forecasts'!F$197</f>
        <v>7.8319999999999999</v>
      </c>
      <c r="G190" s="176">
        <f>'Fiscal Forecasts'!G$197</f>
        <v>7.8949999999999996</v>
      </c>
      <c r="H190" s="176">
        <f>'Fiscal Forecasts'!H$197</f>
        <v>8.3070000000000004</v>
      </c>
      <c r="I190" s="176">
        <f>'Fiscal Forecasts'!I$197</f>
        <v>8.7669999999999995</v>
      </c>
      <c r="J190" s="176">
        <f>'Fiscal Forecasts'!J$197</f>
        <v>9.3089999999999993</v>
      </c>
      <c r="K190" s="171">
        <f>J$190*Exogenous!V$25/Exogenous!U$25</f>
        <v>9.7746235026100123</v>
      </c>
      <c r="L190" s="171">
        <f>K$190*Exogenous!W$25/Exogenous!V$25</f>
        <v>10.252349165085963</v>
      </c>
      <c r="M190" s="171">
        <f>L$190*Exogenous!X$25/Exogenous!W$25</f>
        <v>10.750201839370904</v>
      </c>
      <c r="N190" s="171">
        <f>M$190*Exogenous!Y$25/Exogenous!X$25</f>
        <v>11.259658116431607</v>
      </c>
      <c r="O190" s="171">
        <f>N$190*Exogenous!Z$25/Exogenous!Y$25</f>
        <v>11.768673307434193</v>
      </c>
      <c r="P190" s="171">
        <f>O$190*Exogenous!AA$25/Exogenous!Z$25</f>
        <v>12.307461544016423</v>
      </c>
      <c r="Q190" s="171">
        <f>P$190*Exogenous!AB$25/Exogenous!AA$25</f>
        <v>12.863472285553792</v>
      </c>
      <c r="R190" s="171">
        <f>Q$190*Exogenous!AC$25/Exogenous!AB$25</f>
        <v>13.444677841750543</v>
      </c>
      <c r="S190" s="171">
        <f>R$190*Exogenous!AD$25/Exogenous!AC$25</f>
        <v>14.042136772328581</v>
      </c>
      <c r="T190" s="171">
        <f>S$190*Exogenous!AE$25/Exogenous!AD$25</f>
        <v>14.642307340525145</v>
      </c>
    </row>
    <row r="191" spans="1:20">
      <c r="A191" s="167" t="s">
        <v>416</v>
      </c>
      <c r="B191" s="4" t="str">
        <f>$B$39</f>
        <v>From Fiscal Forecasts</v>
      </c>
      <c r="D191" s="175">
        <f>'Fiscal Forecasts'!D$37-SUM(D$189:D$190)</f>
        <v>-1.5169999999999959</v>
      </c>
      <c r="E191" s="175">
        <f>'Fiscal Forecasts'!E$37-SUM(E$189:E$190)</f>
        <v>-1.7910000000000039</v>
      </c>
      <c r="F191" s="176">
        <f>'Fiscal Forecasts'!F$37-SUM(F$189:F$190) +IF($C$2="Yes",SUM('Fiscal Forecast Adjuster'!C$15:C$20)/1000,0)</f>
        <v>-1.7169999999999987</v>
      </c>
      <c r="G191" s="176">
        <f>'Fiscal Forecasts'!G$37-SUM(G$189:G$190) +IF($C$2="Yes",SUM('Fiscal Forecast Adjuster'!D$15:D$20)/1000,0)</f>
        <v>-1.8069999999999951</v>
      </c>
      <c r="H191" s="176">
        <f>'Fiscal Forecasts'!H$37-SUM(H$189:H$190) +IF($C$2="Yes",SUM('Fiscal Forecast Adjuster'!E$15:E$20)/1000,0)</f>
        <v>-1.9230000000000018</v>
      </c>
      <c r="I191" s="176">
        <f>'Fiscal Forecasts'!I$37-SUM(I$189:I$190) +IF($C$2="Yes",SUM('Fiscal Forecast Adjuster'!F$15:F$20)/1000,0)</f>
        <v>-2.0429999999999922</v>
      </c>
      <c r="J191" s="176">
        <f>'Fiscal Forecasts'!J$37-SUM(J$189:J$190) +IF($C$2="Yes",SUM('Fiscal Forecast Adjuster'!G$15:G$20)/1000,0)</f>
        <v>-2.2039999999999935</v>
      </c>
      <c r="K191" s="171">
        <f>J$191*Exogenous!V$26/Exogenous!U$26</f>
        <v>-2.3104736666298504</v>
      </c>
      <c r="L191" s="171">
        <f>K$191*Exogenous!W$26/Exogenous!V$26</f>
        <v>-2.4188925383543607</v>
      </c>
      <c r="M191" s="171">
        <f>L$191*Exogenous!X$26/Exogenous!W$26</f>
        <v>-2.5318723545878461</v>
      </c>
      <c r="N191" s="171">
        <f>M$191*Exogenous!Y$26/Exogenous!X$26</f>
        <v>-2.6490684639279669</v>
      </c>
      <c r="O191" s="171">
        <f>N$191*Exogenous!Z$26/Exogenous!Y$26</f>
        <v>-2.7664017218891623</v>
      </c>
      <c r="P191" s="171">
        <f>O$191*Exogenous!AA$26/Exogenous!Z$26</f>
        <v>-2.8896146233088906</v>
      </c>
      <c r="Q191" s="171">
        <f>P$191*Exogenous!AB$26/Exogenous!AA$26</f>
        <v>-3.0173816467347123</v>
      </c>
      <c r="R191" s="171">
        <f>Q$191*Exogenous!AC$26/Exogenous!AB$26</f>
        <v>-3.1507124799149056</v>
      </c>
      <c r="S191" s="171">
        <f>R$191*Exogenous!AD$26/Exogenous!AC$26</f>
        <v>-3.2882526197752169</v>
      </c>
      <c r="T191" s="171">
        <f>S$191*Exogenous!AE$26/Exogenous!AD$26</f>
        <v>-3.4265851715512645</v>
      </c>
    </row>
    <row r="192" spans="1:20" ht="15">
      <c r="A192" s="168" t="s">
        <v>417</v>
      </c>
      <c r="D192" s="138">
        <f t="shared" ref="D192:T192" si="115">SUM(D$189:D$191)</f>
        <v>33.902000000000001</v>
      </c>
      <c r="E192" s="138">
        <f t="shared" si="115"/>
        <v>49.9</v>
      </c>
      <c r="F192" s="137">
        <f t="shared" si="115"/>
        <v>43.526000000000003</v>
      </c>
      <c r="G192" s="137">
        <f t="shared" si="115"/>
        <v>45.005000000000003</v>
      </c>
      <c r="H192" s="137">
        <f t="shared" si="115"/>
        <v>46.625999999999998</v>
      </c>
      <c r="I192" s="137">
        <f t="shared" si="115"/>
        <v>47.786000000000001</v>
      </c>
      <c r="J192" s="137">
        <f t="shared" si="115"/>
        <v>49.276000000000003</v>
      </c>
      <c r="K192" s="140">
        <f t="shared" ca="1" si="115"/>
        <v>51.283453703912656</v>
      </c>
      <c r="L192" s="140">
        <f t="shared" ca="1" si="115"/>
        <v>53.716006793565377</v>
      </c>
      <c r="M192" s="140">
        <f t="shared" ca="1" si="115"/>
        <v>56.323063868144054</v>
      </c>
      <c r="N192" s="140">
        <f t="shared" ca="1" si="115"/>
        <v>58.955067777739224</v>
      </c>
      <c r="O192" s="140">
        <f t="shared" ca="1" si="115"/>
        <v>61.198328653321227</v>
      </c>
      <c r="P192" s="140">
        <f t="shared" ca="1" si="115"/>
        <v>63.891840973440253</v>
      </c>
      <c r="Q192" s="140">
        <f t="shared" ca="1" si="115"/>
        <v>66.662366924613906</v>
      </c>
      <c r="R192" s="140">
        <f t="shared" ca="1" si="115"/>
        <v>69.537324481325115</v>
      </c>
      <c r="S192" s="140">
        <f t="shared" ca="1" si="115"/>
        <v>72.505949775391116</v>
      </c>
      <c r="T192" s="140">
        <f t="shared" ca="1" si="115"/>
        <v>75.535085451290797</v>
      </c>
    </row>
    <row r="193" spans="1:20">
      <c r="A193" s="18" t="s">
        <v>1177</v>
      </c>
    </row>
    <row r="194" spans="1:20">
      <c r="A194" s="167" t="s">
        <v>719</v>
      </c>
      <c r="B194" s="4" t="str">
        <f>$B$11</f>
        <v>From Economic Forecasts</v>
      </c>
      <c r="D194" s="179">
        <f>'Economic Forecasts'!Q$18</f>
        <v>1200.82</v>
      </c>
      <c r="E194" s="179">
        <f>'Economic Forecasts'!R$18</f>
        <v>1244.21</v>
      </c>
      <c r="F194" s="180">
        <f>'Economic Forecasts'!S$18</f>
        <v>1288.5999999999999</v>
      </c>
      <c r="G194" s="180">
        <f>'Economic Forecasts'!T$18</f>
        <v>1352</v>
      </c>
      <c r="H194" s="180">
        <f>'Economic Forecasts'!U$18</f>
        <v>1383.23</v>
      </c>
      <c r="I194" s="180">
        <f>'Economic Forecasts'!V$18</f>
        <v>1418.39</v>
      </c>
      <c r="J194" s="180">
        <f>'Economic Forecasts'!W$18</f>
        <v>1460.03</v>
      </c>
      <c r="K194" s="172">
        <f t="shared" ref="K194:T194" ca="1" si="116">J$194*(1+K$27)</f>
        <v>1507.3636230204816</v>
      </c>
      <c r="L194" s="172">
        <f t="shared" ca="1" si="116"/>
        <v>1554.545303819481</v>
      </c>
      <c r="M194" s="172">
        <f t="shared" ca="1" si="116"/>
        <v>1601.4925719948294</v>
      </c>
      <c r="N194" s="172">
        <f t="shared" ca="1" si="116"/>
        <v>1649.8576476690732</v>
      </c>
      <c r="O194" s="172">
        <f t="shared" ca="1" si="116"/>
        <v>1699.6833486286791</v>
      </c>
      <c r="P194" s="172">
        <f t="shared" ca="1" si="116"/>
        <v>1751.0137857572652</v>
      </c>
      <c r="Q194" s="172">
        <f t="shared" ca="1" si="116"/>
        <v>1803.8944020871345</v>
      </c>
      <c r="R194" s="172">
        <f t="shared" ca="1" si="116"/>
        <v>1858.372013030166</v>
      </c>
      <c r="S194" s="172">
        <f t="shared" ca="1" si="116"/>
        <v>1914.494847823677</v>
      </c>
      <c r="T194" s="172">
        <f t="shared" ca="1" si="116"/>
        <v>1972.3125922279521</v>
      </c>
    </row>
    <row r="195" spans="1:20">
      <c r="A195" s="167" t="s">
        <v>401</v>
      </c>
      <c r="B195" s="4" t="str">
        <f>$B$11</f>
        <v>From Economic Forecasts</v>
      </c>
      <c r="D195" s="179">
        <f>'Economic Forecasts'!Q$19</f>
        <v>958.37</v>
      </c>
      <c r="E195" s="179">
        <f>'Economic Forecasts'!R$19</f>
        <v>987.95</v>
      </c>
      <c r="F195" s="180">
        <f>'Economic Forecasts'!S$19</f>
        <v>1018.53</v>
      </c>
      <c r="G195" s="180">
        <f>'Economic Forecasts'!T$19</f>
        <v>1061.6600000000001</v>
      </c>
      <c r="H195" s="180">
        <f>'Economic Forecasts'!U$19</f>
        <v>1082.23</v>
      </c>
      <c r="I195" s="180">
        <f>'Economic Forecasts'!V$19</f>
        <v>1105.3599999999999</v>
      </c>
      <c r="J195" s="180">
        <f>'Economic Forecasts'!W$19</f>
        <v>1132.55</v>
      </c>
      <c r="K195" s="172">
        <f ca="1">IF(OFFSET(Assumptions!$B$28,0,$C$1)="Yes",(52*K$194-IF(52*K$194&gt;Exogenous!$C$57,(52*K$194-Exogenous!$C$57)*Exogenous!$B$58+Exogenous!$E$57,IF(52*K$194&gt;Exogenous!$C$56,(52*K$194-Exogenous!$C$56)*Exogenous!$B$57+Exogenous!$E$56,IF(52*K$194&gt;Exogenous!$C$55,(52*K$194-Exogenous!$C$55)*Exogenous!$B$56+Exogenous!$E$55,52*K$194*Exogenous!$B$55)))-52*K$194*Exogenous!$B$60)/52,J$195*(1+K$27))</f>
        <v>1169.2668446893874</v>
      </c>
      <c r="L195" s="172">
        <f ca="1">IF(OFFSET(Assumptions!$B$28,0,$C$1)="Yes",(52*L$194-IF(52*L$194&gt;Exogenous!$C$57,(52*L$194-Exogenous!$C$57)*Exogenous!$B$58+Exogenous!$E$57,IF(52*L$194&gt;Exogenous!$C$56,(52*L$194-Exogenous!$C$56)*Exogenous!$B$57+Exogenous!$E$56,IF(52*L$194&gt;Exogenous!$C$55,(52*L$194-Exogenous!$C$55)*Exogenous!$B$56+Exogenous!$E$55,52*L$194*Exogenous!$B$55)))-52*L$194*Exogenous!$B$60)/52,K$195*(1+L$27))</f>
        <v>1205.8658273054343</v>
      </c>
      <c r="M195" s="172">
        <f ca="1">IF(OFFSET(Assumptions!$B$28,0,$C$1)="Yes",(52*M$194-IF(52*M$194&gt;Exogenous!$C$57,(52*M$194-Exogenous!$C$57)*Exogenous!$B$58+Exogenous!$E$57,IF(52*M$194&gt;Exogenous!$C$56,(52*M$194-Exogenous!$C$56)*Exogenous!$B$57+Exogenous!$E$56,IF(52*M$194&gt;Exogenous!$C$55,(52*M$194-Exogenous!$C$55)*Exogenous!$B$56+Exogenous!$E$55,52*M$194*Exogenous!$B$55)))-52*M$194*Exogenous!$B$60)/52,L$195*(1+M$27))</f>
        <v>1242.2829752900584</v>
      </c>
      <c r="N195" s="172">
        <f ca="1">IF(OFFSET(Assumptions!$B$28,0,$C$1)="Yes",(52*N$194-IF(52*N$194&gt;Exogenous!$C$57,(52*N$194-Exogenous!$C$57)*Exogenous!$B$58+Exogenous!$E$57,IF(52*N$194&gt;Exogenous!$C$56,(52*N$194-Exogenous!$C$56)*Exogenous!$B$57+Exogenous!$E$56,IF(52*N$194&gt;Exogenous!$C$55,(52*N$194-Exogenous!$C$55)*Exogenous!$B$56+Exogenous!$E$55,52*N$194*Exogenous!$B$55)))-52*N$194*Exogenous!$B$60)/52,M$195*(1+N$27))</f>
        <v>1279.7999211438182</v>
      </c>
      <c r="O195" s="172">
        <f ca="1">IF(OFFSET(Assumptions!$B$28,0,$C$1)="Yes",(52*O$194-IF(52*O$194&gt;Exogenous!$C$57,(52*O$194-Exogenous!$C$57)*Exogenous!$B$58+Exogenous!$E$57,IF(52*O$194&gt;Exogenous!$C$56,(52*O$194-Exogenous!$C$56)*Exogenous!$B$57+Exogenous!$E$56,IF(52*O$194&gt;Exogenous!$C$55,(52*O$194-Exogenous!$C$55)*Exogenous!$B$56+Exogenous!$E$55,52*O$194*Exogenous!$B$55)))-52*O$194*Exogenous!$B$60)/52,N$195*(1+O$27))</f>
        <v>1318.4498787623615</v>
      </c>
      <c r="P195" s="172">
        <f ca="1">IF(OFFSET(Assumptions!$B$28,0,$C$1)="Yes",(52*P$194-IF(52*P$194&gt;Exogenous!$C$57,(52*P$194-Exogenous!$C$57)*Exogenous!$B$58+Exogenous!$E$57,IF(52*P$194&gt;Exogenous!$C$56,(52*P$194-Exogenous!$C$56)*Exogenous!$B$57+Exogenous!$E$56,IF(52*P$194&gt;Exogenous!$C$55,(52*P$194-Exogenous!$C$55)*Exogenous!$B$56+Exogenous!$E$55,52*P$194*Exogenous!$B$55)))-52*P$194*Exogenous!$B$60)/52,O$195*(1+P$27))</f>
        <v>1358.2670651009848</v>
      </c>
      <c r="Q195" s="172">
        <f ca="1">IF(OFFSET(Assumptions!$B$28,0,$C$1)="Yes",(52*Q$194-IF(52*Q$194&gt;Exogenous!$C$57,(52*Q$194-Exogenous!$C$57)*Exogenous!$B$58+Exogenous!$E$57,IF(52*Q$194&gt;Exogenous!$C$56,(52*Q$194-Exogenous!$C$56)*Exogenous!$B$57+Exogenous!$E$56,IF(52*Q$194&gt;Exogenous!$C$55,(52*Q$194-Exogenous!$C$55)*Exogenous!$B$56+Exogenous!$E$55,52*Q$194*Exogenous!$B$55)))-52*Q$194*Exogenous!$B$60)/52,P$195*(1+Q$27))</f>
        <v>1399.2867304670347</v>
      </c>
      <c r="R195" s="172">
        <f ca="1">IF(OFFSET(Assumptions!$B$28,0,$C$1)="Yes",(52*R$194-IF(52*R$194&gt;Exogenous!$C$57,(52*R$194-Exogenous!$C$57)*Exogenous!$B$58+Exogenous!$E$57,IF(52*R$194&gt;Exogenous!$C$56,(52*R$194-Exogenous!$C$56)*Exogenous!$B$57+Exogenous!$E$56,IF(52*R$194&gt;Exogenous!$C$55,(52*R$194-Exogenous!$C$55)*Exogenous!$B$56+Exogenous!$E$55,52*R$194*Exogenous!$B$55)))-52*R$194*Exogenous!$B$60)/52,Q$195*(1+R$27))</f>
        <v>1441.5451897271391</v>
      </c>
      <c r="S195" s="172">
        <f ca="1">IF(OFFSET(Assumptions!$B$28,0,$C$1)="Yes",(52*S$194-IF(52*S$194&gt;Exogenous!$C$57,(52*S$194-Exogenous!$C$57)*Exogenous!$B$58+Exogenous!$E$57,IF(52*S$194&gt;Exogenous!$C$56,(52*S$194-Exogenous!$C$56)*Exogenous!$B$57+Exogenous!$E$56,IF(52*S$194&gt;Exogenous!$C$55,(52*S$194-Exogenous!$C$55)*Exogenous!$B$56+Exogenous!$E$55,52*S$194*Exogenous!$B$55)))-52*S$194*Exogenous!$B$60)/52,R$195*(1+S$27))</f>
        <v>1485.0798544568988</v>
      </c>
      <c r="T195" s="172">
        <f ca="1">IF(OFFSET(Assumptions!$B$28,0,$C$1)="Yes",(52*T$194-IF(52*T$194&gt;Exogenous!$C$57,(52*T$194-Exogenous!$C$57)*Exogenous!$B$58+Exogenous!$E$57,IF(52*T$194&gt;Exogenous!$C$56,(52*T$194-Exogenous!$C$56)*Exogenous!$B$57+Exogenous!$E$56,IF(52*T$194&gt;Exogenous!$C$55,(52*T$194-Exogenous!$C$55)*Exogenous!$B$56+Exogenous!$E$55,52*T$194*Exogenous!$B$55)))-52*T$194*Exogenous!$B$60)/52,S$195*(1+T$27))</f>
        <v>1529.9292660614972</v>
      </c>
    </row>
    <row r="196" spans="1:20">
      <c r="A196" s="167" t="s">
        <v>402</v>
      </c>
      <c r="B196" s="4" t="str">
        <f>$B$11</f>
        <v>From Economic Forecasts</v>
      </c>
      <c r="D196" s="179">
        <f>'Economic Forecasts'!Q$20</f>
        <v>360.42</v>
      </c>
      <c r="E196" s="179">
        <f>'Economic Forecasts'!R$20</f>
        <v>372.27</v>
      </c>
      <c r="F196" s="180">
        <f>'Economic Forecasts'!S$20</f>
        <v>384.46</v>
      </c>
      <c r="G196" s="180">
        <f>'Economic Forecasts'!T$20</f>
        <v>401.67</v>
      </c>
      <c r="H196" s="180">
        <f>'Economic Forecasts'!U$20</f>
        <v>410.04</v>
      </c>
      <c r="I196" s="180">
        <f>'Economic Forecasts'!V$20</f>
        <v>419.24</v>
      </c>
      <c r="J196" s="180">
        <f>'Economic Forecasts'!W$20</f>
        <v>430.14</v>
      </c>
      <c r="K196" s="172">
        <f ca="1">IF(OFFSET(Assumptions!$B$28,0,$C$1)="Yes",IF(52*K$197&gt;Exogenous!$D$57,(52*K$197-Exogenous!$F$58)/(1-Exogenous!$B$58),IF(52*K$197&gt;Exogenous!$D$56,(52*K$197-Exogenous!$F$57)/(1-Exogenous!$B$57),IF(52*K$197&gt;Exogenous!$D$55,(52*K$197-Exogenous!$F$56)/(1-Exogenous!$B$56),52*K$197/(1-Exogenous!$B$55))))/52,J$196*K$197/J$197)</f>
        <v>444.08675921669806</v>
      </c>
      <c r="L196" s="172">
        <f ca="1">IF(OFFSET(Assumptions!$B$28,0,$C$1)="Yes",IF(52*L$197&gt;Exogenous!$D$57,(52*L$197-Exogenous!$F$58)/(1-Exogenous!$B$58),IF(52*L$197&gt;Exogenous!$D$56,(52*L$197-Exogenous!$F$57)/(1-Exogenous!$B$57),IF(52*L$197&gt;Exogenous!$D$55,(52*L$197-Exogenous!$F$56)/(1-Exogenous!$B$56),52*L$197/(1-Exogenous!$B$55))))/52,K$196*L$197/K$197)</f>
        <v>457.98702813684019</v>
      </c>
      <c r="M196" s="172">
        <f ca="1">IF(OFFSET(Assumptions!$B$28,0,$C$1)="Yes",IF(52*M$197&gt;Exogenous!$D$57,(52*M$197-Exogenous!$F$58)/(1-Exogenous!$B$58),IF(52*M$197&gt;Exogenous!$D$56,(52*M$197-Exogenous!$F$57)/(1-Exogenous!$B$57),IF(52*M$197&gt;Exogenous!$D$55,(52*M$197-Exogenous!$F$56)/(1-Exogenous!$B$56),52*M$197/(1-Exogenous!$B$55))))/52,L$196*M$197/L$197)</f>
        <v>471.81823638657272</v>
      </c>
      <c r="N196" s="172">
        <f ca="1">IF(OFFSET(Assumptions!$B$28,0,$C$1)="Yes",IF(52*N$197&gt;Exogenous!$D$57,(52*N$197-Exogenous!$F$58)/(1-Exogenous!$B$58),IF(52*N$197&gt;Exogenous!$D$56,(52*N$197-Exogenous!$F$57)/(1-Exogenous!$B$57),IF(52*N$197&gt;Exogenous!$D$55,(52*N$197-Exogenous!$F$56)/(1-Exogenous!$B$56),52*N$197/(1-Exogenous!$B$55))))/52,M$196*N$197/M$197)</f>
        <v>486.06714712544726</v>
      </c>
      <c r="O196" s="172">
        <f ca="1">IF(OFFSET(Assumptions!$B$28,0,$C$1)="Yes",IF(52*O$197&gt;Exogenous!$D$57,(52*O$197-Exogenous!$F$58)/(1-Exogenous!$B$58),IF(52*O$197&gt;Exogenous!$D$56,(52*O$197-Exogenous!$F$57)/(1-Exogenous!$B$57),IF(52*O$197&gt;Exogenous!$D$55,(52*O$197-Exogenous!$F$56)/(1-Exogenous!$B$56),52*O$197/(1-Exogenous!$B$55))))/52,N$196*O$197/N$197)</f>
        <v>500.74637496863579</v>
      </c>
      <c r="P196" s="172">
        <f ca="1">IF(OFFSET(Assumptions!$B$28,0,$C$1)="Yes",IF(52*P$197&gt;Exogenous!$D$57,(52*P$197-Exogenous!$F$58)/(1-Exogenous!$B$58),IF(52*P$197&gt;Exogenous!$D$56,(52*P$197-Exogenous!$F$57)/(1-Exogenous!$B$57),IF(52*P$197&gt;Exogenous!$D$55,(52*P$197-Exogenous!$F$56)/(1-Exogenous!$B$56),52*P$197/(1-Exogenous!$B$55))))/52,O$196*P$197/O$197)</f>
        <v>515.86891549268853</v>
      </c>
      <c r="Q196" s="172">
        <f ca="1">IF(OFFSET(Assumptions!$B$28,0,$C$1)="Yes",IF(52*Q$197&gt;Exogenous!$D$57,(52*Q$197-Exogenous!$F$58)/(1-Exogenous!$B$58),IF(52*Q$197&gt;Exogenous!$D$56,(52*Q$197-Exogenous!$F$57)/(1-Exogenous!$B$57),IF(52*Q$197&gt;Exogenous!$D$55,(52*Q$197-Exogenous!$F$56)/(1-Exogenous!$B$56),52*Q$197/(1-Exogenous!$B$55))))/52,P$196*Q$197/P$197)</f>
        <v>531.44815674056781</v>
      </c>
      <c r="R196" s="172">
        <f ca="1">IF(OFFSET(Assumptions!$B$28,0,$C$1)="Yes",IF(52*R$197&gt;Exogenous!$D$57,(52*R$197-Exogenous!$F$58)/(1-Exogenous!$B$58),IF(52*R$197&gt;Exogenous!$D$56,(52*R$197-Exogenous!$F$57)/(1-Exogenous!$B$57),IF(52*R$197&gt;Exogenous!$D$55,(52*R$197-Exogenous!$F$56)/(1-Exogenous!$B$56),52*R$197/(1-Exogenous!$B$55))))/52,Q$196*R$197/Q$197)</f>
        <v>547.49789107413301</v>
      </c>
      <c r="S196" s="172">
        <f ca="1">IF(OFFSET(Assumptions!$B$28,0,$C$1)="Yes",IF(52*S$197&gt;Exogenous!$D$57,(52*S$197-Exogenous!$F$58)/(1-Exogenous!$B$58),IF(52*S$197&gt;Exogenous!$D$56,(52*S$197-Exogenous!$F$57)/(1-Exogenous!$B$57),IF(52*S$197&gt;Exogenous!$D$55,(52*S$197-Exogenous!$F$56)/(1-Exogenous!$B$56),52*S$197/(1-Exogenous!$B$55))))/52,R$196*S$197/R$197)</f>
        <v>564.03232738457189</v>
      </c>
      <c r="T196" s="172">
        <f ca="1">IF(OFFSET(Assumptions!$B$28,0,$C$1)="Yes",IF(52*T$197&gt;Exogenous!$D$57,(52*T$197-Exogenous!$F$58)/(1-Exogenous!$B$58),IF(52*T$197&gt;Exogenous!$D$56,(52*T$197-Exogenous!$F$57)/(1-Exogenous!$B$57),IF(52*T$197&gt;Exogenous!$D$55,(52*T$197-Exogenous!$F$56)/(1-Exogenous!$B$56),52*T$197/(1-Exogenous!$B$55))))/52,S$196*T$197/S$197)</f>
        <v>581.06610367158589</v>
      </c>
    </row>
    <row r="197" spans="1:20">
      <c r="A197" s="167" t="s">
        <v>404</v>
      </c>
      <c r="B197" s="4" t="str">
        <f>$B$11</f>
        <v>From Economic Forecasts</v>
      </c>
      <c r="D197" s="179">
        <f>'Economic Forecasts'!Q$21</f>
        <v>316.27</v>
      </c>
      <c r="E197" s="179">
        <f>'Economic Forecasts'!R$21</f>
        <v>326.02</v>
      </c>
      <c r="F197" s="180">
        <f>'Economic Forecasts'!S$21</f>
        <v>336.11</v>
      </c>
      <c r="G197" s="180">
        <f>'Economic Forecasts'!T$21</f>
        <v>350.35</v>
      </c>
      <c r="H197" s="180">
        <f>'Economic Forecasts'!U$21</f>
        <v>357.14</v>
      </c>
      <c r="I197" s="180">
        <f>'Economic Forecasts'!V$21</f>
        <v>364.77</v>
      </c>
      <c r="J197" s="180">
        <f>'Economic Forecasts'!W$21</f>
        <v>373.74</v>
      </c>
      <c r="K197" s="172">
        <f ca="1">MAX(OFFSET(Assumptions!$B$40,0,$C$1)*K$195/2,J$197*(1+K$30))</f>
        <v>385.85805874749786</v>
      </c>
      <c r="L197" s="172">
        <f ca="1">MAX(OFFSET(Assumptions!$B$40,0,$C$1)*L$195/2,K$197*(1+L$30))</f>
        <v>397.93572301079337</v>
      </c>
      <c r="M197" s="172">
        <f ca="1">MAX(OFFSET(Assumptions!$B$40,0,$C$1)*M$195/2,L$197*(1+M$30))</f>
        <v>409.95338184571926</v>
      </c>
      <c r="N197" s="172">
        <f ca="1">MAX(OFFSET(Assumptions!$B$40,0,$C$1)*N$195/2,M$197*(1+N$30))</f>
        <v>422.33397397746</v>
      </c>
      <c r="O197" s="172">
        <f ca="1">MAX(OFFSET(Assumptions!$B$40,0,$C$1)*O$195/2,N$197*(1+O$30))</f>
        <v>435.08845999157933</v>
      </c>
      <c r="P197" s="172">
        <f ca="1">MAX(OFFSET(Assumptions!$B$40,0,$C$1)*P$195/2,O$197*(1+P$30))</f>
        <v>448.228131483325</v>
      </c>
      <c r="Q197" s="172">
        <f ca="1">MAX(OFFSET(Assumptions!$B$40,0,$C$1)*Q$195/2,P$197*(1+Q$30))</f>
        <v>461.76462105412145</v>
      </c>
      <c r="R197" s="172">
        <f ca="1">MAX(OFFSET(Assumptions!$B$40,0,$C$1)*R$195/2,Q$197*(1+R$30))</f>
        <v>475.70991260995595</v>
      </c>
      <c r="S197" s="172">
        <f ca="1">MAX(OFFSET(Assumptions!$B$40,0,$C$1)*S$195/2,R$197*(1+S$30))</f>
        <v>490.07635197077661</v>
      </c>
      <c r="T197" s="172">
        <f ca="1">MAX(OFFSET(Assumptions!$B$40,0,$C$1)*T$195/2,S$197*(1+T$30))</f>
        <v>504.87665780029408</v>
      </c>
    </row>
    <row r="198" spans="1:20">
      <c r="A198" s="167" t="s">
        <v>1178</v>
      </c>
      <c r="B198" s="4" t="str">
        <f t="shared" ref="B198:B202" si="117">$B$11</f>
        <v>From Economic Forecasts</v>
      </c>
      <c r="D198" s="181">
        <f>'Economic Forecasts'!Q$23</f>
        <v>767</v>
      </c>
      <c r="E198" s="181">
        <f>'Economic Forecasts'!R$23</f>
        <v>795</v>
      </c>
      <c r="F198" s="182">
        <f>'Economic Forecasts'!S$23</f>
        <v>825</v>
      </c>
      <c r="G198" s="182">
        <f>'Economic Forecasts'!T$23</f>
        <v>851</v>
      </c>
      <c r="H198" s="182">
        <f>'Economic Forecasts'!U$23</f>
        <v>879</v>
      </c>
      <c r="I198" s="182">
        <f>'Economic Forecasts'!V$23</f>
        <v>907</v>
      </c>
      <c r="J198" s="182">
        <f>'Economic Forecasts'!W$23</f>
        <v>937</v>
      </c>
      <c r="K198" s="169">
        <f>J$198*(1+'Population Treasury'!V$203)</f>
        <v>969.91807096150853</v>
      </c>
      <c r="L198" s="169">
        <f>K$198*(1+'Population Treasury'!W$203)</f>
        <v>1003.7568640008823</v>
      </c>
      <c r="M198" s="169">
        <f>L$198*(1+'Population Treasury'!X$203)</f>
        <v>1037.4360854610961</v>
      </c>
      <c r="N198" s="169">
        <f>M$198*(1+'Population Treasury'!Y$203)</f>
        <v>1069.1081303025624</v>
      </c>
      <c r="O198" s="169">
        <f>N$198*(1+'Population Treasury'!Z$203)</f>
        <v>1098.28838080998</v>
      </c>
      <c r="P198" s="169">
        <f>O$198*(1+'Population Treasury'!AA$203)</f>
        <v>1125.5523205202696</v>
      </c>
      <c r="Q198" s="169">
        <f>P$198*(1+'Population Treasury'!AB$203)</f>
        <v>1152.1922633409013</v>
      </c>
      <c r="R198" s="169">
        <f>Q$198*(1+'Population Treasury'!AC$203)</f>
        <v>1179.1370598928697</v>
      </c>
      <c r="S198" s="169">
        <f>R$198*(1+'Population Treasury'!AD$203)</f>
        <v>1206.2453633425453</v>
      </c>
      <c r="T198" s="169">
        <f>S$198*(1+'Population Treasury'!AE$203)</f>
        <v>1232.1017376943587</v>
      </c>
    </row>
    <row r="199" spans="1:20">
      <c r="A199" s="167" t="s">
        <v>1179</v>
      </c>
      <c r="B199" s="4" t="str">
        <f t="shared" si="117"/>
        <v>From Economic Forecasts</v>
      </c>
      <c r="D199" s="181">
        <f>'Economic Forecasts'!Q$24</f>
        <v>139</v>
      </c>
      <c r="E199" s="181">
        <f>'Economic Forecasts'!R$24</f>
        <v>162</v>
      </c>
      <c r="F199" s="182">
        <f>'Economic Forecasts'!S$24</f>
        <v>214</v>
      </c>
      <c r="G199" s="182">
        <f>'Economic Forecasts'!T$24</f>
        <v>222</v>
      </c>
      <c r="H199" s="182">
        <f>'Economic Forecasts'!U$24</f>
        <v>203</v>
      </c>
      <c r="I199" s="182">
        <f>'Economic Forecasts'!V$24</f>
        <v>191</v>
      </c>
      <c r="J199" s="182">
        <f>'Economic Forecasts'!W$24</f>
        <v>178</v>
      </c>
      <c r="K199" s="169">
        <f ca="1">IF(ABS(OFFSET(Assumptions!$B$43,0,$C$1)-J$199/'Population Treasury'!U$205)&gt;OFFSET(Assumptions!$B$42,0,$C$1),(J$199/'Population Treasury'!U$205+SIGN(OFFSET(Assumptions!$B$43,0,$C$1)-J$199/'Population Treasury'!U$205)*OFFSET(Assumptions!$B$42,0,$C$1))*'Population Treasury'!V$205,J$199*(1+SUMPRODUCT(Exogenous!$B$41:$B$51,'Population Treasury'!V$208:V$218)+SUMPRODUCT(Exogenous!$C$41:$C$51,'Population Treasury'!V$219:V$229))*AVERAGE(1,K$17*K$24/(J$17*J$24)))</f>
        <v>163.56327019554186</v>
      </c>
      <c r="L199" s="169">
        <f ca="1">IF(ABS(OFFSET(Assumptions!$B$43,0,$C$1)-K$199/'Population Treasury'!V$205)&gt;OFFSET(Assumptions!$B$42,0,$C$1),(K$199/'Population Treasury'!V$205+SIGN(OFFSET(Assumptions!$B$43,0,$C$1)-K$199/'Population Treasury'!V$205)*OFFSET(Assumptions!$B$42,0,$C$1))*'Population Treasury'!W$205,K$199*(1+SUMPRODUCT(Exogenous!$B$41:$B$51,'Population Treasury'!W$208:W$218)+SUMPRODUCT(Exogenous!$C$41:$C$51,'Population Treasury'!W$219:W$229))*AVERAGE(1,L$17*L$24/(K$17*K$24)))</f>
        <v>166.8574622311655</v>
      </c>
      <c r="M199" s="169">
        <f ca="1">IF(ABS(OFFSET(Assumptions!$B$43,0,$C$1)-L$199/'Population Treasury'!W$205)&gt;OFFSET(Assumptions!$B$42,0,$C$1),(L$199/'Population Treasury'!W$205+SIGN(OFFSET(Assumptions!$B$43,0,$C$1)-L$199/'Population Treasury'!W$205)*OFFSET(Assumptions!$B$42,0,$C$1))*'Population Treasury'!X$205,L$199*(1+SUMPRODUCT(Exogenous!$B$41:$B$51,'Population Treasury'!X$208:X$218)+SUMPRODUCT(Exogenous!$C$41:$C$51,'Population Treasury'!X$219:X$229))*AVERAGE(1,M$17*M$24/(L$17*L$24)))</f>
        <v>170.12120610903867</v>
      </c>
      <c r="N199" s="169">
        <f ca="1">IF(ABS(OFFSET(Assumptions!$B$43,0,$C$1)-M$199/'Population Treasury'!X$205)&gt;OFFSET(Assumptions!$B$42,0,$C$1),(M$199/'Population Treasury'!X$205+SIGN(OFFSET(Assumptions!$B$43,0,$C$1)-M$199/'Population Treasury'!X$205)*OFFSET(Assumptions!$B$42,0,$C$1))*'Population Treasury'!Y$205,M$199*(1+SUMPRODUCT(Exogenous!$B$41:$B$51,'Population Treasury'!Y$208:Y$218)+SUMPRODUCT(Exogenous!$C$41:$C$51,'Population Treasury'!Y$219:Y$229))*AVERAGE(1,N$17*N$24/(M$17*M$24)))</f>
        <v>172.55170150362119</v>
      </c>
      <c r="O199" s="169">
        <f ca="1">IF(ABS(OFFSET(Assumptions!$B$43,0,$C$1)-N$199/'Population Treasury'!Y$205)&gt;OFFSET(Assumptions!$B$42,0,$C$1),(N$199/'Population Treasury'!Y$205+SIGN(OFFSET(Assumptions!$B$43,0,$C$1)-N$199/'Population Treasury'!Y$205)*OFFSET(Assumptions!$B$42,0,$C$1))*'Population Treasury'!Z$205,N$199*(1+SUMPRODUCT(Exogenous!$B$41:$B$51,'Population Treasury'!Z$208:Z$218)+SUMPRODUCT(Exogenous!$C$41:$C$51,'Population Treasury'!Z$219:Z$229))*AVERAGE(1,O$17*O$24/(N$17*N$24)))</f>
        <v>157.24858789191393</v>
      </c>
      <c r="P199" s="169">
        <f ca="1">IF(ABS(OFFSET(Assumptions!$B$43,0,$C$1)-O$199/'Population Treasury'!Z$205)&gt;OFFSET(Assumptions!$B$42,0,$C$1),(O$199/'Population Treasury'!Z$205+SIGN(OFFSET(Assumptions!$B$43,0,$C$1)-O$199/'Population Treasury'!Z$205)*OFFSET(Assumptions!$B$42,0,$C$1))*'Population Treasury'!AA$205,O$199*(1+SUMPRODUCT(Exogenous!$B$41:$B$51,'Population Treasury'!AA$208:AA$218)+SUMPRODUCT(Exogenous!$C$41:$C$51,'Population Treasury'!AA$219:AA$229))*AVERAGE(1,P$17*P$24/(O$17*O$24)))</f>
        <v>159.2848921233734</v>
      </c>
      <c r="Q199" s="169">
        <f ca="1">IF(ABS(OFFSET(Assumptions!$B$43,0,$C$1)-P$199/'Population Treasury'!AA$205)&gt;OFFSET(Assumptions!$B$42,0,$C$1),(P$199/'Population Treasury'!AA$205+SIGN(OFFSET(Assumptions!$B$43,0,$C$1)-P$199/'Population Treasury'!AA$205)*OFFSET(Assumptions!$B$42,0,$C$1))*'Population Treasury'!AB$205,P$199*(1+SUMPRODUCT(Exogenous!$B$41:$B$51,'Population Treasury'!AB$208:AB$218)+SUMPRODUCT(Exogenous!$C$41:$C$51,'Population Treasury'!AB$219:AB$229))*AVERAGE(1,Q$17*Q$24/(P$17*P$24)))</f>
        <v>161.17953058286167</v>
      </c>
      <c r="R199" s="169">
        <f ca="1">IF(ABS(OFFSET(Assumptions!$B$43,0,$C$1)-Q$199/'Population Treasury'!AB$205)&gt;OFFSET(Assumptions!$B$42,0,$C$1),(Q$199/'Population Treasury'!AB$205+SIGN(OFFSET(Assumptions!$B$43,0,$C$1)-Q$199/'Population Treasury'!AB$205)*OFFSET(Assumptions!$B$42,0,$C$1))*'Population Treasury'!AC$205,Q$199*(1+SUMPRODUCT(Exogenous!$B$41:$B$51,'Population Treasury'!AC$208:AC$218)+SUMPRODUCT(Exogenous!$C$41:$C$51,'Population Treasury'!AC$219:AC$229))*AVERAGE(1,R$17*R$24/(Q$17*Q$24)))</f>
        <v>162.87681321828063</v>
      </c>
      <c r="S199" s="169">
        <f ca="1">IF(ABS(OFFSET(Assumptions!$B$43,0,$C$1)-R$199/'Population Treasury'!AC$205)&gt;OFFSET(Assumptions!$B$42,0,$C$1),(R$199/'Population Treasury'!AC$205+SIGN(OFFSET(Assumptions!$B$43,0,$C$1)-R$199/'Population Treasury'!AC$205)*OFFSET(Assumptions!$B$42,0,$C$1))*'Population Treasury'!AD$205,R$199*(1+SUMPRODUCT(Exogenous!$B$41:$B$51,'Population Treasury'!AD$208:AD$218)+SUMPRODUCT(Exogenous!$C$41:$C$51,'Population Treasury'!AD$219:AD$229))*AVERAGE(1,S$17*S$24/(R$17*R$24)))</f>
        <v>164.32253919310148</v>
      </c>
      <c r="T199" s="169">
        <f ca="1">IF(ABS(OFFSET(Assumptions!$B$43,0,$C$1)-S$199/'Population Treasury'!AD$205)&gt;OFFSET(Assumptions!$B$42,0,$C$1),(S$199/'Population Treasury'!AD$205+SIGN(OFFSET(Assumptions!$B$43,0,$C$1)-S$199/'Population Treasury'!AD$205)*OFFSET(Assumptions!$B$42,0,$C$1))*'Population Treasury'!AE$205,S$199*(1+SUMPRODUCT(Exogenous!$B$41:$B$51,'Population Treasury'!AE$208:AE$218)+SUMPRODUCT(Exogenous!$C$41:$C$51,'Population Treasury'!AE$219:AE$229))*AVERAGE(1,T$17*T$24/(S$17*S$24)))</f>
        <v>165.72001962621891</v>
      </c>
    </row>
    <row r="200" spans="1:20">
      <c r="A200" s="167" t="s">
        <v>1180</v>
      </c>
      <c r="B200" s="4" t="str">
        <f t="shared" si="117"/>
        <v>From Economic Forecasts</v>
      </c>
      <c r="D200" s="181">
        <f>'Economic Forecasts'!Q$25</f>
        <v>95</v>
      </c>
      <c r="E200" s="181">
        <f>'Economic Forecasts'!R$25</f>
        <v>96</v>
      </c>
      <c r="F200" s="182">
        <f>'Economic Forecasts'!S$25</f>
        <v>97</v>
      </c>
      <c r="G200" s="182">
        <f>'Economic Forecasts'!T$25</f>
        <v>98</v>
      </c>
      <c r="H200" s="182">
        <f>'Economic Forecasts'!U$25</f>
        <v>100</v>
      </c>
      <c r="I200" s="182">
        <f>'Economic Forecasts'!V$25</f>
        <v>100</v>
      </c>
      <c r="J200" s="182">
        <f>'Economic Forecasts'!W$25</f>
        <v>101</v>
      </c>
      <c r="K200" s="169">
        <f ca="1">IF(ABS(OFFSET(Assumptions!$B$44,0,$C$1)-J$200/'Population Treasury'!U$205)&gt;OFFSET(Assumptions!$B$42,0,$C$1),(J$200/'Population Treasury'!U$205+SIGN(OFFSET(Assumptions!$B$44,0,$C$1)-J$200/'Population Treasury'!U$205)*OFFSET(Assumptions!$B$42,0,$C$1))*'Population Treasury'!V$205,J$200*(1+SUMPRODUCT(Exogenous!$I$41:$I$51,'Population Treasury'!V$208:V$218)+SUMPRODUCT(Exogenous!$J$41:$J$51,'Population Treasury'!V$219:V$229)))</f>
        <v>101.6654368514245</v>
      </c>
      <c r="L200" s="169">
        <f ca="1">IF(ABS(OFFSET(Assumptions!$B$44,0,$C$1)-K$200/'Population Treasury'!V$205)&gt;OFFSET(Assumptions!$B$42,0,$C$1),(K$200/'Population Treasury'!V$205+SIGN(OFFSET(Assumptions!$B$44,0,$C$1)-K$200/'Population Treasury'!V$205)*OFFSET(Assumptions!$B$42,0,$C$1))*'Population Treasury'!W$205,K$200*(1+SUMPRODUCT(Exogenous!$I$41:$I$51,'Population Treasury'!W$208:W$218)+SUMPRODUCT(Exogenous!$J$41:$J$51,'Population Treasury'!W$219:W$229)))</f>
        <v>102.2237651056162</v>
      </c>
      <c r="M200" s="169">
        <f ca="1">IF(ABS(OFFSET(Assumptions!$B$44,0,$C$1)-L$200/'Population Treasury'!W$205)&gt;OFFSET(Assumptions!$B$42,0,$C$1),(L$200/'Population Treasury'!W$205+SIGN(OFFSET(Assumptions!$B$44,0,$C$1)-L$200/'Population Treasury'!W$205)*OFFSET(Assumptions!$B$42,0,$C$1))*'Population Treasury'!X$205,L$200*(1+SUMPRODUCT(Exogenous!$I$41:$I$51,'Population Treasury'!X$208:X$218)+SUMPRODUCT(Exogenous!$J$41:$J$51,'Population Treasury'!X$219:X$229)))</f>
        <v>102.72133233182068</v>
      </c>
      <c r="N200" s="169">
        <f ca="1">IF(ABS(OFFSET(Assumptions!$B$44,0,$C$1)-M$200/'Population Treasury'!X$205)&gt;OFFSET(Assumptions!$B$42,0,$C$1),(M$200/'Population Treasury'!X$205+SIGN(OFFSET(Assumptions!$B$44,0,$C$1)-M$200/'Population Treasury'!X$205)*OFFSET(Assumptions!$B$42,0,$C$1))*'Population Treasury'!Y$205,M$200*(1+SUMPRODUCT(Exogenous!$I$41:$I$51,'Population Treasury'!Y$208:Y$218)+SUMPRODUCT(Exogenous!$J$41:$J$51,'Population Treasury'!Y$219:Y$229)))</f>
        <v>103.28778771575274</v>
      </c>
      <c r="O200" s="169">
        <f ca="1">IF(ABS(OFFSET(Assumptions!$B$44,0,$C$1)-N$200/'Population Treasury'!Y$205)&gt;OFFSET(Assumptions!$B$42,0,$C$1),(N$200/'Population Treasury'!Y$205+SIGN(OFFSET(Assumptions!$B$44,0,$C$1)-N$200/'Population Treasury'!Y$205)*OFFSET(Assumptions!$B$42,0,$C$1))*'Population Treasury'!Z$205,N$200*(1+SUMPRODUCT(Exogenous!$I$41:$I$51,'Population Treasury'!Z$208:Z$218)+SUMPRODUCT(Exogenous!$J$41:$J$51,'Population Treasury'!Z$219:Z$229)))</f>
        <v>103.9271072697647</v>
      </c>
      <c r="P200" s="169">
        <f ca="1">IF(ABS(OFFSET(Assumptions!$B$44,0,$C$1)-O$200/'Population Treasury'!Z$205)&gt;OFFSET(Assumptions!$B$42,0,$C$1),(O$200/'Population Treasury'!Z$205+SIGN(OFFSET(Assumptions!$B$44,0,$C$1)-O$200/'Population Treasury'!Z$205)*OFFSET(Assumptions!$B$42,0,$C$1))*'Population Treasury'!AA$205,O$200*(1+SUMPRODUCT(Exogenous!$I$41:$I$51,'Population Treasury'!AA$208:AA$218)+SUMPRODUCT(Exogenous!$J$41:$J$51,'Population Treasury'!AA$219:AA$229)))</f>
        <v>104.62298054300547</v>
      </c>
      <c r="Q200" s="169">
        <f ca="1">IF(ABS(OFFSET(Assumptions!$B$44,0,$C$1)-P$200/'Population Treasury'!AA$205)&gt;OFFSET(Assumptions!$B$42,0,$C$1),(P$200/'Population Treasury'!AA$205+SIGN(OFFSET(Assumptions!$B$44,0,$C$1)-P$200/'Population Treasury'!AA$205)*OFFSET(Assumptions!$B$42,0,$C$1))*'Population Treasury'!AB$205,P$200*(1+SUMPRODUCT(Exogenous!$I$41:$I$51,'Population Treasury'!AB$208:AB$218)+SUMPRODUCT(Exogenous!$J$41:$J$51,'Population Treasury'!AB$219:AB$229)))</f>
        <v>105.28757448698741</v>
      </c>
      <c r="R200" s="169">
        <f ca="1">IF(ABS(OFFSET(Assumptions!$B$44,0,$C$1)-Q$200/'Population Treasury'!AB$205)&gt;OFFSET(Assumptions!$B$42,0,$C$1),(Q$200/'Population Treasury'!AB$205+SIGN(OFFSET(Assumptions!$B$44,0,$C$1)-Q$200/'Population Treasury'!AB$205)*OFFSET(Assumptions!$B$42,0,$C$1))*'Population Treasury'!AC$205,Q$200*(1+SUMPRODUCT(Exogenous!$I$41:$I$51,'Population Treasury'!AC$208:AC$218)+SUMPRODUCT(Exogenous!$J$41:$J$51,'Population Treasury'!AC$219:AC$229)))</f>
        <v>105.86855430735109</v>
      </c>
      <c r="S200" s="169">
        <f ca="1">IF(ABS(OFFSET(Assumptions!$B$44,0,$C$1)-R$200/'Population Treasury'!AC$205)&gt;OFFSET(Assumptions!$B$42,0,$C$1),(R$200/'Population Treasury'!AC$205+SIGN(OFFSET(Assumptions!$B$44,0,$C$1)-R$200/'Population Treasury'!AC$205)*OFFSET(Assumptions!$B$42,0,$C$1))*'Population Treasury'!AD$205,R$200*(1+SUMPRODUCT(Exogenous!$I$41:$I$51,'Population Treasury'!AD$208:AD$218)+SUMPRODUCT(Exogenous!$J$41:$J$51,'Population Treasury'!AD$219:AD$229)))</f>
        <v>106.34959855467287</v>
      </c>
      <c r="T200" s="169">
        <f ca="1">IF(ABS(OFFSET(Assumptions!$B$44,0,$C$1)-S$200/'Population Treasury'!AD$205)&gt;OFFSET(Assumptions!$B$42,0,$C$1),(S$200/'Population Treasury'!AD$205+SIGN(OFFSET(Assumptions!$B$44,0,$C$1)-S$200/'Population Treasury'!AD$205)*OFFSET(Assumptions!$B$42,0,$C$1))*'Population Treasury'!AE$205,S$200*(1+SUMPRODUCT(Exogenous!$I$41:$I$51,'Population Treasury'!AE$208:AE$218)+SUMPRODUCT(Exogenous!$J$41:$J$51,'Population Treasury'!AE$219:AE$229)))</f>
        <v>106.88539604069406</v>
      </c>
    </row>
    <row r="201" spans="1:20">
      <c r="A201" s="167" t="s">
        <v>1181</v>
      </c>
      <c r="B201" s="4" t="str">
        <f t="shared" si="117"/>
        <v>From Economic Forecasts</v>
      </c>
      <c r="D201" s="181">
        <f>'Economic Forecasts'!Q$26</f>
        <v>59</v>
      </c>
      <c r="E201" s="181">
        <f>'Economic Forecasts'!R$26</f>
        <v>61</v>
      </c>
      <c r="F201" s="182">
        <f>'Economic Forecasts'!S$26</f>
        <v>67</v>
      </c>
      <c r="G201" s="182">
        <f>'Economic Forecasts'!T$26</f>
        <v>71</v>
      </c>
      <c r="H201" s="182">
        <f>'Economic Forecasts'!U$26</f>
        <v>74</v>
      </c>
      <c r="I201" s="182">
        <f>'Economic Forecasts'!V$26</f>
        <v>72</v>
      </c>
      <c r="J201" s="182">
        <f>'Economic Forecasts'!W$26</f>
        <v>70</v>
      </c>
      <c r="K201" s="169">
        <f ca="1">IF(ABS(OFFSET(Assumptions!$B$45,0,$C$1)-J$201/'Population Treasury'!U$206)&gt;OFFSET(Assumptions!$B$42,0,$C$1),(J$201/'Population Treasury'!U$206+SIGN(OFFSET(Assumptions!$B$45,0,$C$1)-J$201/'Population Treasury'!U$206)*OFFSET(Assumptions!$B$42,0,$C$1))*'Population Treasury'!V$206,J$201*(1+SUMPRODUCT(Exogenous!$P$41:$P$51,'Population Treasury'!V$208:V$218)+SUMPRODUCT(Exogenous!$Q$41:$Q$51,'Population Treasury'!V$219:V$229)))</f>
        <v>70.630735049824082</v>
      </c>
      <c r="L201" s="169">
        <f ca="1">IF(ABS(OFFSET(Assumptions!$B$45,0,$C$1)-K$201/'Population Treasury'!V$206)&gt;OFFSET(Assumptions!$B$42,0,$C$1),(K$201/'Population Treasury'!V$206+SIGN(OFFSET(Assumptions!$B$45,0,$C$1)-K$201/'Population Treasury'!V$206)*OFFSET(Assumptions!$B$42,0,$C$1))*'Population Treasury'!W$206,K$201*(1+SUMPRODUCT(Exogenous!$P$41:$P$51,'Population Treasury'!W$208:W$218)+SUMPRODUCT(Exogenous!$Q$41:$Q$51,'Population Treasury'!W$219:W$229)))</f>
        <v>71.251631749462604</v>
      </c>
      <c r="M201" s="169">
        <f ca="1">IF(ABS(OFFSET(Assumptions!$B$45,0,$C$1)-L$201/'Population Treasury'!W$206)&gt;OFFSET(Assumptions!$B$42,0,$C$1),(L$201/'Population Treasury'!W$206+SIGN(OFFSET(Assumptions!$B$45,0,$C$1)-L$201/'Population Treasury'!W$206)*OFFSET(Assumptions!$B$42,0,$C$1))*'Population Treasury'!X$206,L$201*(1+SUMPRODUCT(Exogenous!$P$41:$P$51,'Population Treasury'!X$208:X$218)+SUMPRODUCT(Exogenous!$Q$41:$Q$51,'Population Treasury'!X$219:X$229)))</f>
        <v>71.879703153966304</v>
      </c>
      <c r="N201" s="169">
        <f ca="1">IF(ABS(OFFSET(Assumptions!$B$45,0,$C$1)-M$201/'Population Treasury'!X$206)&gt;OFFSET(Assumptions!$B$42,0,$C$1),(M$201/'Population Treasury'!X$206+SIGN(OFFSET(Assumptions!$B$45,0,$C$1)-M$201/'Population Treasury'!X$206)*OFFSET(Assumptions!$B$42,0,$C$1))*'Population Treasury'!Y$206,M$201*(1+SUMPRODUCT(Exogenous!$P$41:$P$51,'Population Treasury'!Y$208:Y$218)+SUMPRODUCT(Exogenous!$Q$41:$Q$51,'Population Treasury'!Y$219:Y$229)))</f>
        <v>72.488855808711619</v>
      </c>
      <c r="O201" s="169">
        <f ca="1">IF(ABS(OFFSET(Assumptions!$B$45,0,$C$1)-N$201/'Population Treasury'!Y$206)&gt;OFFSET(Assumptions!$B$42,0,$C$1),(N$201/'Population Treasury'!Y$206+SIGN(OFFSET(Assumptions!$B$45,0,$C$1)-N$201/'Population Treasury'!Y$206)*OFFSET(Assumptions!$B$42,0,$C$1))*'Population Treasury'!Z$206,N$201*(1+SUMPRODUCT(Exogenous!$P$41:$P$51,'Population Treasury'!Z$208:Z$218)+SUMPRODUCT(Exogenous!$Q$41:$Q$51,'Population Treasury'!Z$219:Z$229)))</f>
        <v>73.088142670599694</v>
      </c>
      <c r="P201" s="169">
        <f ca="1">IF(ABS(OFFSET(Assumptions!$B$45,0,$C$1)-O$201/'Population Treasury'!Z$206)&gt;OFFSET(Assumptions!$B$42,0,$C$1),(O$201/'Population Treasury'!Z$206+SIGN(OFFSET(Assumptions!$B$45,0,$C$1)-O$201/'Population Treasury'!Z$206)*OFFSET(Assumptions!$B$42,0,$C$1))*'Population Treasury'!AA$206,O$201*(1+SUMPRODUCT(Exogenous!$P$41:$P$51,'Population Treasury'!AA$208:AA$218)+SUMPRODUCT(Exogenous!$Q$41:$Q$51,'Population Treasury'!AA$219:AA$229)))</f>
        <v>73.663438859976225</v>
      </c>
      <c r="Q201" s="169">
        <f ca="1">IF(ABS(OFFSET(Assumptions!$B$45,0,$C$1)-P$201/'Population Treasury'!AA$206)&gt;OFFSET(Assumptions!$B$42,0,$C$1),(P$201/'Population Treasury'!AA$206+SIGN(OFFSET(Assumptions!$B$45,0,$C$1)-P$201/'Population Treasury'!AA$206)*OFFSET(Assumptions!$B$42,0,$C$1))*'Population Treasury'!AB$206,P$201*(1+SUMPRODUCT(Exogenous!$P$41:$P$51,'Population Treasury'!AB$208:AB$218)+SUMPRODUCT(Exogenous!$Q$41:$Q$51,'Population Treasury'!AB$219:AB$229)))</f>
        <v>74.230009251356321</v>
      </c>
      <c r="R201" s="169">
        <f ca="1">IF(ABS(OFFSET(Assumptions!$B$45,0,$C$1)-Q$201/'Population Treasury'!AB$206)&gt;OFFSET(Assumptions!$B$42,0,$C$1),(Q$201/'Population Treasury'!AB$206+SIGN(OFFSET(Assumptions!$B$45,0,$C$1)-Q$201/'Population Treasury'!AB$206)*OFFSET(Assumptions!$B$42,0,$C$1))*'Population Treasury'!AC$206,Q$201*(1+SUMPRODUCT(Exogenous!$P$41:$P$51,'Population Treasury'!AC$208:AC$218)+SUMPRODUCT(Exogenous!$Q$41:$Q$51,'Population Treasury'!AC$219:AC$229)))</f>
        <v>74.762462250942519</v>
      </c>
      <c r="S201" s="169">
        <f ca="1">IF(ABS(OFFSET(Assumptions!$B$45,0,$C$1)-R$201/'Population Treasury'!AC$206)&gt;OFFSET(Assumptions!$B$42,0,$C$1),(R$201/'Population Treasury'!AC$206+SIGN(OFFSET(Assumptions!$B$45,0,$C$1)-R$201/'Population Treasury'!AC$206)*OFFSET(Assumptions!$B$42,0,$C$1))*'Population Treasury'!AD$206,R$201*(1+SUMPRODUCT(Exogenous!$P$41:$P$51,'Population Treasury'!AD$208:AD$218)+SUMPRODUCT(Exogenous!$Q$41:$Q$51,'Population Treasury'!AD$219:AD$229)))</f>
        <v>75.181960416165111</v>
      </c>
      <c r="T201" s="169">
        <f ca="1">IF(ABS(OFFSET(Assumptions!$B$45,0,$C$1)-S$201/'Population Treasury'!AD$206)&gt;OFFSET(Assumptions!$B$42,0,$C$1),(S$201/'Population Treasury'!AD$206+SIGN(OFFSET(Assumptions!$B$45,0,$C$1)-S$201/'Population Treasury'!AD$206)*OFFSET(Assumptions!$B$42,0,$C$1))*'Population Treasury'!AE$206,S$201*(1+SUMPRODUCT(Exogenous!$P$41:$P$51,'Population Treasury'!AE$208:AE$218)+SUMPRODUCT(Exogenous!$Q$41:$Q$51,'Population Treasury'!AE$219:AE$229)))</f>
        <v>75.579269204171354</v>
      </c>
    </row>
    <row r="202" spans="1:20">
      <c r="A202" s="167" t="s">
        <v>1182</v>
      </c>
      <c r="B202" s="4" t="str">
        <f t="shared" si="117"/>
        <v>From Economic Forecasts</v>
      </c>
      <c r="D202" s="181">
        <f>'Economic Forecasts'!Q$27</f>
        <v>295</v>
      </c>
      <c r="E202" s="181">
        <f>'Economic Forecasts'!R$27</f>
        <v>318</v>
      </c>
      <c r="F202" s="182">
        <f>'Economic Forecasts'!S$27</f>
        <v>367</v>
      </c>
      <c r="G202" s="182">
        <f>'Economic Forecasts'!T$27</f>
        <v>379</v>
      </c>
      <c r="H202" s="182">
        <f>'Economic Forecasts'!U$27</f>
        <v>373</v>
      </c>
      <c r="I202" s="182">
        <f>'Economic Forecasts'!V$27</f>
        <v>370</v>
      </c>
      <c r="J202" s="182">
        <f>'Economic Forecasts'!W$27</f>
        <v>365</v>
      </c>
      <c r="K202" s="169">
        <f ca="1">IF(ABS(OFFSET(Assumptions!$B$47,0,$C$1)-J$202/(1000*J$19))&gt;OFFSET(Assumptions!$B$46,0,$C$1),(J$202/(1000*J$19)+SIGN(OFFSET(Assumptions!$B$47,0,$C$1)-J$202/(1000*J$19))*OFFSET(Assumptions!$B$46,0,$C$1))*1000*K$19,J$202*K$19/J$19)</f>
        <v>357.37368515214081</v>
      </c>
      <c r="L202" s="169">
        <f ca="1">IF(ABS(OFFSET(Assumptions!$B$47,0,$C$1)-K$202/(1000*K$19))&gt;OFFSET(Assumptions!$B$46,0,$C$1),(K$202/(1000*K$19)+SIGN(OFFSET(Assumptions!$B$47,0,$C$1)-K$202/(1000*K$19))*OFFSET(Assumptions!$B$46,0,$C$1))*1000*L$19,K$202*L$19/K$19)</f>
        <v>349.15066171596555</v>
      </c>
      <c r="M202" s="169">
        <f ca="1">IF(ABS(OFFSET(Assumptions!$B$47,0,$C$1)-L$202/(1000*L$19))&gt;OFFSET(Assumptions!$B$46,0,$C$1),(L$202/(1000*L$19)+SIGN(OFFSET(Assumptions!$B$47,0,$C$1)-L$202/(1000*L$19))*OFFSET(Assumptions!$B$46,0,$C$1))*1000*M$19,L$202*M$19/L$19)</f>
        <v>353.91367346763457</v>
      </c>
      <c r="N202" s="169">
        <f ca="1">IF(ABS(OFFSET(Assumptions!$B$47,0,$C$1)-M$202/(1000*M$19))&gt;OFFSET(Assumptions!$B$46,0,$C$1),(M$202/(1000*M$19)+SIGN(OFFSET(Assumptions!$B$47,0,$C$1)-M$202/(1000*M$19))*OFFSET(Assumptions!$B$46,0,$C$1))*1000*N$19,M$202*N$19/M$19)</f>
        <v>358.37321105879545</v>
      </c>
      <c r="O202" s="169">
        <f ca="1">IF(ABS(OFFSET(Assumptions!$B$47,0,$C$1)-N$202/(1000*N$19))&gt;OFFSET(Assumptions!$B$46,0,$C$1),(N$202/(1000*N$19)+SIGN(OFFSET(Assumptions!$B$47,0,$C$1)-N$202/(1000*N$19))*OFFSET(Assumptions!$B$46,0,$C$1))*1000*O$19,N$202*O$19/N$19)</f>
        <v>362.63245355854934</v>
      </c>
      <c r="P202" s="169">
        <f ca="1">IF(ABS(OFFSET(Assumptions!$B$47,0,$C$1)-O$202/(1000*O$19))&gt;OFFSET(Assumptions!$B$46,0,$C$1),(O$202/(1000*O$19)+SIGN(OFFSET(Assumptions!$B$47,0,$C$1)-O$202/(1000*O$19))*OFFSET(Assumptions!$B$46,0,$C$1))*1000*P$19,O$202*P$19/O$19)</f>
        <v>366.65075466694674</v>
      </c>
      <c r="Q202" s="169">
        <f ca="1">IF(ABS(OFFSET(Assumptions!$B$47,0,$C$1)-P$202/(1000*P$19))&gt;OFFSET(Assumptions!$B$46,0,$C$1),(P$202/(1000*P$19)+SIGN(OFFSET(Assumptions!$B$47,0,$C$1)-P$202/(1000*P$19))*OFFSET(Assumptions!$B$46,0,$C$1))*1000*Q$19,P$202*Q$19/P$19)</f>
        <v>370.46016242817916</v>
      </c>
      <c r="R202" s="169">
        <f ca="1">IF(ABS(OFFSET(Assumptions!$B$47,0,$C$1)-Q$202/(1000*Q$19))&gt;OFFSET(Assumptions!$B$46,0,$C$1),(Q$202/(1000*Q$19)+SIGN(OFFSET(Assumptions!$B$47,0,$C$1)-Q$202/(1000*Q$19))*OFFSET(Assumptions!$B$46,0,$C$1))*1000*R$19,Q$202*R$19/Q$19)</f>
        <v>373.95046283661537</v>
      </c>
      <c r="S202" s="169">
        <f ca="1">IF(ABS(OFFSET(Assumptions!$B$47,0,$C$1)-R$202/(1000*R$19))&gt;OFFSET(Assumptions!$B$46,0,$C$1),(R$202/(1000*R$19)+SIGN(OFFSET(Assumptions!$B$47,0,$C$1)-R$202/(1000*R$19))*OFFSET(Assumptions!$B$46,0,$C$1))*1000*S$19,R$202*S$19/R$19)</f>
        <v>377.20763844983935</v>
      </c>
      <c r="T202" s="169">
        <f ca="1">IF(ABS(OFFSET(Assumptions!$B$47,0,$C$1)-S$202/(1000*S$19))&gt;OFFSET(Assumptions!$B$46,0,$C$1),(S$202/(1000*S$19)+SIGN(OFFSET(Assumptions!$B$47,0,$C$1)-S$202/(1000*S$19))*OFFSET(Assumptions!$B$46,0,$C$1))*1000*T$19,S$202*T$19/S$19)</f>
        <v>380.35069175936025</v>
      </c>
    </row>
    <row r="203" spans="1:20">
      <c r="B203" s="4"/>
      <c r="D203" s="180"/>
      <c r="E203" s="180"/>
      <c r="F203" s="180"/>
      <c r="G203" s="180"/>
      <c r="H203" s="172"/>
      <c r="I203" s="172"/>
      <c r="J203" s="172"/>
      <c r="K203" s="172"/>
      <c r="L203" s="172"/>
      <c r="M203" s="172"/>
      <c r="N203" s="172"/>
      <c r="O203" s="172"/>
      <c r="P203" s="172"/>
      <c r="Q203" s="172"/>
      <c r="R203" s="172"/>
      <c r="S203" s="172"/>
      <c r="T203" s="172"/>
    </row>
    <row r="204" spans="1:20">
      <c r="A204" s="18" t="s">
        <v>134</v>
      </c>
    </row>
    <row r="205" spans="1:20">
      <c r="A205" s="167" t="s">
        <v>279</v>
      </c>
      <c r="B205" s="4" t="str">
        <f>$B$39</f>
        <v>From Fiscal Forecasts</v>
      </c>
      <c r="D205" s="175">
        <f>'Fiscal Forecasts'!D$162</f>
        <v>7.7939999999999996</v>
      </c>
      <c r="E205" s="175">
        <f>'Fiscal Forecasts'!E$162</f>
        <v>8.48</v>
      </c>
      <c r="F205" s="176">
        <f>'Fiscal Forecasts'!F$162</f>
        <v>9.2739999999999991</v>
      </c>
      <c r="G205" s="176">
        <f>'Fiscal Forecasts'!G$162</f>
        <v>9.4789999999999992</v>
      </c>
      <c r="H205" s="176">
        <f>'Fiscal Forecasts'!H$162</f>
        <v>9.1609999999999996</v>
      </c>
      <c r="I205" s="176">
        <f>'Fiscal Forecasts'!I$162</f>
        <v>9.1010000000000009</v>
      </c>
      <c r="J205" s="176">
        <f>'Fiscal Forecasts'!J$162</f>
        <v>9.0980000000000008</v>
      </c>
      <c r="K205" s="171">
        <f ca="1">SUM(K$252,IF(K$6=OFFSET(Assumptions!$B$8,0,$C$1),AVERAGE(SUM(H$205,-H$252)/SUM(H$205,H$212,H$222,-H$252,-H$324),SUM(I$205,-I$252)/SUM(I$205,I$212,I$222,-I$252,-I$324),SUM(J$205,-J$252)/SUM(J$205,J$212,J$222,-J$252,-J$324)),SUM(J$205,-J$252)/SUM(J$205,J$212,J$222,-J$252,-J$324))*SUM(-K$256,-K$264,K$323))</f>
        <v>9.3404184630651734</v>
      </c>
      <c r="L205" s="171">
        <f ca="1">SUM(L$252,IF(L$6=OFFSET(Assumptions!$B$8,0,$C$1),AVERAGE(SUM(I$205,-I$252)/SUM(I$205,I$212,I$222,-I$252,-I$324),SUM(J$205,-J$252)/SUM(J$205,J$212,J$222,-J$252,-J$324),SUM(K$205,-K$252)/SUM(K$205,K$212,K$222,-K$252,-K$324)),SUM(K$205,-K$252)/SUM(K$205,K$212,K$222,-K$252,-K$324))*SUM(-L$256,-L$264,L$323))</f>
        <v>9.3471368883539743</v>
      </c>
      <c r="M205" s="171">
        <f ca="1">SUM(M$252,IF(M$6=OFFSET(Assumptions!$B$8,0,$C$1),AVERAGE(SUM(J$205,-J$252)/SUM(J$205,J$212,J$222,-J$252,-J$324),SUM(K$205,-K$252)/SUM(K$205,K$212,K$222,-K$252,-K$324),SUM(L$205,-L$252)/SUM(L$205,L$212,L$222,-L$252,-L$324)),SUM(L$205,-L$252)/SUM(L$205,L$212,L$222,-L$252,-L$324))*SUM(-M$256,-M$264,M$323))</f>
        <v>9.3530312520033068</v>
      </c>
      <c r="N205" s="171">
        <f ca="1">SUM(N$252,IF(N$6=OFFSET(Assumptions!$B$8,0,$C$1),AVERAGE(SUM(K$205,-K$252)/SUM(K$205,K$212,K$222,-K$252,-K$324),SUM(L$205,-L$252)/SUM(L$205,L$212,L$222,-L$252,-L$324),SUM(M$205,-M$252)/SUM(M$205,M$212,M$222,-M$252,-M$324)),SUM(M$205,-M$252)/SUM(M$205,M$212,M$222,-M$252,-M$324))*SUM(-N$256,-N$264,N$323))</f>
        <v>9.3575318240935079</v>
      </c>
      <c r="O205" s="171">
        <f ca="1">SUM(O$252,IF(O$6=OFFSET(Assumptions!$B$8,0,$C$1),AVERAGE(SUM(L$205,-L$252)/SUM(L$205,L$212,L$222,-L$252,-L$324),SUM(M$205,-M$252)/SUM(M$205,M$212,M$222,-M$252,-M$324),SUM(N$205,-N$252)/SUM(N$205,N$212,N$222,-N$252,-N$324)),SUM(N$205,-N$252)/SUM(N$205,N$212,N$222,-N$252,-N$324))*SUM(-O$256,-O$264,O$323))</f>
        <v>9.3623054733189441</v>
      </c>
      <c r="P205" s="171">
        <f ca="1">SUM(P$252,IF(P$6=OFFSET(Assumptions!$B$8,0,$C$1),AVERAGE(SUM(M$205,-M$252)/SUM(M$205,M$212,M$222,-M$252,-M$324),SUM(N$205,-N$252)/SUM(N$205,N$212,N$222,-N$252,-N$324),SUM(O$205,-O$252)/SUM(O$205,O$212,O$222,-O$252,-O$324)),SUM(O$205,-O$252)/SUM(O$205,O$212,O$222,-O$252,-O$324))*SUM(-P$256,-P$264,P$323))</f>
        <v>9.3669388291055373</v>
      </c>
      <c r="Q205" s="171">
        <f ca="1">SUM(Q$252,IF(Q$6=OFFSET(Assumptions!$B$8,0,$C$1),AVERAGE(SUM(N$205,-N$252)/SUM(N$205,N$212,N$222,-N$252,-N$324),SUM(O$205,-O$252)/SUM(O$205,O$212,O$222,-O$252,-O$324),SUM(P$205,-P$252)/SUM(P$205,P$212,P$222,-P$252,-P$324)),SUM(P$205,-P$252)/SUM(P$205,P$212,P$222,-P$252,-P$324))*SUM(-Q$256,-Q$264,Q$323))</f>
        <v>9.3717120052925296</v>
      </c>
      <c r="R205" s="171">
        <f ca="1">SUM(R$252,IF(R$6=OFFSET(Assumptions!$B$8,0,$C$1),AVERAGE(SUM(O$205,-O$252)/SUM(O$205,O$212,O$222,-O$252,-O$324),SUM(P$205,-P$252)/SUM(P$205,P$212,P$222,-P$252,-P$324),SUM(Q$205,-Q$252)/SUM(Q$205,Q$212,Q$222,-Q$252,-Q$324)),SUM(Q$205,-Q$252)/SUM(Q$205,Q$212,Q$222,-Q$252,-Q$324))*SUM(-R$256,-R$264,R$323))</f>
        <v>9.3766277982879274</v>
      </c>
      <c r="S205" s="171">
        <f ca="1">SUM(S$252,IF(S$6=OFFSET(Assumptions!$B$8,0,$C$1),AVERAGE(SUM(P$205,-P$252)/SUM(P$205,P$212,P$222,-P$252,-P$324),SUM(Q$205,-Q$252)/SUM(Q$205,Q$212,Q$222,-Q$252,-Q$324),SUM(R$205,-R$252)/SUM(R$205,R$212,R$222,-R$252,-R$324)),SUM(R$205,-R$252)/SUM(R$205,R$212,R$222,-R$252,-R$324))*SUM(-S$256,-S$264,S$323))</f>
        <v>9.3816890604279095</v>
      </c>
      <c r="T205" s="171">
        <f ca="1">SUM(T$252,IF(T$6=OFFSET(Assumptions!$B$8,0,$C$1),AVERAGE(SUM(Q$205,-Q$252)/SUM(Q$205,Q$212,Q$222,-Q$252,-Q$324),SUM(R$205,-R$252)/SUM(R$205,R$212,R$222,-R$252,-R$324),SUM(S$205,-S$252)/SUM(S$205,S$212,S$222,-S$252,-S$324)),SUM(S$205,-S$252)/SUM(S$205,S$212,S$222,-S$252,-S$324))*SUM(-T$256,-T$264,T$323))</f>
        <v>9.3867600149639756</v>
      </c>
    </row>
    <row r="206" spans="1:20">
      <c r="A206" s="167" t="s">
        <v>256</v>
      </c>
      <c r="B206" s="4" t="str">
        <f>$B$39</f>
        <v>From Fiscal Forecasts</v>
      </c>
      <c r="D206" s="175">
        <f>'Fiscal Forecasts'!D$244</f>
        <v>15.085000000000001</v>
      </c>
      <c r="E206" s="175">
        <f>'Fiscal Forecasts'!E$244</f>
        <v>16.317</v>
      </c>
      <c r="F206" s="176">
        <f>'Fiscal Forecasts'!F$244</f>
        <v>17.989000000000001</v>
      </c>
      <c r="G206" s="176">
        <f>'Fiscal Forecasts'!G$244</f>
        <v>18.436</v>
      </c>
      <c r="H206" s="176">
        <f>'Fiscal Forecasts'!H$244</f>
        <v>18.033000000000001</v>
      </c>
      <c r="I206" s="176">
        <f>'Fiscal Forecasts'!I$244</f>
        <v>18.006</v>
      </c>
      <c r="J206" s="176">
        <f>'Fiscal Forecasts'!J$244</f>
        <v>17.992000000000001</v>
      </c>
      <c r="K206" s="171">
        <f ca="1">SUM(K$253-K$252,IF(K$6=OFFSET(Assumptions!$B$8,0,$C$1),AVERAGE(SUM(H$206,-(H$253-H$252))/SUM(H$206,-(H$253-H$252),H$213,H$223),SUM(I$206,-(I$253-I$252))/SUM(I$206,-(I$253-I$252),I$213,I$223),SUM(J$206,-(J$253-J$252))/SUM(J$206,-(J$253-J$252),J$213,J$223)),SUM(J$206,-(J$253-J$252))/SUM(J$206,-(J$253-J$252),J$213,J$223))*SUM(K$190-K$238,K$257,K$266,K$288,K$326,-(K$253-K$252)))</f>
        <v>18.308737228046279</v>
      </c>
      <c r="L206" s="171">
        <f ca="1">SUM(L$253-L$252,IF(L$6=OFFSET(Assumptions!$B$8,0,$C$1),AVERAGE(SUM(I$206,-(I$253-I$252))/SUM(I$206,-(I$253-I$252),I$213,I$223),SUM(J$206,-(J$253-J$252))/SUM(J$206,-(J$253-J$252),J$213,J$223),SUM(K$206,-(K$253-K$252))/SUM(K$206,-(K$253-K$252),K$213,K$223)),SUM(K$206,-(K$253-K$252))/SUM(K$206,-(K$253-K$252),K$213,K$223))*SUM(L$190-L$238,L$257,L$266,L$288,L$326,-(L$253-L$252)))</f>
        <v>18.468663354360977</v>
      </c>
      <c r="M206" s="171">
        <f ca="1">SUM(M$253-M$252,IF(M$6=OFFSET(Assumptions!$B$8,0,$C$1),AVERAGE(SUM(J$206,-(J$253-J$252))/SUM(J$206,-(J$253-J$252),J$213,J$223),SUM(K$206,-(K$253-K$252))/SUM(K$206,-(K$253-K$252),K$213,K$223),SUM(L$206,-(L$253-L$252))/SUM(L$206,-(L$253-L$252),L$213,L$223)),SUM(L$206,-(L$253-L$252))/SUM(L$206,-(L$253-L$252),L$213,L$223))*SUM(M$190-M$238,M$257,M$266,M$288,M$326,-(M$253-M$252)))</f>
        <v>18.64830245090355</v>
      </c>
      <c r="N206" s="171">
        <f ca="1">SUM(N$253-N$252,IF(N$6=OFFSET(Assumptions!$B$8,0,$C$1),AVERAGE(SUM(K$206,-(K$253-K$252))/SUM(K$206,-(K$253-K$252),K$213,K$223),SUM(L$206,-(L$253-L$252))/SUM(L$206,-(L$253-L$252),L$213,L$223),SUM(M$206,-(M$253-M$252))/SUM(M$206,-(M$253-M$252),M$213,M$223)),SUM(M$206,-(M$253-M$252))/SUM(M$206,-(M$253-M$252),M$213,M$223))*SUM(N$190-N$238,N$257,N$266,N$288,N$326,-(N$253-N$252)))</f>
        <v>18.89020022330012</v>
      </c>
      <c r="O206" s="171">
        <f ca="1">SUM(O$253-O$252,IF(O$6=OFFSET(Assumptions!$B$8,0,$C$1),AVERAGE(SUM(L$206,-(L$253-L$252))/SUM(L$206,-(L$253-L$252),L$213,L$223),SUM(M$206,-(M$253-M$252))/SUM(M$206,-(M$253-M$252),M$213,M$223),SUM(N$206,-(N$253-N$252))/SUM(N$206,-(N$253-N$252),N$213,N$223)),SUM(N$206,-(N$253-N$252))/SUM(N$206,-(N$253-N$252),N$213,N$223))*SUM(O$190-O$238,O$257,O$266,O$288,O$326,-(O$253-O$252)))</f>
        <v>19.136652380360598</v>
      </c>
      <c r="P206" s="171">
        <f ca="1">SUM(P$253-P$252,IF(P$6=OFFSET(Assumptions!$B$8,0,$C$1),AVERAGE(SUM(M$206,-(M$253-M$252))/SUM(M$206,-(M$253-M$252),M$213,M$223),SUM(N$206,-(N$253-N$252))/SUM(N$206,-(N$253-N$252),N$213,N$223),SUM(O$206,-(O$253-O$252))/SUM(O$206,-(O$253-O$252),O$213,O$223)),SUM(O$206,-(O$253-O$252))/SUM(O$206,-(O$253-O$252),O$213,O$223))*SUM(P$190-P$238,P$257,P$266,P$288,P$326,-(P$253-P$252)))</f>
        <v>19.389489677773032</v>
      </c>
      <c r="Q206" s="171">
        <f ca="1">SUM(Q$253-Q$252,IF(Q$6=OFFSET(Assumptions!$B$8,0,$C$1),AVERAGE(SUM(N$206,-(N$253-N$252))/SUM(N$206,-(N$253-N$252),N$213,N$223),SUM(O$206,-(O$253-O$252))/SUM(O$206,-(O$253-O$252),O$213,O$223),SUM(P$206,-(P$253-P$252))/SUM(P$206,-(P$253-P$252),P$213,P$223)),SUM(P$206,-(P$253-P$252))/SUM(P$206,-(P$253-P$252),P$213,P$223))*SUM(Q$190-Q$238,Q$257,Q$266,Q$288,Q$326,-(Q$253-Q$252)))</f>
        <v>19.64799770892872</v>
      </c>
      <c r="R206" s="171">
        <f ca="1">SUM(R$253-R$252,IF(R$6=OFFSET(Assumptions!$B$8,0,$C$1),AVERAGE(SUM(O$206,-(O$253-O$252))/SUM(O$206,-(O$253-O$252),O$213,O$223),SUM(P$206,-(P$253-P$252))/SUM(P$206,-(P$253-P$252),P$213,P$223),SUM(Q$206,-(Q$253-Q$252))/SUM(Q$206,-(Q$253-Q$252),Q$213,Q$223)),SUM(Q$206,-(Q$253-Q$252))/SUM(Q$206,-(Q$253-Q$252),Q$213,Q$223))*SUM(R$190-R$238,R$257,R$266,R$288,R$326,-(R$253-R$252)))</f>
        <v>19.912147392497339</v>
      </c>
      <c r="S206" s="171">
        <f ca="1">SUM(S$253-S$252,IF(S$6=OFFSET(Assumptions!$B$8,0,$C$1),AVERAGE(SUM(P$206,-(P$253-P$252))/SUM(P$206,-(P$253-P$252),P$213,P$223),SUM(Q$206,-(Q$253-Q$252))/SUM(Q$206,-(Q$253-Q$252),Q$213,Q$223),SUM(R$206,-(R$253-R$252))/SUM(R$206,-(R$253-R$252),R$213,R$223)),SUM(R$206,-(R$253-R$252))/SUM(R$206,-(R$253-R$252),R$213,R$223))*SUM(S$190-S$238,S$257,S$266,S$288,S$326,-(S$253-S$252)))</f>
        <v>20.181125466337615</v>
      </c>
      <c r="T206" s="171">
        <f ca="1">SUM(T$253-T$252,IF(T$6=OFFSET(Assumptions!$B$8,0,$C$1),AVERAGE(SUM(Q$206,-(Q$253-Q$252))/SUM(Q$206,-(Q$253-Q$252),Q$213,Q$223),SUM(R$206,-(R$253-R$252))/SUM(R$206,-(R$253-R$252),R$213,R$223),SUM(S$206,-(S$253-S$252))/SUM(S$206,-(S$253-S$252),S$213,S$223)),SUM(S$206,-(S$253-S$252))/SUM(S$206,-(S$253-S$252),S$213,S$223))*SUM(T$190-T$238,T$257,T$266,T$288,T$326,-(T$253-T$252)))</f>
        <v>20.456966844745267</v>
      </c>
    </row>
    <row r="207" spans="1:20">
      <c r="A207" s="167" t="s">
        <v>418</v>
      </c>
      <c r="B207" s="4" t="str">
        <f>$B$39</f>
        <v>From Fiscal Forecasts</v>
      </c>
      <c r="D207" s="175">
        <f>'Fiscal Forecasts'!D$245</f>
        <v>3.0960000000000001</v>
      </c>
      <c r="E207" s="175">
        <f>'Fiscal Forecasts'!E$245</f>
        <v>3.0230000000000001</v>
      </c>
      <c r="F207" s="176">
        <f>'Fiscal Forecasts'!F$245</f>
        <v>2.0840000000000001</v>
      </c>
      <c r="G207" s="176">
        <f>'Fiscal Forecasts'!G$245</f>
        <v>2.1</v>
      </c>
      <c r="H207" s="176">
        <f>'Fiscal Forecasts'!H$245</f>
        <v>2.1379999999999999</v>
      </c>
      <c r="I207" s="176">
        <f>'Fiscal Forecasts'!I$245</f>
        <v>2.1669999999999998</v>
      </c>
      <c r="J207" s="176">
        <f>'Fiscal Forecasts'!J$245</f>
        <v>2.1760000000000002</v>
      </c>
      <c r="K207" s="171">
        <f ca="1">IF(K$6=OFFSET(Assumptions!$B$8,0,$C$1),AVERAGE(H$207/SUM(H$207,H$214,H$224),I$207/SUM(I$207,I$214,I$224),J$207/SUM(J$207,J$214,J$224)),J$207/SUM(J$207,J$214,J$224))*SUM(K$289,K$327-K$239)</f>
        <v>2.3828773704586759</v>
      </c>
      <c r="L207" s="171">
        <f ca="1">IF(L$6=OFFSET(Assumptions!$B$8,0,$C$1),AVERAGE(I$207/SUM(I$207,I$214,I$224),J$207/SUM(J$207,J$214,J$224),K$207/SUM(K$207,K$214,K$224)),K$207/SUM(K$207,K$214,K$224))*SUM(L$289,L$327-L$239)</f>
        <v>2.4845910228330323</v>
      </c>
      <c r="M207" s="171">
        <f ca="1">IF(M$6=OFFSET(Assumptions!$B$8,0,$C$1),AVERAGE(J$207/SUM(J$207,J$214,J$224),K$207/SUM(K$207,K$214,K$224),L$207/SUM(L$207,L$214,L$224)),L$207/SUM(L$207,L$214,L$224))*SUM(M$289,M$327-M$239)</f>
        <v>2.5874434429419169</v>
      </c>
      <c r="N207" s="171">
        <f ca="1">IF(N$6=OFFSET(Assumptions!$B$8,0,$C$1),AVERAGE(K$207/SUM(K$207,K$214,K$224),L$207/SUM(L$207,L$214,L$224),M$207/SUM(M$207,M$214,M$224)),M$207/SUM(M$207,M$214,M$224))*SUM(N$289,N$327-N$239)</f>
        <v>2.6951475002707732</v>
      </c>
      <c r="O207" s="171">
        <f ca="1">IF(O$6=OFFSET(Assumptions!$B$8,0,$C$1),AVERAGE(L$207/SUM(L$207,L$214,L$224),M$207/SUM(M$207,M$214,M$224),N$207/SUM(N$207,N$214,N$224)),N$207/SUM(N$207,N$214,N$224))*SUM(O$289,O$327-O$239)</f>
        <v>2.8051858448265339</v>
      </c>
      <c r="P207" s="171">
        <f ca="1">IF(P$6=OFFSET(Assumptions!$B$8,0,$C$1),AVERAGE(M$207/SUM(M$207,M$214,M$224),N$207/SUM(N$207,N$214,N$224),O$207/SUM(O$207,O$214,O$224)),O$207/SUM(O$207,O$214,O$224))*SUM(P$289,P$327-P$239)</f>
        <v>2.917541602576871</v>
      </c>
      <c r="Q207" s="171">
        <f ca="1">IF(Q$6=OFFSET(Assumptions!$B$8,0,$C$1),AVERAGE(N$207/SUM(N$207,N$214,N$224),O$207/SUM(O$207,O$214,O$224),P$207/SUM(P$207,P$214,P$224)),P$207/SUM(P$207,P$214,P$224))*SUM(Q$289,Q$327-Q$239)</f>
        <v>3.0322081927937838</v>
      </c>
      <c r="R207" s="171">
        <f ca="1">IF(R$6=OFFSET(Assumptions!$B$8,0,$C$1),AVERAGE(O$207/SUM(O$207,O$214,O$224),P$207/SUM(P$207,P$214,P$224),Q$207/SUM(Q$207,Q$214,Q$224)),Q$207/SUM(Q$207,Q$214,Q$224))*SUM(R$289,R$327-R$239)</f>
        <v>3.1488754884248968</v>
      </c>
      <c r="S207" s="171">
        <f ca="1">IF(S$6=OFFSET(Assumptions!$B$8,0,$C$1),AVERAGE(P$207/SUM(P$207,P$214,P$224),Q$207/SUM(Q$207,Q$214,Q$224),R$207/SUM(R$207,R$214,R$224)),R$207/SUM(R$207,R$214,R$224))*SUM(S$289,S$327-S$239)</f>
        <v>3.2674515556626886</v>
      </c>
      <c r="T207" s="171">
        <f ca="1">IF(T$6=OFFSET(Assumptions!$B$8,0,$C$1),AVERAGE(Q$207/SUM(Q$207,Q$214,Q$224),R$207/SUM(R$207,R$214,R$224),S$207/SUM(S$207,S$214,S$224)),S$207/SUM(S$207,S$214,S$224))*SUM(T$289,T$327-T$239)</f>
        <v>3.3895452138140891</v>
      </c>
    </row>
    <row r="208" spans="1:20">
      <c r="A208" s="167" t="s">
        <v>419</v>
      </c>
      <c r="B208" s="4" t="str">
        <f>$B$39</f>
        <v>From Fiscal Forecasts</v>
      </c>
      <c r="D208" s="175">
        <f>'Fiscal Forecasts'!D$246</f>
        <v>-4.2000000000000003E-2</v>
      </c>
      <c r="E208" s="175">
        <f>'Fiscal Forecasts'!E$246</f>
        <v>-4.4999999999999998E-2</v>
      </c>
      <c r="F208" s="176">
        <f>'Fiscal Forecasts'!F$246</f>
        <v>-3.4000000000000002E-2</v>
      </c>
      <c r="G208" s="176">
        <f>'Fiscal Forecasts'!G$246</f>
        <v>-3.4000000000000002E-2</v>
      </c>
      <c r="H208" s="176">
        <f>'Fiscal Forecasts'!H$246</f>
        <v>-3.5000000000000003E-2</v>
      </c>
      <c r="I208" s="176">
        <f>'Fiscal Forecasts'!I$246</f>
        <v>-3.4000000000000002E-2</v>
      </c>
      <c r="J208" s="176">
        <f>'Fiscal Forecasts'!J$246</f>
        <v>-3.5000000000000003E-2</v>
      </c>
      <c r="K208" s="171">
        <f ca="1">IF(K$6=OFFSET(Assumptions!$B$8,0,$C$1),AVERAGE(H$208/SUM(H$208,H$225),I$208/SUM(I$208,I$225),J$208/SUM(J$208,J$225)),J$208/SUM(J$208,J$225))*SUM(K$191,K$258,K$267,K$290,K$328)</f>
        <v>-3.6370754949470896E-2</v>
      </c>
      <c r="L208" s="171">
        <f ca="1">IF(L$6=OFFSET(Assumptions!$B$8,0,$C$1),AVERAGE(I$208/SUM(I$208,I$225),J$208/SUM(J$208,J$225),K$208/SUM(K$208,K$225)),K$208/SUM(K$208,K$225))*SUM(L$191,L$258,L$267,L$290,L$328)</f>
        <v>-3.6579273702514487E-2</v>
      </c>
      <c r="M208" s="171">
        <f ca="1">IF(M$6=OFFSET(Assumptions!$B$8,0,$C$1),AVERAGE(J$208/SUM(J$208,J$225),K$208/SUM(K$208,K$225),L$208/SUM(L$208,L$225)),L$208/SUM(L$208,L$225))*SUM(M$191,M$258,M$267,M$290,M$328)</f>
        <v>-3.6831111320510181E-2</v>
      </c>
      <c r="N208" s="171">
        <f ca="1">IF(N$6=OFFSET(Assumptions!$B$8,0,$C$1),AVERAGE(K$208/SUM(K$208,K$225),L$208/SUM(L$208,L$225),M$208/SUM(M$208,M$225)),M$208/SUM(M$208,M$225))*SUM(N$191,N$258,N$267,N$290,N$328)</f>
        <v>-3.721587531431543E-2</v>
      </c>
      <c r="O208" s="171">
        <f ca="1">IF(O$6=OFFSET(Assumptions!$B$8,0,$C$1),AVERAGE(L$208/SUM(L$208,L$225),M$208/SUM(M$208,M$225),N$208/SUM(N$208,N$225)),N$208/SUM(N$208,N$225))*SUM(O$191,O$258,O$267,O$290,O$328)</f>
        <v>-3.7606989106688596E-2</v>
      </c>
      <c r="P208" s="171">
        <f ca="1">IF(P$6=OFFSET(Assumptions!$B$8,0,$C$1),AVERAGE(M$208/SUM(M$208,M$225),N$208/SUM(N$208,N$225),O$208/SUM(O$208,O$225)),O$208/SUM(O$208,O$225))*SUM(P$191,P$258,P$267,P$290,P$328)</f>
        <v>-3.8009169132458193E-2</v>
      </c>
      <c r="Q208" s="171">
        <f ca="1">IF(Q$6=OFFSET(Assumptions!$B$8,0,$C$1),AVERAGE(N$208/SUM(N$208,N$225),O$208/SUM(O$208,O$225),P$208/SUM(P$208,P$225)),P$208/SUM(P$208,P$225))*SUM(Q$191,Q$258,Q$267,Q$290,Q$328)</f>
        <v>-3.8421334375184545E-2</v>
      </c>
      <c r="R208" s="171">
        <f ca="1">IF(R$6=OFFSET(Assumptions!$B$8,0,$C$1),AVERAGE(O$208/SUM(O$208,O$225),P$208/SUM(P$208,P$225),Q$208/SUM(Q$208,Q$225)),Q$208/SUM(Q$208,Q$225))*SUM(R$191,R$258,R$267,R$290,R$328)</f>
        <v>-3.8843513607640053E-2</v>
      </c>
      <c r="S208" s="171">
        <f ca="1">IF(S$6=OFFSET(Assumptions!$B$8,0,$C$1),AVERAGE(P$208/SUM(P$208,P$225),Q$208/SUM(Q$208,Q$225),R$208/SUM(R$208,R$225)),R$208/SUM(R$208,R$225))*SUM(S$191,S$258,S$267,S$290,S$328)</f>
        <v>-3.927431840603865E-2</v>
      </c>
      <c r="T208" s="171">
        <f ca="1">IF(T$6=OFFSET(Assumptions!$B$8,0,$C$1),AVERAGE(Q$208/SUM(Q$208,Q$225),R$208/SUM(R$208,R$225),S$208/SUM(S$208,S$225)),S$208/SUM(S$208,S$225))*SUM(T$191,T$258,T$267,T$290,T$328)</f>
        <v>-3.9715114480181994E-2</v>
      </c>
    </row>
    <row r="209" spans="1:20" ht="15">
      <c r="A209" s="168" t="s">
        <v>420</v>
      </c>
      <c r="D209" s="138">
        <f t="shared" ref="D209:T209" si="118">SUM(D$205:D$208)</f>
        <v>25.933</v>
      </c>
      <c r="E209" s="138">
        <f t="shared" si="118"/>
        <v>27.774999999999999</v>
      </c>
      <c r="F209" s="137">
        <f t="shared" si="118"/>
        <v>29.312999999999999</v>
      </c>
      <c r="G209" s="137">
        <f t="shared" si="118"/>
        <v>29.981000000000002</v>
      </c>
      <c r="H209" s="137">
        <f t="shared" si="118"/>
        <v>29.297000000000001</v>
      </c>
      <c r="I209" s="137">
        <f t="shared" si="118"/>
        <v>29.240000000000002</v>
      </c>
      <c r="J209" s="137">
        <f t="shared" si="118"/>
        <v>29.231000000000005</v>
      </c>
      <c r="K209" s="140">
        <f t="shared" ca="1" si="118"/>
        <v>29.995662306620659</v>
      </c>
      <c r="L209" s="140">
        <f t="shared" ca="1" si="118"/>
        <v>30.263811991845468</v>
      </c>
      <c r="M209" s="140">
        <f t="shared" ca="1" si="118"/>
        <v>30.551946034528264</v>
      </c>
      <c r="N209" s="140">
        <f t="shared" ca="1" si="118"/>
        <v>30.905663672350084</v>
      </c>
      <c r="O209" s="140">
        <f t="shared" ca="1" si="118"/>
        <v>31.266536709399386</v>
      </c>
      <c r="P209" s="140">
        <f t="shared" ca="1" si="118"/>
        <v>31.635960940322985</v>
      </c>
      <c r="Q209" s="140">
        <f t="shared" ca="1" si="118"/>
        <v>32.013496572639845</v>
      </c>
      <c r="R209" s="140">
        <f t="shared" ca="1" si="118"/>
        <v>32.398807165602527</v>
      </c>
      <c r="S209" s="140">
        <f t="shared" ca="1" si="118"/>
        <v>32.790991764022174</v>
      </c>
      <c r="T209" s="140">
        <f t="shared" ca="1" si="118"/>
        <v>33.19355695904315</v>
      </c>
    </row>
    <row r="210" spans="1:20" ht="15">
      <c r="A210" s="168"/>
      <c r="D210" s="46"/>
      <c r="E210" s="46"/>
      <c r="F210" s="145"/>
      <c r="G210" s="145"/>
      <c r="H210" s="145"/>
      <c r="I210" s="145"/>
      <c r="J210" s="145"/>
      <c r="K210" s="145"/>
      <c r="L210" s="145"/>
      <c r="M210" s="145"/>
      <c r="N210" s="145"/>
      <c r="O210" s="145"/>
      <c r="P210" s="145"/>
      <c r="Q210" s="145"/>
      <c r="R210" s="145"/>
      <c r="S210" s="145"/>
      <c r="T210" s="145"/>
    </row>
    <row r="211" spans="1:20">
      <c r="A211" s="18" t="s">
        <v>958</v>
      </c>
    </row>
    <row r="212" spans="1:20">
      <c r="A212" s="167" t="s">
        <v>279</v>
      </c>
      <c r="B212" s="4" t="str">
        <f>$B$39</f>
        <v>From Fiscal Forecasts</v>
      </c>
      <c r="D212" s="175">
        <f>'Fiscal Forecasts'!D$249</f>
        <v>1.5009999999999999</v>
      </c>
      <c r="E212" s="175">
        <f>'Fiscal Forecasts'!E$249</f>
        <v>1.675</v>
      </c>
      <c r="F212" s="176">
        <f>'Fiscal Forecasts'!F$249</f>
        <v>1.782</v>
      </c>
      <c r="G212" s="176">
        <f>'Fiscal Forecasts'!G$249</f>
        <v>1.8160000000000001</v>
      </c>
      <c r="H212" s="176">
        <f>'Fiscal Forecasts'!H$249</f>
        <v>1.869</v>
      </c>
      <c r="I212" s="176">
        <f>'Fiscal Forecasts'!I$249</f>
        <v>1.9119999999999999</v>
      </c>
      <c r="J212" s="176">
        <f>'Fiscal Forecasts'!J$249</f>
        <v>1.96</v>
      </c>
      <c r="K212" s="171">
        <f t="shared" ref="K212:T212" ca="1" si="119">K$423</f>
        <v>1.6976699999999998</v>
      </c>
      <c r="L212" s="171">
        <f t="shared" ca="1" si="119"/>
        <v>1.8297149999999998</v>
      </c>
      <c r="M212" s="171">
        <f t="shared" ca="1" si="119"/>
        <v>1.9481523000000001</v>
      </c>
      <c r="N212" s="171">
        <f t="shared" ca="1" si="119"/>
        <v>2.0689583460000001</v>
      </c>
      <c r="O212" s="171">
        <f t="shared" ca="1" si="119"/>
        <v>2.1921805129199998</v>
      </c>
      <c r="P212" s="171">
        <f t="shared" ca="1" si="119"/>
        <v>2.3178671231783996</v>
      </c>
      <c r="Q212" s="171">
        <f t="shared" ca="1" si="119"/>
        <v>2.4460674656419679</v>
      </c>
      <c r="R212" s="171">
        <f t="shared" ca="1" si="119"/>
        <v>2.5768318149548075</v>
      </c>
      <c r="S212" s="171">
        <f t="shared" ca="1" si="119"/>
        <v>2.7102114512539037</v>
      </c>
      <c r="T212" s="171">
        <f t="shared" ca="1" si="119"/>
        <v>2.8462586802789818</v>
      </c>
    </row>
    <row r="213" spans="1:20">
      <c r="A213" s="167" t="s">
        <v>256</v>
      </c>
      <c r="B213" s="4" t="str">
        <f>$B$39</f>
        <v>From Fiscal Forecasts</v>
      </c>
      <c r="D213" s="175">
        <f>'Fiscal Forecasts'!D$250</f>
        <v>1.587</v>
      </c>
      <c r="E213" s="175">
        <f>'Fiscal Forecasts'!E$250</f>
        <v>1.776</v>
      </c>
      <c r="F213" s="176">
        <f>'Fiscal Forecasts'!F$250</f>
        <v>1.919</v>
      </c>
      <c r="G213" s="176">
        <f>'Fiscal Forecasts'!G$250</f>
        <v>2.0329999999999999</v>
      </c>
      <c r="H213" s="176">
        <f>'Fiscal Forecasts'!H$250</f>
        <v>2.1</v>
      </c>
      <c r="I213" s="176">
        <f>'Fiscal Forecasts'!I$250</f>
        <v>2.2029999999999998</v>
      </c>
      <c r="J213" s="176">
        <f>'Fiscal Forecasts'!J$250</f>
        <v>2.2789999999999999</v>
      </c>
      <c r="K213" s="171">
        <f ca="1">IF(K$6=OFFSET(Assumptions!$B$8,0,$C$1),AVERAGE(H$213/SUM(H$213,H$214),I$213/SUM(I$213,I$214),J$213/SUM(J$213,J$214)),J$213/SUM(J$213,J$214))*K$426</f>
        <v>2.5946707496514585</v>
      </c>
      <c r="L213" s="171">
        <f ca="1">IF(L$6=OFFSET(Assumptions!$B$8,0,$C$1),AVERAGE(I$213/SUM(I$213,I$214),J$213/SUM(J$213,J$214),K$213/SUM(K$213,K$214)),K$213/SUM(K$213,K$214))*L$426</f>
        <v>2.6935312376063747</v>
      </c>
      <c r="M213" s="171">
        <f ca="1">IF(M$6=OFFSET(Assumptions!$B$8,0,$C$1),AVERAGE(J$213/SUM(J$213,J$214),K$213/SUM(K$213,K$214),L$213/SUM(L$213,L$214)),L$213/SUM(L$213,L$214))*M$426</f>
        <v>2.7852123197304386</v>
      </c>
      <c r="N213" s="171">
        <f ca="1">IF(N$6=OFFSET(Assumptions!$B$8,0,$C$1),AVERAGE(K$213/SUM(K$213,K$214),L$213/SUM(L$213,L$214),M$213/SUM(M$213,M$214)),M$213/SUM(M$213,M$214))*N$426</f>
        <v>2.8702095632581814</v>
      </c>
      <c r="O213" s="171">
        <f ca="1">IF(O$6=OFFSET(Assumptions!$B$8,0,$C$1),AVERAGE(L$213/SUM(L$213,L$214),M$213/SUM(M$213,M$214),N$213/SUM(N$213,N$214)),N$213/SUM(N$213,N$214))*O$426</f>
        <v>2.9490012934484895</v>
      </c>
      <c r="P213" s="171">
        <f ca="1">IF(P$6=OFFSET(Assumptions!$B$8,0,$C$1),AVERAGE(M$213/SUM(M$213,M$214),N$213/SUM(N$213,N$214),O$213/SUM(O$213,O$214)),O$213/SUM(O$213,O$214))*P$426</f>
        <v>3.0218888646295397</v>
      </c>
      <c r="Q213" s="171">
        <f ca="1">IF(Q$6=OFFSET(Assumptions!$B$8,0,$C$1),AVERAGE(N$213/SUM(N$213,N$214),O$213/SUM(O$213,O$214),P$213/SUM(P$213,P$214)),P$213/SUM(P$213,P$214))*Q$426</f>
        <v>3.0891593065205463</v>
      </c>
      <c r="R213" s="171">
        <f ca="1">IF(R$6=OFFSET(Assumptions!$B$8,0,$C$1),AVERAGE(O$213/SUM(O$213,O$214),P$213/SUM(P$213,P$214),Q$213/SUM(Q$213,Q$214)),Q$213/SUM(Q$213,Q$214))*R$426</f>
        <v>3.1510859358814289</v>
      </c>
      <c r="S213" s="171">
        <f ca="1">IF(S$6=OFFSET(Assumptions!$B$8,0,$C$1),AVERAGE(P$213/SUM(P$213,P$214),Q$213/SUM(Q$213,Q$214),R$213/SUM(R$213,R$214)),R$213/SUM(R$213,R$214))*S$426</f>
        <v>3.2079422507194302</v>
      </c>
      <c r="T213" s="171">
        <f ca="1">IF(T$6=OFFSET(Assumptions!$B$8,0,$C$1),AVERAGE(Q$213/SUM(Q$213,Q$214),R$213/SUM(R$213,R$214),S$213/SUM(S$213,S$214)),S$213/SUM(S$213,S$214))*T$426</f>
        <v>3.2599902861957566</v>
      </c>
    </row>
    <row r="214" spans="1:20">
      <c r="A214" s="167" t="s">
        <v>418</v>
      </c>
      <c r="B214" s="4" t="str">
        <f>$B$39</f>
        <v>From Fiscal Forecasts</v>
      </c>
      <c r="D214" s="175">
        <f>'Fiscal Forecasts'!D$251</f>
        <v>1.466</v>
      </c>
      <c r="E214" s="175">
        <f>'Fiscal Forecasts'!E$251</f>
        <v>1.843</v>
      </c>
      <c r="F214" s="176">
        <f>'Fiscal Forecasts'!F$251</f>
        <v>1.9330000000000001</v>
      </c>
      <c r="G214" s="176">
        <f>'Fiscal Forecasts'!G$251</f>
        <v>1.907</v>
      </c>
      <c r="H214" s="176">
        <f>'Fiscal Forecasts'!H$251</f>
        <v>1.9750000000000001</v>
      </c>
      <c r="I214" s="176">
        <f>'Fiscal Forecasts'!I$251</f>
        <v>1.9970000000000001</v>
      </c>
      <c r="J214" s="176">
        <f>'Fiscal Forecasts'!J$251</f>
        <v>2.0409999999999999</v>
      </c>
      <c r="K214" s="171">
        <f ca="1">IF(K$6=OFFSET(Assumptions!$B$8,0,$C$1),AVERAGE(H$214/SUM(H$213,H$214),I$214/SUM(I$213,I$214),J$214/SUM(J$213,J$214)),J$214/SUM(J$213,J$214))*K$426</f>
        <v>2.3714992503485406</v>
      </c>
      <c r="L214" s="171">
        <f ca="1">IF(L$6=OFFSET(Assumptions!$B$8,0,$C$1),AVERAGE(I$214/SUM(I$213,I$214),J$214/SUM(J$213,J$214),K$214/SUM(K$213,K$214)),K$214/SUM(K$213,K$214))*L$426</f>
        <v>2.4618566003536109</v>
      </c>
      <c r="M214" s="171">
        <f ca="1">IF(M$6=OFFSET(Assumptions!$B$8,0,$C$1),AVERAGE(J$214/SUM(J$213,J$214),K$214/SUM(K$213,K$214),L$214/SUM(L$213,L$214)),L$214/SUM(L$213,L$214))*M$426</f>
        <v>2.5456520559263716</v>
      </c>
      <c r="N214" s="171">
        <f ca="1">IF(N$6=OFFSET(Assumptions!$B$8,0,$C$1),AVERAGE(K$214/SUM(K$213,K$214),L$214/SUM(L$213,L$214),M$214/SUM(M$213,M$214)),M$214/SUM(M$213,M$214))*N$426</f>
        <v>2.6233385598247225</v>
      </c>
      <c r="O214" s="171">
        <f ca="1">IF(O$6=OFFSET(Assumptions!$B$8,0,$C$1),AVERAGE(L$214/SUM(L$213,L$214),M$214/SUM(M$213,M$214),N$214/SUM(N$213,N$214)),N$214/SUM(N$213,N$214))*O$426</f>
        <v>2.6953532958389474</v>
      </c>
      <c r="P214" s="171">
        <f ca="1">IF(P$6=OFFSET(Assumptions!$B$8,0,$C$1),AVERAGE(M$214/SUM(M$213,M$214),N$214/SUM(N$213,N$214),O$214/SUM(O$213,O$214)),O$214/SUM(O$213,O$214))*P$426</f>
        <v>2.7619716983621991</v>
      </c>
      <c r="Q214" s="171">
        <f ca="1">IF(Q$6=OFFSET(Assumptions!$B$8,0,$C$1),AVERAGE(N$214/SUM(N$213,N$214),O$214/SUM(O$213,O$214),P$214/SUM(P$213,P$214)),P$214/SUM(P$213,P$214))*Q$426</f>
        <v>2.8234561092596384</v>
      </c>
      <c r="R214" s="171">
        <f ca="1">IF(R$6=OFFSET(Assumptions!$B$8,0,$C$1),AVERAGE(O$214/SUM(O$213,O$214),P$214/SUM(P$213,P$214),Q$214/SUM(Q$213,Q$214)),Q$214/SUM(Q$213,Q$214))*R$426</f>
        <v>2.8800563369092052</v>
      </c>
      <c r="S214" s="171">
        <f ca="1">IF(S$6=OFFSET(Assumptions!$B$8,0,$C$1),AVERAGE(P$214/SUM(P$213,P$214),Q$214/SUM(Q$213,Q$214),R$214/SUM(R$213,R$214)),R$214/SUM(R$213,R$214))*S$426</f>
        <v>2.9320223553468097</v>
      </c>
      <c r="T214" s="171">
        <f ca="1">IF(T$6=OFFSET(Assumptions!$B$8,0,$C$1),AVERAGE(Q$214/SUM(Q$213,Q$214),R$214/SUM(R$213,R$214),S$214/SUM(S$213,S$214)),S$214/SUM(S$213,S$214))*T$426</f>
        <v>2.9795936616988015</v>
      </c>
    </row>
    <row r="215" spans="1:20" ht="15">
      <c r="A215" s="168" t="s">
        <v>986</v>
      </c>
      <c r="D215" s="138">
        <f t="shared" ref="D215:T215" si="120">SUM(D$212:D$214)</f>
        <v>4.5540000000000003</v>
      </c>
      <c r="E215" s="138">
        <f t="shared" si="120"/>
        <v>5.2940000000000005</v>
      </c>
      <c r="F215" s="137">
        <f t="shared" si="120"/>
        <v>5.6340000000000003</v>
      </c>
      <c r="G215" s="137">
        <f t="shared" si="120"/>
        <v>5.7560000000000002</v>
      </c>
      <c r="H215" s="137">
        <f t="shared" si="120"/>
        <v>5.9440000000000008</v>
      </c>
      <c r="I215" s="137">
        <f t="shared" si="120"/>
        <v>6.1120000000000001</v>
      </c>
      <c r="J215" s="137">
        <f t="shared" si="120"/>
        <v>6.2799999999999994</v>
      </c>
      <c r="K215" s="140">
        <f t="shared" ca="1" si="120"/>
        <v>6.6638399999999987</v>
      </c>
      <c r="L215" s="140">
        <f t="shared" ca="1" si="120"/>
        <v>6.9851028379599853</v>
      </c>
      <c r="M215" s="140">
        <f t="shared" ca="1" si="120"/>
        <v>7.27901667565681</v>
      </c>
      <c r="N215" s="140">
        <f t="shared" ca="1" si="120"/>
        <v>7.5625064690829031</v>
      </c>
      <c r="O215" s="140">
        <f t="shared" ca="1" si="120"/>
        <v>7.8365351022074368</v>
      </c>
      <c r="P215" s="140">
        <f t="shared" ca="1" si="120"/>
        <v>8.1017276861701379</v>
      </c>
      <c r="Q215" s="140">
        <f t="shared" ca="1" si="120"/>
        <v>8.358682881422153</v>
      </c>
      <c r="R215" s="140">
        <f t="shared" ca="1" si="120"/>
        <v>8.6079740877454416</v>
      </c>
      <c r="S215" s="140">
        <f t="shared" ca="1" si="120"/>
        <v>8.8501760573201445</v>
      </c>
      <c r="T215" s="140">
        <f t="shared" ca="1" si="120"/>
        <v>9.0858426281735394</v>
      </c>
    </row>
    <row r="216" spans="1:20" ht="15">
      <c r="A216" s="168"/>
      <c r="D216" s="145"/>
      <c r="E216" s="145"/>
      <c r="F216" s="145"/>
      <c r="G216" s="145"/>
      <c r="H216" s="146"/>
      <c r="I216" s="146"/>
      <c r="J216" s="146"/>
      <c r="K216" s="146"/>
      <c r="L216" s="146"/>
      <c r="M216" s="146"/>
      <c r="N216" s="146"/>
      <c r="O216" s="146"/>
      <c r="P216" s="146"/>
      <c r="Q216" s="146"/>
      <c r="R216" s="146"/>
      <c r="S216" s="146"/>
      <c r="T216" s="146"/>
    </row>
    <row r="217" spans="1:20" ht="15">
      <c r="A217" s="18" t="s">
        <v>987</v>
      </c>
      <c r="D217" s="146"/>
      <c r="E217" s="146"/>
      <c r="F217" s="146"/>
      <c r="G217" s="146"/>
      <c r="H217" s="146"/>
      <c r="I217" s="146"/>
      <c r="J217" s="146"/>
      <c r="K217" s="146"/>
      <c r="L217" s="146"/>
      <c r="M217" s="146"/>
      <c r="N217" s="146"/>
      <c r="O217" s="146"/>
      <c r="P217" s="146"/>
      <c r="Q217" s="146"/>
      <c r="R217" s="146"/>
      <c r="S217" s="146"/>
      <c r="T217" s="146"/>
    </row>
    <row r="218" spans="1:20" ht="15">
      <c r="A218" s="168" t="s">
        <v>998</v>
      </c>
      <c r="B218" s="4" t="str">
        <f>$B$39</f>
        <v>From Fiscal Forecasts</v>
      </c>
      <c r="D218" s="142">
        <f>'Fiscal Forecasts'!D$254</f>
        <v>0.29399999999999998</v>
      </c>
      <c r="E218" s="142">
        <f>'Fiscal Forecasts'!E$254</f>
        <v>0.57399999999999995</v>
      </c>
      <c r="F218" s="141">
        <f>'Fiscal Forecasts'!F$254</f>
        <v>0.32800000000000001</v>
      </c>
      <c r="G218" s="141">
        <f>'Fiscal Forecasts'!G$254</f>
        <v>0.36699999999999999</v>
      </c>
      <c r="H218" s="141">
        <f>'Fiscal Forecasts'!H$254</f>
        <v>0.40300000000000002</v>
      </c>
      <c r="I218" s="141">
        <f>'Fiscal Forecasts'!I$254</f>
        <v>0.4</v>
      </c>
      <c r="J218" s="141">
        <f>'Fiscal Forecasts'!J$254</f>
        <v>0.4</v>
      </c>
      <c r="K218" s="134">
        <f ca="1">IF(K$6=OFFSET(Assumptions!$B$8,0,$C$1),AVERAGE(H$218/H$433,I$218/I$433,J$218/J$433),J$218/J$433)*K$433</f>
        <v>0.41855871640154396</v>
      </c>
      <c r="L218" s="134">
        <f ca="1">IF(L$6=OFFSET(Assumptions!$B$8,0,$C$1),AVERAGE(I$218/I$433,J$218/J$433,K$218/K$433),K$218/K$433)*L$433</f>
        <v>0.44671549704399466</v>
      </c>
      <c r="M218" s="134">
        <f ca="1">IF(M$6=OFFSET(Assumptions!$B$8,0,$C$1),AVERAGE(J$218/J$433,K$218/K$433,L$218/L$433),L$218/L$433)*M$433</f>
        <v>0.47324584746272214</v>
      </c>
      <c r="N218" s="134">
        <f ca="1">IF(N$6=OFFSET(Assumptions!$B$8,0,$C$1),AVERAGE(K$218/K$433,L$218/L$433,M$218/M$433),M$218/M$433)*N$433</f>
        <v>0.49852709911392712</v>
      </c>
      <c r="O218" s="134">
        <f ca="1">IF(O$6=OFFSET(Assumptions!$B$8,0,$C$1),AVERAGE(L$218/L$433,M$218/M$433,N$218/N$433),N$218/N$433)*O$433</f>
        <v>0.52178655639012839</v>
      </c>
      <c r="P218" s="134">
        <f ca="1">IF(P$6=OFFSET(Assumptions!$B$8,0,$C$1),AVERAGE(M$218/M$433,N$218/N$433,O$218/O$433),O$218/O$433)*P$433</f>
        <v>0.5426872981912999</v>
      </c>
      <c r="Q218" s="134">
        <f ca="1">IF(Q$6=OFFSET(Assumptions!$B$8,0,$C$1),AVERAGE(N$218/N$433,O$218/O$433,P$218/P$433),P$218/P$433)*Q$433</f>
        <v>0.56401806165983281</v>
      </c>
      <c r="R218" s="134">
        <f ca="1">IF(R$6=OFFSET(Assumptions!$B$8,0,$C$1),AVERAGE(O$218/O$433,P$218/P$433,Q$218/Q$433),Q$218/Q$433)*R$433</f>
        <v>0.58572139320754868</v>
      </c>
      <c r="S218" s="134">
        <f ca="1">IF(S$6=OFFSET(Assumptions!$B$8,0,$C$1),AVERAGE(P$218/P$433,Q$218/Q$433,R$218/R$433),R$218/R$433)*S$433</f>
        <v>0.60777997794168315</v>
      </c>
      <c r="T218" s="134">
        <f ca="1">IF(T$6=OFFSET(Assumptions!$B$8,0,$C$1),AVERAGE(Q$218/Q$433,R$218/R$433,S$218/S$433),S$218/S$433)*T$433</f>
        <v>0.63049256018320343</v>
      </c>
    </row>
    <row r="219" spans="1:20" ht="15">
      <c r="A219" s="168" t="s">
        <v>988</v>
      </c>
      <c r="B219" s="4" t="str">
        <f>$B$39</f>
        <v>From Fiscal Forecasts</v>
      </c>
      <c r="D219" s="142">
        <f>-'Fiscal Forecasts'!D$100</f>
        <v>0.93400000000000005</v>
      </c>
      <c r="E219" s="142">
        <f>-'Fiscal Forecasts'!E$100</f>
        <v>2.375</v>
      </c>
      <c r="F219" s="141">
        <f>-'Fiscal Forecasts'!F$100</f>
        <v>0.78600000000000003</v>
      </c>
      <c r="G219" s="141">
        <f>-'Fiscal Forecasts'!G$100</f>
        <v>0.83099999999999996</v>
      </c>
      <c r="H219" s="141">
        <f>-'Fiscal Forecasts'!H$100</f>
        <v>0.88500000000000001</v>
      </c>
      <c r="I219" s="141">
        <f>-'Fiscal Forecasts'!I$100</f>
        <v>0.88</v>
      </c>
      <c r="J219" s="141">
        <f>-'Fiscal Forecasts'!J$100</f>
        <v>0.874</v>
      </c>
      <c r="K219" s="134">
        <f ca="1">IF(K$6=OFFSET(Assumptions!$B$8,0,$C$1),AVERAGE(H$219/H$436,I$219/I$436,J$219/J$436),J$219/J$436)*K$436</f>
        <v>0.92230475595219064</v>
      </c>
      <c r="L219" s="134">
        <f ca="1">IF(L$6=OFFSET(Assumptions!$B$8,0,$C$1),AVERAGE(I$219/I$436,J$219/J$436,K$219/K$436),K$219/K$436)*L$436</f>
        <v>0.98235705877497304</v>
      </c>
      <c r="M219" s="134">
        <f ca="1">IF(M$6=OFFSET(Assumptions!$B$8,0,$C$1),AVERAGE(J$219/J$436,K$219/K$436,L$219/L$436),L$219/L$436)*M$436</f>
        <v>1.0391791389091523</v>
      </c>
      <c r="N219" s="134">
        <f ca="1">IF(N$6=OFFSET(Assumptions!$B$8,0,$C$1),AVERAGE(K$219/K$436,L$219/L$436,M$219/M$436),M$219/M$436)*N$436</f>
        <v>1.0936555543829609</v>
      </c>
      <c r="O219" s="134">
        <f ca="1">IF(O$6=OFFSET(Assumptions!$B$8,0,$C$1),AVERAGE(L$219/L$436,M$219/M$436,N$219/N$436),N$219/N$436)*O$436</f>
        <v>1.1441476281155794</v>
      </c>
      <c r="P219" s="134">
        <f ca="1">IF(P$6=OFFSET(Assumptions!$B$8,0,$C$1),AVERAGE(M$219/M$436,N$219/N$436,O$219/O$436),O$219/O$436)*P$436</f>
        <v>1.1899777359725303</v>
      </c>
      <c r="Q219" s="134">
        <f ca="1">IF(Q$6=OFFSET(Assumptions!$B$8,0,$C$1),AVERAGE(N$219/N$436,O$219/O$436,P$219/P$436),P$219/P$436)*Q$436</f>
        <v>1.2367507739696399</v>
      </c>
      <c r="R219" s="134">
        <f ca="1">IF(R$6=OFFSET(Assumptions!$B$8,0,$C$1),AVERAGE(O$219/O$436,P$219/P$436,Q$219/Q$436),Q$219/Q$436)*R$436</f>
        <v>1.2843407607341875</v>
      </c>
      <c r="S219" s="134">
        <f ca="1">IF(S$6=OFFSET(Assumptions!$B$8,0,$C$1),AVERAGE(P$219/P$436,Q$219/Q$436,R$219/R$436),R$219/R$436)*S$436</f>
        <v>1.3327097290298682</v>
      </c>
      <c r="T219" s="134">
        <f ca="1">IF(T$6=OFFSET(Assumptions!$B$8,0,$C$1),AVERAGE(Q$219/Q$436,R$219/R$436,S$219/S$436),S$219/S$436)*T$436</f>
        <v>1.3825127505561372</v>
      </c>
    </row>
    <row r="220" spans="1:20" ht="15">
      <c r="A220" s="168"/>
      <c r="D220" s="146"/>
      <c r="E220" s="146"/>
      <c r="F220" s="146"/>
      <c r="G220" s="146"/>
      <c r="H220" s="146"/>
      <c r="I220" s="146"/>
      <c r="J220" s="146"/>
      <c r="K220" s="146"/>
      <c r="L220" s="146"/>
      <c r="M220" s="146"/>
      <c r="N220" s="146"/>
      <c r="O220" s="146"/>
      <c r="P220" s="146"/>
      <c r="Q220" s="146"/>
      <c r="R220" s="146"/>
      <c r="S220" s="146"/>
      <c r="T220" s="146"/>
    </row>
    <row r="221" spans="1:20">
      <c r="A221" s="18" t="s">
        <v>135</v>
      </c>
    </row>
    <row r="222" spans="1:20">
      <c r="A222" s="167" t="s">
        <v>279</v>
      </c>
      <c r="B222" s="4" t="str">
        <f>$B$39</f>
        <v>From Fiscal Forecasts</v>
      </c>
      <c r="D222" s="175">
        <f>'Fiscal Forecasts'!D$259</f>
        <v>44.959000000000003</v>
      </c>
      <c r="E222" s="175">
        <f>'Fiscal Forecasts'!E$259</f>
        <v>51.832999999999998</v>
      </c>
      <c r="F222" s="176">
        <f>'Fiscal Forecasts'!F$259 +IF($C$2="Yes",'Fiscal Forecast Adjuster'!C$24/1000,0) +IF($C$3="Yes",'NZSF Adjuster'!Q$23-'Fiscal Forecasts'!F$346,0)</f>
        <v>62.470999999999997</v>
      </c>
      <c r="G222" s="176">
        <f>'Fiscal Forecasts'!G$259 +IF($C$2="Yes",'Fiscal Forecast Adjuster'!D$24/1000,0) +IF($C$3="Yes",'NZSF Adjuster'!R$23-'Fiscal Forecasts'!G$346,0)</f>
        <v>62.107999999999997</v>
      </c>
      <c r="H222" s="176">
        <f>'Fiscal Forecasts'!H$259 +IF($C$2="Yes",'Fiscal Forecast Adjuster'!E$24/1000,0) +IF($C$3="Yes",'NZSF Adjuster'!S$23-'Fiscal Forecasts'!H$346,0)</f>
        <v>58.44</v>
      </c>
      <c r="I222" s="176">
        <f>'Fiscal Forecasts'!I$259 +IF($C$2="Yes",'Fiscal Forecast Adjuster'!F$24/1000,0) +IF($C$3="Yes",'NZSF Adjuster'!T$23-'Fiscal Forecasts'!I$346,0)</f>
        <v>56.463000000000001</v>
      </c>
      <c r="J222" s="176">
        <f>'Fiscal Forecasts'!J$259 +IF($C$2="Yes",'Fiscal Forecast Adjuster'!G$24/1000,0) +IF($C$3="Yes",'NZSF Adjuster'!U$23-'Fiscal Forecasts'!J$346,0)</f>
        <v>55.503999999999998</v>
      </c>
      <c r="K222" s="171">
        <f ca="1">SUM(-K$212,K$324,IF(K$6=OFFSET(Assumptions!$B$8,0,$C$1),AVERAGE(SUM(H$212,H$222,-H$324)/SUM(H$205,H$212,H$222,-H$252,-H$324),SUM(I$212,I$222,-I$324)/SUM(I$205,I$212,I$222,-I$252,-I$324),SUM(J$212,J$222,-J$324)/SUM(J$205,J$212,J$222,-J$252,-J$324)),SUM(J$212,J$222,-J$324)/SUM(J$205,J$212,J$222,-J$252,-J$324))*SUM(-K$256,-K$264,K$323))</f>
        <v>57.144413660321135</v>
      </c>
      <c r="L222" s="171">
        <f ca="1">SUM(-L$212,L$324,IF(L$6=OFFSET(Assumptions!$B$8,0,$C$1),AVERAGE(SUM(I$212,I$222,-I$324)/SUM(I$205,I$212,I$222,-I$252,-I$324),SUM(J$212,J$222,-J$324)/SUM(J$205,J$212,J$222,-J$252,-J$324),SUM(K$212,K$222,-K$324)/SUM(K$205,K$212,K$222,-K$252,-K$324)),SUM(K$212,K$222,-K$324)/SUM(K$205,K$212,K$222,-K$252,-K$324))*SUM(-L$256,-L$264,L$323))</f>
        <v>57.097942146471496</v>
      </c>
      <c r="M222" s="171">
        <f ca="1">SUM(-M$212,M$324,IF(M$6=OFFSET(Assumptions!$B$8,0,$C$1),AVERAGE(SUM(J$212,J$222,-J$324)/SUM(J$205,J$212,J$222,-J$252,-J$324),SUM(K$212,K$222,-K$324)/SUM(K$205,K$212,K$222,-K$252,-K$324),SUM(L$212,L$222,-L$324)/SUM(L$205,L$212,L$222,-L$252,-L$324)),SUM(L$212,L$222,-L$324)/SUM(L$205,L$212,L$222,-L$252,-L$324))*SUM(-M$256,-M$264,M$323))</f>
        <v>57.111253717537977</v>
      </c>
      <c r="N222" s="171">
        <f ca="1">SUM(-N$212,N$324,IF(N$6=OFFSET(Assumptions!$B$8,0,$C$1),AVERAGE(SUM(K$212,K$222,-K$324)/SUM(K$205,K$212,K$222,-K$252,-K$324),SUM(L$212,L$222,-L$324)/SUM(L$205,L$212,L$222,-L$252,-L$324),SUM(M$212,M$222,-M$324)/SUM(M$205,M$212,M$222,-M$252,-M$324)),SUM(M$212,M$222,-M$324)/SUM(M$205,M$212,M$222,-M$252,-M$324))*SUM(-N$256,-N$264,N$323))</f>
        <v>57.271298846625044</v>
      </c>
      <c r="O222" s="171">
        <f ca="1">SUM(-O$212,O$324,IF(O$6=OFFSET(Assumptions!$B$8,0,$C$1),AVERAGE(SUM(L$212,L$222,-L$324)/SUM(L$205,L$212,L$222,-L$252,-L$324),SUM(M$212,M$222,-M$324)/SUM(M$205,M$212,M$222,-M$252,-M$324),SUM(N$212,N$222,-N$324)/SUM(N$205,N$212,N$222,-N$252,-N$324)),SUM(N$212,N$222,-N$324)/SUM(N$205,N$212,N$222,-N$252,-N$324))*SUM(-O$256,-O$264,O$323))</f>
        <v>57.431591201650072</v>
      </c>
      <c r="P222" s="171">
        <f ca="1">SUM(-P$212,P$324,IF(P$6=OFFSET(Assumptions!$B$8,0,$C$1),AVERAGE(SUM(M$212,M$222,-M$324)/SUM(M$205,M$212,M$222,-M$252,-M$324),SUM(N$212,N$222,-N$324)/SUM(N$205,N$212,N$222,-N$252,-N$324),SUM(O$212,O$222,-O$324)/SUM(O$205,O$212,O$222,-O$252,-O$324)),SUM(O$212,O$222,-O$324)/SUM(O$205,O$212,O$222,-O$252,-O$324))*SUM(-P$256,-P$264,P$323))</f>
        <v>57.592856896404875</v>
      </c>
      <c r="Q222" s="171">
        <f ca="1">SUM(-Q$212,Q$324,IF(Q$6=OFFSET(Assumptions!$B$8,0,$C$1),AVERAGE(SUM(N$212,N$222,-N$324)/SUM(N$205,N$212,N$222,-N$252,-N$324),SUM(O$212,O$222,-O$324)/SUM(O$205,O$212,O$222,-O$252,-O$324),SUM(P$212,P$222,-P$324)/SUM(P$205,P$212,P$222,-P$252,-P$324)),SUM(P$212,P$222,-P$324)/SUM(P$205,P$212,P$222,-P$252,-P$324))*SUM(-Q$256,-Q$264,Q$323))</f>
        <v>57.755141210031411</v>
      </c>
      <c r="R222" s="171">
        <f ca="1">SUM(-R$212,R$324,IF(R$6=OFFSET(Assumptions!$B$8,0,$C$1),AVERAGE(SUM(O$212,O$222,-O$324)/SUM(O$205,O$212,O$222,-O$252,-O$324),SUM(P$212,P$222,-P$324)/SUM(P$205,P$212,P$222,-P$252,-P$324),SUM(Q$212,Q$222,-Q$324)/SUM(Q$205,Q$212,Q$222,-Q$252,-Q$324)),SUM(Q$212,Q$222,-Q$324)/SUM(Q$205,Q$212,Q$222,-Q$252,-Q$324))*SUM(-R$256,-R$264,R$323))</f>
        <v>57.917764454185033</v>
      </c>
      <c r="S222" s="171">
        <f ca="1">SUM(-S$212,S$324,IF(S$6=OFFSET(Assumptions!$B$8,0,$C$1),AVERAGE(SUM(P$212,P$222,-P$324)/SUM(P$205,P$212,P$222,-P$252,-P$324),SUM(Q$212,Q$222,-Q$324)/SUM(Q$205,Q$212,Q$222,-Q$252,-Q$324),SUM(R$212,R$222,-R$324)/SUM(R$205,R$212,R$222,-R$252,-R$324)),SUM(R$212,R$222,-R$324)/SUM(R$205,R$212,R$222,-R$252,-R$324))*SUM(-S$256,-S$264,S$323))</f>
        <v>58.080413660321256</v>
      </c>
      <c r="T222" s="171">
        <f ca="1">SUM(-T$212,T$324,IF(T$6=OFFSET(Assumptions!$B$8,0,$C$1),AVERAGE(SUM(Q$212,Q$222,-Q$324)/SUM(Q$205,Q$212,Q$222,-Q$252,-Q$324),SUM(R$212,R$222,-R$324)/SUM(R$205,R$212,R$222,-R$252,-R$324),SUM(S$212,S$222,-S$324)/SUM(S$205,S$212,S$222,-S$252,-S$324)),SUM(S$212,S$222,-S$324)/SUM(S$205,S$212,S$222,-S$252,-S$324))*SUM(-T$256,-T$264,T$323))</f>
        <v>58.246169857503695</v>
      </c>
    </row>
    <row r="223" spans="1:20">
      <c r="A223" s="167" t="s">
        <v>256</v>
      </c>
      <c r="B223" s="4" t="str">
        <f>$B$39</f>
        <v>From Fiscal Forecasts</v>
      </c>
      <c r="D223" s="175">
        <f>'Fiscal Forecasts'!D$260</f>
        <v>22.132999999999999</v>
      </c>
      <c r="E223" s="175">
        <f>'Fiscal Forecasts'!E$260</f>
        <v>25.504999999999999</v>
      </c>
      <c r="F223" s="176">
        <f>'Fiscal Forecasts'!F$260</f>
        <v>27.172999999999998</v>
      </c>
      <c r="G223" s="176">
        <f>'Fiscal Forecasts'!G$260</f>
        <v>28.202999999999999</v>
      </c>
      <c r="H223" s="176">
        <f>'Fiscal Forecasts'!H$260</f>
        <v>27.251999999999999</v>
      </c>
      <c r="I223" s="176">
        <f>'Fiscal Forecasts'!I$260</f>
        <v>26.756</v>
      </c>
      <c r="J223" s="176">
        <f>'Fiscal Forecasts'!J$260</f>
        <v>26.177</v>
      </c>
      <c r="K223" s="171">
        <f ca="1">SUM(-K$213,IF(K$6=OFFSET(Assumptions!$B$8,0,$C$1),AVERAGE(SUM(H$213,H$223)/SUM(H$206,-(H$253-H$252),H$213,H$223),SUM(I$213,I$223)/SUM(I$206,-(I$253-I$252),I$213,I$223),SUM(J$213,J$223)/SUM(J$206,-(J$253-J$252),J$213,J$223)),SUM(J$213,J$223)/SUM(J$206,-(J$253-J$252),J$213,J$223))*SUM(K$190-K$238,K$257,K$266,K$288,K$326,-(K$253-K$252)))</f>
        <v>26.804130631789931</v>
      </c>
      <c r="L223" s="171">
        <f ca="1">SUM(-L$213,IF(L$6=OFFSET(Assumptions!$B$8,0,$C$1),AVERAGE(SUM(I$213,I$223)/SUM(I$206,-(I$253-I$252),I$213,I$223),SUM(J$213,J$223)/SUM(J$206,-(J$253-J$252),J$213,J$223),SUM(K$213,K$223)/SUM(K$206,-(K$253-K$252),K$213,K$223)),SUM(K$213,K$223)/SUM(K$206,-(K$253-K$252),K$213,K$223))*SUM(L$190-L$238,L$257,L$266,L$288,L$326,-(L$253-L$252)))</f>
        <v>26.962414577242377</v>
      </c>
      <c r="M223" s="171">
        <f ca="1">SUM(-M$213,IF(M$6=OFFSET(Assumptions!$B$8,0,$C$1),AVERAGE(SUM(J$213,J$223)/SUM(J$206,-(J$253-J$252),J$213,J$223),SUM(K$213,K$223)/SUM(K$206,-(K$253-K$252),K$213,K$223),SUM(L$213,L$223)/SUM(L$206,-(L$253-L$252),L$213,L$223)),SUM(L$213,L$223)/SUM(L$206,-(L$253-L$252),L$213,L$223))*SUM(M$190-M$238,M$257,M$266,M$288,M$326,-(M$253-M$252)))</f>
        <v>27.160389213024306</v>
      </c>
      <c r="N223" s="171">
        <f ca="1">SUM(-N$213,IF(N$6=OFFSET(Assumptions!$B$8,0,$C$1),AVERAGE(SUM(K$213,K$223)/SUM(K$206,-(K$253-K$252),K$213,K$223),SUM(L$213,L$223)/SUM(L$206,-(L$253-L$252),L$213,L$223),SUM(M$213,M$223)/SUM(M$206,-(M$253-M$252),M$213,M$223)),SUM(M$213,M$223)/SUM(M$206,-(M$253-M$252),M$213,M$223))*SUM(N$190-N$238,N$257,N$266,N$288,N$326,-(N$253-N$252)))</f>
        <v>27.466668817693787</v>
      </c>
      <c r="O223" s="171">
        <f ca="1">SUM(-O$213,IF(O$6=OFFSET(Assumptions!$B$8,0,$C$1),AVERAGE(SUM(L$213,L$223)/SUM(L$206,-(L$253-L$252),L$213,L$223),SUM(M$213,M$223)/SUM(M$206,-(M$253-M$252),M$213,M$223),SUM(N$213,N$223)/SUM(N$206,-(N$253-N$252),N$213,N$223)),SUM(N$213,N$223)/SUM(N$206,-(N$253-N$252),N$213,N$223))*SUM(O$190-O$238,O$257,O$266,O$288,O$326,-(O$253-O$252)))</f>
        <v>27.786347616303125</v>
      </c>
      <c r="P223" s="171">
        <f ca="1">SUM(-P$213,IF(P$6=OFFSET(Assumptions!$B$8,0,$C$1),AVERAGE(SUM(M$213,M$223)/SUM(M$206,-(M$253-M$252),M$213,M$223),SUM(N$213,N$223)/SUM(N$206,-(N$253-N$252),N$213,N$223),SUM(O$213,O$223)/SUM(O$206,-(O$253-O$252),O$213,O$223)),SUM(O$213,O$223)/SUM(O$206,-(O$253-O$252),O$213,O$223))*SUM(P$190-P$238,P$257,P$266,P$288,P$326,-(P$253-P$252)))</f>
        <v>28.122468687241433</v>
      </c>
      <c r="Q223" s="171">
        <f ca="1">SUM(-Q$213,IF(Q$6=OFFSET(Assumptions!$B$8,0,$C$1),AVERAGE(SUM(N$213,N$223)/SUM(N$206,-(N$253-N$252),N$213,N$223),SUM(O$213,O$223)/SUM(O$206,-(O$253-O$252),O$213,O$223),SUM(P$213,P$223)/SUM(P$206,-(P$253-P$252),P$213,P$223)),SUM(P$213,P$223)/SUM(P$206,-(P$253-P$252),P$213,P$223))*SUM(Q$190-Q$238,Q$257,Q$266,Q$288,Q$326,-(Q$253-Q$252)))</f>
        <v>28.473329551301841</v>
      </c>
      <c r="R223" s="171">
        <f ca="1">SUM(-R$213,IF(R$6=OFFSET(Assumptions!$B$8,0,$C$1),AVERAGE(SUM(O$213,O$223)/SUM(O$206,-(O$253-O$252),O$213,O$223),SUM(P$213,P$223)/SUM(P$206,-(P$253-P$252),P$213,P$223),SUM(Q$213,Q$223)/SUM(Q$206,-(Q$253-Q$252),Q$213,Q$223)),SUM(Q$213,Q$223)/SUM(Q$206,-(Q$253-Q$252),Q$213,Q$223))*SUM(R$190-R$238,R$257,R$266,R$288,R$326,-(R$253-R$252)))</f>
        <v>28.838610107796235</v>
      </c>
      <c r="S223" s="171">
        <f ca="1">SUM(-S$213,IF(S$6=OFFSET(Assumptions!$B$8,0,$C$1),AVERAGE(SUM(P$213,P$223)/SUM(P$206,-(P$253-P$252),P$213,P$223),SUM(Q$213,Q$223)/SUM(Q$206,-(Q$253-Q$252),Q$213,Q$223),SUM(R$213,R$223)/SUM(R$206,-(R$253-R$252),R$213,R$223)),SUM(R$213,R$223)/SUM(R$206,-(R$253-R$252),R$213,R$223))*SUM(S$190-S$238,S$257,S$266,S$288,S$326,-(S$253-S$252)))</f>
        <v>29.216728541759085</v>
      </c>
      <c r="T223" s="171">
        <f ca="1">SUM(-T$213,IF(T$6=OFFSET(Assumptions!$B$8,0,$C$1),AVERAGE(SUM(Q$213,Q$223)/SUM(Q$206,-(Q$253-Q$252),Q$213,Q$223),SUM(R$213,R$223)/SUM(R$206,-(R$253-R$252),R$213,R$223),SUM(S$213,S$223)/SUM(S$206,-(S$253-S$252),S$213,S$223)),SUM(S$213,S$223)/SUM(S$206,-(S$253-S$252),S$213,S$223))*SUM(T$190-T$238,T$257,T$266,T$288,T$326,-(T$253-T$252)))</f>
        <v>29.610829522142279</v>
      </c>
    </row>
    <row r="224" spans="1:20">
      <c r="A224" s="167" t="s">
        <v>418</v>
      </c>
      <c r="B224" s="4" t="str">
        <f>$B$39</f>
        <v>From Fiscal Forecasts</v>
      </c>
      <c r="D224" s="175">
        <f>'Fiscal Forecasts'!D$261</f>
        <v>9.4740000000000002</v>
      </c>
      <c r="E224" s="175">
        <f>'Fiscal Forecasts'!E$261</f>
        <v>12.164999999999999</v>
      </c>
      <c r="F224" s="176">
        <f>'Fiscal Forecasts'!F$261</f>
        <v>10.494999999999999</v>
      </c>
      <c r="G224" s="176">
        <f>'Fiscal Forecasts'!G$261</f>
        <v>10.994</v>
      </c>
      <c r="H224" s="176">
        <f>'Fiscal Forecasts'!H$261</f>
        <v>11.346</v>
      </c>
      <c r="I224" s="176">
        <f>'Fiscal Forecasts'!I$261</f>
        <v>11.944000000000001</v>
      </c>
      <c r="J224" s="176">
        <f>'Fiscal Forecasts'!J$261</f>
        <v>11.808</v>
      </c>
      <c r="K224" s="171">
        <f ca="1">SUM(-K$214,IF(K$6=OFFSET(Assumptions!$B$8,0,$C$1),AVERAGE(SUM(H$224,H$214)/SUM(H$207,H$214,H$224),SUM(I$224,I$214)/SUM(I$207,I$214,I$224),SUM(J$224,J$214)/SUM(J$207,J$214,J$224)),SUM(J$224,J$214)/SUM(J$207,J$214,J$224))*SUM(K$289,K$327-K$239))</f>
        <v>12.740256805296502</v>
      </c>
      <c r="L224" s="171">
        <f ca="1">SUM(-L$214,IF(L$6=OFFSET(Assumptions!$B$8,0,$C$1),AVERAGE(SUM(I$224,I$214)/SUM(I$207,I$214,I$224),SUM(J$224,J$214)/SUM(J$207,J$214,J$224),SUM(K$224,K$214)/SUM(K$207,K$214,K$224)),SUM(K$224,K$214)/SUM(K$207,K$214,K$224))*SUM(L$289,L$327-L$239))</f>
        <v>13.294948135204862</v>
      </c>
      <c r="M224" s="171">
        <f ca="1">SUM(-M$214,IF(M$6=OFFSET(Assumptions!$B$8,0,$C$1),AVERAGE(SUM(J$224,J$214)/SUM(J$207,J$214,J$224),SUM(K$224,K$214)/SUM(K$207,K$214,K$224),SUM(L$224,L$214)/SUM(L$207,L$214,L$224)),SUM(L$224,L$214)/SUM(L$207,L$214,L$224))*SUM(M$289,M$327-M$239))</f>
        <v>13.863423208400018</v>
      </c>
      <c r="N224" s="171">
        <f ca="1">SUM(-N$214,IF(N$6=OFFSET(Assumptions!$B$8,0,$C$1),AVERAGE(SUM(K$224,K$214)/SUM(K$207,K$214,K$224),SUM(L$224,L$214)/SUM(L$207,L$214,L$224),SUM(M$224,M$214)/SUM(M$207,M$214,M$224)),SUM(M$224,M$214)/SUM(M$207,M$214,M$224))*SUM(N$289,N$327-N$239))</f>
        <v>14.468775395764068</v>
      </c>
      <c r="O224" s="171">
        <f ca="1">SUM(-O$214,IF(O$6=OFFSET(Assumptions!$B$8,0,$C$1),AVERAGE(SUM(L$224,L$214)/SUM(L$207,L$214,L$224),SUM(M$224,M$214)/SUM(M$207,M$214,M$224),SUM(N$224,N$214)/SUM(N$207,N$214,N$224)),SUM(N$224,N$214)/SUM(N$207,N$214,N$224))*SUM(O$289,O$327-O$239))</f>
        <v>15.094602957599013</v>
      </c>
      <c r="P224" s="171">
        <f ca="1">SUM(-P$214,IF(P$6=OFFSET(Assumptions!$B$8,0,$C$1),AVERAGE(SUM(M$224,M$214)/SUM(M$207,M$214,M$224),SUM(N$224,N$214)/SUM(N$207,N$214,N$224),SUM(O$224,O$214)/SUM(O$207,O$214,O$224)),SUM(O$224,O$214)/SUM(O$207,O$214,O$224))*SUM(P$289,P$327-P$239))</f>
        <v>15.74052344760107</v>
      </c>
      <c r="Q224" s="171">
        <f ca="1">SUM(-Q$214,IF(Q$6=OFFSET(Assumptions!$B$8,0,$C$1),AVERAGE(SUM(N$224,N$214)/SUM(N$207,N$214,N$224),SUM(O$224,O$214)/SUM(O$207,O$214,O$224),SUM(P$224,P$214)/SUM(P$207,P$214,P$224)),SUM(P$224,P$214)/SUM(P$207,P$214,P$224))*SUM(Q$289,Q$327-Q$239))</f>
        <v>16.406232790177004</v>
      </c>
      <c r="R224" s="171">
        <f ca="1">SUM(-R$214,IF(R$6=OFFSET(Assumptions!$B$8,0,$C$1),AVERAGE(SUM(O$224,O$214)/SUM(O$207,O$214,O$224),SUM(P$224,P$214)/SUM(P$207,P$214,P$224),SUM(Q$224,Q$214)/SUM(Q$207,Q$214,Q$224)),SUM(Q$224,Q$214)/SUM(Q$207,Q$214,Q$224))*SUM(R$289,R$327-R$239))</f>
        <v>17.089514410039307</v>
      </c>
      <c r="S224" s="171">
        <f ca="1">SUM(-S$214,IF(S$6=OFFSET(Assumptions!$B$8,0,$C$1),AVERAGE(SUM(P$224,P$214)/SUM(P$207,P$214,P$224),SUM(Q$224,Q$214)/SUM(Q$207,Q$214,Q$224),SUM(R$224,R$214)/SUM(R$207,R$214,R$224)),SUM(R$224,R$214)/SUM(R$207,R$214,R$224))*SUM(S$289,S$327-S$239))</f>
        <v>17.789535306392182</v>
      </c>
      <c r="T224" s="171">
        <f ca="1">SUM(-T$214,IF(T$6=OFFSET(Assumptions!$B$8,0,$C$1),AVERAGE(SUM(Q$224,Q$214)/SUM(Q$207,Q$214,Q$224),SUM(R$224,R$214)/SUM(R$207,R$214,R$224),SUM(S$224,S$214)/SUM(S$207,S$214,S$224)),SUM(S$224,S$214)/SUM(S$207,S$214,S$224))*SUM(T$289,T$327-T$239))</f>
        <v>18.516258808828496</v>
      </c>
    </row>
    <row r="225" spans="1:20">
      <c r="A225" s="167" t="s">
        <v>419</v>
      </c>
      <c r="B225" s="4" t="str">
        <f>$B$39</f>
        <v>From Fiscal Forecasts</v>
      </c>
      <c r="D225" s="175">
        <f>'Fiscal Forecasts'!D$262</f>
        <v>-33.872999999999998</v>
      </c>
      <c r="E225" s="175">
        <f>'Fiscal Forecasts'!E$262</f>
        <v>-36.92</v>
      </c>
      <c r="F225" s="176">
        <f>'Fiscal Forecasts'!F$262</f>
        <v>-42.106999999999999</v>
      </c>
      <c r="G225" s="176">
        <f>'Fiscal Forecasts'!G$262</f>
        <v>-42.332000000000001</v>
      </c>
      <c r="H225" s="176">
        <f>'Fiscal Forecasts'!H$262</f>
        <v>-41.494</v>
      </c>
      <c r="I225" s="176">
        <f>'Fiscal Forecasts'!I$262</f>
        <v>-41.218000000000004</v>
      </c>
      <c r="J225" s="176">
        <f>'Fiscal Forecasts'!J$262</f>
        <v>-40.676000000000002</v>
      </c>
      <c r="K225" s="171">
        <f ca="1">IF(K$6=OFFSET(Assumptions!$B$8,0,$C$1),AVERAGE(H$225/SUM(H$208,H$225),I$225/SUM(I$208,I$225),J$225/SUM(J$208,J$225)),J$225/SUM(J$208,J$225))*SUM(K$191,K$258,K$267,K$290,K$328)</f>
        <v>-43.147238769615562</v>
      </c>
      <c r="L225" s="171">
        <f ca="1">IF(L$6=OFFSET(Assumptions!$B$8,0,$C$1),AVERAGE(I$225/SUM(I$208,I$225),J$225/SUM(J$208,J$225),K$225/SUM(K$208,K$225)),K$225/SUM(K$208,K$225))*SUM(L$191,L$258,L$267,L$290,L$328)</f>
        <v>-43.39460807602709</v>
      </c>
      <c r="M225" s="171">
        <f ca="1">IF(M$6=OFFSET(Assumptions!$B$8,0,$C$1),AVERAGE(J$225/SUM(J$208,J$225),K$225/SUM(K$208,K$225),L$225/SUM(L$208,L$225)),L$225/SUM(L$208,L$225))*SUM(M$191,M$258,M$267,M$290,M$328)</f>
        <v>-43.693367281051223</v>
      </c>
      <c r="N225" s="171">
        <f ca="1">IF(N$6=OFFSET(Assumptions!$B$8,0,$C$1),AVERAGE(K$225/SUM(K$208,K$225),L$225/SUM(L$208,L$225),M$225/SUM(M$208,M$225)),M$225/SUM(M$208,M$225))*SUM(N$191,N$258,N$267,N$290,N$328)</f>
        <v>-44.149819283043769</v>
      </c>
      <c r="O225" s="171">
        <f ca="1">IF(O$6=OFFSET(Assumptions!$B$8,0,$C$1),AVERAGE(L$225/SUM(L$208,L$225),M$225/SUM(M$208,M$225),N$225/SUM(N$208,N$225)),N$225/SUM(N$208,N$225))*SUM(O$191,O$258,O$267,O$290,O$328)</f>
        <v>-44.61380415795383</v>
      </c>
      <c r="P225" s="171">
        <f ca="1">IF(P$6=OFFSET(Assumptions!$B$8,0,$C$1),AVERAGE(M$225/SUM(M$208,M$225),N$225/SUM(N$208,N$225),O$225/SUM(O$208,O$225)),O$225/SUM(O$208,O$225))*SUM(P$191,P$258,P$267,P$290,P$328)</f>
        <v>-45.090917091802993</v>
      </c>
      <c r="Q225" s="171">
        <f ca="1">IF(Q$6=OFFSET(Assumptions!$B$8,0,$C$1),AVERAGE(N$225/SUM(N$208,N$225),O$225/SUM(O$208,O$225),P$225/SUM(P$208,P$225)),P$225/SUM(P$208,P$225))*SUM(Q$191,Q$258,Q$267,Q$290,Q$328)</f>
        <v>-45.579875656593771</v>
      </c>
      <c r="R225" s="171">
        <f ca="1">IF(R$6=OFFSET(Assumptions!$B$8,0,$C$1),AVERAGE(O$225/SUM(O$208,O$225),P$225/SUM(P$208,P$225),Q$225/SUM(Q$208,Q$225)),Q$225/SUM(Q$208,Q$225))*SUM(R$191,R$258,R$267,R$290,R$328)</f>
        <v>-46.080713985950354</v>
      </c>
      <c r="S225" s="171">
        <f ca="1">IF(S$6=OFFSET(Assumptions!$B$8,0,$C$1),AVERAGE(P$225/SUM(P$208,P$225),Q$225/SUM(Q$208,Q$225),R$225/SUM(R$208,R$225)),R$225/SUM(R$208,R$225))*SUM(S$191,S$258,S$267,S$290,S$328)</f>
        <v>-46.591784969366131</v>
      </c>
      <c r="T225" s="171">
        <f ca="1">IF(T$6=OFFSET(Assumptions!$B$8,0,$C$1),AVERAGE(Q$225/SUM(Q$208,Q$225),R$225/SUM(R$208,R$225),S$225/SUM(S$208,S$225)),S$225/SUM(S$208,S$225))*SUM(T$191,T$258,T$267,T$290,T$328)</f>
        <v>-47.114708771365699</v>
      </c>
    </row>
    <row r="226" spans="1:20" ht="15">
      <c r="A226" s="168" t="s">
        <v>421</v>
      </c>
      <c r="D226" s="138">
        <f t="shared" ref="D226:T226" si="121">SUM(D$222:D$225)</f>
        <v>42.693000000000005</v>
      </c>
      <c r="E226" s="138">
        <f t="shared" si="121"/>
        <v>52.582999999999984</v>
      </c>
      <c r="F226" s="137">
        <f t="shared" si="121"/>
        <v>58.031999999999996</v>
      </c>
      <c r="G226" s="137">
        <f t="shared" si="121"/>
        <v>58.972999999999992</v>
      </c>
      <c r="H226" s="137">
        <f t="shared" si="121"/>
        <v>55.543999999999997</v>
      </c>
      <c r="I226" s="137">
        <f t="shared" si="121"/>
        <v>53.944999999999993</v>
      </c>
      <c r="J226" s="137">
        <f t="shared" si="121"/>
        <v>52.813000000000002</v>
      </c>
      <c r="K226" s="140">
        <f t="shared" ca="1" si="121"/>
        <v>53.541562327792001</v>
      </c>
      <c r="L226" s="140">
        <f t="shared" ca="1" si="121"/>
        <v>53.960696782891652</v>
      </c>
      <c r="M226" s="140">
        <f t="shared" ca="1" si="121"/>
        <v>54.441698857911078</v>
      </c>
      <c r="N226" s="140">
        <f t="shared" ca="1" si="121"/>
        <v>55.056923777039131</v>
      </c>
      <c r="O226" s="140">
        <f t="shared" ca="1" si="121"/>
        <v>55.698737617598375</v>
      </c>
      <c r="P226" s="140">
        <f t="shared" ca="1" si="121"/>
        <v>56.364931939444375</v>
      </c>
      <c r="Q226" s="140">
        <f t="shared" ca="1" si="121"/>
        <v>57.054827894916485</v>
      </c>
      <c r="R226" s="140">
        <f t="shared" ca="1" si="121"/>
        <v>57.765174986070207</v>
      </c>
      <c r="S226" s="140">
        <f t="shared" ca="1" si="121"/>
        <v>58.494892539106388</v>
      </c>
      <c r="T226" s="140">
        <f t="shared" ca="1" si="121"/>
        <v>59.258549417108767</v>
      </c>
    </row>
    <row r="227" spans="1:20" ht="15">
      <c r="A227" s="168"/>
      <c r="D227" s="46"/>
      <c r="E227" s="46"/>
      <c r="F227" s="145"/>
      <c r="G227" s="145"/>
      <c r="H227" s="145"/>
      <c r="I227" s="145"/>
      <c r="J227" s="145"/>
      <c r="K227" s="145"/>
      <c r="L227" s="145"/>
      <c r="M227" s="145"/>
      <c r="N227" s="145"/>
      <c r="O227" s="145"/>
      <c r="P227" s="145"/>
      <c r="Q227" s="145"/>
      <c r="R227" s="145"/>
      <c r="S227" s="145"/>
      <c r="T227" s="145"/>
    </row>
    <row r="228" spans="1:20">
      <c r="A228" s="18" t="s">
        <v>422</v>
      </c>
    </row>
    <row r="229" spans="1:20">
      <c r="A229" s="167" t="s">
        <v>279</v>
      </c>
      <c r="B229" s="4" t="str">
        <f>$B$39</f>
        <v>From Fiscal Forecasts</v>
      </c>
      <c r="D229" s="175">
        <f>'Fiscal Forecasts'!D$164</f>
        <v>3.69</v>
      </c>
      <c r="E229" s="175">
        <f>'Fiscal Forecasts'!E$164</f>
        <v>3.2280000000000002</v>
      </c>
      <c r="F229" s="176">
        <f>'Fiscal Forecasts'!F$164 +IF($C$2="Yes",'Fiscal Forecast Adjuster'!C$35/1000,0) +IF($C$3="Yes",'NZSF Adjuster'!Q$9,0)</f>
        <v>1.9670000000000001</v>
      </c>
      <c r="G229" s="176">
        <f>'Fiscal Forecasts'!G$164 +IF($C$2="Yes",'Fiscal Forecast Adjuster'!D$35/1000,0) +IF($C$3="Yes",'NZSF Adjuster'!R$9,0)</f>
        <v>1.6879999999999999</v>
      </c>
      <c r="H229" s="176">
        <f>'Fiscal Forecasts'!H$164 +IF($C$2="Yes",'Fiscal Forecast Adjuster'!E$35/1000,0) +IF($C$3="Yes",'NZSF Adjuster'!S$9,0)</f>
        <v>1.83</v>
      </c>
      <c r="I229" s="176">
        <f>'Fiscal Forecasts'!I$164 +IF($C$2="Yes",'Fiscal Forecast Adjuster'!F$35/1000,0) +IF($C$3="Yes",'NZSF Adjuster'!T$9,0)</f>
        <v>2.3340000000000001</v>
      </c>
      <c r="J229" s="176">
        <f>'Fiscal Forecasts'!J$164 +IF($C$2="Yes",'Fiscal Forecast Adjuster'!G$35/1000,0) +IF($C$3="Yes",'NZSF Adjuster'!U$9,0)</f>
        <v>2.8370000000000002</v>
      </c>
      <c r="K229" s="171">
        <f t="shared" ref="K229:T229" ca="1" si="122">K$483</f>
        <v>3.29805967588281</v>
      </c>
      <c r="L229" s="171">
        <f t="shared" ca="1" si="122"/>
        <v>3.8118503867428295</v>
      </c>
      <c r="M229" s="171">
        <f t="shared" ca="1" si="122"/>
        <v>4.4013778073470151</v>
      </c>
      <c r="N229" s="171">
        <f t="shared" ca="1" si="122"/>
        <v>4.9946167196865696</v>
      </c>
      <c r="O229" s="171">
        <f t="shared" ca="1" si="122"/>
        <v>5.5761222405222064</v>
      </c>
      <c r="P229" s="171">
        <f t="shared" ca="1" si="122"/>
        <v>6.1385120924504912</v>
      </c>
      <c r="Q229" s="171">
        <f t="shared" ca="1" si="122"/>
        <v>6.6804282161624027</v>
      </c>
      <c r="R229" s="171">
        <f t="shared" ca="1" si="122"/>
        <v>7.1959175680621152</v>
      </c>
      <c r="S229" s="171">
        <f t="shared" ca="1" si="122"/>
        <v>7.676843550007165</v>
      </c>
      <c r="T229" s="171">
        <f t="shared" ca="1" si="122"/>
        <v>8.1136166480158849</v>
      </c>
    </row>
    <row r="230" spans="1:20">
      <c r="A230" s="167" t="s">
        <v>256</v>
      </c>
      <c r="B230" s="4" t="str">
        <f>$B$39</f>
        <v>From Fiscal Forecasts</v>
      </c>
      <c r="D230" s="175">
        <f>'Fiscal Forecasts'!D$265</f>
        <v>0.11700000000000001</v>
      </c>
      <c r="E230" s="175">
        <f>'Fiscal Forecasts'!E$265</f>
        <v>0.16400000000000001</v>
      </c>
      <c r="F230" s="176">
        <f>'Fiscal Forecasts'!F$265</f>
        <v>0.26300000000000001</v>
      </c>
      <c r="G230" s="176">
        <f>'Fiscal Forecasts'!G$265</f>
        <v>0.33200000000000002</v>
      </c>
      <c r="H230" s="176">
        <f>'Fiscal Forecasts'!H$265</f>
        <v>0.46100000000000002</v>
      </c>
      <c r="I230" s="176">
        <f>'Fiscal Forecasts'!I$265</f>
        <v>0.55100000000000005</v>
      </c>
      <c r="J230" s="176">
        <f>'Fiscal Forecasts'!J$265</f>
        <v>0.57399999999999995</v>
      </c>
      <c r="K230" s="171">
        <f ca="1">IF(K$6=OFFSET(Assumptions!$B$8,0,$C$1),AVERAGE(H$230/SUM(H$230:H$232),I$230/SUM(I$230:I$232),J$230/SUM(J$230:J$232)),J$230/SUM(J$230:J$232))*(K$90-K$483)</f>
        <v>0.52242318053997994</v>
      </c>
      <c r="L230" s="171">
        <f ca="1">IF(L$6=OFFSET(Assumptions!$B$8,0,$C$1),AVERAGE(I$230/SUM(I$230:I$232),J$230/SUM(J$230:J$232),K$230/SUM(K$230:K$232)),K$230/SUM(K$230:K$232))*(L$90-L$483)</f>
        <v>0.70171996230636724</v>
      </c>
      <c r="M230" s="171">
        <f ca="1">IF(M$6=OFFSET(Assumptions!$B$8,0,$C$1),AVERAGE(J$230/SUM(J$230:J$232),K$230/SUM(K$230:K$232),L$230/SUM(L$230:L$232)),L$230/SUM(L$230:L$232))*(M$90-M$483)</f>
        <v>0.91399919026122978</v>
      </c>
      <c r="N230" s="171">
        <f ca="1">IF(N$6=OFFSET(Assumptions!$B$8,0,$C$1),AVERAGE(K$230/SUM(K$230:K$232),L$230/SUM(L$230:L$232),M$230/SUM(M$230:M$232)),M$230/SUM(M$230:M$232))*(N$90-N$483)</f>
        <v>1.1524933600175697</v>
      </c>
      <c r="O230" s="171">
        <f ca="1">IF(O$6=OFFSET(Assumptions!$B$8,0,$C$1),AVERAGE(L$230/SUM(L$230:L$232),M$230/SUM(M$230:M$232),N$230/SUM(N$230:N$232)),N$230/SUM(N$230:N$232))*(O$90-O$483)</f>
        <v>1.4188367872090042</v>
      </c>
      <c r="P230" s="171">
        <f ca="1">IF(P$6=OFFSET(Assumptions!$B$8,0,$C$1),AVERAGE(M$230/SUM(M$230:M$232),N$230/SUM(N$230:N$232),O$230/SUM(O$230:O$232)),O$230/SUM(O$230:O$232))*(P$90-P$483)</f>
        <v>1.7131532866985977</v>
      </c>
      <c r="Q230" s="171">
        <f ca="1">IF(Q$6=OFFSET(Assumptions!$B$8,0,$C$1),AVERAGE(N$230/SUM(N$230:N$232),O$230/SUM(O$230:O$232),P$230/SUM(P$230:P$232)),P$230/SUM(P$230:P$232))*(Q$90-Q$483)</f>
        <v>2.0372160971450701</v>
      </c>
      <c r="R230" s="171">
        <f ca="1">IF(R$6=OFFSET(Assumptions!$B$8,0,$C$1),AVERAGE(O$230/SUM(O$230:O$232),P$230/SUM(P$230:P$232),Q$230/SUM(Q$230:Q$232)),Q$230/SUM(Q$230:Q$232))*(R$90-R$483)</f>
        <v>2.3937463022498262</v>
      </c>
      <c r="S230" s="171">
        <f ca="1">IF(S$6=OFFSET(Assumptions!$B$8,0,$C$1),AVERAGE(P$230/SUM(P$230:P$232),Q$230/SUM(Q$230:Q$232),R$230/SUM(R$230:R$232)),R$230/SUM(R$230:R$232))*(S$90-S$483)</f>
        <v>2.7855172140176188</v>
      </c>
      <c r="T230" s="171">
        <f ca="1">IF(T$6=OFFSET(Assumptions!$B$8,0,$C$1),AVERAGE(Q$230/SUM(Q$230:Q$232),R$230/SUM(R$230:R$232),S$230/SUM(S$230:S$232)),S$230/SUM(S$230:S$232))*(T$90-T$483)</f>
        <v>3.2157838348327008</v>
      </c>
    </row>
    <row r="231" spans="1:20">
      <c r="A231" s="167" t="s">
        <v>418</v>
      </c>
      <c r="B231" s="4" t="str">
        <f>$B$39</f>
        <v>From Fiscal Forecasts</v>
      </c>
      <c r="D231" s="175">
        <f>'Fiscal Forecasts'!D$266</f>
        <v>1.0449999999999999</v>
      </c>
      <c r="E231" s="175">
        <f>'Fiscal Forecasts'!E$266</f>
        <v>0.90100000000000002</v>
      </c>
      <c r="F231" s="176">
        <f>'Fiscal Forecasts'!F$266</f>
        <v>0.65600000000000003</v>
      </c>
      <c r="G231" s="176">
        <f>'Fiscal Forecasts'!G$266</f>
        <v>0.69199999999999995</v>
      </c>
      <c r="H231" s="176">
        <f>'Fiscal Forecasts'!H$266</f>
        <v>0.73599999999999999</v>
      </c>
      <c r="I231" s="176">
        <f>'Fiscal Forecasts'!I$266</f>
        <v>0.75900000000000001</v>
      </c>
      <c r="J231" s="176">
        <f>'Fiscal Forecasts'!J$266</f>
        <v>0.79300000000000004</v>
      </c>
      <c r="K231" s="171">
        <f ca="1">IF(K$6=OFFSET(Assumptions!$B$8,0,$C$1),AVERAGE(H$231/SUM(H$230:H$232),I$231/SUM(I$230:I$232),J$231/SUM(J$230:J$232)),J$231/SUM(J$230:J$232))*(K$90-K$483)</f>
        <v>0.7570267911451406</v>
      </c>
      <c r="L231" s="171">
        <f ca="1">IF(L$6=OFFSET(Assumptions!$B$8,0,$C$1),AVERAGE(I$231/SUM(I$230:I$232),J$231/SUM(J$230:J$232),K$231/SUM(K$230:K$232)),K$231/SUM(K$230:K$232))*(L$90-L$483)</f>
        <v>1.0168400467954062</v>
      </c>
      <c r="M231" s="171">
        <f ca="1">IF(M$6=OFFSET(Assumptions!$B$8,0,$C$1),AVERAGE(J$231/SUM(J$230:J$232),K$231/SUM(K$230:K$232),L$231/SUM(L$230:L$232)),L$231/SUM(L$230:L$232))*(M$90-M$483)</f>
        <v>1.3244471146887868</v>
      </c>
      <c r="N231" s="171">
        <f ca="1">IF(N$6=OFFSET(Assumptions!$B$8,0,$C$1),AVERAGE(K$231/SUM(K$230:K$232),L$231/SUM(L$230:L$232),M$231/SUM(M$230:M$232)),M$231/SUM(M$230:M$232))*(N$90-N$483)</f>
        <v>1.6700414197708324</v>
      </c>
      <c r="O231" s="171">
        <f ca="1">IF(O$6=OFFSET(Assumptions!$B$8,0,$C$1),AVERAGE(L$231/SUM(L$230:L$232),M$231/SUM(M$230:M$232),N$231/SUM(N$230:N$232)),N$231/SUM(N$230:N$232))*(O$90-O$483)</f>
        <v>2.0559911967713971</v>
      </c>
      <c r="P231" s="171">
        <f ca="1">IF(P$6=OFFSET(Assumptions!$B$8,0,$C$1),AVERAGE(M$231/SUM(M$230:M$232),N$231/SUM(N$230:N$232),O$231/SUM(O$230:O$232)),O$231/SUM(O$230:O$232))*(P$90-P$483)</f>
        <v>2.4824758618649025</v>
      </c>
      <c r="Q231" s="171">
        <f ca="1">IF(Q$6=OFFSET(Assumptions!$B$8,0,$C$1),AVERAGE(N$231/SUM(N$230:N$232),O$231/SUM(O$230:O$232),P$231/SUM(P$230:P$232)),P$231/SUM(P$230:P$232))*(Q$90-Q$483)</f>
        <v>2.9520649587120222</v>
      </c>
      <c r="R231" s="171">
        <f ca="1">IF(R$6=OFFSET(Assumptions!$B$8,0,$C$1),AVERAGE(O$231/SUM(O$230:O$232),P$231/SUM(P$230:P$232),Q$231/SUM(Q$230:Q$232)),Q$231/SUM(Q$230:Q$232))*(R$90-R$483)</f>
        <v>3.4687015230348361</v>
      </c>
      <c r="S231" s="171">
        <f ca="1">IF(S$6=OFFSET(Assumptions!$B$8,0,$C$1),AVERAGE(P$231/SUM(P$230:P$232),Q$231/SUM(Q$230:Q$232),R$231/SUM(R$230:R$232)),R$231/SUM(R$230:R$232))*(S$90-S$483)</f>
        <v>4.0364042729262746</v>
      </c>
      <c r="T231" s="171">
        <f ca="1">IF(T$6=OFFSET(Assumptions!$B$8,0,$C$1),AVERAGE(Q$231/SUM(Q$230:Q$232),R$231/SUM(R$230:R$232),S$231/SUM(S$230:S$232)),S$231/SUM(S$230:S$232))*(T$90-T$483)</f>
        <v>4.6598899286658124</v>
      </c>
    </row>
    <row r="232" spans="1:20">
      <c r="A232" s="167" t="s">
        <v>419</v>
      </c>
      <c r="B232" s="4" t="str">
        <f>$B$39</f>
        <v>From Fiscal Forecasts</v>
      </c>
      <c r="D232" s="175">
        <f>'Fiscal Forecasts'!D$267</f>
        <v>-0.55400000000000005</v>
      </c>
      <c r="E232" s="175">
        <f>'Fiscal Forecasts'!E$267</f>
        <v>-0.53900000000000003</v>
      </c>
      <c r="F232" s="176">
        <f>'Fiscal Forecasts'!F$267</f>
        <v>-0.35899999999999999</v>
      </c>
      <c r="G232" s="176">
        <f>'Fiscal Forecasts'!G$267</f>
        <v>-0.36099999999999999</v>
      </c>
      <c r="H232" s="176">
        <f>'Fiscal Forecasts'!H$267</f>
        <v>-0.35699999999999998</v>
      </c>
      <c r="I232" s="176">
        <f>'Fiscal Forecasts'!I$267</f>
        <v>-0.36499999999999999</v>
      </c>
      <c r="J232" s="176">
        <f>'Fiscal Forecasts'!J$267</f>
        <v>-0.378</v>
      </c>
      <c r="K232" s="171">
        <f ca="1">IF(K$6=OFFSET(Assumptions!$B$8,0,$C$1),AVERAGE(H$232/SUM(H$230:H$232),I$232/SUM(I$230:I$232),J$232/SUM(J$230:J$232)),J$232/SUM(J$230:J$232))*(K$90-K$483)</f>
        <v>-0.36412915430113435</v>
      </c>
      <c r="L232" s="171">
        <f ca="1">IF(L$6=OFFSET(Assumptions!$B$8,0,$C$1),AVERAGE(I$232/SUM(I$230:I$232),J$232/SUM(J$230:J$232),K$232/SUM(K$230:K$232)),K$232/SUM(K$230:K$232))*(L$90-L$483)</f>
        <v>-0.48909907896264798</v>
      </c>
      <c r="M232" s="171">
        <f ca="1">IF(M$6=OFFSET(Assumptions!$B$8,0,$C$1),AVERAGE(J$232/SUM(J$230:J$232),K$232/SUM(K$230:K$232),L$232/SUM(L$230:L$232)),L$232/SUM(L$230:L$232))*(M$90-M$483)</f>
        <v>-0.63705778108418687</v>
      </c>
      <c r="N232" s="171">
        <f ca="1">IF(N$6=OFFSET(Assumptions!$B$8,0,$C$1),AVERAGE(K$232/SUM(K$230:K$232),L$232/SUM(L$230:L$232),M$232/SUM(M$230:M$232)),M$232/SUM(M$230:M$232))*(N$90-N$483)</f>
        <v>-0.80328830755004177</v>
      </c>
      <c r="O232" s="171">
        <f ca="1">IF(O$6=OFFSET(Assumptions!$B$8,0,$C$1),AVERAGE(L$232/SUM(L$230:L$232),M$232/SUM(M$230:M$232),N$232/SUM(N$230:N$232)),N$232/SUM(N$230:N$232))*(O$90-O$483)</f>
        <v>-0.98892977697458018</v>
      </c>
      <c r="P232" s="171">
        <f ca="1">IF(P$6=OFFSET(Assumptions!$B$8,0,$C$1),AVERAGE(M$232/SUM(M$230:M$232),N$232/SUM(N$230:N$232),O$232/SUM(O$230:O$232)),O$232/SUM(O$230:O$232))*(P$90-P$483)</f>
        <v>-1.1940684883641572</v>
      </c>
      <c r="Q232" s="171">
        <f ca="1">IF(Q$6=OFFSET(Assumptions!$B$8,0,$C$1),AVERAGE(N$232/SUM(N$230:N$232),O$232/SUM(O$230:O$232),P$232/SUM(P$230:P$232)),P$232/SUM(P$230:P$232))*(Q$90-Q$483)</f>
        <v>-1.4199403897341472</v>
      </c>
      <c r="R232" s="171">
        <f ca="1">IF(R$6=OFFSET(Assumptions!$B$8,0,$C$1),AVERAGE(O$232/SUM(O$230:O$232),P$232/SUM(P$230:P$232),Q$232/SUM(Q$230:Q$232)),Q$232/SUM(Q$230:Q$232))*(R$90-R$483)</f>
        <v>-1.66844207745294</v>
      </c>
      <c r="S232" s="171">
        <f ca="1">IF(S$6=OFFSET(Assumptions!$B$8,0,$C$1),AVERAGE(P$232/SUM(P$230:P$232),Q$232/SUM(Q$230:Q$232),R$232/SUM(R$230:R$232)),R$232/SUM(R$230:R$232))*(S$90-S$483)</f>
        <v>-1.9415065510361016</v>
      </c>
      <c r="T232" s="171">
        <f ca="1">IF(T$6=OFFSET(Assumptions!$B$8,0,$C$1),AVERAGE(Q$232/SUM(Q$230:Q$232),R$232/SUM(R$230:R$232),S$232/SUM(S$230:S$232)),S$232/SUM(S$230:S$232))*(T$90-T$483)</f>
        <v>-2.2414025483757771</v>
      </c>
    </row>
    <row r="233" spans="1:20" ht="15">
      <c r="A233" s="168" t="s">
        <v>423</v>
      </c>
      <c r="D233" s="138">
        <f t="shared" ref="D233:T233" si="123">SUM(D$229:D$232)</f>
        <v>4.298</v>
      </c>
      <c r="E233" s="138">
        <f t="shared" si="123"/>
        <v>3.754</v>
      </c>
      <c r="F233" s="137">
        <f t="shared" si="123"/>
        <v>2.5270000000000001</v>
      </c>
      <c r="G233" s="137">
        <f t="shared" si="123"/>
        <v>2.351</v>
      </c>
      <c r="H233" s="137">
        <f t="shared" si="123"/>
        <v>2.67</v>
      </c>
      <c r="I233" s="137">
        <f t="shared" si="123"/>
        <v>3.2789999999999999</v>
      </c>
      <c r="J233" s="137">
        <f t="shared" si="123"/>
        <v>3.8259999999999996</v>
      </c>
      <c r="K233" s="140">
        <f t="shared" ca="1" si="123"/>
        <v>4.2133804932667953</v>
      </c>
      <c r="L233" s="140">
        <f t="shared" ca="1" si="123"/>
        <v>5.0413113168819539</v>
      </c>
      <c r="M233" s="140">
        <f t="shared" ca="1" si="123"/>
        <v>6.0027663312128441</v>
      </c>
      <c r="N233" s="140">
        <f t="shared" ca="1" si="123"/>
        <v>7.0138631919249308</v>
      </c>
      <c r="O233" s="140">
        <f t="shared" ca="1" si="123"/>
        <v>8.0620204475280275</v>
      </c>
      <c r="P233" s="140">
        <f t="shared" ca="1" si="123"/>
        <v>9.140072752649834</v>
      </c>
      <c r="Q233" s="140">
        <f t="shared" ca="1" si="123"/>
        <v>10.249768882285347</v>
      </c>
      <c r="R233" s="140">
        <f t="shared" ca="1" si="123"/>
        <v>11.389923315893837</v>
      </c>
      <c r="S233" s="140">
        <f t="shared" ca="1" si="123"/>
        <v>12.557258485914957</v>
      </c>
      <c r="T233" s="140">
        <f t="shared" ca="1" si="123"/>
        <v>13.747887863138621</v>
      </c>
    </row>
    <row r="234" spans="1:20">
      <c r="A234" s="4" t="s">
        <v>424</v>
      </c>
      <c r="D234" s="50"/>
      <c r="E234" s="50">
        <f t="shared" ref="E234:J234" si="124">E$229/AVERAGE(D$70,E$70)</f>
        <v>2.9526235633629543E-2</v>
      </c>
      <c r="F234" s="147">
        <f t="shared" si="124"/>
        <v>1.4749992501274784E-2</v>
      </c>
      <c r="G234" s="147">
        <f t="shared" si="124"/>
        <v>1.0633171337052005E-2</v>
      </c>
      <c r="H234" s="147">
        <f t="shared" si="124"/>
        <v>9.6502191074338342E-3</v>
      </c>
      <c r="I234" s="147">
        <f t="shared" si="124"/>
        <v>1.1439550260012058E-2</v>
      </c>
      <c r="J234" s="147">
        <f t="shared" si="124"/>
        <v>1.3844494653985235E-2</v>
      </c>
      <c r="K234" s="135">
        <f ca="1">J$234+MIN(OFFSET(Assumptions!$B$24,0,$C$1),ABS(K$31-J$234))*SIGN(K$31-J$234)</f>
        <v>1.6344494653985235E-2</v>
      </c>
      <c r="L234" s="135">
        <f ca="1">K$234+MIN(OFFSET(Assumptions!$B$24,0,$C$1),ABS(L$31-K$234))*SIGN(L$31-K$234)</f>
        <v>1.8844494653985234E-2</v>
      </c>
      <c r="M234" s="135">
        <f ca="1">L$234+MIN(OFFSET(Assumptions!$B$24,0,$C$1),ABS(M$31-L$234))*SIGN(M$31-L$234)</f>
        <v>2.1344494653985233E-2</v>
      </c>
      <c r="N234" s="135">
        <f ca="1">M$234+MIN(OFFSET(Assumptions!$B$24,0,$C$1),ABS(N$31-M$234))*SIGN(N$31-M$234)</f>
        <v>2.3844494653985231E-2</v>
      </c>
      <c r="O234" s="135">
        <f ca="1">N$234+MIN(OFFSET(Assumptions!$B$24,0,$C$1),ABS(O$31-N$234))*SIGN(O$31-N$234)</f>
        <v>2.634449465398523E-2</v>
      </c>
      <c r="P234" s="135">
        <f ca="1">O$234+MIN(OFFSET(Assumptions!$B$24,0,$C$1),ABS(P$31-O$234))*SIGN(P$31-O$234)</f>
        <v>2.8844494653985229E-2</v>
      </c>
      <c r="Q234" s="135">
        <f ca="1">P$234+MIN(OFFSET(Assumptions!$B$24,0,$C$1),ABS(Q$31-P$234))*SIGN(Q$31-P$234)</f>
        <v>3.1344494653985228E-2</v>
      </c>
      <c r="R234" s="135">
        <f ca="1">Q$234+MIN(OFFSET(Assumptions!$B$24,0,$C$1),ABS(R$31-Q$234))*SIGN(R$31-Q$234)</f>
        <v>3.384449465398523E-2</v>
      </c>
      <c r="S234" s="135">
        <f ca="1">R$234+MIN(OFFSET(Assumptions!$B$24,0,$C$1),ABS(S$31-R$234))*SIGN(S$31-R$234)</f>
        <v>3.6344494653985232E-2</v>
      </c>
      <c r="T234" s="135">
        <f ca="1">S$234+MIN(OFFSET(Assumptions!$B$24,0,$C$1),ABS(T$31-S$234))*SIGN(T$31-S$234)</f>
        <v>3.8844494653985234E-2</v>
      </c>
    </row>
    <row r="235" spans="1:20">
      <c r="A235" s="4"/>
      <c r="D235" s="50"/>
      <c r="E235" s="50"/>
      <c r="F235" s="147"/>
      <c r="G235" s="147"/>
      <c r="H235" s="147"/>
      <c r="I235" s="147"/>
      <c r="J235" s="147"/>
      <c r="K235" s="147"/>
      <c r="L235" s="147"/>
      <c r="M235" s="147"/>
      <c r="N235" s="147"/>
      <c r="O235" s="147"/>
      <c r="P235" s="147"/>
      <c r="Q235" s="147"/>
      <c r="R235" s="147"/>
      <c r="S235" s="147"/>
      <c r="T235" s="147"/>
    </row>
    <row r="236" spans="1:20">
      <c r="A236" s="18" t="s">
        <v>137</v>
      </c>
    </row>
    <row r="237" spans="1:20">
      <c r="A237" s="167" t="s">
        <v>279</v>
      </c>
      <c r="B237" s="4" t="str">
        <f>$B$39</f>
        <v>From Fiscal Forecasts</v>
      </c>
      <c r="D237" s="175">
        <f>'Fiscal Forecasts'!D$165</f>
        <v>0</v>
      </c>
      <c r="E237" s="175">
        <f>'Fiscal Forecasts'!E$165</f>
        <v>0</v>
      </c>
      <c r="F237" s="176">
        <f>'Fiscal Forecasts'!F$165</f>
        <v>3.0000000000000001E-3</v>
      </c>
      <c r="G237" s="176">
        <f>'Fiscal Forecasts'!G$165</f>
        <v>2E-3</v>
      </c>
      <c r="H237" s="176">
        <f>'Fiscal Forecasts'!H$165</f>
        <v>2E-3</v>
      </c>
      <c r="I237" s="176">
        <f>'Fiscal Forecasts'!I$165</f>
        <v>2E-3</v>
      </c>
      <c r="J237" s="176">
        <f>'Fiscal Forecasts'!J$165</f>
        <v>2E-3</v>
      </c>
      <c r="K237" s="171">
        <f ca="1">IF(K$6=OFFSET(Assumptions!$B$8,0,$C$1),0,J$237)</f>
        <v>0</v>
      </c>
      <c r="L237" s="171">
        <f ca="1">IF(L$6=OFFSET(Assumptions!$B$8,0,$C$1),0,K$237)</f>
        <v>0</v>
      </c>
      <c r="M237" s="171">
        <f ca="1">IF(M$6=OFFSET(Assumptions!$B$8,0,$C$1),0,L$237)</f>
        <v>0</v>
      </c>
      <c r="N237" s="171">
        <f ca="1">IF(N$6=OFFSET(Assumptions!$B$8,0,$C$1),0,M$237)</f>
        <v>0</v>
      </c>
      <c r="O237" s="171">
        <f ca="1">IF(O$6=OFFSET(Assumptions!$B$8,0,$C$1),0,N$237)</f>
        <v>0</v>
      </c>
      <c r="P237" s="171">
        <f ca="1">IF(P$6=OFFSET(Assumptions!$B$8,0,$C$1),0,O$237)</f>
        <v>0</v>
      </c>
      <c r="Q237" s="171">
        <f ca="1">IF(Q$6=OFFSET(Assumptions!$B$8,0,$C$1),0,P$237)</f>
        <v>0</v>
      </c>
      <c r="R237" s="171">
        <f ca="1">IF(R$6=OFFSET(Assumptions!$B$8,0,$C$1),0,Q$237)</f>
        <v>0</v>
      </c>
      <c r="S237" s="171">
        <f ca="1">IF(S$6=OFFSET(Assumptions!$B$8,0,$C$1),0,R$237)</f>
        <v>0</v>
      </c>
      <c r="T237" s="171">
        <f ca="1">IF(T$6=OFFSET(Assumptions!$B$8,0,$C$1),0,S$237)</f>
        <v>0</v>
      </c>
    </row>
    <row r="238" spans="1:20">
      <c r="A238" s="167" t="s">
        <v>256</v>
      </c>
      <c r="B238" s="4" t="str">
        <f>$B$39</f>
        <v>From Fiscal Forecasts</v>
      </c>
      <c r="D238" s="175">
        <f>'Fiscal Forecasts'!D$194</f>
        <v>5.8070000000000004</v>
      </c>
      <c r="E238" s="175">
        <f>'Fiscal Forecasts'!E$194</f>
        <v>6.8959999999999999</v>
      </c>
      <c r="F238" s="176">
        <f>'Fiscal Forecasts'!F$194</f>
        <v>6.5759999999999996</v>
      </c>
      <c r="G238" s="176">
        <f>'Fiscal Forecasts'!G$194</f>
        <v>6.53</v>
      </c>
      <c r="H238" s="176">
        <f>'Fiscal Forecasts'!H$194</f>
        <v>6.9749999999999996</v>
      </c>
      <c r="I238" s="176">
        <f>'Fiscal Forecasts'!I$194</f>
        <v>7.4130000000000003</v>
      </c>
      <c r="J238" s="176">
        <f>'Fiscal Forecasts'!J$194</f>
        <v>7.8949999999999996</v>
      </c>
      <c r="K238" s="171">
        <f ca="1">IF(K$6=OFFSET(Assumptions!$B$8,0,$C$1),AVERAGE(H$238/SUM(H$241:H$242),I$238/SUM(I$241:I$242),J$238/SUM(J$241:J$242)),J$238/SUM(J$241:J$242))*SUM(K$241:K$242)</f>
        <v>8.2776024057049344</v>
      </c>
      <c r="L238" s="171">
        <f ca="1">IF(L$6=OFFSET(Assumptions!$B$8,0,$C$1),AVERAGE(I$238/SUM(I$241:I$242),J$238/SUM(J$241:J$242),K$238/SUM(K$241:K$242)),K$238/SUM(K$241:K$242))*SUM(L$241:L$242)</f>
        <v>8.6802367901361759</v>
      </c>
      <c r="M238" s="171">
        <f ca="1">IF(M$6=OFFSET(Assumptions!$B$8,0,$C$1),AVERAGE(J$238/SUM(J$241:J$242),K$238/SUM(K$241:K$242),L$238/SUM(L$241:L$242)),L$238/SUM(L$241:L$242))*SUM(M$241:M$242)</f>
        <v>9.0994236376784734</v>
      </c>
      <c r="N238" s="171">
        <f ca="1">IF(N$6=OFFSET(Assumptions!$B$8,0,$C$1),AVERAGE(K$238/SUM(K$241:K$242),L$238/SUM(L$241:L$242),M$238/SUM(M$241:M$242)),M$238/SUM(M$241:M$242))*SUM(N$241:N$242)</f>
        <v>9.528701108758181</v>
      </c>
      <c r="O238" s="171">
        <f ca="1">IF(O$6=OFFSET(Assumptions!$B$8,0,$C$1),AVERAGE(L$238/SUM(L$241:L$242),M$238/SUM(M$241:M$242),N$238/SUM(N$241:N$242)),N$238/SUM(N$241:N$242))*SUM(O$241:O$242)</f>
        <v>9.9579239102712478</v>
      </c>
      <c r="P238" s="171">
        <f ca="1">IF(P$6=OFFSET(Assumptions!$B$8,0,$C$1),AVERAGE(M$238/SUM(M$241:M$242),N$238/SUM(N$241:N$242),O$238/SUM(O$241:O$242)),O$238/SUM(O$241:O$242))*SUM(P$241:P$242)</f>
        <v>10.411714721517139</v>
      </c>
      <c r="Q238" s="171">
        <f ca="1">IF(Q$6=OFFSET(Assumptions!$B$8,0,$C$1),AVERAGE(N$238/SUM(N$241:N$242),O$238/SUM(O$241:O$242),P$238/SUM(P$241:P$242)),P$238/SUM(P$241:P$242))*SUM(Q$241:Q$242)</f>
        <v>10.879843840726124</v>
      </c>
      <c r="R238" s="171">
        <f ca="1">IF(R$6=OFFSET(Assumptions!$B$8,0,$C$1),AVERAGE(O$238/SUM(O$241:O$242),P$238/SUM(P$241:P$242),Q$238/SUM(Q$241:Q$242)),Q$238/SUM(Q$241:Q$242))*SUM(R$241:R$242)</f>
        <v>11.368768299070391</v>
      </c>
      <c r="S238" s="171">
        <f ca="1">IF(S$6=OFFSET(Assumptions!$B$8,0,$C$1),AVERAGE(P$238/SUM(P$241:P$242),Q$238/SUM(Q$241:Q$242),R$238/SUM(R$241:R$242)),R$238/SUM(R$241:R$242))*SUM(S$241:S$242)</f>
        <v>11.871188709462187</v>
      </c>
      <c r="T238" s="171">
        <f ca="1">IF(T$6=OFFSET(Assumptions!$B$8,0,$C$1),AVERAGE(Q$238/SUM(Q$241:Q$242),R$238/SUM(R$241:R$242),S$238/SUM(S$241:S$242)),S$238/SUM(S$241:S$242))*SUM(T$241:T$242)</f>
        <v>12.376278478924451</v>
      </c>
    </row>
    <row r="239" spans="1:20">
      <c r="A239" s="167" t="s">
        <v>992</v>
      </c>
      <c r="B239" s="4" t="str">
        <f>$B$39</f>
        <v>From Fiscal Forecasts</v>
      </c>
      <c r="D239" s="175">
        <f>'Fiscal Forecasts'!D$195</f>
        <v>5.0000000000000001E-3</v>
      </c>
      <c r="E239" s="175">
        <f>'Fiscal Forecasts'!E$195</f>
        <v>7.0000000000000001E-3</v>
      </c>
      <c r="F239" s="176">
        <f>'Fiscal Forecasts'!F$195</f>
        <v>6.0000000000000001E-3</v>
      </c>
      <c r="G239" s="176">
        <f>'Fiscal Forecasts'!G$195</f>
        <v>6.0000000000000001E-3</v>
      </c>
      <c r="H239" s="176">
        <f>'Fiscal Forecasts'!H$195</f>
        <v>7.0000000000000001E-3</v>
      </c>
      <c r="I239" s="176">
        <f>'Fiscal Forecasts'!I$195</f>
        <v>7.0000000000000001E-3</v>
      </c>
      <c r="J239" s="176">
        <f>'Fiscal Forecasts'!J$195</f>
        <v>7.0000000000000001E-3</v>
      </c>
      <c r="K239" s="171">
        <f ca="1">SUM(K$241:K242,-K$238)</f>
        <v>1.0055511812613105E-2</v>
      </c>
      <c r="L239" s="171">
        <f ca="1">SUM(L$241:L242,-L$238)</f>
        <v>1.0544626245799549E-2</v>
      </c>
      <c r="M239" s="171">
        <f ca="1">SUM(M$241:M242,-M$238)</f>
        <v>1.1053848372034381E-2</v>
      </c>
      <c r="N239" s="171">
        <f ca="1">SUM(N$241:N242,-N$238)</f>
        <v>1.1575328441958632E-2</v>
      </c>
      <c r="O239" s="171">
        <f ca="1">SUM(O$241:O242,-O$238)</f>
        <v>1.209674210008238E-2</v>
      </c>
      <c r="P239" s="171">
        <f ca="1">SUM(P$241:P242,-P$238)</f>
        <v>1.2648000621485522E-2</v>
      </c>
      <c r="Q239" s="171">
        <f ca="1">SUM(Q$241:Q242,-Q$238)</f>
        <v>1.3216677112252384E-2</v>
      </c>
      <c r="R239" s="171">
        <f ca="1">SUM(R$241:R242,-R$238)</f>
        <v>1.381061548056195E-2</v>
      </c>
      <c r="S239" s="171">
        <f ca="1">SUM(S$241:S242,-S$238)</f>
        <v>1.4420948536438161E-2</v>
      </c>
      <c r="T239" s="171">
        <f ca="1">SUM(T$241:T242,-T$238)</f>
        <v>1.5034524291145601E-2</v>
      </c>
    </row>
    <row r="240" spans="1:20" ht="15">
      <c r="A240" s="168" t="s">
        <v>425</v>
      </c>
      <c r="D240" s="138">
        <f t="shared" ref="D240:T240" si="125">SUM(D$237:D$239)</f>
        <v>5.8120000000000003</v>
      </c>
      <c r="E240" s="138">
        <f t="shared" si="125"/>
        <v>6.9029999999999996</v>
      </c>
      <c r="F240" s="137">
        <f t="shared" si="125"/>
        <v>6.585</v>
      </c>
      <c r="G240" s="137">
        <f t="shared" si="125"/>
        <v>6.5380000000000003</v>
      </c>
      <c r="H240" s="137">
        <f t="shared" si="125"/>
        <v>6.9839999999999991</v>
      </c>
      <c r="I240" s="137">
        <f t="shared" si="125"/>
        <v>7.4219999999999997</v>
      </c>
      <c r="J240" s="137">
        <f t="shared" si="125"/>
        <v>7.903999999999999</v>
      </c>
      <c r="K240" s="140">
        <f t="shared" ca="1" si="125"/>
        <v>8.2876579175175475</v>
      </c>
      <c r="L240" s="140">
        <f t="shared" ca="1" si="125"/>
        <v>8.6907814163819754</v>
      </c>
      <c r="M240" s="140">
        <f t="shared" ca="1" si="125"/>
        <v>9.1104774860505078</v>
      </c>
      <c r="N240" s="140">
        <f t="shared" ca="1" si="125"/>
        <v>9.5402764372001396</v>
      </c>
      <c r="O240" s="140">
        <f t="shared" ca="1" si="125"/>
        <v>9.9700206523713302</v>
      </c>
      <c r="P240" s="140">
        <f t="shared" ca="1" si="125"/>
        <v>10.424362722138625</v>
      </c>
      <c r="Q240" s="140">
        <f t="shared" ca="1" si="125"/>
        <v>10.893060517838377</v>
      </c>
      <c r="R240" s="140">
        <f t="shared" ca="1" si="125"/>
        <v>11.382578914550953</v>
      </c>
      <c r="S240" s="140">
        <f t="shared" ca="1" si="125"/>
        <v>11.885609657998625</v>
      </c>
      <c r="T240" s="140">
        <f t="shared" ca="1" si="125"/>
        <v>12.391313003215597</v>
      </c>
    </row>
    <row r="241" spans="1:20">
      <c r="A241" s="167" t="s">
        <v>426</v>
      </c>
      <c r="B241" s="4" t="str">
        <f>$B$39</f>
        <v>From Fiscal Forecasts</v>
      </c>
      <c r="D241" s="175">
        <f>'Fiscal Forecasts'!D$270</f>
        <v>5.3620000000000001</v>
      </c>
      <c r="E241" s="175">
        <f>'Fiscal Forecasts'!E$270</f>
        <v>6.2460000000000004</v>
      </c>
      <c r="F241" s="176">
        <f>'Fiscal Forecasts'!F$270</f>
        <v>6.282</v>
      </c>
      <c r="G241" s="176">
        <f>'Fiscal Forecasts'!G$270</f>
        <v>6.3129999999999997</v>
      </c>
      <c r="H241" s="176">
        <f>'Fiscal Forecasts'!H$270</f>
        <v>6.726</v>
      </c>
      <c r="I241" s="176">
        <f>'Fiscal Forecasts'!I$270</f>
        <v>7.1379999999999999</v>
      </c>
      <c r="J241" s="176">
        <f>'Fiscal Forecasts'!J$270</f>
        <v>7.5960000000000001</v>
      </c>
      <c r="K241" s="171">
        <f>J$241*Exogenous!V$25/Exogenous!U$25</f>
        <v>7.9759415754458756</v>
      </c>
      <c r="L241" s="171">
        <f>K$241*Exogenous!W$25/Exogenous!V$25</f>
        <v>8.3657583261352428</v>
      </c>
      <c r="M241" s="171">
        <f>L$241*Exogenous!X$25/Exogenous!W$25</f>
        <v>8.7719984071179926</v>
      </c>
      <c r="N241" s="171">
        <f>M$241*Exogenous!Y$25/Exogenous!X$25</f>
        <v>9.1877068484707802</v>
      </c>
      <c r="O241" s="171">
        <f>N$241*Exogenous!Z$25/Exogenous!Y$25</f>
        <v>9.6030553704232595</v>
      </c>
      <c r="P241" s="171">
        <f>O$241*Exogenous!AA$25/Exogenous!Z$25</f>
        <v>10.042698237012432</v>
      </c>
      <c r="Q241" s="171">
        <f>P$241*Exogenous!AB$25/Exogenous!AA$25</f>
        <v>10.496394401231774</v>
      </c>
      <c r="R241" s="171">
        <f>Q$241*Exogenous!AC$25/Exogenous!AB$25</f>
        <v>10.970649144477077</v>
      </c>
      <c r="S241" s="171">
        <f>R$241*Exogenous!AD$25/Exogenous!AC$25</f>
        <v>11.45816638979567</v>
      </c>
      <c r="T241" s="171">
        <f>S$241*Exogenous!AE$25/Exogenous!AD$25</f>
        <v>11.947896289464925</v>
      </c>
    </row>
    <row r="242" spans="1:20">
      <c r="A242" s="167" t="s">
        <v>427</v>
      </c>
      <c r="B242" s="4" t="str">
        <f>$B$39</f>
        <v>From Fiscal Forecasts</v>
      </c>
      <c r="D242" s="175">
        <f>SUM('Fiscal Forecasts'!D$271:D$272)</f>
        <v>0.44999999999999996</v>
      </c>
      <c r="E242" s="175">
        <f>SUM('Fiscal Forecasts'!E$271:E$272)</f>
        <v>0.65700000000000003</v>
      </c>
      <c r="F242" s="176">
        <f>SUM('Fiscal Forecasts'!F$271:F$272)</f>
        <v>0.30299999999999999</v>
      </c>
      <c r="G242" s="176">
        <f>SUM('Fiscal Forecasts'!G$271:G$272)</f>
        <v>0.22500000000000001</v>
      </c>
      <c r="H242" s="176">
        <f>SUM('Fiscal Forecasts'!H$271:H$272)</f>
        <v>0.25800000000000001</v>
      </c>
      <c r="I242" s="176">
        <f>SUM('Fiscal Forecasts'!I$271:I$272)</f>
        <v>0.28400000000000003</v>
      </c>
      <c r="J242" s="176">
        <f>SUM('Fiscal Forecasts'!J$271:J$272)</f>
        <v>0.308</v>
      </c>
      <c r="K242" s="171">
        <f ca="1">IF(K$6=OFFSET(Assumptions!$B$8,0,$C$1),AVERAGE(H$242/H$13,I$242/I$13,J$242/J$13),J$242/J$13)*K$13</f>
        <v>0.31171634207167231</v>
      </c>
      <c r="L242" s="171">
        <f ca="1">IF(L$6=OFFSET(Assumptions!$B$8,0,$C$1),AVERAGE(I$242/I$13,J$242/J$13,K$242/K$13),K$242/K$13)*L$13</f>
        <v>0.32502309024673326</v>
      </c>
      <c r="M242" s="171">
        <f ca="1">IF(M$6=OFFSET(Assumptions!$B$8,0,$C$1),AVERAGE(J$242/J$13,K$242/K$13,L$242/L$13),L$242/L$13)*M$13</f>
        <v>0.33847907893251561</v>
      </c>
      <c r="N242" s="171">
        <f ca="1">IF(N$6=OFFSET(Assumptions!$B$8,0,$C$1),AVERAGE(K$242/K$13,L$242/L$13,M$242/M$13),M$242/M$13)*N$13</f>
        <v>0.35256958872936023</v>
      </c>
      <c r="O242" s="171">
        <f ca="1">IF(O$6=OFFSET(Assumptions!$B$8,0,$C$1),AVERAGE(L$242/L$13,M$242/M$13,N$242/N$13),N$242/N$13)*O$13</f>
        <v>0.36696528194807038</v>
      </c>
      <c r="P242" s="171">
        <f ca="1">IF(P$6=OFFSET(Assumptions!$B$8,0,$C$1),AVERAGE(M$242/M$13,N$242/N$13,O$242/O$13),O$242/O$13)*P$13</f>
        <v>0.38166448512619172</v>
      </c>
      <c r="Q242" s="171">
        <f ca="1">IF(Q$6=OFFSET(Assumptions!$B$8,0,$C$1),AVERAGE(N$242/N$13,O$242/O$13,P$242/P$13),P$242/P$13)*Q$13</f>
        <v>0.39666611660660345</v>
      </c>
      <c r="R242" s="171">
        <f ca="1">IF(R$6=OFFSET(Assumptions!$B$8,0,$C$1),AVERAGE(O$242/O$13,P$242/P$13,Q$242/Q$13),Q$242/Q$13)*R$13</f>
        <v>0.41192977007387527</v>
      </c>
      <c r="S242" s="171">
        <f ca="1">IF(S$6=OFFSET(Assumptions!$B$8,0,$C$1),AVERAGE(P$242/P$13,Q$242/Q$13,R$242/R$13),R$242/R$13)*S$13</f>
        <v>0.42744326820295464</v>
      </c>
      <c r="T242" s="171">
        <f ca="1">IF(T$6=OFFSET(Assumptions!$B$8,0,$C$1),AVERAGE(Q$242/Q$13,R$242/R$13,S$242/S$13),S$242/S$13)*T$13</f>
        <v>0.4434167137506711</v>
      </c>
    </row>
    <row r="243" spans="1:20">
      <c r="B243" s="4"/>
      <c r="D243" s="176"/>
      <c r="E243" s="176"/>
      <c r="F243" s="176"/>
      <c r="G243" s="176"/>
      <c r="H243" s="171"/>
      <c r="I243" s="171"/>
      <c r="J243" s="171"/>
      <c r="K243" s="171"/>
      <c r="L243" s="171"/>
      <c r="M243" s="171"/>
      <c r="N243" s="171"/>
      <c r="O243" s="171"/>
      <c r="P243" s="171"/>
      <c r="Q243" s="171"/>
      <c r="R243" s="171"/>
      <c r="S243" s="171"/>
      <c r="T243" s="171"/>
    </row>
    <row r="244" spans="1:20">
      <c r="A244" s="18" t="s">
        <v>505</v>
      </c>
    </row>
    <row r="245" spans="1:20" ht="15">
      <c r="A245" s="168" t="s">
        <v>428</v>
      </c>
      <c r="B245" s="4"/>
      <c r="D245" s="142">
        <f>SUM($D$246:D$247)</f>
        <v>0</v>
      </c>
      <c r="E245" s="142">
        <f>SUM($D$246:E$247)</f>
        <v>0</v>
      </c>
      <c r="F245" s="141">
        <f>SUM($D$246:F$247)</f>
        <v>0.5</v>
      </c>
      <c r="G245" s="141">
        <f>SUM($D$246:G$247)</f>
        <v>4.2210000000000001</v>
      </c>
      <c r="H245" s="141">
        <f>SUM($D$246:H$247)</f>
        <v>5.2509999999999994</v>
      </c>
      <c r="I245" s="141">
        <f>SUM($D$246:I$247)</f>
        <v>7.8840000000000003</v>
      </c>
      <c r="J245" s="141">
        <f>SUM($D$246:J$247)</f>
        <v>10.558</v>
      </c>
      <c r="K245" s="134">
        <f ca="1">SUM($D$246:K$247)</f>
        <v>11.416</v>
      </c>
      <c r="L245" s="134">
        <f ca="1">SUM($D$246:L$247)</f>
        <v>13.456</v>
      </c>
      <c r="M245" s="134">
        <f ca="1">SUM($D$246:M$247)</f>
        <v>15.536799999999999</v>
      </c>
      <c r="N245" s="134">
        <f ca="1">SUM($D$246:N$247)</f>
        <v>17.659216000000001</v>
      </c>
      <c r="O245" s="134">
        <f ca="1">SUM($D$246:O$247)</f>
        <v>19.82408032</v>
      </c>
      <c r="P245" s="134">
        <f ca="1">SUM($D$246:P$247)</f>
        <v>22.032241926400001</v>
      </c>
      <c r="Q245" s="134">
        <f ca="1">SUM($D$246:Q$247)</f>
        <v>24.284566764928002</v>
      </c>
      <c r="R245" s="134">
        <f ca="1">SUM($D$246:R$247)</f>
        <v>26.581938100226562</v>
      </c>
      <c r="S245" s="134">
        <f ca="1">SUM($D$246:S$247)</f>
        <v>28.925256862231095</v>
      </c>
      <c r="T245" s="134">
        <f ca="1">SUM($D$246:T$247)</f>
        <v>31.31544199947572</v>
      </c>
    </row>
    <row r="246" spans="1:20">
      <c r="A246" s="167" t="s">
        <v>727</v>
      </c>
      <c r="B246" s="4" t="str">
        <f>$B$39</f>
        <v>From Fiscal Forecasts</v>
      </c>
      <c r="D246" s="175">
        <f>SUM('Fiscal Forecasts'!D$275,'Fiscal Forecasts'!D$277:D$280)-SUM('Fiscal Forecasts'!C$275,'Fiscal Forecasts'!C$277:C$280)</f>
        <v>0</v>
      </c>
      <c r="E246" s="175">
        <f>SUM('Fiscal Forecasts'!E$275,'Fiscal Forecasts'!E$277:E$280)-SUM('Fiscal Forecasts'!D$275,'Fiscal Forecasts'!D$277:D$280)</f>
        <v>0</v>
      </c>
      <c r="F246" s="176">
        <f>SUM('Fiscal Forecasts'!F$275,'Fiscal Forecasts'!F$277:F$280)-SUM('Fiscal Forecasts'!E$275,'Fiscal Forecasts'!E$277:E$280) +IF($C$2="Yes",'Fiscal Forecast Adjuster'!C$26/1000,0)</f>
        <v>0</v>
      </c>
      <c r="G246" s="176">
        <f>SUM('Fiscal Forecasts'!G$275,'Fiscal Forecasts'!G$277:G$280)-SUM('Fiscal Forecasts'!F$275,'Fiscal Forecasts'!F$277:F$280) +IF($C$2="Yes",'Fiscal Forecast Adjuster'!D$26/1000,0)</f>
        <v>3.0790000000000002</v>
      </c>
      <c r="H246" s="176">
        <f>SUM('Fiscal Forecasts'!H$275,'Fiscal Forecasts'!H$277:H$280)-SUM('Fiscal Forecasts'!G$275,'Fiscal Forecasts'!G$277:G$280) +IF($C$2="Yes",'Fiscal Forecast Adjuster'!E$26/1000,0)</f>
        <v>1.0299999999999998</v>
      </c>
      <c r="I246" s="176">
        <f>SUM('Fiscal Forecasts'!I$275,'Fiscal Forecasts'!I$277:I$280)-SUM('Fiscal Forecasts'!H$275,'Fiscal Forecasts'!H$277:H$280) +IF($C$2="Yes",'Fiscal Forecast Adjuster'!F$26/1000,0)</f>
        <v>2.633</v>
      </c>
      <c r="J246" s="176">
        <f>SUM('Fiscal Forecasts'!J$275,'Fiscal Forecasts'!J$277:J$280)-SUM('Fiscal Forecasts'!I$275,'Fiscal Forecasts'!I$277:I$280) +IF($C$2="Yes",'Fiscal Forecast Adjuster'!G$26/1000,0)</f>
        <v>2.6740000000000004</v>
      </c>
      <c r="K246" s="171">
        <f ca="1">IF(K$6=OFFSET(Assumptions!$B$8,0,$C$1),OFFSET(Assumptions!$B$60,0,$C$1),J$246*(1+OFFSET(Assumptions!$B$61,0,$C$1)))</f>
        <v>2</v>
      </c>
      <c r="L246" s="171">
        <f ca="1">IF(L$6=OFFSET(Assumptions!$B$8,0,$C$1),OFFSET(Assumptions!$B$60,0,$C$1),K$246*(1+OFFSET(Assumptions!$B$61,0,$C$1)))</f>
        <v>2.04</v>
      </c>
      <c r="M246" s="171">
        <f ca="1">IF(M$6=OFFSET(Assumptions!$B$8,0,$C$1),OFFSET(Assumptions!$B$60,0,$C$1),L$246*(1+OFFSET(Assumptions!$B$61,0,$C$1)))</f>
        <v>2.0808</v>
      </c>
      <c r="N246" s="171">
        <f ca="1">IF(N$6=OFFSET(Assumptions!$B$8,0,$C$1),OFFSET(Assumptions!$B$60,0,$C$1),M$246*(1+OFFSET(Assumptions!$B$61,0,$C$1)))</f>
        <v>2.1224159999999999</v>
      </c>
      <c r="O246" s="171">
        <f ca="1">IF(O$6=OFFSET(Assumptions!$B$8,0,$C$1),OFFSET(Assumptions!$B$60,0,$C$1),N$246*(1+OFFSET(Assumptions!$B$61,0,$C$1)))</f>
        <v>2.16486432</v>
      </c>
      <c r="P246" s="171">
        <f ca="1">IF(P$6=OFFSET(Assumptions!$B$8,0,$C$1),OFFSET(Assumptions!$B$60,0,$C$1),O$246*(1+OFFSET(Assumptions!$B$61,0,$C$1)))</f>
        <v>2.2081616064</v>
      </c>
      <c r="Q246" s="171">
        <f ca="1">IF(Q$6=OFFSET(Assumptions!$B$8,0,$C$1),OFFSET(Assumptions!$B$60,0,$C$1),P$246*(1+OFFSET(Assumptions!$B$61,0,$C$1)))</f>
        <v>2.2523248385280001</v>
      </c>
      <c r="R246" s="171">
        <f ca="1">IF(R$6=OFFSET(Assumptions!$B$8,0,$C$1),OFFSET(Assumptions!$B$60,0,$C$1),Q$246*(1+OFFSET(Assumptions!$B$61,0,$C$1)))</f>
        <v>2.2973713352985601</v>
      </c>
      <c r="S246" s="171">
        <f ca="1">IF(S$6=OFFSET(Assumptions!$B$8,0,$C$1),OFFSET(Assumptions!$B$60,0,$C$1),R$246*(1+OFFSET(Assumptions!$B$61,0,$C$1)))</f>
        <v>2.3433187620045315</v>
      </c>
      <c r="T246" s="171">
        <f ca="1">IF(T$6=OFFSET(Assumptions!$B$8,0,$C$1),OFFSET(Assumptions!$B$60,0,$C$1),S$246*(1+OFFSET(Assumptions!$B$61,0,$C$1)))</f>
        <v>2.3901851372446221</v>
      </c>
    </row>
    <row r="247" spans="1:20">
      <c r="A247" s="167" t="s">
        <v>1165</v>
      </c>
      <c r="B247" s="4" t="str">
        <f>$B$39</f>
        <v>From Fiscal Forecasts</v>
      </c>
      <c r="D247" s="175">
        <f>'Fiscal Forecasts'!D$276-'Fiscal Forecasts'!C$276</f>
        <v>0</v>
      </c>
      <c r="E247" s="175">
        <f>'Fiscal Forecasts'!E$276-'Fiscal Forecasts'!D$276</f>
        <v>0</v>
      </c>
      <c r="F247" s="176">
        <f>'Fiscal Forecasts'!F$276-'Fiscal Forecasts'!E$276</f>
        <v>0.5</v>
      </c>
      <c r="G247" s="176">
        <f>'Fiscal Forecasts'!G$276-'Fiscal Forecasts'!F$276</f>
        <v>0.6419999999999999</v>
      </c>
      <c r="H247" s="176">
        <f>'Fiscal Forecasts'!H$276-'Fiscal Forecasts'!G$276</f>
        <v>0</v>
      </c>
      <c r="I247" s="176">
        <f>'Fiscal Forecasts'!I$276-'Fiscal Forecasts'!H$276</f>
        <v>0</v>
      </c>
      <c r="J247" s="176">
        <f>'Fiscal Forecasts'!J$276-'Fiscal Forecasts'!I$276</f>
        <v>0</v>
      </c>
      <c r="K247" s="171">
        <f ca="1">IF(K$6=OFFSET(Assumptions!$B$8,0,$C$1),OFFSET(Assumptions!$B$62,0,$C$1),J$247*(1+OFFSET(Assumptions!$B$63,0,$C$1)))</f>
        <v>-1.1419999999999999</v>
      </c>
      <c r="L247" s="171">
        <f ca="1">IF(L$6=OFFSET(Assumptions!$B$8,0,$C$1),OFFSET(Assumptions!$B$62,0,$C$1),K$247*(1+OFFSET(Assumptions!$B$63,0,$C$1)))</f>
        <v>0</v>
      </c>
      <c r="M247" s="171">
        <f ca="1">IF(M$6=OFFSET(Assumptions!$B$8,0,$C$1),OFFSET(Assumptions!$B$62,0,$C$1),L$247*(1+OFFSET(Assumptions!$B$63,0,$C$1)))</f>
        <v>0</v>
      </c>
      <c r="N247" s="171">
        <f ca="1">IF(N$6=OFFSET(Assumptions!$B$8,0,$C$1),OFFSET(Assumptions!$B$62,0,$C$1),M$247*(1+OFFSET(Assumptions!$B$63,0,$C$1)))</f>
        <v>0</v>
      </c>
      <c r="O247" s="171">
        <f ca="1">IF(O$6=OFFSET(Assumptions!$B$8,0,$C$1),OFFSET(Assumptions!$B$62,0,$C$1),N$247*(1+OFFSET(Assumptions!$B$63,0,$C$1)))</f>
        <v>0</v>
      </c>
      <c r="P247" s="171">
        <f ca="1">IF(P$6=OFFSET(Assumptions!$B$8,0,$C$1),OFFSET(Assumptions!$B$62,0,$C$1),O$247*(1+OFFSET(Assumptions!$B$63,0,$C$1)))</f>
        <v>0</v>
      </c>
      <c r="Q247" s="171">
        <f ca="1">IF(Q$6=OFFSET(Assumptions!$B$8,0,$C$1),OFFSET(Assumptions!$B$62,0,$C$1),P$247*(1+OFFSET(Assumptions!$B$63,0,$C$1)))</f>
        <v>0</v>
      </c>
      <c r="R247" s="171">
        <f ca="1">IF(R$6=OFFSET(Assumptions!$B$8,0,$C$1),OFFSET(Assumptions!$B$62,0,$C$1),Q$247*(1+OFFSET(Assumptions!$B$63,0,$C$1)))</f>
        <v>0</v>
      </c>
      <c r="S247" s="171">
        <f ca="1">IF(S$6=OFFSET(Assumptions!$B$8,0,$C$1),OFFSET(Assumptions!$B$62,0,$C$1),R$247*(1+OFFSET(Assumptions!$B$63,0,$C$1)))</f>
        <v>0</v>
      </c>
      <c r="T247" s="171">
        <f ca="1">IF(T$6=OFFSET(Assumptions!$B$8,0,$C$1),OFFSET(Assumptions!$B$62,0,$C$1),S$247*(1+OFFSET(Assumptions!$B$63,0,$C$1)))</f>
        <v>0</v>
      </c>
    </row>
    <row r="248" spans="1:20" ht="15">
      <c r="A248" s="168" t="s">
        <v>139</v>
      </c>
      <c r="B248" s="4"/>
      <c r="D248" s="142">
        <f>SUM($D$249:D$249)</f>
        <v>0</v>
      </c>
      <c r="E248" s="142">
        <f>SUM($D$249:E$249)</f>
        <v>0</v>
      </c>
      <c r="F248" s="141">
        <f>SUM($D$249:F$249)</f>
        <v>-2.0249999999999999</v>
      </c>
      <c r="G248" s="141">
        <f>SUM($D$249:G$249)</f>
        <v>-2.7749999999999999</v>
      </c>
      <c r="H248" s="141">
        <f>SUM($D$249:H$249)</f>
        <v>-0.8</v>
      </c>
      <c r="I248" s="141">
        <f>SUM($D$249:I$249)</f>
        <v>-0.7</v>
      </c>
      <c r="J248" s="141">
        <f>SUM($D$249:J$249)</f>
        <v>-0.7</v>
      </c>
      <c r="K248" s="134">
        <f ca="1">SUM($D$249:K$249)</f>
        <v>-0.71399999999999997</v>
      </c>
      <c r="L248" s="134">
        <f ca="1">SUM($D$249:L$249)</f>
        <v>-0.72827999999999993</v>
      </c>
      <c r="M248" s="134">
        <f ca="1">SUM($D$249:M$249)</f>
        <v>-0.74284559999999988</v>
      </c>
      <c r="N248" s="134">
        <f ca="1">SUM($D$249:N$249)</f>
        <v>-0.75770251199999983</v>
      </c>
      <c r="O248" s="134">
        <f ca="1">SUM($D$249:O$249)</f>
        <v>-0.77285656223999988</v>
      </c>
      <c r="P248" s="134">
        <f ca="1">SUM($D$249:P$249)</f>
        <v>-0.78831369348479985</v>
      </c>
      <c r="Q248" s="134">
        <f ca="1">SUM($D$249:Q$249)</f>
        <v>-0.80407996735449583</v>
      </c>
      <c r="R248" s="134">
        <f ca="1">SUM($D$249:R$249)</f>
        <v>-0.8201615667015858</v>
      </c>
      <c r="S248" s="134">
        <f ca="1">SUM($D$249:S$249)</f>
        <v>-0.83656479803561756</v>
      </c>
      <c r="T248" s="134">
        <f ca="1">SUM($D$249:T$249)</f>
        <v>-0.85329609399632989</v>
      </c>
    </row>
    <row r="249" spans="1:20">
      <c r="A249" s="167" t="s">
        <v>728</v>
      </c>
      <c r="B249" s="4" t="str">
        <f>$B$39</f>
        <v>From Fiscal Forecasts</v>
      </c>
      <c r="D249" s="175">
        <f>'Fiscal Forecasts'!D$22-'Fiscal Forecasts'!C$22</f>
        <v>0</v>
      </c>
      <c r="E249" s="175">
        <f>'Fiscal Forecasts'!E$22-'Fiscal Forecasts'!D$22</f>
        <v>0</v>
      </c>
      <c r="F249" s="176">
        <f>'Fiscal Forecasts'!F$22-'Fiscal Forecasts'!E$22</f>
        <v>-2.0249999999999999</v>
      </c>
      <c r="G249" s="176">
        <f>'Fiscal Forecasts'!G$22-'Fiscal Forecasts'!F$22</f>
        <v>-0.75</v>
      </c>
      <c r="H249" s="176">
        <f>'Fiscal Forecasts'!H$22-'Fiscal Forecasts'!G$22</f>
        <v>1.9749999999999999</v>
      </c>
      <c r="I249" s="176">
        <f>'Fiscal Forecasts'!I$22-'Fiscal Forecasts'!H$22</f>
        <v>0.10000000000000009</v>
      </c>
      <c r="J249" s="176">
        <f>'Fiscal Forecasts'!J$22-'Fiscal Forecasts'!I$22</f>
        <v>0</v>
      </c>
      <c r="K249" s="171">
        <f ca="1">SUM($D$249:J$249)*OFFSET(Assumptions!$B$61,0,$C$1)</f>
        <v>-1.3999999999999999E-2</v>
      </c>
      <c r="L249" s="171">
        <f ca="1">SUM($D$249:K$249)*OFFSET(Assumptions!$B$61,0,$C$1)</f>
        <v>-1.4279999999999999E-2</v>
      </c>
      <c r="M249" s="171">
        <f ca="1">SUM($D$249:L$249)*OFFSET(Assumptions!$B$61,0,$C$1)</f>
        <v>-1.4565599999999998E-2</v>
      </c>
      <c r="N249" s="171">
        <f ca="1">SUM($D$249:M$249)*OFFSET(Assumptions!$B$61,0,$C$1)</f>
        <v>-1.4856911999999998E-2</v>
      </c>
      <c r="O249" s="171">
        <f ca="1">SUM($D$249:N$249)*OFFSET(Assumptions!$B$61,0,$C$1)</f>
        <v>-1.5154050239999996E-2</v>
      </c>
      <c r="P249" s="171">
        <f ca="1">SUM($D$249:O$249)*OFFSET(Assumptions!$B$61,0,$C$1)</f>
        <v>-1.5457131244799999E-2</v>
      </c>
      <c r="Q249" s="171">
        <f ca="1">SUM($D$249:P$249)*OFFSET(Assumptions!$B$61,0,$C$1)</f>
        <v>-1.5766273869695997E-2</v>
      </c>
      <c r="R249" s="171">
        <f ca="1">SUM($D$249:Q$249)*OFFSET(Assumptions!$B$61,0,$C$1)</f>
        <v>-1.6081599347089918E-2</v>
      </c>
      <c r="S249" s="171">
        <f ca="1">SUM($D$249:R$249)*OFFSET(Assumptions!$B$61,0,$C$1)</f>
        <v>-1.6403231334031716E-2</v>
      </c>
      <c r="T249" s="171">
        <f ca="1">SUM($D$249:S$249)*OFFSET(Assumptions!$B$61,0,$C$1)</f>
        <v>-1.673129596071235E-2</v>
      </c>
    </row>
    <row r="250" spans="1:20">
      <c r="B250" s="4"/>
      <c r="D250" s="175"/>
      <c r="E250" s="175"/>
      <c r="F250" s="176"/>
      <c r="G250" s="176"/>
      <c r="H250" s="176"/>
      <c r="I250" s="176"/>
      <c r="J250" s="176"/>
      <c r="K250" s="171"/>
      <c r="L250" s="171"/>
      <c r="M250" s="171"/>
      <c r="N250" s="171"/>
      <c r="O250" s="171"/>
      <c r="P250" s="171"/>
      <c r="Q250" s="171"/>
      <c r="R250" s="171"/>
      <c r="S250" s="171"/>
      <c r="T250" s="171"/>
    </row>
    <row r="251" spans="1:20">
      <c r="A251" s="18" t="s">
        <v>506</v>
      </c>
    </row>
    <row r="252" spans="1:20" ht="15">
      <c r="A252" s="168" t="s">
        <v>507</v>
      </c>
      <c r="B252" s="4" t="str">
        <f>$B$39</f>
        <v>From Fiscal Forecasts</v>
      </c>
      <c r="D252" s="142">
        <f>'Fiscal Forecasts'!D$66</f>
        <v>6.6000000000000003E-2</v>
      </c>
      <c r="E252" s="142">
        <f>'Fiscal Forecasts'!E$66</f>
        <v>7.2999999999999995E-2</v>
      </c>
      <c r="F252" s="141">
        <f>'Fiscal Forecasts'!F$66</f>
        <v>7.3999999999999996E-2</v>
      </c>
      <c r="G252" s="141">
        <f>'Fiscal Forecasts'!G$66</f>
        <v>7.0999999999999994E-2</v>
      </c>
      <c r="H252" s="141">
        <f>'Fiscal Forecasts'!H$66</f>
        <v>6.5000000000000002E-2</v>
      </c>
      <c r="I252" s="141">
        <f>'Fiscal Forecasts'!I$66</f>
        <v>6.0999999999999999E-2</v>
      </c>
      <c r="J252" s="141">
        <f>'Fiscal Forecasts'!J$66</f>
        <v>5.7000000000000002E-2</v>
      </c>
      <c r="K252" s="134">
        <f>J$252*Exogenous!V$32/Exogenous!U$32</f>
        <v>5.7277372262773726E-2</v>
      </c>
      <c r="L252" s="134">
        <f>K$252*Exogenous!W$32/Exogenous!V$32</f>
        <v>5.7416058394160585E-2</v>
      </c>
      <c r="M252" s="134">
        <f>L$252*Exogenous!X$32/Exogenous!W$32</f>
        <v>5.6722627737226278E-2</v>
      </c>
      <c r="N252" s="134">
        <f>M$252*Exogenous!Y$32/Exogenous!X$32</f>
        <v>5.4503649635036504E-2</v>
      </c>
      <c r="O252" s="134">
        <f>N$252*Exogenous!Z$32/Exogenous!Y$32</f>
        <v>5.2423357664233582E-2</v>
      </c>
      <c r="P252" s="134">
        <f>O$252*Exogenous!AA$32/Exogenous!Z$32</f>
        <v>5.0065693430656935E-2</v>
      </c>
      <c r="Q252" s="134">
        <f>P$252*Exogenous!AB$32/Exogenous!AA$32</f>
        <v>4.7708029197080296E-2</v>
      </c>
      <c r="R252" s="134">
        <f>Q$252*Exogenous!AC$32/Exogenous!AB$32</f>
        <v>4.5350364963503663E-2</v>
      </c>
      <c r="S252" s="134">
        <f>R$252*Exogenous!AD$32/Exogenous!AC$32</f>
        <v>4.2992700729927016E-2</v>
      </c>
      <c r="T252" s="134">
        <f>S$252*Exogenous!AE$32/Exogenous!AD$32</f>
        <v>4.0496350364963511E-2</v>
      </c>
    </row>
    <row r="253" spans="1:20" ht="15">
      <c r="A253" s="168" t="s">
        <v>508</v>
      </c>
      <c r="B253" s="4" t="str">
        <f>$B$39</f>
        <v>From Fiscal Forecasts</v>
      </c>
      <c r="D253" s="142">
        <f>'Fiscal Forecasts'!D$49</f>
        <v>0.08</v>
      </c>
      <c r="E253" s="142">
        <f>'Fiscal Forecasts'!E$49</f>
        <v>8.6999999999999994E-2</v>
      </c>
      <c r="F253" s="141">
        <f>'Fiscal Forecasts'!F$49</f>
        <v>0.106</v>
      </c>
      <c r="G253" s="141">
        <f>'Fiscal Forecasts'!G$49</f>
        <v>0.10299999999999999</v>
      </c>
      <c r="H253" s="141">
        <f>'Fiscal Forecasts'!H$49</f>
        <v>9.8000000000000004E-2</v>
      </c>
      <c r="I253" s="141">
        <f>'Fiscal Forecasts'!I$49</f>
        <v>9.5000000000000001E-2</v>
      </c>
      <c r="J253" s="141">
        <f>'Fiscal Forecasts'!J$49</f>
        <v>9.0999999999999998E-2</v>
      </c>
      <c r="K253" s="134">
        <f>J$253*Exogenous!V$32/Exogenous!U$32</f>
        <v>9.1442822384428218E-2</v>
      </c>
      <c r="L253" s="134">
        <f>K$253*Exogenous!W$32/Exogenous!V$32</f>
        <v>9.1664233576642343E-2</v>
      </c>
      <c r="M253" s="134">
        <f>L$253*Exogenous!X$32/Exogenous!W$32</f>
        <v>9.0557177615571777E-2</v>
      </c>
      <c r="N253" s="134">
        <f>M$253*Exogenous!Y$32/Exogenous!X$32</f>
        <v>8.7014598540145996E-2</v>
      </c>
      <c r="O253" s="134">
        <f>N$253*Exogenous!Z$32/Exogenous!Y$32</f>
        <v>8.3693430656934312E-2</v>
      </c>
      <c r="P253" s="134">
        <f>O$253*Exogenous!AA$32/Exogenous!Z$32</f>
        <v>7.9929440389294407E-2</v>
      </c>
      <c r="Q253" s="134">
        <f>P$253*Exogenous!AB$32/Exogenous!AA$32</f>
        <v>7.6165450121654502E-2</v>
      </c>
      <c r="R253" s="134">
        <f>Q$253*Exogenous!AC$32/Exogenous!AB$32</f>
        <v>7.240145985401461E-2</v>
      </c>
      <c r="S253" s="134">
        <f>R$253*Exogenous!AD$32/Exogenous!AC$32</f>
        <v>6.8637469586374705E-2</v>
      </c>
      <c r="T253" s="134">
        <f>S$253*Exogenous!AE$32/Exogenous!AD$32</f>
        <v>6.465206812652069E-2</v>
      </c>
    </row>
    <row r="254" spans="1:20" ht="15">
      <c r="A254" s="168"/>
      <c r="B254" s="4"/>
      <c r="D254" s="175"/>
      <c r="E254" s="175"/>
      <c r="F254" s="141"/>
      <c r="G254" s="141"/>
      <c r="H254" s="141"/>
      <c r="I254" s="141"/>
      <c r="J254" s="141"/>
      <c r="K254" s="134"/>
      <c r="L254" s="134"/>
      <c r="M254" s="134"/>
      <c r="N254" s="134"/>
      <c r="O254" s="134"/>
      <c r="P254" s="134"/>
      <c r="Q254" s="134"/>
      <c r="R254" s="134"/>
      <c r="S254" s="134"/>
      <c r="T254" s="134"/>
    </row>
    <row r="255" spans="1:20">
      <c r="A255" s="18" t="s">
        <v>431</v>
      </c>
      <c r="D255" s="175"/>
      <c r="E255" s="175"/>
    </row>
    <row r="256" spans="1:20">
      <c r="A256" s="167" t="s">
        <v>279</v>
      </c>
      <c r="B256" s="4" t="str">
        <f>$B$39</f>
        <v>From Fiscal Forecasts</v>
      </c>
      <c r="D256" s="175">
        <f>'Fiscal Forecasts'!D$55</f>
        <v>18.268000000000001</v>
      </c>
      <c r="E256" s="175">
        <f>'Fiscal Forecasts'!E$55</f>
        <v>19.890999999999998</v>
      </c>
      <c r="F256" s="176">
        <f>'Fiscal Forecasts'!F$55</f>
        <v>23.837</v>
      </c>
      <c r="G256" s="176">
        <f>'Fiscal Forecasts'!G$55</f>
        <v>25.047999999999998</v>
      </c>
      <c r="H256" s="176">
        <f>'Fiscal Forecasts'!H$55</f>
        <v>22.538</v>
      </c>
      <c r="I256" s="176">
        <f>'Fiscal Forecasts'!I$55</f>
        <v>22.609000000000002</v>
      </c>
      <c r="J256" s="176">
        <f>'Fiscal Forecasts'!J$55</f>
        <v>22.74</v>
      </c>
      <c r="K256" s="171">
        <f t="shared" ref="K256:T256" si="126">J$256</f>
        <v>22.74</v>
      </c>
      <c r="L256" s="171">
        <f t="shared" si="126"/>
        <v>22.74</v>
      </c>
      <c r="M256" s="171">
        <f t="shared" si="126"/>
        <v>22.74</v>
      </c>
      <c r="N256" s="171">
        <f t="shared" si="126"/>
        <v>22.74</v>
      </c>
      <c r="O256" s="171">
        <f t="shared" si="126"/>
        <v>22.74</v>
      </c>
      <c r="P256" s="171">
        <f t="shared" si="126"/>
        <v>22.74</v>
      </c>
      <c r="Q256" s="171">
        <f t="shared" si="126"/>
        <v>22.74</v>
      </c>
      <c r="R256" s="171">
        <f t="shared" si="126"/>
        <v>22.74</v>
      </c>
      <c r="S256" s="171">
        <f t="shared" si="126"/>
        <v>22.74</v>
      </c>
      <c r="T256" s="171">
        <f t="shared" si="126"/>
        <v>22.74</v>
      </c>
    </row>
    <row r="257" spans="1:20">
      <c r="A257" s="167" t="s">
        <v>256</v>
      </c>
      <c r="B257" s="4" t="str">
        <f>$B$39</f>
        <v>From Fiscal Forecasts</v>
      </c>
      <c r="D257" s="175">
        <f>'Fiscal Forecasts'!D$198</f>
        <v>16.579000000000001</v>
      </c>
      <c r="E257" s="175">
        <f>'Fiscal Forecasts'!E$198</f>
        <v>17.788</v>
      </c>
      <c r="F257" s="176">
        <f>'Fiscal Forecasts'!F$198</f>
        <v>19.521000000000001</v>
      </c>
      <c r="G257" s="176">
        <f>'Fiscal Forecasts'!G$198</f>
        <v>20.029</v>
      </c>
      <c r="H257" s="176">
        <f>'Fiscal Forecasts'!H$198</f>
        <v>19.13</v>
      </c>
      <c r="I257" s="176">
        <f>'Fiscal Forecasts'!I$198</f>
        <v>19.079999999999998</v>
      </c>
      <c r="J257" s="176">
        <f>'Fiscal Forecasts'!J$198</f>
        <v>19.071999999999999</v>
      </c>
      <c r="K257" s="171">
        <f t="shared" ref="K257:T257" si="127">SUM(J$257,K$256-J$256)</f>
        <v>19.071999999999999</v>
      </c>
      <c r="L257" s="171">
        <f t="shared" si="127"/>
        <v>19.071999999999999</v>
      </c>
      <c r="M257" s="171">
        <f t="shared" si="127"/>
        <v>19.071999999999999</v>
      </c>
      <c r="N257" s="171">
        <f t="shared" si="127"/>
        <v>19.071999999999999</v>
      </c>
      <c r="O257" s="171">
        <f t="shared" si="127"/>
        <v>19.071999999999999</v>
      </c>
      <c r="P257" s="171">
        <f t="shared" si="127"/>
        <v>19.071999999999999</v>
      </c>
      <c r="Q257" s="171">
        <f t="shared" si="127"/>
        <v>19.071999999999999</v>
      </c>
      <c r="R257" s="171">
        <f t="shared" si="127"/>
        <v>19.071999999999999</v>
      </c>
      <c r="S257" s="171">
        <f t="shared" si="127"/>
        <v>19.071999999999999</v>
      </c>
      <c r="T257" s="171">
        <f t="shared" si="127"/>
        <v>19.071999999999999</v>
      </c>
    </row>
    <row r="258" spans="1:20">
      <c r="A258" s="167" t="s">
        <v>419</v>
      </c>
      <c r="B258" s="4" t="str">
        <f>$B$39</f>
        <v>From Fiscal Forecasts</v>
      </c>
      <c r="D258" s="175">
        <f>'Fiscal Forecasts'!D$38-SUM(D$256:D$257)</f>
        <v>-16.187000000000001</v>
      </c>
      <c r="E258" s="175">
        <f>'Fiscal Forecasts'!E$38-SUM(E$256:E$257)</f>
        <v>-17.21</v>
      </c>
      <c r="F258" s="176">
        <f>'Fiscal Forecasts'!F$38-SUM(F$256:F$257)</f>
        <v>-19.578000000000003</v>
      </c>
      <c r="G258" s="176">
        <f>'Fiscal Forecasts'!G$38-SUM(G$256:G$257)</f>
        <v>-20.467999999999996</v>
      </c>
      <c r="H258" s="176">
        <f>'Fiscal Forecasts'!H$38-SUM(H$256:H$257)</f>
        <v>-19.779</v>
      </c>
      <c r="I258" s="176">
        <f>'Fiscal Forecasts'!I$38-SUM(I$256:I$257)</f>
        <v>-19.872</v>
      </c>
      <c r="J258" s="176">
        <f>'Fiscal Forecasts'!J$38-SUM(J$256:J$257)</f>
        <v>-20.048999999999996</v>
      </c>
      <c r="K258" s="171">
        <f t="shared" ref="K258:T258" si="128">J$258-(K$256-J$256)</f>
        <v>-20.048999999999996</v>
      </c>
      <c r="L258" s="171">
        <f t="shared" si="128"/>
        <v>-20.048999999999996</v>
      </c>
      <c r="M258" s="171">
        <f t="shared" si="128"/>
        <v>-20.048999999999996</v>
      </c>
      <c r="N258" s="171">
        <f t="shared" si="128"/>
        <v>-20.048999999999996</v>
      </c>
      <c r="O258" s="171">
        <f t="shared" si="128"/>
        <v>-20.048999999999996</v>
      </c>
      <c r="P258" s="171">
        <f t="shared" si="128"/>
        <v>-20.048999999999996</v>
      </c>
      <c r="Q258" s="171">
        <f t="shared" si="128"/>
        <v>-20.048999999999996</v>
      </c>
      <c r="R258" s="171">
        <f t="shared" si="128"/>
        <v>-20.048999999999996</v>
      </c>
      <c r="S258" s="171">
        <f t="shared" si="128"/>
        <v>-20.048999999999996</v>
      </c>
      <c r="T258" s="171">
        <f t="shared" si="128"/>
        <v>-20.048999999999996</v>
      </c>
    </row>
    <row r="259" spans="1:20" ht="15">
      <c r="A259" s="168" t="s">
        <v>432</v>
      </c>
      <c r="D259" s="138">
        <f t="shared" ref="D259:T259" si="129">SUM(D$256:D$258)</f>
        <v>18.66</v>
      </c>
      <c r="E259" s="138">
        <f t="shared" si="129"/>
        <v>20.469000000000001</v>
      </c>
      <c r="F259" s="137">
        <f t="shared" si="129"/>
        <v>23.78</v>
      </c>
      <c r="G259" s="137">
        <f t="shared" si="129"/>
        <v>24.609000000000002</v>
      </c>
      <c r="H259" s="137">
        <f t="shared" si="129"/>
        <v>21.888999999999999</v>
      </c>
      <c r="I259" s="137">
        <f t="shared" si="129"/>
        <v>21.817</v>
      </c>
      <c r="J259" s="137">
        <f t="shared" si="129"/>
        <v>21.763000000000002</v>
      </c>
      <c r="K259" s="140">
        <f t="shared" si="129"/>
        <v>21.763000000000002</v>
      </c>
      <c r="L259" s="140">
        <f t="shared" si="129"/>
        <v>21.763000000000002</v>
      </c>
      <c r="M259" s="140">
        <f t="shared" si="129"/>
        <v>21.763000000000002</v>
      </c>
      <c r="N259" s="140">
        <f t="shared" si="129"/>
        <v>21.763000000000002</v>
      </c>
      <c r="O259" s="140">
        <f t="shared" si="129"/>
        <v>21.763000000000002</v>
      </c>
      <c r="P259" s="140">
        <f t="shared" si="129"/>
        <v>21.763000000000002</v>
      </c>
      <c r="Q259" s="140">
        <f t="shared" si="129"/>
        <v>21.763000000000002</v>
      </c>
      <c r="R259" s="140">
        <f t="shared" si="129"/>
        <v>21.763000000000002</v>
      </c>
      <c r="S259" s="140">
        <f t="shared" si="129"/>
        <v>21.763000000000002</v>
      </c>
      <c r="T259" s="140">
        <f t="shared" si="129"/>
        <v>21.763000000000002</v>
      </c>
    </row>
    <row r="260" spans="1:20" ht="15">
      <c r="A260" s="168"/>
      <c r="D260" s="145"/>
      <c r="E260" s="145"/>
      <c r="F260" s="145"/>
      <c r="G260" s="145"/>
      <c r="H260" s="146"/>
      <c r="I260" s="146"/>
      <c r="J260" s="146"/>
      <c r="K260" s="146"/>
      <c r="L260" s="146"/>
      <c r="M260" s="146"/>
      <c r="N260" s="146"/>
      <c r="O260" s="146"/>
      <c r="P260" s="146"/>
      <c r="Q260" s="146"/>
      <c r="R260" s="146"/>
      <c r="S260" s="146"/>
      <c r="T260" s="146"/>
    </row>
    <row r="261" spans="1:20">
      <c r="A261" s="18" t="s">
        <v>433</v>
      </c>
    </row>
    <row r="262" spans="1:20">
      <c r="A262" s="167" t="s">
        <v>274</v>
      </c>
      <c r="D262" s="175">
        <f t="shared" ref="D262:T262" si="130">D$182</f>
        <v>0.58299999999999996</v>
      </c>
      <c r="E262" s="175">
        <f t="shared" si="130"/>
        <v>0.56699999999999995</v>
      </c>
      <c r="F262" s="176">
        <f t="shared" si="130"/>
        <v>0.61</v>
      </c>
      <c r="G262" s="176">
        <f t="shared" si="130"/>
        <v>0.65600000000000003</v>
      </c>
      <c r="H262" s="176">
        <f t="shared" si="130"/>
        <v>0.66700000000000004</v>
      </c>
      <c r="I262" s="176">
        <f t="shared" si="130"/>
        <v>0.63600000000000001</v>
      </c>
      <c r="J262" s="176">
        <f t="shared" si="130"/>
        <v>0.66700000000000004</v>
      </c>
      <c r="K262" s="171">
        <f t="shared" ca="1" si="130"/>
        <v>0.69127586262740748</v>
      </c>
      <c r="L262" s="171">
        <f t="shared" ca="1" si="130"/>
        <v>0.71558469329157248</v>
      </c>
      <c r="M262" s="171">
        <f t="shared" ca="1" si="130"/>
        <v>0.73985342132839926</v>
      </c>
      <c r="N262" s="171">
        <f t="shared" ca="1" si="130"/>
        <v>0.7641595663449624</v>
      </c>
      <c r="O262" s="171">
        <f t="shared" ca="1" si="130"/>
        <v>0.78870638457576181</v>
      </c>
      <c r="P262" s="171">
        <f t="shared" ca="1" si="130"/>
        <v>0.8133948962458909</v>
      </c>
      <c r="Q262" s="171">
        <f t="shared" ca="1" si="130"/>
        <v>0.83828277884857372</v>
      </c>
      <c r="R262" s="171">
        <f t="shared" ca="1" si="130"/>
        <v>0.86310429630377561</v>
      </c>
      <c r="S262" s="171">
        <f t="shared" ca="1" si="130"/>
        <v>0.88803453134551136</v>
      </c>
      <c r="T262" s="171">
        <f t="shared" ca="1" si="130"/>
        <v>0.91334269020999082</v>
      </c>
    </row>
    <row r="263" spans="1:20">
      <c r="A263" s="167" t="s">
        <v>434</v>
      </c>
      <c r="D263" s="175">
        <f>D$403</f>
        <v>0.56299999999999994</v>
      </c>
      <c r="E263" s="175">
        <f>E$403</f>
        <v>0.50600000000000001</v>
      </c>
      <c r="F263" s="176">
        <f t="shared" ref="F263:T263" si="131">F$403</f>
        <v>0.47599999999999998</v>
      </c>
      <c r="G263" s="176">
        <f t="shared" si="131"/>
        <v>0.51500000000000001</v>
      </c>
      <c r="H263" s="176">
        <f t="shared" si="131"/>
        <v>0.53900000000000003</v>
      </c>
      <c r="I263" s="176">
        <f t="shared" si="131"/>
        <v>0.55300000000000005</v>
      </c>
      <c r="J263" s="176">
        <f t="shared" si="131"/>
        <v>0.58799999999999997</v>
      </c>
      <c r="K263" s="171">
        <f t="shared" si="131"/>
        <v>0.61699999999999999</v>
      </c>
      <c r="L263" s="171">
        <f t="shared" si="131"/>
        <v>0.65100000000000002</v>
      </c>
      <c r="M263" s="171">
        <f t="shared" si="131"/>
        <v>0.68600000000000005</v>
      </c>
      <c r="N263" s="171">
        <f t="shared" si="131"/>
        <v>0.72</v>
      </c>
      <c r="O263" s="171">
        <f t="shared" si="131"/>
        <v>0.753</v>
      </c>
      <c r="P263" s="171">
        <f t="shared" si="131"/>
        <v>0.78400000000000003</v>
      </c>
      <c r="Q263" s="171">
        <f t="shared" si="131"/>
        <v>0.81299999999999994</v>
      </c>
      <c r="R263" s="171">
        <f t="shared" si="131"/>
        <v>0.84</v>
      </c>
      <c r="S263" s="171">
        <f t="shared" si="131"/>
        <v>0.86499999999999999</v>
      </c>
      <c r="T263" s="171">
        <f t="shared" si="131"/>
        <v>0.88800000000000001</v>
      </c>
    </row>
    <row r="264" spans="1:20">
      <c r="A264" s="167" t="s">
        <v>437</v>
      </c>
      <c r="B264" s="4" t="str">
        <f>$B$39</f>
        <v>From Fiscal Forecasts</v>
      </c>
      <c r="D264" s="175">
        <f>'Fiscal Forecasts'!D$56-SUM(D$262:D$263)</f>
        <v>13.146999999999998</v>
      </c>
      <c r="E264" s="175">
        <f>'Fiscal Forecasts'!E$56-SUM(E$262:E$263)</f>
        <v>15.248999999999999</v>
      </c>
      <c r="F264" s="176">
        <f>'Fiscal Forecasts'!F$56-SUM(F$262:F$263) +IF($C$2="Yes",'Fiscal Forecast Adjuster'!C$21/1000,0)</f>
        <v>15.24</v>
      </c>
      <c r="G264" s="176">
        <f>'Fiscal Forecasts'!G$56-SUM(G$262:G$263) +IF($C$2="Yes",'Fiscal Forecast Adjuster'!D$21/1000,0)</f>
        <v>16.698</v>
      </c>
      <c r="H264" s="176">
        <f>'Fiscal Forecasts'!H$56-SUM(H$262:H$263) +IF($C$2="Yes",'Fiscal Forecast Adjuster'!E$21/1000,0)</f>
        <v>16.358000000000001</v>
      </c>
      <c r="I264" s="176">
        <f>'Fiscal Forecasts'!I$56-SUM(I$262:I$263) +IF($C$2="Yes",'Fiscal Forecast Adjuster'!F$21/1000,0)</f>
        <v>16.218</v>
      </c>
      <c r="J264" s="176">
        <f>'Fiscal Forecasts'!J$56-SUM(J$262:J$263) +IF($C$2="Yes",'Fiscal Forecast Adjuster'!G$21/1000,0)</f>
        <v>15.964000000000002</v>
      </c>
      <c r="K264" s="171">
        <f t="shared" ref="K264:T264" si="132">J$264</f>
        <v>15.964000000000002</v>
      </c>
      <c r="L264" s="171">
        <f t="shared" si="132"/>
        <v>15.964000000000002</v>
      </c>
      <c r="M264" s="171">
        <f t="shared" si="132"/>
        <v>15.964000000000002</v>
      </c>
      <c r="N264" s="171">
        <f t="shared" si="132"/>
        <v>15.964000000000002</v>
      </c>
      <c r="O264" s="171">
        <f t="shared" si="132"/>
        <v>15.964000000000002</v>
      </c>
      <c r="P264" s="171">
        <f t="shared" si="132"/>
        <v>15.964000000000002</v>
      </c>
      <c r="Q264" s="171">
        <f t="shared" si="132"/>
        <v>15.964000000000002</v>
      </c>
      <c r="R264" s="171">
        <f t="shared" si="132"/>
        <v>15.964000000000002</v>
      </c>
      <c r="S264" s="171">
        <f t="shared" si="132"/>
        <v>15.964000000000002</v>
      </c>
      <c r="T264" s="171">
        <f t="shared" si="132"/>
        <v>15.964000000000002</v>
      </c>
    </row>
    <row r="265" spans="1:20" ht="15">
      <c r="A265" s="168" t="s">
        <v>438</v>
      </c>
      <c r="D265" s="138">
        <f t="shared" ref="D265:T265" si="133">SUM(D$262:D$264)</f>
        <v>14.292999999999999</v>
      </c>
      <c r="E265" s="138">
        <f t="shared" si="133"/>
        <v>16.321999999999999</v>
      </c>
      <c r="F265" s="137">
        <f t="shared" si="133"/>
        <v>16.326000000000001</v>
      </c>
      <c r="G265" s="137">
        <f t="shared" si="133"/>
        <v>17.869</v>
      </c>
      <c r="H265" s="137">
        <f t="shared" si="133"/>
        <v>17.564</v>
      </c>
      <c r="I265" s="137">
        <f t="shared" si="133"/>
        <v>17.407</v>
      </c>
      <c r="J265" s="137">
        <f t="shared" si="133"/>
        <v>17.219000000000001</v>
      </c>
      <c r="K265" s="140">
        <f t="shared" ca="1" si="133"/>
        <v>17.27227586262741</v>
      </c>
      <c r="L265" s="140">
        <f t="shared" ca="1" si="133"/>
        <v>17.330584693291573</v>
      </c>
      <c r="M265" s="140">
        <f t="shared" ca="1" si="133"/>
        <v>17.3898534213284</v>
      </c>
      <c r="N265" s="140">
        <f t="shared" ca="1" si="133"/>
        <v>17.448159566344966</v>
      </c>
      <c r="O265" s="140">
        <f t="shared" ca="1" si="133"/>
        <v>17.505706384575763</v>
      </c>
      <c r="P265" s="140">
        <f t="shared" ca="1" si="133"/>
        <v>17.561394896245893</v>
      </c>
      <c r="Q265" s="140">
        <f t="shared" ca="1" si="133"/>
        <v>17.615282778848577</v>
      </c>
      <c r="R265" s="140">
        <f t="shared" ca="1" si="133"/>
        <v>17.667104296303776</v>
      </c>
      <c r="S265" s="140">
        <f t="shared" ca="1" si="133"/>
        <v>17.717034531345515</v>
      </c>
      <c r="T265" s="140">
        <f t="shared" ca="1" si="133"/>
        <v>17.765342690209994</v>
      </c>
    </row>
    <row r="266" spans="1:20">
      <c r="A266" s="167" t="s">
        <v>256</v>
      </c>
      <c r="B266" s="4" t="str">
        <f>$B$39</f>
        <v>From Fiscal Forecasts</v>
      </c>
      <c r="D266" s="175">
        <f>'Fiscal Forecasts'!D$199</f>
        <v>11.428000000000001</v>
      </c>
      <c r="E266" s="175">
        <f>'Fiscal Forecasts'!E$199</f>
        <v>13.705</v>
      </c>
      <c r="F266" s="176">
        <f>'Fiscal Forecasts'!F$199</f>
        <v>13.486000000000001</v>
      </c>
      <c r="G266" s="176">
        <f>'Fiscal Forecasts'!G$199</f>
        <v>14.49</v>
      </c>
      <c r="H266" s="176">
        <f>'Fiscal Forecasts'!H$199</f>
        <v>14.371</v>
      </c>
      <c r="I266" s="176">
        <f>'Fiscal Forecasts'!I$199</f>
        <v>14.266</v>
      </c>
      <c r="J266" s="176">
        <f>'Fiscal Forecasts'!J$199</f>
        <v>14.077</v>
      </c>
      <c r="K266" s="171">
        <f t="shared" ref="K266:T266" si="134">SUM(J$266,K$264-J$264)</f>
        <v>14.077</v>
      </c>
      <c r="L266" s="171">
        <f t="shared" si="134"/>
        <v>14.077</v>
      </c>
      <c r="M266" s="171">
        <f t="shared" si="134"/>
        <v>14.077</v>
      </c>
      <c r="N266" s="171">
        <f t="shared" si="134"/>
        <v>14.077</v>
      </c>
      <c r="O266" s="171">
        <f t="shared" si="134"/>
        <v>14.077</v>
      </c>
      <c r="P266" s="171">
        <f t="shared" si="134"/>
        <v>14.077</v>
      </c>
      <c r="Q266" s="171">
        <f t="shared" si="134"/>
        <v>14.077</v>
      </c>
      <c r="R266" s="171">
        <f t="shared" si="134"/>
        <v>14.077</v>
      </c>
      <c r="S266" s="171">
        <f t="shared" si="134"/>
        <v>14.077</v>
      </c>
      <c r="T266" s="171">
        <f t="shared" si="134"/>
        <v>14.077</v>
      </c>
    </row>
    <row r="267" spans="1:20">
      <c r="A267" s="167" t="s">
        <v>419</v>
      </c>
      <c r="B267" s="4" t="str">
        <f>$B$39</f>
        <v>From Fiscal Forecasts</v>
      </c>
      <c r="D267" s="175">
        <f>'Fiscal Forecasts'!D$39-SUM(D$265:D$266)</f>
        <v>-10.441000000000001</v>
      </c>
      <c r="E267" s="175">
        <f>'Fiscal Forecasts'!E$39-SUM(E$265:E$266)</f>
        <v>-12.446000000000002</v>
      </c>
      <c r="F267" s="176">
        <f>'Fiscal Forecasts'!F$39-SUM(F$265:F$266) +IF($C$2="Yes",'Fiscal Forecast Adjuster'!C$21/1000,0)</f>
        <v>-11.975000000000001</v>
      </c>
      <c r="G267" s="176">
        <f>'Fiscal Forecasts'!G$39-SUM(G$265:G$266) +IF($C$2="Yes",'Fiscal Forecast Adjuster'!D$21/1000,0)</f>
        <v>-13.193000000000001</v>
      </c>
      <c r="H267" s="176">
        <f>'Fiscal Forecasts'!H$39-SUM(H$265:H$266) +IF($C$2="Yes",'Fiscal Forecast Adjuster'!E$21/1000,0)</f>
        <v>-13.009000000000004</v>
      </c>
      <c r="I267" s="176">
        <f>'Fiscal Forecasts'!I$39-SUM(I$265:I$266) +IF($C$2="Yes",'Fiscal Forecast Adjuster'!F$21/1000,0)</f>
        <v>-12.860000000000003</v>
      </c>
      <c r="J267" s="176">
        <f>'Fiscal Forecasts'!J$39-SUM(J$265:J$266) +IF($C$2="Yes",'Fiscal Forecast Adjuster'!G$21/1000,0)</f>
        <v>-12.602</v>
      </c>
      <c r="K267" s="171">
        <f t="shared" ref="K267:T267" si="135">J$267-(K$264-J$264)</f>
        <v>-12.602</v>
      </c>
      <c r="L267" s="171">
        <f t="shared" si="135"/>
        <v>-12.602</v>
      </c>
      <c r="M267" s="171">
        <f t="shared" si="135"/>
        <v>-12.602</v>
      </c>
      <c r="N267" s="171">
        <f t="shared" si="135"/>
        <v>-12.602</v>
      </c>
      <c r="O267" s="171">
        <f t="shared" si="135"/>
        <v>-12.602</v>
      </c>
      <c r="P267" s="171">
        <f t="shared" si="135"/>
        <v>-12.602</v>
      </c>
      <c r="Q267" s="171">
        <f t="shared" si="135"/>
        <v>-12.602</v>
      </c>
      <c r="R267" s="171">
        <f t="shared" si="135"/>
        <v>-12.602</v>
      </c>
      <c r="S267" s="171">
        <f t="shared" si="135"/>
        <v>-12.602</v>
      </c>
      <c r="T267" s="171">
        <f t="shared" si="135"/>
        <v>-12.602</v>
      </c>
    </row>
    <row r="268" spans="1:20" ht="15">
      <c r="A268" s="168" t="s">
        <v>439</v>
      </c>
      <c r="D268" s="138">
        <f t="shared" ref="D268:T268" si="136">SUM(D$265:D$267)</f>
        <v>15.28</v>
      </c>
      <c r="E268" s="138">
        <f t="shared" si="136"/>
        <v>17.581</v>
      </c>
      <c r="F268" s="137">
        <f t="shared" si="136"/>
        <v>17.837</v>
      </c>
      <c r="G268" s="137">
        <f t="shared" si="136"/>
        <v>19.166</v>
      </c>
      <c r="H268" s="137">
        <f t="shared" si="136"/>
        <v>18.925999999999998</v>
      </c>
      <c r="I268" s="137">
        <f t="shared" si="136"/>
        <v>18.812999999999999</v>
      </c>
      <c r="J268" s="137">
        <f t="shared" si="136"/>
        <v>18.693999999999999</v>
      </c>
      <c r="K268" s="140">
        <f t="shared" ca="1" si="136"/>
        <v>18.747275862627408</v>
      </c>
      <c r="L268" s="140">
        <f t="shared" ca="1" si="136"/>
        <v>18.805584693291575</v>
      </c>
      <c r="M268" s="140">
        <f t="shared" ca="1" si="136"/>
        <v>18.864853421328402</v>
      </c>
      <c r="N268" s="140">
        <f t="shared" ca="1" si="136"/>
        <v>18.923159566344967</v>
      </c>
      <c r="O268" s="140">
        <f t="shared" ca="1" si="136"/>
        <v>18.980706384575765</v>
      </c>
      <c r="P268" s="140">
        <f t="shared" ca="1" si="136"/>
        <v>19.036394896245891</v>
      </c>
      <c r="Q268" s="140">
        <f t="shared" ca="1" si="136"/>
        <v>19.090282778848579</v>
      </c>
      <c r="R268" s="140">
        <f t="shared" ca="1" si="136"/>
        <v>19.142104296303774</v>
      </c>
      <c r="S268" s="140">
        <f t="shared" ca="1" si="136"/>
        <v>19.192034531345517</v>
      </c>
      <c r="T268" s="140">
        <f t="shared" ca="1" si="136"/>
        <v>19.240342690209996</v>
      </c>
    </row>
    <row r="269" spans="1:20" ht="15">
      <c r="A269" s="168"/>
      <c r="D269" s="46"/>
      <c r="E269" s="46"/>
      <c r="F269" s="145"/>
      <c r="G269" s="145"/>
      <c r="H269" s="145"/>
      <c r="I269" s="145"/>
      <c r="J269" s="145"/>
      <c r="K269" s="146"/>
      <c r="L269" s="146"/>
      <c r="M269" s="146"/>
      <c r="N269" s="146"/>
      <c r="O269" s="146"/>
      <c r="P269" s="146"/>
      <c r="Q269" s="146"/>
      <c r="R269" s="146"/>
      <c r="S269" s="146"/>
      <c r="T269" s="146"/>
    </row>
    <row r="270" spans="1:20">
      <c r="A270" s="18" t="s">
        <v>440</v>
      </c>
    </row>
    <row r="271" spans="1:20">
      <c r="A271" s="167" t="s">
        <v>943</v>
      </c>
      <c r="D271" s="175">
        <f t="shared" ref="D271:T271" si="137">D$377</f>
        <v>0.13</v>
      </c>
      <c r="E271" s="175">
        <f t="shared" si="137"/>
        <v>0.15</v>
      </c>
      <c r="F271" s="176">
        <f t="shared" si="137"/>
        <v>0.125</v>
      </c>
      <c r="G271" s="176">
        <f t="shared" si="137"/>
        <v>0.217</v>
      </c>
      <c r="H271" s="176">
        <f t="shared" si="137"/>
        <v>0.23799999999999999</v>
      </c>
      <c r="I271" s="176">
        <f t="shared" si="137"/>
        <v>0.254</v>
      </c>
      <c r="J271" s="176">
        <f t="shared" si="137"/>
        <v>0.27200000000000002</v>
      </c>
      <c r="K271" s="171">
        <f t="shared" ca="1" si="137"/>
        <v>0.30073147669843048</v>
      </c>
      <c r="L271" s="171">
        <f t="shared" ca="1" si="137"/>
        <v>0.32476199905446596</v>
      </c>
      <c r="M271" s="171">
        <f t="shared" ca="1" si="137"/>
        <v>0.34918723130873974</v>
      </c>
      <c r="N271" s="171">
        <f t="shared" ca="1" si="137"/>
        <v>0.3740696924558311</v>
      </c>
      <c r="O271" s="171">
        <f t="shared" ca="1" si="137"/>
        <v>0.3995672895217004</v>
      </c>
      <c r="P271" s="171">
        <f t="shared" ca="1" si="137"/>
        <v>0.42581009501129147</v>
      </c>
      <c r="Q271" s="171">
        <f t="shared" ca="1" si="137"/>
        <v>0.45286526960434687</v>
      </c>
      <c r="R271" s="171">
        <f t="shared" ca="1" si="137"/>
        <v>0.48070102820018806</v>
      </c>
      <c r="S271" s="171">
        <f t="shared" ca="1" si="137"/>
        <v>0.50923270396773679</v>
      </c>
      <c r="T271" s="171">
        <f t="shared" ca="1" si="137"/>
        <v>0.53845930775018458</v>
      </c>
    </row>
    <row r="272" spans="1:20">
      <c r="A272" s="167" t="s">
        <v>277</v>
      </c>
      <c r="B272" s="4"/>
      <c r="D272" s="175">
        <f t="shared" ref="D272:T272" si="138">D$185</f>
        <v>0.70799999999999996</v>
      </c>
      <c r="E272" s="175">
        <f t="shared" si="138"/>
        <v>0.73599999999999999</v>
      </c>
      <c r="F272" s="176">
        <f t="shared" si="138"/>
        <v>0.82499999999999996</v>
      </c>
      <c r="G272" s="176">
        <f t="shared" si="138"/>
        <v>0.82</v>
      </c>
      <c r="H272" s="176">
        <f t="shared" si="138"/>
        <v>0.85799999999999998</v>
      </c>
      <c r="I272" s="176">
        <f t="shared" si="138"/>
        <v>0.86099999999999999</v>
      </c>
      <c r="J272" s="176">
        <f t="shared" si="138"/>
        <v>0.86099999999999999</v>
      </c>
      <c r="K272" s="171">
        <f t="shared" ca="1" si="138"/>
        <v>0.86575349968469673</v>
      </c>
      <c r="L272" s="171">
        <f t="shared" ca="1" si="138"/>
        <v>0.90271134323379465</v>
      </c>
      <c r="M272" s="171">
        <f t="shared" ca="1" si="138"/>
        <v>0.94008368380153817</v>
      </c>
      <c r="N272" s="171">
        <f t="shared" ca="1" si="138"/>
        <v>0.97921832809989462</v>
      </c>
      <c r="O272" s="171">
        <f t="shared" ca="1" si="138"/>
        <v>1.0192005815218856</v>
      </c>
      <c r="P272" s="171">
        <f t="shared" ca="1" si="138"/>
        <v>1.0600257962329862</v>
      </c>
      <c r="Q272" s="171">
        <f t="shared" ca="1" si="138"/>
        <v>1.1016909680646265</v>
      </c>
      <c r="R272" s="171">
        <f t="shared" ca="1" si="138"/>
        <v>1.1440838734844734</v>
      </c>
      <c r="S272" s="171">
        <f t="shared" ca="1" si="138"/>
        <v>1.1871706914816971</v>
      </c>
      <c r="T272" s="171">
        <f t="shared" ca="1" si="138"/>
        <v>1.2315349564190123</v>
      </c>
    </row>
    <row r="273" spans="1:20">
      <c r="A273" s="167" t="s">
        <v>446</v>
      </c>
      <c r="B273" s="4" t="s">
        <v>447</v>
      </c>
      <c r="D273" s="175">
        <f>Exogenous!O$38</f>
        <v>0.82899999999999996</v>
      </c>
      <c r="E273" s="175">
        <f>Exogenous!P$38</f>
        <v>1.3560000000000001</v>
      </c>
      <c r="F273" s="176">
        <f>Exogenous!Q$38</f>
        <v>1.0409999999999999</v>
      </c>
      <c r="G273" s="176">
        <f>Exogenous!R$38</f>
        <v>0.84099999999999997</v>
      </c>
      <c r="H273" s="176">
        <f>Exogenous!S$38</f>
        <v>0.84099999999999997</v>
      </c>
      <c r="I273" s="176">
        <f>Exogenous!T$38</f>
        <v>0.84099999999999997</v>
      </c>
      <c r="J273" s="176">
        <f>Exogenous!U$38</f>
        <v>0.84099999999999997</v>
      </c>
      <c r="K273" s="171">
        <f t="shared" ref="K273:T273" ca="1" si="139">J$273*K$135/J$135</f>
        <v>0.8837104862687315</v>
      </c>
      <c r="L273" s="171">
        <f t="shared" ca="1" si="139"/>
        <v>0.92293318628635934</v>
      </c>
      <c r="M273" s="171">
        <f t="shared" ca="1" si="139"/>
        <v>0.96165222223832603</v>
      </c>
      <c r="N273" s="171">
        <f t="shared" ca="1" si="139"/>
        <v>1.003502751923762</v>
      </c>
      <c r="O273" s="171">
        <f t="shared" ca="1" si="139"/>
        <v>1.0445174717671155</v>
      </c>
      <c r="P273" s="171">
        <f t="shared" ca="1" si="139"/>
        <v>1.0863567827207199</v>
      </c>
      <c r="Q273" s="171">
        <f t="shared" ca="1" si="139"/>
        <v>1.129056915286718</v>
      </c>
      <c r="R273" s="171">
        <f t="shared" ca="1" si="139"/>
        <v>1.1725028583059822</v>
      </c>
      <c r="S273" s="171">
        <f t="shared" ca="1" si="139"/>
        <v>1.2166599506555058</v>
      </c>
      <c r="T273" s="171">
        <f t="shared" ca="1" si="139"/>
        <v>1.2621262216616866</v>
      </c>
    </row>
    <row r="274" spans="1:20">
      <c r="A274" s="167" t="s">
        <v>450</v>
      </c>
      <c r="B274" s="4" t="str">
        <f>$B$39</f>
        <v>From Fiscal Forecasts</v>
      </c>
      <c r="D274" s="175">
        <f>'Fiscal Forecasts'!D$57-SUM('Fiscal Forecasts'!D$346,D$272:D$273)</f>
        <v>3.4990000000000006</v>
      </c>
      <c r="E274" s="175">
        <f>'Fiscal Forecasts'!E$57-SUM('Fiscal Forecasts'!E$346,E$272:E$273)</f>
        <v>3.8410000000000002</v>
      </c>
      <c r="F274" s="176">
        <f>'Fiscal Forecasts'!F$57-SUM('Fiscal Forecasts'!F$346,F$272:F$273)</f>
        <v>4.17</v>
      </c>
      <c r="G274" s="176">
        <f>'Fiscal Forecasts'!G$57-SUM('Fiscal Forecasts'!G$346,G$272:G$273)</f>
        <v>3.7610000000000001</v>
      </c>
      <c r="H274" s="176">
        <f>'Fiscal Forecasts'!H$57-SUM('Fiscal Forecasts'!H$346,H$272:H$273)</f>
        <v>3.9189999999999996</v>
      </c>
      <c r="I274" s="176">
        <f>'Fiscal Forecasts'!I$57-SUM('Fiscal Forecasts'!I$346,I$272:I$273)</f>
        <v>3.302</v>
      </c>
      <c r="J274" s="176">
        <f>'Fiscal Forecasts'!J$57-SUM('Fiscal Forecasts'!J$346,J$272:J$273)</f>
        <v>3.157</v>
      </c>
      <c r="K274" s="171">
        <f t="shared" ref="K274:T274" si="140">J$274</f>
        <v>3.157</v>
      </c>
      <c r="L274" s="171">
        <f t="shared" si="140"/>
        <v>3.157</v>
      </c>
      <c r="M274" s="171">
        <f t="shared" si="140"/>
        <v>3.157</v>
      </c>
      <c r="N274" s="171">
        <f t="shared" si="140"/>
        <v>3.157</v>
      </c>
      <c r="O274" s="171">
        <f t="shared" si="140"/>
        <v>3.157</v>
      </c>
      <c r="P274" s="171">
        <f t="shared" si="140"/>
        <v>3.157</v>
      </c>
      <c r="Q274" s="171">
        <f t="shared" si="140"/>
        <v>3.157</v>
      </c>
      <c r="R274" s="171">
        <f t="shared" si="140"/>
        <v>3.157</v>
      </c>
      <c r="S274" s="171">
        <f t="shared" si="140"/>
        <v>3.157</v>
      </c>
      <c r="T274" s="171">
        <f t="shared" si="140"/>
        <v>3.157</v>
      </c>
    </row>
    <row r="275" spans="1:20" ht="15">
      <c r="A275" s="168" t="s">
        <v>451</v>
      </c>
      <c r="D275" s="138">
        <f t="shared" ref="D275:T275" si="141">SUM(D$271:D$274)</f>
        <v>5.1660000000000004</v>
      </c>
      <c r="E275" s="138">
        <f t="shared" si="141"/>
        <v>6.0830000000000002</v>
      </c>
      <c r="F275" s="137">
        <f t="shared" si="141"/>
        <v>6.1609999999999996</v>
      </c>
      <c r="G275" s="137">
        <f t="shared" si="141"/>
        <v>5.6390000000000002</v>
      </c>
      <c r="H275" s="137">
        <f t="shared" si="141"/>
        <v>5.8559999999999999</v>
      </c>
      <c r="I275" s="137">
        <f t="shared" si="141"/>
        <v>5.258</v>
      </c>
      <c r="J275" s="137">
        <f t="shared" si="141"/>
        <v>5.1310000000000002</v>
      </c>
      <c r="K275" s="140">
        <f t="shared" ca="1" si="141"/>
        <v>5.2071954626518586</v>
      </c>
      <c r="L275" s="140">
        <f t="shared" ca="1" si="141"/>
        <v>5.3074065285746199</v>
      </c>
      <c r="M275" s="140">
        <f t="shared" ca="1" si="141"/>
        <v>5.4079231373486039</v>
      </c>
      <c r="N275" s="140">
        <f t="shared" ca="1" si="141"/>
        <v>5.5137907724794877</v>
      </c>
      <c r="O275" s="140">
        <f t="shared" ca="1" si="141"/>
        <v>5.6202853428107016</v>
      </c>
      <c r="P275" s="140">
        <f t="shared" ca="1" si="141"/>
        <v>5.7291926739649979</v>
      </c>
      <c r="Q275" s="140">
        <f t="shared" ca="1" si="141"/>
        <v>5.8406131529556919</v>
      </c>
      <c r="R275" s="140">
        <f t="shared" ca="1" si="141"/>
        <v>5.9542877599906436</v>
      </c>
      <c r="S275" s="140">
        <f t="shared" ca="1" si="141"/>
        <v>6.0700633461049396</v>
      </c>
      <c r="T275" s="140">
        <f t="shared" ca="1" si="141"/>
        <v>6.1891204858308839</v>
      </c>
    </row>
    <row r="276" spans="1:20" ht="15">
      <c r="A276" s="168" t="s">
        <v>452</v>
      </c>
      <c r="B276" s="4" t="str">
        <f>$B$39</f>
        <v>From Fiscal Forecasts</v>
      </c>
      <c r="D276" s="142">
        <f>'Fiscal Forecasts'!D$40 +D$377-'Fiscal Forecasts'!D$346</f>
        <v>4.7320000000000002</v>
      </c>
      <c r="E276" s="142">
        <f>'Fiscal Forecasts'!E$40 +E$377-'Fiscal Forecasts'!E$346</f>
        <v>5.8689999999999998</v>
      </c>
      <c r="F276" s="141">
        <f>'Fiscal Forecasts'!F$40 +F$377-'Fiscal Forecasts'!F$346</f>
        <v>5.0110000000000001</v>
      </c>
      <c r="G276" s="141">
        <f>'Fiscal Forecasts'!G$40 +G$377-'Fiscal Forecasts'!G$346</f>
        <v>5.641</v>
      </c>
      <c r="H276" s="141">
        <f>'Fiscal Forecasts'!H$40 +H$377-'Fiscal Forecasts'!H$346</f>
        <v>5.7670000000000012</v>
      </c>
      <c r="I276" s="141">
        <f>'Fiscal Forecasts'!I$40 +I$377-'Fiscal Forecasts'!I$346</f>
        <v>5.1650000000000009</v>
      </c>
      <c r="J276" s="141">
        <f>'Fiscal Forecasts'!J$40 +J$377-'Fiscal Forecasts'!J$346</f>
        <v>4.952</v>
      </c>
      <c r="K276" s="134">
        <f t="shared" ref="K276:T276" ca="1" si="142">SUM(J$276,K$275-J$275)</f>
        <v>5.0281954626518583</v>
      </c>
      <c r="L276" s="134">
        <f t="shared" ca="1" si="142"/>
        <v>5.1284065285746196</v>
      </c>
      <c r="M276" s="134">
        <f t="shared" ca="1" si="142"/>
        <v>5.2289231373486036</v>
      </c>
      <c r="N276" s="134">
        <f t="shared" ca="1" si="142"/>
        <v>5.3347907724794874</v>
      </c>
      <c r="O276" s="134">
        <f t="shared" ca="1" si="142"/>
        <v>5.4412853428107013</v>
      </c>
      <c r="P276" s="134">
        <f t="shared" ca="1" si="142"/>
        <v>5.5501926739649976</v>
      </c>
      <c r="Q276" s="134">
        <f t="shared" ca="1" si="142"/>
        <v>5.6616131529556917</v>
      </c>
      <c r="R276" s="134">
        <f t="shared" ca="1" si="142"/>
        <v>5.7752877599906434</v>
      </c>
      <c r="S276" s="134">
        <f t="shared" ca="1" si="142"/>
        <v>5.8910633461049393</v>
      </c>
      <c r="T276" s="134">
        <f t="shared" ca="1" si="142"/>
        <v>6.0101204858308837</v>
      </c>
    </row>
    <row r="277" spans="1:20" ht="15">
      <c r="A277" s="168"/>
      <c r="B277" s="4"/>
      <c r="D277" s="142"/>
      <c r="E277" s="142"/>
      <c r="F277" s="141"/>
      <c r="G277" s="141"/>
      <c r="H277" s="141"/>
      <c r="I277" s="141"/>
      <c r="J277" s="141"/>
      <c r="K277" s="134"/>
      <c r="L277" s="134"/>
      <c r="M277" s="134"/>
      <c r="N277" s="134"/>
      <c r="O277" s="134"/>
      <c r="P277" s="134"/>
      <c r="Q277" s="134"/>
      <c r="R277" s="134"/>
      <c r="S277" s="134"/>
      <c r="T277" s="134"/>
    </row>
    <row r="278" spans="1:20" ht="15">
      <c r="A278" s="18" t="s">
        <v>509</v>
      </c>
      <c r="B278" s="4"/>
      <c r="C278" s="134"/>
      <c r="D278" s="134"/>
      <c r="E278" s="134"/>
      <c r="F278" s="134"/>
      <c r="G278" s="134"/>
      <c r="H278" s="134"/>
      <c r="I278" s="134"/>
      <c r="J278" s="134"/>
      <c r="K278" s="134"/>
      <c r="L278" s="134"/>
      <c r="M278" s="134"/>
      <c r="N278" s="134"/>
      <c r="O278" s="134"/>
      <c r="P278" s="134"/>
      <c r="Q278" s="134"/>
      <c r="R278" s="134"/>
      <c r="S278" s="134"/>
      <c r="T278" s="134"/>
    </row>
    <row r="279" spans="1:20" ht="15">
      <c r="A279" s="168" t="s">
        <v>453</v>
      </c>
      <c r="B279" s="4" t="str">
        <f>$B$39</f>
        <v>From Fiscal Forecasts</v>
      </c>
      <c r="D279" s="142">
        <f>'Fiscal Forecasts'!D$58</f>
        <v>4.625</v>
      </c>
      <c r="E279" s="142">
        <f>'Fiscal Forecasts'!E$58</f>
        <v>4.9109999999999996</v>
      </c>
      <c r="F279" s="141">
        <f>'Fiscal Forecasts'!F$58</f>
        <v>5.45</v>
      </c>
      <c r="G279" s="141">
        <f>'Fiscal Forecasts'!G$58</f>
        <v>5.3609999999999998</v>
      </c>
      <c r="H279" s="141">
        <f>'Fiscal Forecasts'!H$58</f>
        <v>5.4269999999999996</v>
      </c>
      <c r="I279" s="141">
        <f>'Fiscal Forecasts'!I$58</f>
        <v>5.3849999999999998</v>
      </c>
      <c r="J279" s="141">
        <f>'Fiscal Forecasts'!J$58</f>
        <v>5.3840000000000003</v>
      </c>
      <c r="K279" s="134">
        <f t="shared" ref="K279:T279" si="143">J$279</f>
        <v>5.3840000000000003</v>
      </c>
      <c r="L279" s="134">
        <f t="shared" si="143"/>
        <v>5.3840000000000003</v>
      </c>
      <c r="M279" s="134">
        <f t="shared" si="143"/>
        <v>5.3840000000000003</v>
      </c>
      <c r="N279" s="134">
        <f t="shared" si="143"/>
        <v>5.3840000000000003</v>
      </c>
      <c r="O279" s="134">
        <f t="shared" si="143"/>
        <v>5.3840000000000003</v>
      </c>
      <c r="P279" s="134">
        <f t="shared" si="143"/>
        <v>5.3840000000000003</v>
      </c>
      <c r="Q279" s="134">
        <f t="shared" si="143"/>
        <v>5.3840000000000003</v>
      </c>
      <c r="R279" s="134">
        <f t="shared" si="143"/>
        <v>5.3840000000000003</v>
      </c>
      <c r="S279" s="134">
        <f t="shared" si="143"/>
        <v>5.3840000000000003</v>
      </c>
      <c r="T279" s="134">
        <f t="shared" si="143"/>
        <v>5.3840000000000003</v>
      </c>
    </row>
    <row r="280" spans="1:20" ht="15">
      <c r="A280" s="168" t="s">
        <v>454</v>
      </c>
      <c r="B280" s="4" t="str">
        <f>$B$39</f>
        <v>From Fiscal Forecasts</v>
      </c>
      <c r="D280" s="142">
        <f>'Fiscal Forecasts'!D$41</f>
        <v>5.05</v>
      </c>
      <c r="E280" s="142">
        <f>'Fiscal Forecasts'!E$41</f>
        <v>5.3040000000000003</v>
      </c>
      <c r="F280" s="141">
        <f>'Fiscal Forecasts'!F$41</f>
        <v>5.8029999999999999</v>
      </c>
      <c r="G280" s="141">
        <f>'Fiscal Forecasts'!G$41</f>
        <v>5.8479999999999999</v>
      </c>
      <c r="H280" s="141">
        <f>'Fiscal Forecasts'!H$41</f>
        <v>5.9039999999999999</v>
      </c>
      <c r="I280" s="141">
        <f>'Fiscal Forecasts'!I$41</f>
        <v>5.843</v>
      </c>
      <c r="J280" s="141">
        <f>'Fiscal Forecasts'!J$41</f>
        <v>5.8970000000000002</v>
      </c>
      <c r="K280" s="134">
        <f t="shared" ref="K280:T280" si="144">SUM(J$280,K$279-J$279)</f>
        <v>5.8970000000000002</v>
      </c>
      <c r="L280" s="134">
        <f t="shared" si="144"/>
        <v>5.8970000000000002</v>
      </c>
      <c r="M280" s="134">
        <f t="shared" si="144"/>
        <v>5.8970000000000002</v>
      </c>
      <c r="N280" s="134">
        <f t="shared" si="144"/>
        <v>5.8970000000000002</v>
      </c>
      <c r="O280" s="134">
        <f t="shared" si="144"/>
        <v>5.8970000000000002</v>
      </c>
      <c r="P280" s="134">
        <f t="shared" si="144"/>
        <v>5.8970000000000002</v>
      </c>
      <c r="Q280" s="134">
        <f t="shared" si="144"/>
        <v>5.8970000000000002</v>
      </c>
      <c r="R280" s="134">
        <f t="shared" si="144"/>
        <v>5.8970000000000002</v>
      </c>
      <c r="S280" s="134">
        <f t="shared" si="144"/>
        <v>5.8970000000000002</v>
      </c>
      <c r="T280" s="134">
        <f t="shared" si="144"/>
        <v>5.8970000000000002</v>
      </c>
    </row>
    <row r="281" spans="1:20" ht="15">
      <c r="A281" s="168"/>
      <c r="B281" s="4"/>
      <c r="D281" s="142"/>
      <c r="E281" s="142"/>
      <c r="F281" s="141"/>
      <c r="G281" s="141"/>
      <c r="H281" s="141"/>
      <c r="I281" s="141"/>
      <c r="J281" s="141"/>
      <c r="K281" s="134"/>
      <c r="L281" s="134"/>
      <c r="M281" s="134"/>
      <c r="N281" s="134"/>
      <c r="O281" s="134"/>
      <c r="P281" s="134"/>
      <c r="Q281" s="134"/>
      <c r="R281" s="134"/>
      <c r="S281" s="134"/>
      <c r="T281" s="134"/>
    </row>
    <row r="282" spans="1:20" ht="15">
      <c r="A282" s="18" t="s">
        <v>510</v>
      </c>
      <c r="B282" s="4"/>
      <c r="D282" s="142"/>
      <c r="E282" s="142"/>
      <c r="F282" s="142"/>
      <c r="G282" s="142"/>
      <c r="H282" s="142"/>
      <c r="I282" s="142"/>
      <c r="J282" s="142"/>
      <c r="K282" s="134"/>
      <c r="L282" s="134"/>
      <c r="M282" s="134"/>
      <c r="N282" s="134"/>
      <c r="O282" s="134"/>
      <c r="P282" s="134"/>
      <c r="Q282" s="134"/>
      <c r="R282" s="134"/>
      <c r="S282" s="134"/>
      <c r="T282" s="134"/>
    </row>
    <row r="283" spans="1:20" ht="15">
      <c r="A283" s="168" t="s">
        <v>455</v>
      </c>
      <c r="B283" s="4" t="str">
        <f>$B$39</f>
        <v>From Fiscal Forecasts</v>
      </c>
      <c r="D283" s="142">
        <f>'Fiscal Forecasts'!D$61</f>
        <v>2.395</v>
      </c>
      <c r="E283" s="142">
        <f>'Fiscal Forecasts'!E$61</f>
        <v>2.4990000000000001</v>
      </c>
      <c r="F283" s="141">
        <f>'Fiscal Forecasts'!F$61</f>
        <v>2.6589999999999998</v>
      </c>
      <c r="G283" s="141">
        <f>'Fiscal Forecasts'!G$61</f>
        <v>2.7519999999999998</v>
      </c>
      <c r="H283" s="141">
        <f>'Fiscal Forecasts'!H$61</f>
        <v>2.7440000000000002</v>
      </c>
      <c r="I283" s="141">
        <f>'Fiscal Forecasts'!I$61</f>
        <v>2.85</v>
      </c>
      <c r="J283" s="141">
        <f>'Fiscal Forecasts'!J$61</f>
        <v>2.8769999999999998</v>
      </c>
      <c r="K283" s="134">
        <f t="shared" ref="K283:T283" si="145">J$283</f>
        <v>2.8769999999999998</v>
      </c>
      <c r="L283" s="134">
        <f t="shared" si="145"/>
        <v>2.8769999999999998</v>
      </c>
      <c r="M283" s="134">
        <f t="shared" si="145"/>
        <v>2.8769999999999998</v>
      </c>
      <c r="N283" s="134">
        <f t="shared" si="145"/>
        <v>2.8769999999999998</v>
      </c>
      <c r="O283" s="134">
        <f t="shared" si="145"/>
        <v>2.8769999999999998</v>
      </c>
      <c r="P283" s="134">
        <f t="shared" si="145"/>
        <v>2.8769999999999998</v>
      </c>
      <c r="Q283" s="134">
        <f t="shared" si="145"/>
        <v>2.8769999999999998</v>
      </c>
      <c r="R283" s="134">
        <f t="shared" si="145"/>
        <v>2.8769999999999998</v>
      </c>
      <c r="S283" s="134">
        <f t="shared" si="145"/>
        <v>2.8769999999999998</v>
      </c>
      <c r="T283" s="134">
        <f t="shared" si="145"/>
        <v>2.8769999999999998</v>
      </c>
    </row>
    <row r="284" spans="1:20" ht="15">
      <c r="A284" s="168" t="s">
        <v>456</v>
      </c>
      <c r="B284" s="4" t="str">
        <f>$B$39</f>
        <v>From Fiscal Forecasts</v>
      </c>
      <c r="D284" s="142">
        <f>'Fiscal Forecasts'!D$44</f>
        <v>2.39</v>
      </c>
      <c r="E284" s="142">
        <f>'Fiscal Forecasts'!E$44</f>
        <v>2.4820000000000002</v>
      </c>
      <c r="F284" s="141">
        <f>'Fiscal Forecasts'!F$44</f>
        <v>2.6429999999999998</v>
      </c>
      <c r="G284" s="141">
        <f>'Fiscal Forecasts'!G$44</f>
        <v>2.7349999999999999</v>
      </c>
      <c r="H284" s="141">
        <f>'Fiscal Forecasts'!H$44</f>
        <v>2.7269999999999999</v>
      </c>
      <c r="I284" s="141">
        <f>'Fiscal Forecasts'!I$44</f>
        <v>2.8319999999999999</v>
      </c>
      <c r="J284" s="141">
        <f>'Fiscal Forecasts'!J$44</f>
        <v>2.86</v>
      </c>
      <c r="K284" s="134">
        <f t="shared" ref="K284:T284" si="146">K$283</f>
        <v>2.8769999999999998</v>
      </c>
      <c r="L284" s="134">
        <f t="shared" si="146"/>
        <v>2.8769999999999998</v>
      </c>
      <c r="M284" s="134">
        <f t="shared" si="146"/>
        <v>2.8769999999999998</v>
      </c>
      <c r="N284" s="134">
        <f t="shared" si="146"/>
        <v>2.8769999999999998</v>
      </c>
      <c r="O284" s="134">
        <f t="shared" si="146"/>
        <v>2.8769999999999998</v>
      </c>
      <c r="P284" s="134">
        <f t="shared" si="146"/>
        <v>2.8769999999999998</v>
      </c>
      <c r="Q284" s="134">
        <f t="shared" si="146"/>
        <v>2.8769999999999998</v>
      </c>
      <c r="R284" s="134">
        <f t="shared" si="146"/>
        <v>2.8769999999999998</v>
      </c>
      <c r="S284" s="134">
        <f t="shared" si="146"/>
        <v>2.8769999999999998</v>
      </c>
      <c r="T284" s="134">
        <f t="shared" si="146"/>
        <v>2.8769999999999998</v>
      </c>
    </row>
    <row r="285" spans="1:20" ht="15">
      <c r="A285" s="168"/>
      <c r="B285" s="4"/>
      <c r="D285" s="141"/>
      <c r="E285" s="141"/>
      <c r="F285" s="141"/>
      <c r="G285" s="141"/>
      <c r="H285" s="134"/>
      <c r="I285" s="134"/>
      <c r="J285" s="134"/>
      <c r="K285" s="134"/>
      <c r="L285" s="134"/>
      <c r="M285" s="134"/>
      <c r="N285" s="134"/>
      <c r="O285" s="134"/>
      <c r="P285" s="134"/>
      <c r="Q285" s="134"/>
      <c r="R285" s="134"/>
      <c r="S285" s="134"/>
      <c r="T285" s="134"/>
    </row>
    <row r="286" spans="1:20" ht="15">
      <c r="A286" s="18" t="s">
        <v>457</v>
      </c>
      <c r="B286" s="4"/>
      <c r="D286" s="134"/>
      <c r="E286" s="134"/>
      <c r="F286" s="134"/>
      <c r="G286" s="134"/>
      <c r="H286" s="134"/>
      <c r="I286" s="134"/>
      <c r="J286" s="134"/>
      <c r="K286" s="134"/>
      <c r="L286" s="134"/>
      <c r="M286" s="134"/>
      <c r="N286" s="134"/>
      <c r="O286" s="134"/>
      <c r="P286" s="134"/>
      <c r="Q286" s="134"/>
      <c r="R286" s="134"/>
      <c r="S286" s="134"/>
      <c r="T286" s="134"/>
    </row>
    <row r="287" spans="1:20">
      <c r="A287" s="167" t="s">
        <v>279</v>
      </c>
      <c r="B287" s="4" t="str">
        <f>$B$39</f>
        <v>From Fiscal Forecasts</v>
      </c>
      <c r="D287" s="175">
        <f>'Fiscal Forecasts'!D$59</f>
        <v>2.8889999999999998</v>
      </c>
      <c r="E287" s="175">
        <f>'Fiscal Forecasts'!E$59</f>
        <v>3.1789999999999998</v>
      </c>
      <c r="F287" s="176">
        <f>'Fiscal Forecasts'!F$59 +IF($C$2="Yes",'Fiscal Forecast Adjuster'!C$24/1000,0)</f>
        <v>5.859</v>
      </c>
      <c r="G287" s="176">
        <f>'Fiscal Forecasts'!G$59 +IF($C$2="Yes",'Fiscal Forecast Adjuster'!D$24/1000,0)</f>
        <v>4.3710000000000004</v>
      </c>
      <c r="H287" s="176">
        <f>'Fiscal Forecasts'!H$59 +IF($C$2="Yes",'Fiscal Forecast Adjuster'!E$24/1000,0)</f>
        <v>4.2910000000000004</v>
      </c>
      <c r="I287" s="176">
        <f>'Fiscal Forecasts'!I$59 +IF($C$2="Yes",'Fiscal Forecast Adjuster'!F$24/1000,0)</f>
        <v>4.0140000000000002</v>
      </c>
      <c r="J287" s="176">
        <f>'Fiscal Forecasts'!J$59 +IF($C$2="Yes",'Fiscal Forecast Adjuster'!G$24/1000,0)</f>
        <v>3.677</v>
      </c>
      <c r="K287" s="171">
        <f ca="1">IF(K$6=OFFSET(Assumptions!$B$8,0,$C$1),AVERAGE(H$287/H$131,I$287/I$131,J$287/J$131),J$287/J$131)*K$131</f>
        <v>4.0771150621193071</v>
      </c>
      <c r="L287" s="171">
        <f ca="1">IF(L$6=OFFSET(Assumptions!$B$8,0,$C$1),AVERAGE(I$287/I$131,J$287/J$131,K$287/K$131),K$287/K$131)*L$131</f>
        <v>4.0553284057436114</v>
      </c>
      <c r="M287" s="171">
        <f ca="1">IF(M$6=OFFSET(Assumptions!$B$8,0,$C$1),AVERAGE(J$287/J$131,K$287/K$131,L$287/L$131),L$287/L$131)*M$131</f>
        <v>4.0788137152031725</v>
      </c>
      <c r="N287" s="171">
        <f ca="1">IF(N$6=OFFSET(Assumptions!$B$8,0,$C$1),AVERAGE(K$287/K$131,L$287/L$131,M$287/M$131),M$287/M$131)*N$131</f>
        <v>4.2486102201890334</v>
      </c>
      <c r="O287" s="171">
        <f ca="1">IF(O$6=OFFSET(Assumptions!$B$8,0,$C$1),AVERAGE(L$287/L$131,M$287/M$131,N$287/N$131),N$287/N$131)*O$131</f>
        <v>4.4220843123707825</v>
      </c>
      <c r="P287" s="171">
        <f ca="1">IF(P$6=OFFSET(Assumptions!$B$8,0,$C$1),AVERAGE(M$287/M$131,N$287/N$131,O$287/O$131),O$287/O$131)*P$131</f>
        <v>4.5992158258296483</v>
      </c>
      <c r="Q287" s="171">
        <f ca="1">IF(Q$6=OFFSET(Assumptions!$B$8,0,$C$1),AVERAGE(N$287/N$131,O$287/O$131,P$287/P$131),P$287/P$131)*Q$131</f>
        <v>4.779991726147335</v>
      </c>
      <c r="R287" s="171">
        <f ca="1">IF(R$6=OFFSET(Assumptions!$B$8,0,$C$1),AVERAGE(O$287/O$131,P$287/P$131,Q$287/Q$131),Q$287/Q$131)*R$131</f>
        <v>4.963925100413074</v>
      </c>
      <c r="S287" s="171">
        <f ca="1">IF(S$6=OFFSET(Assumptions!$B$8,0,$C$1),AVERAGE(P$287/P$131,Q$287/Q$131,R$287/R$131),R$287/R$131)*S$131</f>
        <v>5.1508692067939696</v>
      </c>
      <c r="T287" s="171">
        <f ca="1">IF(T$6=OFFSET(Assumptions!$B$8,0,$C$1),AVERAGE(Q$287/Q$131,R$287/R$131,S$287/S$131),S$287/S$131)*T$131</f>
        <v>5.343355870916767</v>
      </c>
    </row>
    <row r="288" spans="1:20">
      <c r="A288" s="167" t="s">
        <v>256</v>
      </c>
      <c r="B288" s="4" t="str">
        <f>$B$39</f>
        <v>From Fiscal Forecasts</v>
      </c>
      <c r="D288" s="175">
        <f>'Fiscal Forecasts'!D$200</f>
        <v>3.21</v>
      </c>
      <c r="E288" s="175">
        <f>'Fiscal Forecasts'!E$200</f>
        <v>3.8239999999999998</v>
      </c>
      <c r="F288" s="176">
        <f>'Fiscal Forecasts'!F$200</f>
        <v>4.5199999999999996</v>
      </c>
      <c r="G288" s="176">
        <f>'Fiscal Forecasts'!G$200</f>
        <v>4.5030000000000001</v>
      </c>
      <c r="H288" s="176">
        <f>'Fiscal Forecasts'!H$200</f>
        <v>4.4749999999999996</v>
      </c>
      <c r="I288" s="176">
        <f>'Fiscal Forecasts'!I$200</f>
        <v>3.8809999999999998</v>
      </c>
      <c r="J288" s="176">
        <f>'Fiscal Forecasts'!J$200</f>
        <v>3.6230000000000002</v>
      </c>
      <c r="K288" s="171">
        <f t="shared" ref="K288:T288" ca="1" si="147">SUM(J$288,K$287-J$287)</f>
        <v>4.0231150621193077</v>
      </c>
      <c r="L288" s="171">
        <f t="shared" ca="1" si="147"/>
        <v>4.001328405743612</v>
      </c>
      <c r="M288" s="171">
        <f t="shared" ca="1" si="147"/>
        <v>4.0248137152031731</v>
      </c>
      <c r="N288" s="171">
        <f t="shared" ca="1" si="147"/>
        <v>4.1946102201890341</v>
      </c>
      <c r="O288" s="171">
        <f t="shared" ca="1" si="147"/>
        <v>4.3680843123707831</v>
      </c>
      <c r="P288" s="171">
        <f t="shared" ca="1" si="147"/>
        <v>4.5452158258296489</v>
      </c>
      <c r="Q288" s="171">
        <f t="shared" ca="1" si="147"/>
        <v>4.7259917261473356</v>
      </c>
      <c r="R288" s="171">
        <f t="shared" ca="1" si="147"/>
        <v>4.9099251004130746</v>
      </c>
      <c r="S288" s="171">
        <f t="shared" ca="1" si="147"/>
        <v>5.0968692067939703</v>
      </c>
      <c r="T288" s="171">
        <f t="shared" ca="1" si="147"/>
        <v>5.2893558709167676</v>
      </c>
    </row>
    <row r="289" spans="1:20">
      <c r="A289" s="167" t="s">
        <v>418</v>
      </c>
      <c r="B289" s="4" t="str">
        <f>$B$39</f>
        <v>From Fiscal Forecasts</v>
      </c>
      <c r="D289" s="175">
        <f>'Fiscal Forecasts'!D$201</f>
        <v>5.4009999999999998</v>
      </c>
      <c r="E289" s="175">
        <f>'Fiscal Forecasts'!E$201</f>
        <v>8.9149999999999991</v>
      </c>
      <c r="F289" s="176">
        <f>'Fiscal Forecasts'!F$201</f>
        <v>5.601</v>
      </c>
      <c r="G289" s="176">
        <f>'Fiscal Forecasts'!G$201</f>
        <v>7.1349999999999998</v>
      </c>
      <c r="H289" s="176">
        <f>'Fiscal Forecasts'!H$201</f>
        <v>7.6390000000000002</v>
      </c>
      <c r="I289" s="176">
        <f>'Fiscal Forecasts'!I$201</f>
        <v>8.1020000000000003</v>
      </c>
      <c r="J289" s="176">
        <f>'Fiscal Forecasts'!J$201</f>
        <v>8.0470000000000006</v>
      </c>
      <c r="K289" s="171">
        <f ca="1">IF(K$6=OFFSET(Assumptions!$B$8,0,$C$1),AVERAGE(H$289/H$13,I$289/I$13,J$289/J$13),J$289/J$13)*K$13</f>
        <v>8.7433476834797226</v>
      </c>
      <c r="L289" s="171">
        <f ca="1">IF(L$6=OFFSET(Assumptions!$B$8,0,$C$1),AVERAGE(I$289/I$13,J$289/J$13,K$289/K$13),K$289/K$13)*L$13</f>
        <v>9.1165893462614438</v>
      </c>
      <c r="M289" s="171">
        <f ca="1">IF(M$6=OFFSET(Assumptions!$B$8,0,$C$1),AVERAGE(J$289/J$13,K$289/K$13,L$289/L$13),L$289/L$13)*M$13</f>
        <v>9.494017063790972</v>
      </c>
      <c r="N289" s="171">
        <f ca="1">IF(N$6=OFFSET(Assumptions!$B$8,0,$C$1),AVERAGE(K$289/K$13,L$289/L$13,M$289/M$13),M$289/M$13)*N$13</f>
        <v>9.889242496543428</v>
      </c>
      <c r="O289" s="171">
        <f ca="1">IF(O$6=OFFSET(Assumptions!$B$8,0,$C$1),AVERAGE(L$289/L$13,M$289/M$13,N$289/N$13),N$289/N$13)*O$13</f>
        <v>10.293028034765079</v>
      </c>
      <c r="P289" s="171">
        <f ca="1">IF(P$6=OFFSET(Assumptions!$B$8,0,$C$1),AVERAGE(M$289/M$13,N$289/N$13,O$289/O$13),O$289/O$13)*P$13</f>
        <v>10.705326739421617</v>
      </c>
      <c r="Q289" s="171">
        <f ca="1">IF(Q$6=OFFSET(Assumptions!$B$8,0,$C$1),AVERAGE(N$289/N$13,O$289/O$13,P$289/P$13),P$289/P$13)*Q$13</f>
        <v>11.126108271056927</v>
      </c>
      <c r="R289" s="171">
        <f ca="1">IF(R$6=OFFSET(Assumptions!$B$8,0,$C$1),AVERAGE(O$289/O$13,P$289/P$13,Q$289/Q$13),Q$289/Q$13)*R$13</f>
        <v>11.554239270854886</v>
      </c>
      <c r="S289" s="171">
        <f ca="1">IF(S$6=OFFSET(Assumptions!$B$8,0,$C$1),AVERAGE(P$289/P$13,Q$289/Q$13,R$289/R$13),R$289/R$13)*S$13</f>
        <v>11.989378176399871</v>
      </c>
      <c r="T289" s="171">
        <f ca="1">IF(T$6=OFFSET(Assumptions!$B$8,0,$C$1),AVERAGE(Q$289/Q$13,R$289/R$13,S$289/S$13),S$289/S$13)*T$13</f>
        <v>12.437418170705669</v>
      </c>
    </row>
    <row r="290" spans="1:20">
      <c r="A290" s="167" t="s">
        <v>419</v>
      </c>
      <c r="B290" s="4" t="str">
        <f>$B$39</f>
        <v>From Fiscal Forecasts</v>
      </c>
      <c r="D290" s="175">
        <f>'Fiscal Forecasts'!D$42-SUM(D$287:D$289)</f>
        <v>-3.0709999999999997</v>
      </c>
      <c r="E290" s="175">
        <f>'Fiscal Forecasts'!E$42-SUM(E$287:E$289)</f>
        <v>-2.9559999999999995</v>
      </c>
      <c r="F290" s="176">
        <f>'Fiscal Forecasts'!F$42-SUM(F$287:F$289) +IF($C$2="Yes",'Fiscal Forecast Adjuster'!C$24/1000,0)</f>
        <v>-4.3789999999999996</v>
      </c>
      <c r="G290" s="176">
        <f>'Fiscal Forecasts'!G$42-SUM(G$287:G$289) +IF($C$2="Yes",'Fiscal Forecast Adjuster'!D$24/1000,0)</f>
        <v>-4.0489999999999995</v>
      </c>
      <c r="H290" s="176">
        <f>'Fiscal Forecasts'!H$42-SUM(H$287:H$289) +IF($C$2="Yes",'Fiscal Forecast Adjuster'!E$24/1000,0)</f>
        <v>-4.4640000000000004</v>
      </c>
      <c r="I290" s="176">
        <f>'Fiscal Forecasts'!I$42-SUM(I$287:I$289) +IF($C$2="Yes",'Fiscal Forecast Adjuster'!F$24/1000,0)</f>
        <v>-4.2219999999999995</v>
      </c>
      <c r="J290" s="176">
        <f>'Fiscal Forecasts'!J$42-SUM(J$287:J$289) +IF($C$2="Yes",'Fiscal Forecast Adjuster'!G$24/1000,0)</f>
        <v>-3.9010000000000016</v>
      </c>
      <c r="K290" s="171">
        <f t="shared" ref="K290:T290" ca="1" si="148">J$290-(K$287-J$287)</f>
        <v>-4.3011150621193082</v>
      </c>
      <c r="L290" s="171">
        <f t="shared" ca="1" si="148"/>
        <v>-4.2793284057436125</v>
      </c>
      <c r="M290" s="171">
        <f t="shared" ca="1" si="148"/>
        <v>-4.3028137152031736</v>
      </c>
      <c r="N290" s="171">
        <f t="shared" ca="1" si="148"/>
        <v>-4.4726102201890345</v>
      </c>
      <c r="O290" s="171">
        <f t="shared" ca="1" si="148"/>
        <v>-4.6460843123707836</v>
      </c>
      <c r="P290" s="171">
        <f t="shared" ca="1" si="148"/>
        <v>-4.8232158258296494</v>
      </c>
      <c r="Q290" s="171">
        <f t="shared" ca="1" si="148"/>
        <v>-5.0039917261473361</v>
      </c>
      <c r="R290" s="171">
        <f t="shared" ca="1" si="148"/>
        <v>-5.1879251004130751</v>
      </c>
      <c r="S290" s="171">
        <f t="shared" ca="1" si="148"/>
        <v>-5.3748692067939707</v>
      </c>
      <c r="T290" s="171">
        <f t="shared" ca="1" si="148"/>
        <v>-5.5673558709167681</v>
      </c>
    </row>
    <row r="291" spans="1:20" ht="15">
      <c r="A291" s="168" t="s">
        <v>458</v>
      </c>
      <c r="D291" s="138">
        <f t="shared" ref="D291:T291" si="149">SUM(D$287:D$290)</f>
        <v>8.4290000000000003</v>
      </c>
      <c r="E291" s="138">
        <f t="shared" si="149"/>
        <v>12.962</v>
      </c>
      <c r="F291" s="137">
        <f t="shared" si="149"/>
        <v>11.601000000000001</v>
      </c>
      <c r="G291" s="137">
        <f t="shared" si="149"/>
        <v>11.96</v>
      </c>
      <c r="H291" s="137">
        <f t="shared" si="149"/>
        <v>11.941000000000001</v>
      </c>
      <c r="I291" s="137">
        <f t="shared" si="149"/>
        <v>11.775</v>
      </c>
      <c r="J291" s="137">
        <f t="shared" si="149"/>
        <v>11.446</v>
      </c>
      <c r="K291" s="140">
        <f t="shared" ca="1" si="149"/>
        <v>12.542462745599028</v>
      </c>
      <c r="L291" s="140">
        <f t="shared" ca="1" si="149"/>
        <v>12.893917752005052</v>
      </c>
      <c r="M291" s="140">
        <f t="shared" ca="1" si="149"/>
        <v>13.294830778994145</v>
      </c>
      <c r="N291" s="140">
        <f t="shared" ca="1" si="149"/>
        <v>13.85985271673246</v>
      </c>
      <c r="O291" s="140">
        <f t="shared" ca="1" si="149"/>
        <v>14.43711234713586</v>
      </c>
      <c r="P291" s="140">
        <f t="shared" ca="1" si="149"/>
        <v>15.026542565251262</v>
      </c>
      <c r="Q291" s="140">
        <f t="shared" ca="1" si="149"/>
        <v>15.628099997204263</v>
      </c>
      <c r="R291" s="140">
        <f t="shared" ca="1" si="149"/>
        <v>16.240164371267959</v>
      </c>
      <c r="S291" s="140">
        <f t="shared" ca="1" si="149"/>
        <v>16.862247383193839</v>
      </c>
      <c r="T291" s="140">
        <f t="shared" ca="1" si="149"/>
        <v>17.502774041622438</v>
      </c>
    </row>
    <row r="292" spans="1:20" ht="15">
      <c r="A292" s="168"/>
      <c r="D292" s="46"/>
      <c r="E292" s="46"/>
      <c r="F292" s="145"/>
      <c r="G292" s="145"/>
      <c r="H292" s="145"/>
      <c r="I292" s="145"/>
      <c r="J292" s="145"/>
      <c r="K292" s="146"/>
      <c r="L292" s="146"/>
      <c r="M292" s="146"/>
      <c r="N292" s="146"/>
      <c r="O292" s="146"/>
      <c r="P292" s="146"/>
      <c r="Q292" s="146"/>
      <c r="R292" s="146"/>
      <c r="S292" s="146"/>
      <c r="T292" s="146"/>
    </row>
    <row r="293" spans="1:20" ht="15">
      <c r="A293" s="18" t="s">
        <v>459</v>
      </c>
      <c r="D293" s="46"/>
      <c r="E293" s="46"/>
      <c r="F293" s="145"/>
      <c r="G293" s="145"/>
      <c r="H293" s="145"/>
      <c r="I293" s="145"/>
      <c r="J293" s="145"/>
      <c r="K293" s="146"/>
      <c r="L293" s="146"/>
      <c r="M293" s="146"/>
      <c r="N293" s="146"/>
      <c r="O293" s="146"/>
      <c r="P293" s="146"/>
      <c r="Q293" s="146"/>
      <c r="R293" s="146"/>
      <c r="S293" s="146"/>
      <c r="T293" s="146"/>
    </row>
    <row r="294" spans="1:20">
      <c r="A294" s="167" t="s">
        <v>948</v>
      </c>
      <c r="D294" s="175">
        <f t="shared" ref="D294:T294" si="150">D$237</f>
        <v>0</v>
      </c>
      <c r="E294" s="175">
        <f t="shared" si="150"/>
        <v>0</v>
      </c>
      <c r="F294" s="176">
        <f t="shared" si="150"/>
        <v>3.0000000000000001E-3</v>
      </c>
      <c r="G294" s="176">
        <f t="shared" si="150"/>
        <v>2E-3</v>
      </c>
      <c r="H294" s="176">
        <f t="shared" si="150"/>
        <v>2E-3</v>
      </c>
      <c r="I294" s="176">
        <f t="shared" si="150"/>
        <v>2E-3</v>
      </c>
      <c r="J294" s="176">
        <f t="shared" si="150"/>
        <v>2E-3</v>
      </c>
      <c r="K294" s="171">
        <f t="shared" ca="1" si="150"/>
        <v>0</v>
      </c>
      <c r="L294" s="171">
        <f t="shared" ca="1" si="150"/>
        <v>0</v>
      </c>
      <c r="M294" s="171">
        <f t="shared" ca="1" si="150"/>
        <v>0</v>
      </c>
      <c r="N294" s="171">
        <f t="shared" ca="1" si="150"/>
        <v>0</v>
      </c>
      <c r="O294" s="171">
        <f t="shared" ca="1" si="150"/>
        <v>0</v>
      </c>
      <c r="P294" s="171">
        <f t="shared" ca="1" si="150"/>
        <v>0</v>
      </c>
      <c r="Q294" s="171">
        <f t="shared" ca="1" si="150"/>
        <v>0</v>
      </c>
      <c r="R294" s="171">
        <f t="shared" ca="1" si="150"/>
        <v>0</v>
      </c>
      <c r="S294" s="171">
        <f t="shared" ca="1" si="150"/>
        <v>0</v>
      </c>
      <c r="T294" s="171">
        <f t="shared" ca="1" si="150"/>
        <v>0</v>
      </c>
    </row>
    <row r="295" spans="1:20">
      <c r="A295" s="167" t="s">
        <v>409</v>
      </c>
      <c r="D295" s="175">
        <f t="shared" ref="D295:T295" si="151">D$184</f>
        <v>0.95099999999999996</v>
      </c>
      <c r="E295" s="175">
        <f t="shared" si="151"/>
        <v>0.89300000000000002</v>
      </c>
      <c r="F295" s="176">
        <f t="shared" si="151"/>
        <v>0.92900000000000005</v>
      </c>
      <c r="G295" s="176">
        <f t="shared" si="151"/>
        <v>0.97399999999999998</v>
      </c>
      <c r="H295" s="176">
        <f t="shared" si="151"/>
        <v>1.0149999999999999</v>
      </c>
      <c r="I295" s="176">
        <f t="shared" si="151"/>
        <v>1.0509999999999999</v>
      </c>
      <c r="J295" s="176">
        <f t="shared" si="151"/>
        <v>1.083</v>
      </c>
      <c r="K295" s="171">
        <f t="shared" ca="1" si="151"/>
        <v>1.1100000000000001</v>
      </c>
      <c r="L295" s="171">
        <f t="shared" ca="1" si="151"/>
        <v>1.141</v>
      </c>
      <c r="M295" s="171">
        <f t="shared" ca="1" si="151"/>
        <v>1.169</v>
      </c>
      <c r="N295" s="171">
        <f t="shared" ca="1" si="151"/>
        <v>1.1930000000000001</v>
      </c>
      <c r="O295" s="171">
        <f t="shared" ca="1" si="151"/>
        <v>1.2150000000000001</v>
      </c>
      <c r="P295" s="171">
        <f t="shared" ca="1" si="151"/>
        <v>1.2310000000000003</v>
      </c>
      <c r="Q295" s="171">
        <f t="shared" ca="1" si="151"/>
        <v>1.2440000000000002</v>
      </c>
      <c r="R295" s="171">
        <f t="shared" ca="1" si="151"/>
        <v>1.2550000000000001</v>
      </c>
      <c r="S295" s="171">
        <f t="shared" ca="1" si="151"/>
        <v>1.2650000000000001</v>
      </c>
      <c r="T295" s="171">
        <f t="shared" ca="1" si="151"/>
        <v>1.2740000000000002</v>
      </c>
    </row>
    <row r="296" spans="1:20">
      <c r="A296" s="167" t="s">
        <v>460</v>
      </c>
      <c r="B296" s="4" t="str">
        <f>$B$39</f>
        <v>From Fiscal Forecasts</v>
      </c>
      <c r="D296" s="175">
        <f>'Fiscal Forecasts'!D$60-SUM(D$294:D$295)</f>
        <v>2.0549999999999997</v>
      </c>
      <c r="E296" s="175">
        <f>'Fiscal Forecasts'!E$60-SUM(E$294:E$295)</f>
        <v>3.0949999999999998</v>
      </c>
      <c r="F296" s="176">
        <f>'Fiscal Forecasts'!F$60-SUM(F$294:F$295) +IF($C$2="Yes",'Fiscal Forecast Adjuster'!C$22/1000,0)</f>
        <v>4.0269999999999992</v>
      </c>
      <c r="G296" s="176">
        <f>'Fiscal Forecasts'!G$60-SUM(G$294:G$295) +IF($C$2="Yes",'Fiscal Forecast Adjuster'!D$22/1000,0)</f>
        <v>3.4269999999999996</v>
      </c>
      <c r="H296" s="176">
        <f>'Fiscal Forecasts'!H$60-SUM(H$294:H$295) +IF($C$2="Yes",'Fiscal Forecast Adjuster'!E$22/1000,0)</f>
        <v>2.79</v>
      </c>
      <c r="I296" s="176">
        <f>'Fiscal Forecasts'!I$60-SUM(I$294:I$295) +IF($C$2="Yes",'Fiscal Forecast Adjuster'!F$22/1000,0)</f>
        <v>2.5310000000000001</v>
      </c>
      <c r="J296" s="176">
        <f>'Fiscal Forecasts'!J$60-SUM(J$294:J$295) +IF($C$2="Yes",'Fiscal Forecast Adjuster'!G$22/1000,0)</f>
        <v>2.302</v>
      </c>
      <c r="K296" s="171">
        <f t="shared" ref="K296:T296" si="152">J$296</f>
        <v>2.302</v>
      </c>
      <c r="L296" s="171">
        <f t="shared" si="152"/>
        <v>2.302</v>
      </c>
      <c r="M296" s="171">
        <f t="shared" si="152"/>
        <v>2.302</v>
      </c>
      <c r="N296" s="171">
        <f t="shared" si="152"/>
        <v>2.302</v>
      </c>
      <c r="O296" s="171">
        <f t="shared" si="152"/>
        <v>2.302</v>
      </c>
      <c r="P296" s="171">
        <f t="shared" si="152"/>
        <v>2.302</v>
      </c>
      <c r="Q296" s="171">
        <f t="shared" si="152"/>
        <v>2.302</v>
      </c>
      <c r="R296" s="171">
        <f t="shared" si="152"/>
        <v>2.302</v>
      </c>
      <c r="S296" s="171">
        <f t="shared" si="152"/>
        <v>2.302</v>
      </c>
      <c r="T296" s="171">
        <f t="shared" si="152"/>
        <v>2.302</v>
      </c>
    </row>
    <row r="297" spans="1:20" ht="15">
      <c r="A297" s="168" t="s">
        <v>461</v>
      </c>
      <c r="D297" s="138">
        <f t="shared" ref="D297:T297" si="153">SUM(D$294:D$296)</f>
        <v>3.0059999999999998</v>
      </c>
      <c r="E297" s="138">
        <f t="shared" si="153"/>
        <v>3.9879999999999995</v>
      </c>
      <c r="F297" s="137">
        <f t="shared" si="153"/>
        <v>4.9589999999999996</v>
      </c>
      <c r="G297" s="137">
        <f t="shared" si="153"/>
        <v>4.4029999999999996</v>
      </c>
      <c r="H297" s="137">
        <f t="shared" si="153"/>
        <v>3.8069999999999999</v>
      </c>
      <c r="I297" s="137">
        <f t="shared" si="153"/>
        <v>3.5840000000000001</v>
      </c>
      <c r="J297" s="137">
        <f t="shared" si="153"/>
        <v>3.387</v>
      </c>
      <c r="K297" s="140">
        <f t="shared" ca="1" si="153"/>
        <v>3.4119999999999999</v>
      </c>
      <c r="L297" s="140">
        <f t="shared" ca="1" si="153"/>
        <v>3.4430000000000001</v>
      </c>
      <c r="M297" s="140">
        <f t="shared" ca="1" si="153"/>
        <v>3.4710000000000001</v>
      </c>
      <c r="N297" s="140">
        <f t="shared" ca="1" si="153"/>
        <v>3.4950000000000001</v>
      </c>
      <c r="O297" s="140">
        <f t="shared" ca="1" si="153"/>
        <v>3.5170000000000003</v>
      </c>
      <c r="P297" s="140">
        <f t="shared" ca="1" si="153"/>
        <v>3.5330000000000004</v>
      </c>
      <c r="Q297" s="140">
        <f t="shared" ca="1" si="153"/>
        <v>3.5460000000000003</v>
      </c>
      <c r="R297" s="140">
        <f t="shared" ca="1" si="153"/>
        <v>3.5570000000000004</v>
      </c>
      <c r="S297" s="140">
        <f t="shared" ca="1" si="153"/>
        <v>3.5670000000000002</v>
      </c>
      <c r="T297" s="140">
        <f t="shared" ca="1" si="153"/>
        <v>3.5760000000000005</v>
      </c>
    </row>
    <row r="298" spans="1:20" ht="15">
      <c r="A298" s="168" t="s">
        <v>462</v>
      </c>
      <c r="B298" s="4" t="str">
        <f>$B$39</f>
        <v>From Fiscal Forecasts</v>
      </c>
      <c r="D298" s="142">
        <f>'Fiscal Forecasts'!D$43</f>
        <v>10.433</v>
      </c>
      <c r="E298" s="142">
        <f>'Fiscal Forecasts'!E$43</f>
        <v>11.246</v>
      </c>
      <c r="F298" s="141">
        <f>'Fiscal Forecasts'!F$43 +IF($C$2="Yes",'Fiscal Forecast Adjuster'!C$22/1000,0)</f>
        <v>12.612</v>
      </c>
      <c r="G298" s="141">
        <f>'Fiscal Forecasts'!G$43 +IF($C$2="Yes",'Fiscal Forecast Adjuster'!D$22/1000,0)</f>
        <v>11.01</v>
      </c>
      <c r="H298" s="141">
        <f>'Fiscal Forecasts'!H$43 +IF($C$2="Yes",'Fiscal Forecast Adjuster'!E$22/1000,0)</f>
        <v>10.497999999999999</v>
      </c>
      <c r="I298" s="141">
        <f>'Fiscal Forecasts'!I$43 +IF($C$2="Yes",'Fiscal Forecast Adjuster'!F$22/1000,0)</f>
        <v>10.35</v>
      </c>
      <c r="J298" s="141">
        <f>'Fiscal Forecasts'!J$43 +IF($C$2="Yes",'Fiscal Forecast Adjuster'!G$22/1000,0)</f>
        <v>10.262</v>
      </c>
      <c r="K298" s="134">
        <f ca="1">SUM(K$297,IF(K$6=OFFSET(Assumptions!$B$8,0,$C$1),AVERAGE((H$298-H$297)/H$13,(I$298-I$297)/I$13,(J$298-J$297)/J$13),(J$298-J$297)/J$13)*K$13)</f>
        <v>10.88852802580622</v>
      </c>
      <c r="L298" s="134">
        <f ca="1">SUM(L$297,IF(L$6=OFFSET(Assumptions!$B$8,0,$C$1),AVERAGE((I$298-I$297)/I$13,(J$298-J$297)/J$13,(K$298-K$297)/K$13),(K$298-K$297)/K$13)*L$13)</f>
        <v>11.238690874317749</v>
      </c>
      <c r="M298" s="134">
        <f ca="1">SUM(M$297,IF(M$6=OFFSET(Assumptions!$B$8,0,$C$1),AVERAGE((J$298-J$297)/J$13,(K$298-K$297)/K$13,(L$298-L$297)/L$13),(L$298-L$297)/L$13)*M$13)</f>
        <v>11.589433262014097</v>
      </c>
      <c r="N298" s="134">
        <f ca="1">SUM(N$297,IF(N$6=OFFSET(Assumptions!$B$8,0,$C$1),AVERAGE((K$298-K$297)/K$13,(L$298-L$297)/L$13,(M$298-M$297)/M$13),(M$298-M$297)/M$13)*N$13)</f>
        <v>11.951394662092966</v>
      </c>
      <c r="O298" s="134">
        <f ca="1">SUM(O$297,IF(O$6=OFFSET(Assumptions!$B$8,0,$C$1),AVERAGE((L$298-L$297)/L$13,(M$298-M$297)/M$13,(N$298-N$297)/N$13),(N$298-N$297)/N$13)*O$13)</f>
        <v>12.3186758978642</v>
      </c>
      <c r="P298" s="134">
        <f ca="1">SUM(P$297,IF(P$6=OFFSET(Assumptions!$B$8,0,$C$1),AVERAGE((M$298-M$297)/M$13,(N$298-N$297)/N$13,(O$298-O$297)/O$13),(O$298-O$297)/O$13)*P$13)</f>
        <v>12.687236831268759</v>
      </c>
      <c r="Q298" s="134">
        <f ca="1">SUM(Q$297,IF(Q$6=OFFSET(Assumptions!$B$8,0,$C$1),AVERAGE((N$298-N$297)/N$13,(O$298-O$297)/O$13,(P$298-P$297)/P$13),(P$298-P$297)/P$13)*Q$13)</f>
        <v>13.060051518720488</v>
      </c>
      <c r="R298" s="134">
        <f ca="1">SUM(R$297,IF(R$6=OFFSET(Assumptions!$B$8,0,$C$1),AVERAGE((O$298-O$297)/O$13,(P$298-P$297)/P$13,(Q$298-Q$297)/Q$13),(Q$298-Q$297)/Q$13)*R$13)</f>
        <v>13.437150813245166</v>
      </c>
      <c r="S298" s="134">
        <f ca="1">SUM(S$297,IF(S$6=OFFSET(Assumptions!$B$8,0,$C$1),AVERAGE((P$298-P$297)/P$13,(Q$298-Q$297)/Q$13,(R$298-R$297)/R$13),(R$298-R$297)/R$13)*S$13)</f>
        <v>13.819242641249762</v>
      </c>
      <c r="T298" s="134">
        <f ca="1">SUM(T$297,IF(T$6=OFFSET(Assumptions!$B$8,0,$C$1),AVERAGE((Q$298-Q$297)/Q$13,(R$298-R$297)/R$13,(S$298-S$297)/S$13),(S$298-S$297)/S$13)*T$13)</f>
        <v>14.211366325149314</v>
      </c>
    </row>
    <row r="299" spans="1:20" ht="15">
      <c r="A299" s="168"/>
      <c r="B299" s="4"/>
      <c r="D299" s="142"/>
      <c r="E299" s="142"/>
      <c r="F299" s="141"/>
      <c r="G299" s="141"/>
      <c r="H299" s="141"/>
      <c r="I299" s="141"/>
      <c r="J299" s="141"/>
      <c r="K299" s="134"/>
      <c r="L299" s="134"/>
      <c r="M299" s="134"/>
      <c r="N299" s="134"/>
      <c r="O299" s="134"/>
      <c r="P299" s="134"/>
      <c r="Q299" s="134"/>
      <c r="R299" s="134"/>
      <c r="S299" s="134"/>
      <c r="T299" s="134"/>
    </row>
    <row r="300" spans="1:20" ht="15">
      <c r="A300" s="18" t="s">
        <v>511</v>
      </c>
      <c r="D300" s="46"/>
      <c r="E300" s="46"/>
      <c r="F300" s="145"/>
      <c r="G300" s="145"/>
      <c r="H300" s="145"/>
      <c r="I300" s="145"/>
      <c r="J300" s="145"/>
      <c r="K300" s="146"/>
      <c r="L300" s="146"/>
      <c r="M300" s="146"/>
      <c r="N300" s="146"/>
      <c r="O300" s="146"/>
      <c r="P300" s="146"/>
      <c r="Q300" s="146"/>
      <c r="R300" s="146"/>
      <c r="S300" s="146"/>
      <c r="T300" s="146"/>
    </row>
    <row r="301" spans="1:20" ht="15">
      <c r="A301" s="168" t="s">
        <v>463</v>
      </c>
      <c r="B301" s="4" t="str">
        <f>$B$39</f>
        <v>From Fiscal Forecasts</v>
      </c>
      <c r="D301" s="142">
        <f>'Fiscal Forecasts'!D$62</f>
        <v>0.91800000000000004</v>
      </c>
      <c r="E301" s="142">
        <f>'Fiscal Forecasts'!E$62</f>
        <v>1.1060000000000001</v>
      </c>
      <c r="F301" s="141">
        <f>'Fiscal Forecasts'!F$62</f>
        <v>1.55</v>
      </c>
      <c r="G301" s="141">
        <f>'Fiscal Forecasts'!G$62</f>
        <v>1.3919999999999999</v>
      </c>
      <c r="H301" s="141">
        <f>'Fiscal Forecasts'!H$62</f>
        <v>1.141</v>
      </c>
      <c r="I301" s="141">
        <f>'Fiscal Forecasts'!I$62</f>
        <v>1.0509999999999999</v>
      </c>
      <c r="J301" s="141">
        <f>'Fiscal Forecasts'!J$62</f>
        <v>1.0449999999999999</v>
      </c>
      <c r="K301" s="146">
        <f t="shared" ref="K301:T301" si="154">J$301</f>
        <v>1.0449999999999999</v>
      </c>
      <c r="L301" s="146">
        <f t="shared" si="154"/>
        <v>1.0449999999999999</v>
      </c>
      <c r="M301" s="146">
        <f t="shared" si="154"/>
        <v>1.0449999999999999</v>
      </c>
      <c r="N301" s="146">
        <f t="shared" si="154"/>
        <v>1.0449999999999999</v>
      </c>
      <c r="O301" s="146">
        <f t="shared" si="154"/>
        <v>1.0449999999999999</v>
      </c>
      <c r="P301" s="146">
        <f t="shared" si="154"/>
        <v>1.0449999999999999</v>
      </c>
      <c r="Q301" s="146">
        <f t="shared" si="154"/>
        <v>1.0449999999999999</v>
      </c>
      <c r="R301" s="146">
        <f t="shared" si="154"/>
        <v>1.0449999999999999</v>
      </c>
      <c r="S301" s="146">
        <f t="shared" si="154"/>
        <v>1.0449999999999999</v>
      </c>
      <c r="T301" s="146">
        <f t="shared" si="154"/>
        <v>1.0449999999999999</v>
      </c>
    </row>
    <row r="302" spans="1:20" ht="15">
      <c r="A302" s="168" t="s">
        <v>464</v>
      </c>
      <c r="B302" s="4" t="str">
        <f>$B$39</f>
        <v>From Fiscal Forecasts</v>
      </c>
      <c r="D302" s="142">
        <f>'Fiscal Forecasts'!D$45</f>
        <v>2.5030000000000001</v>
      </c>
      <c r="E302" s="142">
        <f>'Fiscal Forecasts'!E$45</f>
        <v>2.9039999999999999</v>
      </c>
      <c r="F302" s="141">
        <f>'Fiscal Forecasts'!F$45</f>
        <v>3.4279999999999999</v>
      </c>
      <c r="G302" s="141">
        <f>'Fiscal Forecasts'!G$45</f>
        <v>3.1789999999999998</v>
      </c>
      <c r="H302" s="141">
        <f>'Fiscal Forecasts'!H$45</f>
        <v>2.9689999999999999</v>
      </c>
      <c r="I302" s="141">
        <f>'Fiscal Forecasts'!I$45</f>
        <v>2.919</v>
      </c>
      <c r="J302" s="141">
        <f>'Fiscal Forecasts'!J$45</f>
        <v>2.9350000000000001</v>
      </c>
      <c r="K302" s="134">
        <f ca="1">SUM(K$301,IF(K$6=OFFSET(Assumptions!$B$8,0,$C$1),AVERAGE((H$302-H$301)/H$13,(I$302-I$301)/I$13,(J$302-J$301)/J$13),(J$302-J$301)/J$13)*K$13)</f>
        <v>3.0988587838594115</v>
      </c>
      <c r="L302" s="134">
        <f ca="1">SUM(L$301,IF(L$6=OFFSET(Assumptions!$B$8,0,$C$1),AVERAGE((I$302-I$301)/I$13,(J$302-J$301)/J$13,(K$302-K$301)/K$13),(K$302-K$301)/K$13)*L$13)</f>
        <v>3.1865352317553324</v>
      </c>
      <c r="M302" s="134">
        <f ca="1">SUM(M$301,IF(M$6=OFFSET(Assumptions!$B$8,0,$C$1),AVERAGE((J$302-J$301)/J$13,(K$302-K$301)/K$13,(L$302-L$301)/L$13),(L$302-L$301)/L$13)*M$13)</f>
        <v>3.2751950061326816</v>
      </c>
      <c r="N302" s="134">
        <f ca="1">SUM(N$301,IF(N$6=OFFSET(Assumptions!$B$8,0,$C$1),AVERAGE((K$302-K$301)/K$13,(L$302-L$301)/L$13,(M$302-M$301)/M$13),(M$302-M$301)/M$13)*N$13)</f>
        <v>3.3680355582929278</v>
      </c>
      <c r="O302" s="134">
        <f ca="1">SUM(O$301,IF(O$6=OFFSET(Assumptions!$B$8,0,$C$1),AVERAGE((L$302-L$301)/L$13,(M$302-M$301)/M$13,(N$302-N$301)/N$13),(N$302-N$301)/N$13)*O$13)</f>
        <v>3.462886924668179</v>
      </c>
      <c r="P302" s="134">
        <f ca="1">SUM(P$301,IF(P$6=OFFSET(Assumptions!$B$8,0,$C$1),AVERAGE((M$302-M$301)/M$13,(N$302-N$301)/N$13,(O$302-O$301)/O$13),(O$302-O$301)/O$13)*P$13)</f>
        <v>3.5597380790301054</v>
      </c>
      <c r="Q302" s="134">
        <f ca="1">SUM(Q$301,IF(Q$6=OFFSET(Assumptions!$B$8,0,$C$1),AVERAGE((N$302-N$301)/N$13,(O$302-O$301)/O$13,(P$302-P$301)/P$13),(P$302-P$301)/P$13)*Q$13)</f>
        <v>3.6585818944794131</v>
      </c>
      <c r="R302" s="134">
        <f ca="1">SUM(R$301,IF(R$6=OFFSET(Assumptions!$B$8,0,$C$1),AVERAGE((O$302-O$301)/O$13,(P$302-P$301)/P$13,(Q$302-Q$301)/Q$13),(Q$302-Q$301)/Q$13)*R$13)</f>
        <v>3.7591521390138949</v>
      </c>
      <c r="S302" s="134">
        <f ca="1">SUM(S$301,IF(S$6=OFFSET(Assumptions!$B$8,0,$C$1),AVERAGE((P$302-P$301)/P$13,(Q$302-Q$301)/Q$13,(R$302-R$301)/R$13),(R$302-R$301)/R$13)*S$13)</f>
        <v>3.8613685778089781</v>
      </c>
      <c r="T302" s="134">
        <f ca="1">SUM(T$301,IF(T$6=OFFSET(Assumptions!$B$8,0,$C$1),AVERAGE((Q$302-Q$301)/Q$13,(R$302-R$301)/R$13,(S$302-S$301)/S$13),(S$302-S$301)/S$13)*T$13)</f>
        <v>3.9666155508378549</v>
      </c>
    </row>
    <row r="303" spans="1:20" ht="15">
      <c r="A303" s="168"/>
      <c r="B303" s="4"/>
      <c r="D303" s="142"/>
      <c r="E303" s="142"/>
      <c r="F303" s="141"/>
      <c r="G303" s="141"/>
      <c r="H303" s="141"/>
      <c r="I303" s="141"/>
      <c r="J303" s="141"/>
      <c r="K303" s="134"/>
      <c r="L303" s="134"/>
      <c r="M303" s="134"/>
      <c r="N303" s="134"/>
      <c r="O303" s="134"/>
      <c r="P303" s="134"/>
      <c r="Q303" s="134"/>
      <c r="R303" s="134"/>
      <c r="S303" s="134"/>
      <c r="T303" s="134"/>
    </row>
    <row r="304" spans="1:20" ht="15">
      <c r="A304" s="18" t="s">
        <v>512</v>
      </c>
      <c r="B304" s="4"/>
      <c r="D304" s="142"/>
      <c r="E304" s="142"/>
      <c r="F304" s="141"/>
      <c r="G304" s="141"/>
      <c r="H304" s="141"/>
      <c r="I304" s="141"/>
      <c r="J304" s="141"/>
      <c r="K304" s="134"/>
      <c r="L304" s="134"/>
      <c r="M304" s="134"/>
      <c r="N304" s="134"/>
      <c r="O304" s="134"/>
      <c r="P304" s="134"/>
      <c r="Q304" s="134"/>
      <c r="R304" s="134"/>
      <c r="S304" s="134"/>
      <c r="T304" s="134"/>
    </row>
    <row r="305" spans="1:20" ht="15">
      <c r="A305" s="168" t="s">
        <v>465</v>
      </c>
      <c r="B305" s="4" t="str">
        <f>$B$39</f>
        <v>From Fiscal Forecasts</v>
      </c>
      <c r="D305" s="142">
        <f>'Fiscal Forecasts'!D$63</f>
        <v>0.96</v>
      </c>
      <c r="E305" s="142">
        <f>'Fiscal Forecasts'!E$63</f>
        <v>0.96099999999999997</v>
      </c>
      <c r="F305" s="141">
        <f>'Fiscal Forecasts'!F$63</f>
        <v>1.304</v>
      </c>
      <c r="G305" s="141">
        <f>'Fiscal Forecasts'!G$63</f>
        <v>1.0629999999999999</v>
      </c>
      <c r="H305" s="141">
        <f>'Fiscal Forecasts'!H$63</f>
        <v>0.91</v>
      </c>
      <c r="I305" s="141">
        <f>'Fiscal Forecasts'!I$63</f>
        <v>0.84499999999999997</v>
      </c>
      <c r="J305" s="141">
        <f>'Fiscal Forecasts'!J$63</f>
        <v>0.82299999999999995</v>
      </c>
      <c r="K305" s="146">
        <f t="shared" ref="K305:T305" si="155">J$305</f>
        <v>0.82299999999999995</v>
      </c>
      <c r="L305" s="146">
        <f t="shared" si="155"/>
        <v>0.82299999999999995</v>
      </c>
      <c r="M305" s="146">
        <f t="shared" si="155"/>
        <v>0.82299999999999995</v>
      </c>
      <c r="N305" s="146">
        <f t="shared" si="155"/>
        <v>0.82299999999999995</v>
      </c>
      <c r="O305" s="146">
        <f t="shared" si="155"/>
        <v>0.82299999999999995</v>
      </c>
      <c r="P305" s="146">
        <f t="shared" si="155"/>
        <v>0.82299999999999995</v>
      </c>
      <c r="Q305" s="146">
        <f t="shared" si="155"/>
        <v>0.82299999999999995</v>
      </c>
      <c r="R305" s="146">
        <f t="shared" si="155"/>
        <v>0.82299999999999995</v>
      </c>
      <c r="S305" s="146">
        <f t="shared" si="155"/>
        <v>0.82299999999999995</v>
      </c>
      <c r="T305" s="146">
        <f t="shared" si="155"/>
        <v>0.82299999999999995</v>
      </c>
    </row>
    <row r="306" spans="1:20" ht="15">
      <c r="A306" s="168" t="s">
        <v>466</v>
      </c>
      <c r="B306" s="4" t="str">
        <f>$B$39</f>
        <v>From Fiscal Forecasts</v>
      </c>
      <c r="D306" s="142">
        <f>'Fiscal Forecasts'!D$46</f>
        <v>2.395</v>
      </c>
      <c r="E306" s="142">
        <f>'Fiscal Forecasts'!E$46</f>
        <v>2.4300000000000002</v>
      </c>
      <c r="F306" s="141">
        <f>'Fiscal Forecasts'!F$46</f>
        <v>2.794</v>
      </c>
      <c r="G306" s="141">
        <f>'Fiscal Forecasts'!G$46</f>
        <v>2.4390000000000001</v>
      </c>
      <c r="H306" s="141">
        <f>'Fiscal Forecasts'!H$46</f>
        <v>2.242</v>
      </c>
      <c r="I306" s="141">
        <f>'Fiscal Forecasts'!I$46</f>
        <v>2.1640000000000001</v>
      </c>
      <c r="J306" s="141">
        <f>'Fiscal Forecasts'!J$46</f>
        <v>2.0299999999999998</v>
      </c>
      <c r="K306" s="134">
        <f ca="1">SUM(K$305,IF(K$6=OFFSET(Assumptions!$B$8,0,$C$1),AVERAGE((H$306-H$305)/H$13,(I$306-I$305)/I$13,(J$306-J$305)/J$13),(J$306-J$305)/J$13)*K$13)</f>
        <v>2.244839233758948</v>
      </c>
      <c r="L306" s="134">
        <f ca="1">SUM(L$305,IF(L$6=OFFSET(Assumptions!$B$8,0,$C$1),AVERAGE((I$306-I$305)/I$13,(J$306-J$305)/J$13,(K$306-K$305)/K$13),(K$306-K$305)/K$13)*L$13)</f>
        <v>2.3055356236347846</v>
      </c>
      <c r="M306" s="134">
        <f ca="1">SUM(M$305,IF(M$6=OFFSET(Assumptions!$B$8,0,$C$1),AVERAGE((J$306-J$305)/J$13,(K$306-K$305)/K$13,(L$306-L$305)/L$13),(L$306-L$305)/L$13)*M$13)</f>
        <v>2.3669127478346539</v>
      </c>
      <c r="N306" s="134">
        <f ca="1">SUM(N$305,IF(N$6=OFFSET(Assumptions!$B$8,0,$C$1),AVERAGE((K$306-K$305)/K$13,(L$306-L$305)/L$13,(M$306-M$305)/M$13),(M$306-M$305)/M$13)*N$13)</f>
        <v>2.4311841284099205</v>
      </c>
      <c r="O306" s="134">
        <f ca="1">SUM(O$305,IF(O$6=OFFSET(Assumptions!$B$8,0,$C$1),AVERAGE((L$306-L$305)/L$13,(M$306-M$305)/M$13,(N$306-N$305)/N$13),(N$306-N$305)/N$13)*O$13)</f>
        <v>2.496847549453189</v>
      </c>
      <c r="P306" s="134">
        <f ca="1">SUM(P$305,IF(P$6=OFFSET(Assumptions!$B$8,0,$C$1),AVERAGE((M$306-M$305)/M$13,(N$306-N$305)/N$13,(O$306-O$305)/O$13),(O$306-O$305)/O$13)*P$13)</f>
        <v>2.5638953777599953</v>
      </c>
      <c r="Q306" s="134">
        <f ca="1">SUM(Q$305,IF(Q$6=OFFSET(Assumptions!$B$8,0,$C$1),AVERAGE((N$306-N$305)/N$13,(O$306-O$305)/O$13,(P$306-P$305)/P$13),(P$306-P$305)/P$13)*Q$13)</f>
        <v>2.6323226795417494</v>
      </c>
      <c r="R306" s="134">
        <f ca="1">SUM(R$305,IF(R$6=OFFSET(Assumptions!$B$8,0,$C$1),AVERAGE((O$306-O$305)/O$13,(P$306-P$305)/P$13,(Q$306-Q$305)/Q$13),(Q$306-Q$305)/Q$13)*R$13)</f>
        <v>2.7019451485019359</v>
      </c>
      <c r="S306" s="134">
        <f ca="1">SUM(S$305,IF(S$6=OFFSET(Assumptions!$B$8,0,$C$1),AVERAGE((P$306-P$305)/P$13,(Q$306-Q$305)/Q$13,(R$306-R$305)/R$13),(R$306-R$305)/R$13)*S$13)</f>
        <v>2.7727072399154795</v>
      </c>
      <c r="T306" s="134">
        <f ca="1">SUM(T$305,IF(T$6=OFFSET(Assumptions!$B$8,0,$C$1),AVERAGE((Q$306-Q$305)/Q$13,(R$306-R$305)/R$13,(S$306-S$305)/S$13),(S$306-S$305)/S$13)*T$13)</f>
        <v>2.8455673005305675</v>
      </c>
    </row>
    <row r="307" spans="1:20" ht="15">
      <c r="A307" s="168"/>
      <c r="B307" s="4"/>
      <c r="D307" s="141"/>
      <c r="E307" s="141"/>
      <c r="F307" s="141"/>
      <c r="G307" s="141"/>
      <c r="H307" s="134"/>
      <c r="I307" s="134"/>
      <c r="J307" s="134"/>
      <c r="K307" s="134"/>
      <c r="L307" s="134"/>
      <c r="M307" s="134"/>
      <c r="N307" s="134"/>
      <c r="O307" s="134"/>
      <c r="P307" s="134"/>
      <c r="Q307" s="134"/>
      <c r="R307" s="134"/>
      <c r="S307" s="134"/>
      <c r="T307" s="134"/>
    </row>
    <row r="308" spans="1:20" ht="15">
      <c r="A308" s="18" t="s">
        <v>513</v>
      </c>
      <c r="B308" s="4"/>
      <c r="D308" s="141"/>
      <c r="E308" s="141"/>
      <c r="F308" s="141"/>
      <c r="G308" s="141"/>
      <c r="H308" s="134"/>
      <c r="I308" s="134"/>
      <c r="J308" s="134"/>
      <c r="K308" s="134"/>
      <c r="L308" s="134"/>
      <c r="M308" s="134"/>
      <c r="N308" s="134"/>
      <c r="O308" s="134"/>
      <c r="P308" s="134"/>
      <c r="Q308" s="134"/>
      <c r="R308" s="134"/>
      <c r="S308" s="134"/>
      <c r="T308" s="134"/>
    </row>
    <row r="309" spans="1:20" ht="15">
      <c r="A309" s="168" t="s">
        <v>467</v>
      </c>
      <c r="B309" s="4" t="str">
        <f>$B$39</f>
        <v>From Fiscal Forecasts</v>
      </c>
      <c r="D309" s="142">
        <f>'Fiscal Forecasts'!D$64</f>
        <v>0.72699999999999998</v>
      </c>
      <c r="E309" s="142">
        <f>'Fiscal Forecasts'!E$64</f>
        <v>1.0149999999999999</v>
      </c>
      <c r="F309" s="141">
        <f>'Fiscal Forecasts'!F$64</f>
        <v>2</v>
      </c>
      <c r="G309" s="141">
        <f>'Fiscal Forecasts'!G$64</f>
        <v>2.5649999999999999</v>
      </c>
      <c r="H309" s="141">
        <f>'Fiscal Forecasts'!H$64</f>
        <v>2.4849999999999999</v>
      </c>
      <c r="I309" s="141">
        <f>'Fiscal Forecasts'!I$64</f>
        <v>2.133</v>
      </c>
      <c r="J309" s="141">
        <f>'Fiscal Forecasts'!J$64</f>
        <v>2.08</v>
      </c>
      <c r="K309" s="146">
        <f t="shared" ref="K309:T309" si="156">J$309</f>
        <v>2.08</v>
      </c>
      <c r="L309" s="146">
        <f t="shared" si="156"/>
        <v>2.08</v>
      </c>
      <c r="M309" s="146">
        <f t="shared" si="156"/>
        <v>2.08</v>
      </c>
      <c r="N309" s="146">
        <f t="shared" si="156"/>
        <v>2.08</v>
      </c>
      <c r="O309" s="146">
        <f t="shared" si="156"/>
        <v>2.08</v>
      </c>
      <c r="P309" s="146">
        <f t="shared" si="156"/>
        <v>2.08</v>
      </c>
      <c r="Q309" s="146">
        <f t="shared" si="156"/>
        <v>2.08</v>
      </c>
      <c r="R309" s="146">
        <f t="shared" si="156"/>
        <v>2.08</v>
      </c>
      <c r="S309" s="146">
        <f t="shared" si="156"/>
        <v>2.08</v>
      </c>
      <c r="T309" s="146">
        <f t="shared" si="156"/>
        <v>2.08</v>
      </c>
    </row>
    <row r="310" spans="1:20" ht="15">
      <c r="A310" s="168" t="s">
        <v>468</v>
      </c>
      <c r="B310" s="4" t="str">
        <f>$B$39</f>
        <v>From Fiscal Forecasts</v>
      </c>
      <c r="D310" s="142">
        <f>'Fiscal Forecasts'!D$47</f>
        <v>2.02</v>
      </c>
      <c r="E310" s="142">
        <f>'Fiscal Forecasts'!E$47</f>
        <v>2.3929999999999998</v>
      </c>
      <c r="F310" s="141">
        <f>'Fiscal Forecasts'!F$47</f>
        <v>3.4980000000000002</v>
      </c>
      <c r="G310" s="141">
        <f>'Fiscal Forecasts'!G$47</f>
        <v>4.3890000000000002</v>
      </c>
      <c r="H310" s="141">
        <f>'Fiscal Forecasts'!H$47</f>
        <v>4.4829999999999997</v>
      </c>
      <c r="I310" s="141">
        <f>'Fiscal Forecasts'!I$47</f>
        <v>4.5529999999999999</v>
      </c>
      <c r="J310" s="141">
        <f>'Fiscal Forecasts'!J$47</f>
        <v>4.6470000000000002</v>
      </c>
      <c r="K310" s="134">
        <f ca="1">SUM(K$309,IF(K$6=OFFSET(Assumptions!$B$8,0,$C$1),AVERAGE((H$310-H$309)/H$13,(I$310-I$309)/I$13,(J$310-J$309)/J$13),(J$310-J$309)/J$13)*K$13)</f>
        <v>4.638331415537789</v>
      </c>
      <c r="L310" s="134">
        <f ca="1">SUM(L$309,IF(L$6=OFFSET(Assumptions!$B$8,0,$C$1),AVERAGE((I$310-I$309)/I$13,(J$310-J$309)/J$13,(K$310-K$309)/K$13),(K$310-K$309)/K$13)*L$13)</f>
        <v>4.7475431163702115</v>
      </c>
      <c r="M310" s="134">
        <f ca="1">SUM(M$309,IF(M$6=OFFSET(Assumptions!$B$8,0,$C$1),AVERAGE((J$310-J$309)/J$13,(K$310-K$309)/K$13,(L$310-L$309)/L$13),(L$310-L$309)/L$13)*M$13)</f>
        <v>4.8579796701715612</v>
      </c>
      <c r="N310" s="134">
        <f ca="1">SUM(N$309,IF(N$6=OFFSET(Assumptions!$B$8,0,$C$1),AVERAGE((K$310-K$309)/K$13,(L$310-L$309)/L$13,(M$310-M$309)/M$13),(M$310-M$309)/M$13)*N$13)</f>
        <v>4.9736238922057137</v>
      </c>
      <c r="O310" s="134">
        <f ca="1">SUM(O$309,IF(O$6=OFFSET(Assumptions!$B$8,0,$C$1),AVERAGE((L$310-L$309)/L$13,(M$310-M$309)/M$13,(N$310-N$309)/N$13),(N$310-N$309)/N$13)*O$13)</f>
        <v>5.0917728283991277</v>
      </c>
      <c r="P310" s="134">
        <f ca="1">SUM(P$309,IF(P$6=OFFSET(Assumptions!$B$8,0,$C$1),AVERAGE((M$310-M$309)/M$13,(N$310-N$309)/N$13,(O$310-O$309)/O$13),(O$310-O$309)/O$13)*P$13)</f>
        <v>5.2124127442406722</v>
      </c>
      <c r="Q310" s="134">
        <f ca="1">SUM(Q$309,IF(Q$6=OFFSET(Assumptions!$B$8,0,$C$1),AVERAGE((N$310-N$309)/N$13,(O$310-O$309)/O$13,(P$310-P$309)/P$13),(P$310-P$309)/P$13)*Q$13)</f>
        <v>5.3355347623087326</v>
      </c>
      <c r="R310" s="134">
        <f ca="1">SUM(R$309,IF(R$6=OFFSET(Assumptions!$B$8,0,$C$1),AVERAGE((O$310-O$309)/O$13,(P$310-P$309)/P$13,(Q$310-Q$309)/Q$13),(Q$310-Q$309)/Q$13)*R$13)</f>
        <v>5.4608072581993241</v>
      </c>
      <c r="S310" s="134">
        <f ca="1">SUM(S$309,IF(S$6=OFFSET(Assumptions!$B$8,0,$C$1),AVERAGE((P$310-P$309)/P$13,(Q$310-Q$309)/Q$13,(R$310-R$309)/R$13),(R$310-R$309)/R$13)*S$13)</f>
        <v>5.5881302896603593</v>
      </c>
      <c r="T310" s="134">
        <f ca="1">SUM(T$309,IF(T$6=OFFSET(Assumptions!$B$8,0,$C$1),AVERAGE((Q$310-Q$309)/Q$13,(R$310-R$309)/R$13,(S$310-S$309)/S$13),(S$310-S$309)/S$13)*T$13)</f>
        <v>5.7192282208355856</v>
      </c>
    </row>
    <row r="311" spans="1:20" ht="15">
      <c r="A311" s="168"/>
      <c r="B311" s="4"/>
      <c r="D311" s="142"/>
      <c r="E311" s="142"/>
      <c r="F311" s="141"/>
      <c r="G311" s="141"/>
      <c r="H311" s="141"/>
      <c r="I311" s="141"/>
      <c r="J311" s="141"/>
      <c r="K311" s="134"/>
      <c r="L311" s="134"/>
      <c r="M311" s="134"/>
      <c r="N311" s="134"/>
      <c r="O311" s="134"/>
      <c r="P311" s="134"/>
      <c r="Q311" s="134"/>
      <c r="R311" s="134"/>
      <c r="S311" s="134"/>
      <c r="T311" s="134"/>
    </row>
    <row r="312" spans="1:20" ht="15">
      <c r="A312" s="18" t="s">
        <v>514</v>
      </c>
      <c r="B312" s="4"/>
      <c r="D312" s="142"/>
      <c r="E312" s="142"/>
      <c r="F312" s="141"/>
      <c r="G312" s="141"/>
      <c r="H312" s="141"/>
      <c r="I312" s="141"/>
      <c r="J312" s="141"/>
      <c r="K312" s="134"/>
      <c r="L312" s="134"/>
      <c r="M312" s="134"/>
      <c r="N312" s="134"/>
      <c r="O312" s="134"/>
      <c r="P312" s="134"/>
      <c r="Q312" s="134"/>
      <c r="R312" s="134"/>
      <c r="S312" s="134"/>
      <c r="T312" s="134"/>
    </row>
    <row r="313" spans="1:20">
      <c r="A313" s="167" t="s">
        <v>970</v>
      </c>
      <c r="B313" s="4" t="str">
        <f>$B$39</f>
        <v>From Fiscal Forecasts</v>
      </c>
      <c r="D313" s="49">
        <f>'Fiscal Forecasts'!D$363</f>
        <v>0.54300000000000004</v>
      </c>
      <c r="E313" s="49">
        <f>'Fiscal Forecasts'!E$363</f>
        <v>0.65</v>
      </c>
      <c r="F313" s="176">
        <f>'Fiscal Forecasts'!F$363</f>
        <v>0.85599999999999998</v>
      </c>
      <c r="G313" s="176">
        <f>'Fiscal Forecasts'!G$363</f>
        <v>0.84399999999999997</v>
      </c>
      <c r="H313" s="176">
        <f>'Fiscal Forecasts'!H$363</f>
        <v>0.84199999999999997</v>
      </c>
      <c r="I313" s="176">
        <f>'Fiscal Forecasts'!I$363</f>
        <v>0.83799999999999997</v>
      </c>
      <c r="J313" s="176">
        <f>'Fiscal Forecasts'!J$363</f>
        <v>0.80200000000000005</v>
      </c>
      <c r="K313" s="171">
        <f ca="1">J$313*(1+K$30)</f>
        <v>0.81866772603706983</v>
      </c>
      <c r="L313" s="171">
        <f t="shared" ref="L313:T313" ca="1" si="157">K$313*(1+L$30)</f>
        <v>0.83535438534687545</v>
      </c>
      <c r="M313" s="171">
        <f t="shared" ca="1" si="157"/>
        <v>0.85206147305381297</v>
      </c>
      <c r="N313" s="171">
        <f t="shared" ca="1" si="157"/>
        <v>0.86910270251488919</v>
      </c>
      <c r="O313" s="171">
        <f t="shared" ca="1" si="157"/>
        <v>0.88648475656518699</v>
      </c>
      <c r="P313" s="171">
        <f t="shared" ca="1" si="157"/>
        <v>0.90421445169649073</v>
      </c>
      <c r="Q313" s="171">
        <f t="shared" ca="1" si="157"/>
        <v>0.92229874073042051</v>
      </c>
      <c r="R313" s="171">
        <f t="shared" ca="1" si="157"/>
        <v>0.94074471554502892</v>
      </c>
      <c r="S313" s="171">
        <f t="shared" ca="1" si="157"/>
        <v>0.95955960985592947</v>
      </c>
      <c r="T313" s="171">
        <f t="shared" ca="1" si="157"/>
        <v>0.9787508020530481</v>
      </c>
    </row>
    <row r="314" spans="1:20">
      <c r="A314" s="167" t="s">
        <v>971</v>
      </c>
      <c r="B314" s="4" t="str">
        <f>$B$39</f>
        <v>From Fiscal Forecasts</v>
      </c>
      <c r="D314" s="175">
        <f>'Fiscal Forecasts'!D$65-D$313</f>
        <v>0.57599999999999996</v>
      </c>
      <c r="E314" s="175">
        <f>'Fiscal Forecasts'!E$65-E$313</f>
        <v>0.83500000000000008</v>
      </c>
      <c r="F314" s="176">
        <f>'Fiscal Forecasts'!F$65-F$313</f>
        <v>1.1779999999999999</v>
      </c>
      <c r="G314" s="176">
        <f>'Fiscal Forecasts'!G$65-G$313</f>
        <v>1.0739999999999998</v>
      </c>
      <c r="H314" s="176">
        <f>'Fiscal Forecasts'!H$65-H$313</f>
        <v>0.94499999999999995</v>
      </c>
      <c r="I314" s="176">
        <f>'Fiscal Forecasts'!I$65-I$313</f>
        <v>0.876</v>
      </c>
      <c r="J314" s="176">
        <f>'Fiscal Forecasts'!J$65-J$313</f>
        <v>0.74499999999999988</v>
      </c>
      <c r="K314" s="171">
        <f t="shared" ref="K314:T314" si="158">J$314</f>
        <v>0.74499999999999988</v>
      </c>
      <c r="L314" s="171">
        <f t="shared" si="158"/>
        <v>0.74499999999999988</v>
      </c>
      <c r="M314" s="171">
        <f t="shared" si="158"/>
        <v>0.74499999999999988</v>
      </c>
      <c r="N314" s="171">
        <f t="shared" si="158"/>
        <v>0.74499999999999988</v>
      </c>
      <c r="O314" s="171">
        <f t="shared" si="158"/>
        <v>0.74499999999999988</v>
      </c>
      <c r="P314" s="171">
        <f t="shared" si="158"/>
        <v>0.74499999999999988</v>
      </c>
      <c r="Q314" s="171">
        <f t="shared" si="158"/>
        <v>0.74499999999999988</v>
      </c>
      <c r="R314" s="171">
        <f t="shared" si="158"/>
        <v>0.74499999999999988</v>
      </c>
      <c r="S314" s="171">
        <f t="shared" si="158"/>
        <v>0.74499999999999988</v>
      </c>
      <c r="T314" s="171">
        <f t="shared" si="158"/>
        <v>0.74499999999999988</v>
      </c>
    </row>
    <row r="315" spans="1:20" ht="15">
      <c r="A315" s="168" t="s">
        <v>469</v>
      </c>
      <c r="B315" s="4"/>
      <c r="D315" s="138">
        <f t="shared" ref="D315:T315" si="159">SUM(D$313:D$314)</f>
        <v>1.119</v>
      </c>
      <c r="E315" s="138">
        <f t="shared" si="159"/>
        <v>1.4850000000000001</v>
      </c>
      <c r="F315" s="137">
        <f t="shared" si="159"/>
        <v>2.0339999999999998</v>
      </c>
      <c r="G315" s="137">
        <f t="shared" si="159"/>
        <v>1.9179999999999997</v>
      </c>
      <c r="H315" s="137">
        <f t="shared" si="159"/>
        <v>1.7869999999999999</v>
      </c>
      <c r="I315" s="137">
        <f t="shared" si="159"/>
        <v>1.714</v>
      </c>
      <c r="J315" s="137">
        <f t="shared" si="159"/>
        <v>1.5469999999999999</v>
      </c>
      <c r="K315" s="140">
        <f t="shared" ca="1" si="159"/>
        <v>1.5636677260370697</v>
      </c>
      <c r="L315" s="140">
        <f t="shared" ca="1" si="159"/>
        <v>1.5803543853468753</v>
      </c>
      <c r="M315" s="140">
        <f t="shared" ca="1" si="159"/>
        <v>1.5970614730538129</v>
      </c>
      <c r="N315" s="140">
        <f t="shared" ca="1" si="159"/>
        <v>1.6141027025148891</v>
      </c>
      <c r="O315" s="140">
        <f t="shared" ca="1" si="159"/>
        <v>1.6314847565651869</v>
      </c>
      <c r="P315" s="140">
        <f t="shared" ca="1" si="159"/>
        <v>1.6492144516964906</v>
      </c>
      <c r="Q315" s="140">
        <f t="shared" ca="1" si="159"/>
        <v>1.6672987407304203</v>
      </c>
      <c r="R315" s="140">
        <f t="shared" ca="1" si="159"/>
        <v>1.6857447155450287</v>
      </c>
      <c r="S315" s="140">
        <f t="shared" ca="1" si="159"/>
        <v>1.7045596098559295</v>
      </c>
      <c r="T315" s="140">
        <f t="shared" ca="1" si="159"/>
        <v>1.7237508020530479</v>
      </c>
    </row>
    <row r="316" spans="1:20" ht="15">
      <c r="A316" s="168" t="s">
        <v>470</v>
      </c>
      <c r="B316" s="4" t="str">
        <f>$B$39</f>
        <v>From Fiscal Forecasts</v>
      </c>
      <c r="D316" s="142">
        <f>'Fiscal Forecasts'!D$48</f>
        <v>1.1080000000000001</v>
      </c>
      <c r="E316" s="142">
        <f>'Fiscal Forecasts'!E$48</f>
        <v>1.472</v>
      </c>
      <c r="F316" s="141">
        <f>'Fiscal Forecasts'!F$48</f>
        <v>1.8819999999999999</v>
      </c>
      <c r="G316" s="141">
        <f>'Fiscal Forecasts'!G$48</f>
        <v>1.905</v>
      </c>
      <c r="H316" s="141">
        <f>'Fiscal Forecasts'!H$48</f>
        <v>1.774</v>
      </c>
      <c r="I316" s="141">
        <f>'Fiscal Forecasts'!I$48</f>
        <v>1.7010000000000001</v>
      </c>
      <c r="J316" s="141">
        <f>'Fiscal Forecasts'!J$48</f>
        <v>1.534</v>
      </c>
      <c r="K316" s="134">
        <f t="shared" ref="K316:T316" ca="1" si="160">K$315</f>
        <v>1.5636677260370697</v>
      </c>
      <c r="L316" s="134">
        <f t="shared" ca="1" si="160"/>
        <v>1.5803543853468753</v>
      </c>
      <c r="M316" s="134">
        <f t="shared" ca="1" si="160"/>
        <v>1.5970614730538129</v>
      </c>
      <c r="N316" s="134">
        <f t="shared" ca="1" si="160"/>
        <v>1.6141027025148891</v>
      </c>
      <c r="O316" s="134">
        <f t="shared" ca="1" si="160"/>
        <v>1.6314847565651869</v>
      </c>
      <c r="P316" s="134">
        <f t="shared" ca="1" si="160"/>
        <v>1.6492144516964906</v>
      </c>
      <c r="Q316" s="134">
        <f t="shared" ca="1" si="160"/>
        <v>1.6672987407304203</v>
      </c>
      <c r="R316" s="134">
        <f t="shared" ca="1" si="160"/>
        <v>1.6857447155450287</v>
      </c>
      <c r="S316" s="134">
        <f t="shared" ca="1" si="160"/>
        <v>1.7045596098559295</v>
      </c>
      <c r="T316" s="134">
        <f t="shared" ca="1" si="160"/>
        <v>1.7237508020530479</v>
      </c>
    </row>
    <row r="317" spans="1:20" ht="15">
      <c r="A317" s="168"/>
      <c r="B317" s="4"/>
      <c r="D317" s="142"/>
      <c r="E317" s="142"/>
      <c r="F317" s="141"/>
      <c r="G317" s="141"/>
      <c r="H317" s="141"/>
      <c r="I317" s="141"/>
      <c r="J317" s="141"/>
      <c r="K317" s="134"/>
      <c r="L317" s="134"/>
      <c r="M317" s="134"/>
      <c r="N317" s="134"/>
      <c r="O317" s="134"/>
      <c r="P317" s="134"/>
      <c r="Q317" s="134"/>
      <c r="R317" s="134"/>
      <c r="S317" s="134"/>
      <c r="T317" s="134"/>
    </row>
    <row r="318" spans="1:20" ht="15">
      <c r="A318" s="18" t="s">
        <v>515</v>
      </c>
      <c r="B318" s="4"/>
      <c r="D318" s="142"/>
      <c r="E318" s="142"/>
      <c r="F318" s="141"/>
      <c r="G318" s="141"/>
      <c r="H318" s="141"/>
      <c r="I318" s="141"/>
      <c r="J318" s="141"/>
      <c r="K318" s="134"/>
      <c r="L318" s="134"/>
      <c r="M318" s="134"/>
      <c r="N318" s="134"/>
      <c r="O318" s="134"/>
      <c r="P318" s="134"/>
      <c r="Q318" s="134"/>
      <c r="R318" s="134"/>
      <c r="S318" s="134"/>
      <c r="T318" s="134"/>
    </row>
    <row r="319" spans="1:20" ht="15">
      <c r="A319" s="168" t="s">
        <v>471</v>
      </c>
      <c r="B319" s="4" t="str">
        <f>$B$39</f>
        <v>From Fiscal Forecasts</v>
      </c>
      <c r="D319" s="142">
        <f>'Fiscal Forecasts'!D$67</f>
        <v>9.6000000000000002E-2</v>
      </c>
      <c r="E319" s="142">
        <f>'Fiscal Forecasts'!E$67</f>
        <v>6.3E-2</v>
      </c>
      <c r="F319" s="141">
        <f>'Fiscal Forecasts'!F$67</f>
        <v>0.67900000000000005</v>
      </c>
      <c r="G319" s="141">
        <f>'Fiscal Forecasts'!G$67</f>
        <v>0.214</v>
      </c>
      <c r="H319" s="141">
        <f>'Fiscal Forecasts'!H$67</f>
        <v>0.29799999999999999</v>
      </c>
      <c r="I319" s="141">
        <f>'Fiscal Forecasts'!I$67</f>
        <v>0.312</v>
      </c>
      <c r="J319" s="141">
        <f>'Fiscal Forecasts'!J$67</f>
        <v>0.312</v>
      </c>
      <c r="K319" s="134">
        <f ca="1">IF(K$6=OFFSET(Assumptions!$B$8,0,$C$1),0,J$319)</f>
        <v>0</v>
      </c>
      <c r="L319" s="134">
        <f ca="1">IF(L$6=OFFSET(Assumptions!$B$8,0,$C$1),0,K$319)</f>
        <v>0</v>
      </c>
      <c r="M319" s="134">
        <f ca="1">IF(M$6=OFFSET(Assumptions!$B$8,0,$C$1),0,L$319)</f>
        <v>0</v>
      </c>
      <c r="N319" s="134">
        <f ca="1">IF(N$6=OFFSET(Assumptions!$B$8,0,$C$1),0,M$319)</f>
        <v>0</v>
      </c>
      <c r="O319" s="134">
        <f ca="1">IF(O$6=OFFSET(Assumptions!$B$8,0,$C$1),0,N$319)</f>
        <v>0</v>
      </c>
      <c r="P319" s="134">
        <f ca="1">IF(P$6=OFFSET(Assumptions!$B$8,0,$C$1),0,O$319)</f>
        <v>0</v>
      </c>
      <c r="Q319" s="134">
        <f ca="1">IF(Q$6=OFFSET(Assumptions!$B$8,0,$C$1),0,P$319)</f>
        <v>0</v>
      </c>
      <c r="R319" s="134">
        <f ca="1">IF(R$6=OFFSET(Assumptions!$B$8,0,$C$1),0,Q$319)</f>
        <v>0</v>
      </c>
      <c r="S319" s="134">
        <f ca="1">IF(S$6=OFFSET(Assumptions!$B$8,0,$C$1),0,R$319)</f>
        <v>0</v>
      </c>
      <c r="T319" s="134">
        <f ca="1">IF(T$6=OFFSET(Assumptions!$B$8,0,$C$1),0,S$319)</f>
        <v>0</v>
      </c>
    </row>
    <row r="320" spans="1:20" ht="15">
      <c r="A320" s="168" t="s">
        <v>472</v>
      </c>
      <c r="B320" s="4" t="str">
        <f>$B$39</f>
        <v>From Fiscal Forecasts</v>
      </c>
      <c r="D320" s="142">
        <f>'Fiscal Forecasts'!D$50</f>
        <v>9.6000000000000002E-2</v>
      </c>
      <c r="E320" s="142">
        <f>'Fiscal Forecasts'!E$50</f>
        <v>6.3E-2</v>
      </c>
      <c r="F320" s="141">
        <f>'Fiscal Forecasts'!F$50</f>
        <v>0.67900000000000005</v>
      </c>
      <c r="G320" s="141">
        <f>'Fiscal Forecasts'!G$50</f>
        <v>0.214</v>
      </c>
      <c r="H320" s="141">
        <f>'Fiscal Forecasts'!H$50</f>
        <v>0.29799999999999999</v>
      </c>
      <c r="I320" s="141">
        <f>'Fiscal Forecasts'!I$50</f>
        <v>0.312</v>
      </c>
      <c r="J320" s="141">
        <f>'Fiscal Forecasts'!J$50</f>
        <v>0.312</v>
      </c>
      <c r="K320" s="134">
        <f ca="1">IF(K$6=OFFSET(Assumptions!$B$8,0,$C$1),0,J$320)</f>
        <v>0</v>
      </c>
      <c r="L320" s="134">
        <f ca="1">IF(L$6=OFFSET(Assumptions!$B$8,0,$C$1),0,K$320)</f>
        <v>0</v>
      </c>
      <c r="M320" s="134">
        <f ca="1">IF(M$6=OFFSET(Assumptions!$B$8,0,$C$1),0,L$320)</f>
        <v>0</v>
      </c>
      <c r="N320" s="134">
        <f ca="1">IF(N$6=OFFSET(Assumptions!$B$8,0,$C$1),0,M$320)</f>
        <v>0</v>
      </c>
      <c r="O320" s="134">
        <f ca="1">IF(O$6=OFFSET(Assumptions!$B$8,0,$C$1),0,N$320)</f>
        <v>0</v>
      </c>
      <c r="P320" s="134">
        <f ca="1">IF(P$6=OFFSET(Assumptions!$B$8,0,$C$1),0,O$320)</f>
        <v>0</v>
      </c>
      <c r="Q320" s="134">
        <f ca="1">IF(Q$6=OFFSET(Assumptions!$B$8,0,$C$1),0,P$320)</f>
        <v>0</v>
      </c>
      <c r="R320" s="134">
        <f ca="1">IF(R$6=OFFSET(Assumptions!$B$8,0,$C$1),0,Q$320)</f>
        <v>0</v>
      </c>
      <c r="S320" s="134">
        <f ca="1">IF(S$6=OFFSET(Assumptions!$B$8,0,$C$1),0,R$320)</f>
        <v>0</v>
      </c>
      <c r="T320" s="134">
        <f ca="1">IF(T$6=OFFSET(Assumptions!$B$8,0,$C$1),0,S$320)</f>
        <v>0</v>
      </c>
    </row>
    <row r="321" spans="1:20" ht="15">
      <c r="A321" s="168"/>
      <c r="B321" s="4"/>
      <c r="D321" s="142"/>
      <c r="E321" s="142"/>
      <c r="F321" s="141"/>
      <c r="G321" s="141"/>
      <c r="H321" s="141"/>
      <c r="I321" s="141"/>
      <c r="J321" s="141"/>
      <c r="K321" s="134"/>
      <c r="L321" s="134"/>
      <c r="M321" s="134"/>
      <c r="N321" s="134"/>
      <c r="O321" s="134"/>
      <c r="P321" s="134"/>
      <c r="Q321" s="134"/>
      <c r="R321" s="134"/>
      <c r="S321" s="134"/>
      <c r="T321" s="134"/>
    </row>
    <row r="322" spans="1:20" ht="15">
      <c r="A322" s="18" t="s">
        <v>946</v>
      </c>
      <c r="B322" s="4"/>
      <c r="D322" s="142"/>
      <c r="E322" s="142"/>
      <c r="F322" s="141"/>
      <c r="G322" s="141"/>
      <c r="H322" s="141"/>
      <c r="I322" s="141"/>
      <c r="J322" s="141"/>
      <c r="K322" s="134"/>
      <c r="L322" s="134"/>
      <c r="M322" s="134"/>
      <c r="N322" s="134"/>
      <c r="O322" s="134"/>
      <c r="P322" s="134"/>
      <c r="Q322" s="134"/>
      <c r="R322" s="134"/>
      <c r="S322" s="134"/>
      <c r="T322" s="134"/>
    </row>
    <row r="323" spans="1:20" ht="15">
      <c r="A323" s="168" t="s">
        <v>947</v>
      </c>
      <c r="B323" s="4"/>
      <c r="D323" s="142">
        <f t="shared" ref="D323:T323" si="161">SUM(D$188,D$256,D$264,D$274,D$279,D$283,D$296,D$301,D$305,D$309,D$315)</f>
        <v>50.608999999999995</v>
      </c>
      <c r="E323" s="142">
        <f t="shared" si="161"/>
        <v>57.669999999999995</v>
      </c>
      <c r="F323" s="141">
        <f t="shared" si="161"/>
        <v>66.410000000000011</v>
      </c>
      <c r="G323" s="141">
        <f t="shared" si="161"/>
        <v>68.39700000000002</v>
      </c>
      <c r="H323" s="141">
        <f t="shared" si="161"/>
        <v>64.507999999999996</v>
      </c>
      <c r="I323" s="141">
        <f t="shared" si="161"/>
        <v>62.841999999999992</v>
      </c>
      <c r="J323" s="141">
        <f t="shared" si="161"/>
        <v>62.23</v>
      </c>
      <c r="K323" s="146">
        <f t="shared" ca="1" si="161"/>
        <v>62.246667726037067</v>
      </c>
      <c r="L323" s="146">
        <f t="shared" ca="1" si="161"/>
        <v>62.263354385346872</v>
      </c>
      <c r="M323" s="146">
        <f t="shared" ca="1" si="161"/>
        <v>62.280061473053813</v>
      </c>
      <c r="N323" s="146">
        <f t="shared" ca="1" si="161"/>
        <v>62.297102702514891</v>
      </c>
      <c r="O323" s="146">
        <f t="shared" ca="1" si="161"/>
        <v>62.314484756565186</v>
      </c>
      <c r="P323" s="146">
        <f t="shared" ca="1" si="161"/>
        <v>62.332214451696487</v>
      </c>
      <c r="Q323" s="146">
        <f t="shared" ca="1" si="161"/>
        <v>62.350298740730423</v>
      </c>
      <c r="R323" s="146">
        <f t="shared" ca="1" si="161"/>
        <v>62.368744715545027</v>
      </c>
      <c r="S323" s="146">
        <f t="shared" ca="1" si="161"/>
        <v>62.387559609855927</v>
      </c>
      <c r="T323" s="146">
        <f t="shared" ca="1" si="161"/>
        <v>62.406750802053047</v>
      </c>
    </row>
    <row r="324" spans="1:20" ht="15">
      <c r="A324" s="168" t="s">
        <v>1002</v>
      </c>
      <c r="B324" s="4"/>
      <c r="D324" s="142">
        <f t="shared" ref="D324:T324" si="162">SUM(D$256,D$263,D$264,D$271,D$273,D$287,D$319)</f>
        <v>35.921999999999997</v>
      </c>
      <c r="E324" s="142">
        <f t="shared" si="162"/>
        <v>40.394000000000005</v>
      </c>
      <c r="F324" s="141">
        <f t="shared" si="162"/>
        <v>47.256999999999998</v>
      </c>
      <c r="G324" s="141">
        <f t="shared" si="162"/>
        <v>47.903999999999996</v>
      </c>
      <c r="H324" s="141">
        <f t="shared" si="162"/>
        <v>45.103000000000009</v>
      </c>
      <c r="I324" s="141">
        <f t="shared" si="162"/>
        <v>44.801000000000002</v>
      </c>
      <c r="J324" s="141">
        <f t="shared" si="162"/>
        <v>44.393999999999998</v>
      </c>
      <c r="K324" s="146">
        <f t="shared" ca="1" si="162"/>
        <v>44.582557025086466</v>
      </c>
      <c r="L324" s="146">
        <f t="shared" ca="1" si="162"/>
        <v>44.658023591084437</v>
      </c>
      <c r="M324" s="146">
        <f t="shared" ca="1" si="162"/>
        <v>44.779653168750244</v>
      </c>
      <c r="N324" s="146">
        <f t="shared" ca="1" si="162"/>
        <v>45.050182664568631</v>
      </c>
      <c r="O324" s="146">
        <f t="shared" ca="1" si="162"/>
        <v>45.323169073659599</v>
      </c>
      <c r="P324" s="146">
        <f t="shared" ca="1" si="162"/>
        <v>45.599382703561659</v>
      </c>
      <c r="Q324" s="146">
        <f t="shared" ca="1" si="162"/>
        <v>45.878913911038396</v>
      </c>
      <c r="R324" s="146">
        <f t="shared" ca="1" si="162"/>
        <v>46.161128986919238</v>
      </c>
      <c r="S324" s="146">
        <f t="shared" ca="1" si="162"/>
        <v>46.445761861417218</v>
      </c>
      <c r="T324" s="146">
        <f t="shared" ca="1" si="162"/>
        <v>46.735941400328642</v>
      </c>
    </row>
    <row r="325" spans="1:20" ht="15">
      <c r="A325" s="18" t="s">
        <v>473</v>
      </c>
      <c r="B325" s="4"/>
      <c r="D325" s="142"/>
      <c r="E325" s="142"/>
      <c r="F325" s="141"/>
      <c r="G325" s="141"/>
      <c r="H325" s="141"/>
      <c r="I325" s="141"/>
      <c r="J325" s="141"/>
      <c r="K325" s="134"/>
      <c r="L325" s="134"/>
      <c r="M325" s="134"/>
      <c r="N325" s="134"/>
      <c r="O325" s="134"/>
      <c r="P325" s="134"/>
      <c r="Q325" s="134"/>
      <c r="R325" s="134"/>
      <c r="S325" s="134"/>
      <c r="T325" s="134"/>
    </row>
    <row r="326" spans="1:20" ht="15">
      <c r="A326" s="168" t="s">
        <v>940</v>
      </c>
      <c r="B326" s="4" t="str">
        <f>$B$39</f>
        <v>From Fiscal Forecasts</v>
      </c>
      <c r="D326" s="142">
        <f>'Fiscal Forecasts'!D$202</f>
        <v>6.7160000000000002</v>
      </c>
      <c r="E326" s="142">
        <f>'Fiscal Forecasts'!E$202</f>
        <v>7.5140000000000002</v>
      </c>
      <c r="F326" s="141">
        <f>'Fiscal Forecasts'!F$202</f>
        <v>8.298</v>
      </c>
      <c r="G326" s="141">
        <f>'Fiscal Forecasts'!G$202</f>
        <v>8.2850000000000001</v>
      </c>
      <c r="H326" s="141">
        <f>'Fiscal Forecasts'!H$202</f>
        <v>8.077</v>
      </c>
      <c r="I326" s="141">
        <f>'Fiscal Forecasts'!I$202</f>
        <v>8.3840000000000003</v>
      </c>
      <c r="J326" s="141">
        <f>'Fiscal Forecasts'!J$202</f>
        <v>8.2620000000000005</v>
      </c>
      <c r="K326" s="134">
        <f ca="1">IF(K$6=OFFSET(Assumptions!$B$8,0,$C$1),AVERAGE(H$326/SUM(H$253-H$252,H$276-H$275,H$280-H$279,H$284-H$283,H$302-H$301,H$306-H$305,H$310-H$309,H$316-H$315),I$326/SUM(I$253-I$252,I$276-I$275,I$280-I$279,I$284-I$283,I$302-I$301,I$306-I$305,I$310-I$309,I$316-I$315),J$326/SUM(J$253-J$252,J$276-J$275,J$280-J$279,J$284-J$283,J$302-J$301,J$306-J$305,J$310-J$309,J$316-J$315)),J$326/SUM(J$253-J$252,J$276-J$275,J$280-J$279,J$284-J$283,J$302-J$301,J$306-J$305,J$310-J$309,J$316-J$315))*SUM(K$253-K$252,K$276-K$275,K$280-K$279,K$284-K$283,K$302-K$301,K$306-K$305,K$310-K$309,K$316-K$315)</f>
        <v>9.0384024504632876</v>
      </c>
      <c r="L326" s="134">
        <f ca="1">IF(L$6=OFFSET(Assumptions!$B$8,0,$C$1),AVERAGE(I$326/SUM(I$253-I$252,I$276-I$275,I$280-I$279,I$284-I$283,I$302-I$301,I$306-I$305,I$310-I$309,I$316-I$315),J$326/SUM(J$253-J$252,J$276-J$275,J$280-J$279,J$284-J$283,J$302-J$301,J$306-J$305,J$310-J$309,J$316-J$315),K$326/SUM(K$253-K$252,K$276-K$275,K$280-K$279,K$284-K$283,K$302-K$301,K$306-K$305,K$310-K$309,K$316-K$315)),K$326/SUM(K$253-K$252,K$276-K$275,K$280-K$279,K$284-K$283,K$302-K$301,K$306-K$305,K$310-K$309,K$316-K$315))*SUM(L$253-L$252,L$276-L$275,L$280-L$279,L$284-L$283,L$302-L$301,L$306-L$305,L$310-L$309,L$316-L$315)</f>
        <v>9.402168388516337</v>
      </c>
      <c r="M326" s="134">
        <f ca="1">IF(M$6=OFFSET(Assumptions!$B$8,0,$C$1),AVERAGE(J$326/SUM(J$253-J$252,J$276-J$275,J$280-J$279,J$284-J$283,J$302-J$301,J$306-J$305,J$310-J$309,J$316-J$315),K$326/SUM(K$253-K$252,K$276-K$275,K$280-K$279,K$284-K$283,K$302-K$301,K$306-K$305,K$310-K$309,K$316-K$315),L$326/SUM(L$253-L$252,L$276-L$275,L$280-L$279,L$284-L$283,L$302-L$301,L$306-L$305,L$310-L$309,L$316-L$315)),L$326/SUM(L$253-L$252,L$276-L$275,L$280-L$279,L$284-L$283,L$302-L$301,L$306-L$305,L$310-L$309,L$316-L$315))*SUM(M$253-M$252,M$276-M$275,M$280-M$279,M$284-M$283,M$302-M$301,M$306-M$305,M$310-M$309,M$316-M$315)</f>
        <v>9.7693120667626907</v>
      </c>
      <c r="N326" s="134">
        <f ca="1">IF(N$6=OFFSET(Assumptions!$B$8,0,$C$1),AVERAGE(K$326/SUM(K$253-K$252,K$276-K$275,K$280-K$279,K$284-K$283,K$302-K$301,K$306-K$305,K$310-K$309,K$316-K$315),L$326/SUM(L$253-L$252,L$276-L$275,L$280-L$279,L$284-L$283,L$302-L$301,L$306-L$305,L$310-L$309,L$316-L$315),M$326/SUM(M$253-M$252,M$276-M$275,M$280-M$279,M$284-M$283,M$302-M$301,M$306-M$305,M$310-M$309,M$316-M$315)),M$326/SUM(M$253-M$252,M$276-M$275,M$280-M$279,M$284-M$283,M$302-M$301,M$306-M$305,M$310-M$309,M$316-M$315))*SUM(N$253-N$252,N$276-N$275,N$280-N$279,N$284-N$283,N$302-N$301,N$306-N$305,N$310-N$309,N$316-N$315)</f>
        <v>10.152511376389624</v>
      </c>
      <c r="O326" s="134">
        <f ca="1">IF(O$6=OFFSET(Assumptions!$B$8,0,$C$1),AVERAGE(L$326/SUM(L$253-L$252,L$276-L$275,L$280-L$279,L$284-L$283,L$302-L$301,L$306-L$305,L$310-L$309,L$316-L$315),M$326/SUM(M$253-M$252,M$276-M$275,M$280-M$279,M$284-M$283,M$302-M$301,M$306-M$305,M$310-M$309,M$316-M$315),N$326/SUM(N$253-N$252,N$276-N$275,N$280-N$279,N$284-N$283,N$302-N$301,N$306-N$305,N$310-N$309,N$316-N$315)),N$326/SUM(N$253-N$252,N$276-N$275,N$280-N$279,N$284-N$283,N$302-N$301,N$306-N$305,N$310-N$309,N$316-N$315))*SUM(O$253-O$252,O$276-O$275,O$280-O$279,O$284-O$283,O$302-O$301,O$306-O$305,O$310-O$309,O$316-O$315)</f>
        <v>10.544167580578479</v>
      </c>
      <c r="P326" s="134">
        <f ca="1">IF(P$6=OFFSET(Assumptions!$B$8,0,$C$1),AVERAGE(M$326/SUM(M$253-M$252,M$276-M$275,M$280-M$279,M$284-M$283,M$302-M$301,M$306-M$305,M$310-M$309,M$316-M$315),N$326/SUM(N$253-N$252,N$276-N$275,N$280-N$279,N$284-N$283,N$302-N$301,N$306-N$305,N$310-N$309,N$316-N$315),O$326/SUM(O$253-O$252,O$276-O$275,O$280-O$279,O$284-O$283,O$302-O$301,O$306-O$305,O$310-O$309,O$316-O$315)),O$326/SUM(O$253-O$252,O$276-O$275,O$280-O$279,O$284-O$283,O$302-O$301,O$306-O$305,O$310-O$309,O$316-O$315))*SUM(P$253-P$252,P$276-P$275,P$280-P$279,P$284-P$283,P$302-P$301,P$306-P$305,P$310-P$309,P$316-P$315)</f>
        <v>10.943884581315075</v>
      </c>
      <c r="Q326" s="134">
        <f ca="1">IF(Q$6=OFFSET(Assumptions!$B$8,0,$C$1),AVERAGE(N$326/SUM(N$253-N$252,N$276-N$275,N$280-N$279,N$284-N$283,N$302-N$301,N$306-N$305,N$310-N$309,N$316-N$315),O$326/SUM(O$253-O$252,O$276-O$275,O$280-O$279,O$284-O$283,O$302-O$301,O$306-O$305,O$310-O$309,O$316-O$315),P$326/SUM(P$253-P$252,P$276-P$275,P$280-P$279,P$284-P$283,P$302-P$301,P$306-P$305,P$310-P$309,P$316-P$315)),P$326/SUM(P$253-P$252,P$276-P$275,P$280-P$279,P$284-P$283,P$302-P$301,P$306-P$305,P$310-P$309,P$316-P$315))*SUM(Q$253-Q$252,Q$276-Q$275,Q$280-Q$279,Q$284-Q$283,Q$302-Q$301,Q$306-Q$305,Q$310-Q$309,Q$316-Q$315)</f>
        <v>11.351866395776117</v>
      </c>
      <c r="R326" s="134">
        <f ca="1">IF(R$6=OFFSET(Assumptions!$B$8,0,$C$1),AVERAGE(O$326/SUM(O$253-O$252,O$276-O$275,O$280-O$279,O$284-O$283,O$302-O$301,O$306-O$305,O$310-O$309,O$316-O$315),P$326/SUM(P$253-P$252,P$276-P$275,P$280-P$279,P$284-P$283,P$302-P$301,P$306-P$305,P$310-P$309,P$316-P$315),Q$326/SUM(Q$253-Q$252,Q$276-Q$275,Q$280-Q$279,Q$284-Q$283,Q$302-Q$301,Q$306-Q$305,Q$310-Q$309,Q$316-Q$315)),Q$326/SUM(Q$253-Q$252,Q$276-Q$275,Q$280-Q$279,Q$284-Q$283,Q$302-Q$301,Q$306-Q$305,Q$310-Q$309,Q$316-Q$315))*SUM(R$253-R$252,R$276-R$275,R$280-R$279,R$284-R$283,R$302-R$301,R$306-R$305,R$310-R$309,R$316-R$315)</f>
        <v>11.767008793081773</v>
      </c>
      <c r="S326" s="134">
        <f ca="1">IF(S$6=OFFSET(Assumptions!$B$8,0,$C$1),AVERAGE(P$326/SUM(P$253-P$252,P$276-P$275,P$280-P$279,P$284-P$283,P$302-P$301,P$306-P$305,P$310-P$309,P$316-P$315),Q$326/SUM(Q$253-Q$252,Q$276-Q$275,Q$280-Q$279,Q$284-Q$283,Q$302-Q$301,Q$306-Q$305,Q$310-Q$309,Q$316-Q$315),R$326/SUM(R$253-R$252,R$276-R$275,R$280-R$279,R$284-R$283,R$302-R$301,R$306-R$305,R$310-R$309,R$316-R$315)),R$326/SUM(R$253-R$252,R$276-R$275,R$280-R$279,R$284-R$283,R$302-R$301,R$306-R$305,R$310-R$309,R$316-R$315))*SUM(S$253-S$252,S$276-S$275,S$280-S$279,S$284-S$283,S$302-S$301,S$306-S$305,S$310-S$309,S$316-S$315)</f>
        <v>12.188978989155759</v>
      </c>
      <c r="T326" s="134">
        <f ca="1">IF(T$6=OFFSET(Assumptions!$B$8,0,$C$1),AVERAGE(Q$326/SUM(Q$253-Q$252,Q$276-Q$275,Q$280-Q$279,Q$284-Q$283,Q$302-Q$301,Q$306-Q$305,Q$310-Q$309,Q$316-Q$315),R$326/SUM(R$253-R$252,R$276-R$275,R$280-R$279,R$284-R$283,R$302-R$301,R$306-R$305,R$310-R$309,R$316-R$315),S$326/SUM(S$253-S$252,S$276-S$275,S$280-S$279,S$284-S$283,S$302-S$301,S$306-S$305,S$310-S$309,S$316-S$315)),S$326/SUM(S$253-S$252,S$276-S$275,S$280-S$279,S$284-S$283,S$302-S$301,S$306-S$305,S$310-S$309,S$316-S$315))*SUM(T$253-T$252,T$276-T$275,T$280-T$279,T$284-T$283,T$302-T$301,T$306-T$305,T$310-T$309,T$316-T$315)</f>
        <v>12.623401920565856</v>
      </c>
    </row>
    <row r="327" spans="1:20" ht="15">
      <c r="A327" s="168" t="s">
        <v>474</v>
      </c>
      <c r="B327" s="4" t="str">
        <f>$B$39</f>
        <v>From Fiscal Forecasts</v>
      </c>
      <c r="D327" s="142">
        <f>'Fiscal Forecasts'!D$203</f>
        <v>8.64</v>
      </c>
      <c r="E327" s="142">
        <f>'Fiscal Forecasts'!E$203</f>
        <v>8.3070000000000004</v>
      </c>
      <c r="F327" s="141">
        <f>'Fiscal Forecasts'!F$203</f>
        <v>8.9169999999999998</v>
      </c>
      <c r="G327" s="141">
        <f>'Fiscal Forecasts'!G$203</f>
        <v>7.8719999999999999</v>
      </c>
      <c r="H327" s="141">
        <f>'Fiscal Forecasts'!H$203</f>
        <v>7.827</v>
      </c>
      <c r="I327" s="141">
        <f>'Fiscal Forecasts'!I$203</f>
        <v>8.0129999999999999</v>
      </c>
      <c r="J327" s="141">
        <f>'Fiscal Forecasts'!J$203</f>
        <v>7.9850000000000003</v>
      </c>
      <c r="K327" s="134">
        <f ca="1">IF(K$6=OFFSET(Assumptions!$B$8,0,$C$1),AVERAGE(H$327/(H$298-H$297),I$327/(I$298-I$297),J$327/(J$298-J$297)),J$327/(J$298-J$297))*(K$298-K$297)</f>
        <v>8.7613412544366085</v>
      </c>
      <c r="L327" s="134">
        <f ca="1">IF(L$6=OFFSET(Assumptions!$B$8,0,$C$1),AVERAGE(I$327/(I$298-I$297),J$327/(J$298-J$297),K$327/(K$298-K$297)),K$327/(K$298-K$297))*(L$298-L$297)</f>
        <v>9.1353510383758625</v>
      </c>
      <c r="M327" s="134">
        <f ca="1">IF(M$6=OFFSET(Assumptions!$B$8,0,$C$1),AVERAGE(J$327/(J$298-J$297),K$327/(K$298-K$297),L$327/(L$298-L$297)),L$327/(L$298-L$297))*(M$298-M$297)</f>
        <v>9.5135554918493686</v>
      </c>
      <c r="N327" s="134">
        <f ca="1">IF(N$6=OFFSET(Assumptions!$B$8,0,$C$1),AVERAGE(K$327/(K$298-K$297),L$327/(L$298-L$297),M$327/(M$298-M$297)),M$327/(M$298-M$297))*(N$298-N$297)</f>
        <v>9.9095942877580931</v>
      </c>
      <c r="O327" s="134">
        <f ca="1">IF(O$6=OFFSET(Assumptions!$B$8,0,$C$1),AVERAGE(L$327/(L$298-L$297),M$327/(M$298-M$297),N$327/(N$298-N$297)),N$327/(N$298-N$297))*(O$298-O$297)</f>
        <v>10.314210805599497</v>
      </c>
      <c r="P327" s="134">
        <f ca="1">IF(P$6=OFFSET(Assumptions!$B$8,0,$C$1),AVERAGE(M$327/(M$298-M$297),N$327/(N$298-N$297),O$327/(O$298-O$297)),O$327/(O$298-O$297))*(P$298-P$297)</f>
        <v>10.72735800974001</v>
      </c>
      <c r="Q327" s="134">
        <f ca="1">IF(Q$6=OFFSET(Assumptions!$B$8,0,$C$1),AVERAGE(N$327/(N$298-N$297),O$327/(O$298-O$297),P$327/(P$298-P$297)),P$327/(P$298-P$297))*(Q$298-Q$297)</f>
        <v>11.149005498285755</v>
      </c>
      <c r="R327" s="134">
        <f ca="1">IF(R$6=OFFSET(Assumptions!$B$8,0,$C$1),AVERAGE(O$327/(O$298-O$297),P$327/(P$298-P$297),Q$327/(Q$298-Q$297)),Q$327/(Q$298-Q$297))*(R$298-R$297)</f>
        <v>11.578017579999086</v>
      </c>
      <c r="S327" s="134">
        <f ca="1">IF(S$6=OFFSET(Assumptions!$B$8,0,$C$1),AVERAGE(P$327/(P$298-P$297),Q$327/(Q$298-Q$297),R$327/(R$298-R$297)),R$327/(R$298-R$297))*(S$298-S$297)</f>
        <v>12.014051989538245</v>
      </c>
      <c r="T327" s="134">
        <f ca="1">IF(T$6=OFFSET(Assumptions!$B$8,0,$C$1),AVERAGE(Q$327/(Q$298-Q$297),R$327/(R$298-R$297),S$327/(S$298-S$297)),S$327/(S$298-S$297))*(T$298-T$297)</f>
        <v>12.463014037926865</v>
      </c>
    </row>
    <row r="328" spans="1:20" ht="15">
      <c r="A328" s="168" t="s">
        <v>475</v>
      </c>
      <c r="B328" s="4" t="str">
        <f>$B$39</f>
        <v>From Fiscal Forecasts</v>
      </c>
      <c r="D328" s="142">
        <f>'Fiscal Forecasts'!D$204</f>
        <v>-3.629</v>
      </c>
      <c r="E328" s="142">
        <f>'Fiscal Forecasts'!E$204</f>
        <v>-3.7549999999999999</v>
      </c>
      <c r="F328" s="141">
        <f>'Fiscal Forecasts'!F$204</f>
        <v>-5.6289999999999996</v>
      </c>
      <c r="G328" s="141">
        <f>'Fiscal Forecasts'!G$204</f>
        <v>-4.0720000000000001</v>
      </c>
      <c r="H328" s="141">
        <f>'Fiscal Forecasts'!H$204</f>
        <v>-3.6640000000000001</v>
      </c>
      <c r="I328" s="141">
        <f>'Fiscal Forecasts'!I$204</f>
        <v>-3.6560000000000001</v>
      </c>
      <c r="J328" s="141">
        <f>'Fiscal Forecasts'!J$204</f>
        <v>-3.37</v>
      </c>
      <c r="K328" s="134">
        <f t="shared" ref="K328:T328" ca="1" si="163">SUM(K$253-K$252,K$276-K$275,K$280-K$279,K$284-K$283,K$298-K$297,K$302-K$301,K$306-K$305,K$310-K$309,K$316-K$315,-K$326,-K$327)</f>
        <v>-3.921020795815874</v>
      </c>
      <c r="L328" s="134">
        <f t="shared" ca="1" si="163"/>
        <v>-4.0819664056316398</v>
      </c>
      <c r="M328" s="134">
        <f t="shared" ca="1" si="163"/>
        <v>-4.2445123225807198</v>
      </c>
      <c r="N328" s="134">
        <f t="shared" ca="1" si="163"/>
        <v>-4.4143564742410817</v>
      </c>
      <c r="O328" s="134">
        <f t="shared" ca="1" si="163"/>
        <v>-4.587925112800578</v>
      </c>
      <c r="P328" s="134">
        <f t="shared" ca="1" si="163"/>
        <v>-4.7650958117969164</v>
      </c>
      <c r="Q328" s="134">
        <f t="shared" ca="1" si="163"/>
        <v>-4.9459236180869137</v>
      </c>
      <c r="R328" s="134">
        <f t="shared" ca="1" si="163"/>
        <v>-5.1299199192300264</v>
      </c>
      <c r="S328" s="134">
        <f t="shared" ca="1" si="163"/>
        <v>-5.3169374612029774</v>
      </c>
      <c r="T328" s="134">
        <f t="shared" ca="1" si="163"/>
        <v>-5.5094828433778442</v>
      </c>
    </row>
    <row r="329" spans="1:20" ht="15">
      <c r="A329" s="168"/>
      <c r="B329" s="4"/>
      <c r="D329" s="142"/>
      <c r="E329" s="142"/>
      <c r="F329" s="141"/>
      <c r="G329" s="141"/>
      <c r="H329" s="141"/>
      <c r="I329" s="141"/>
      <c r="J329" s="141"/>
      <c r="K329" s="134"/>
      <c r="L329" s="134"/>
      <c r="M329" s="134"/>
      <c r="N329" s="134"/>
      <c r="O329" s="134"/>
      <c r="P329" s="134"/>
      <c r="Q329" s="134"/>
      <c r="R329" s="134"/>
      <c r="S329" s="134"/>
      <c r="T329" s="134"/>
    </row>
    <row r="330" spans="1:20" ht="15">
      <c r="A330" s="18" t="s">
        <v>476</v>
      </c>
      <c r="B330" s="4"/>
      <c r="D330" s="142"/>
      <c r="E330" s="142"/>
      <c r="F330" s="141"/>
      <c r="G330" s="141"/>
      <c r="H330" s="141"/>
      <c r="I330" s="141"/>
      <c r="J330" s="141"/>
      <c r="K330" s="134"/>
      <c r="L330" s="134"/>
      <c r="M330" s="134"/>
      <c r="N330" s="134"/>
      <c r="O330" s="134"/>
      <c r="P330" s="134"/>
      <c r="Q330" s="134"/>
      <c r="R330" s="134"/>
      <c r="S330" s="134"/>
      <c r="T330" s="134"/>
    </row>
    <row r="331" spans="1:20">
      <c r="A331" s="167" t="s">
        <v>949</v>
      </c>
      <c r="B331" s="4"/>
      <c r="D331" s="49">
        <f t="shared" ref="D331:T331" si="164">D$378</f>
        <v>1.9550000000000001</v>
      </c>
      <c r="E331" s="49">
        <f t="shared" si="164"/>
        <v>1.7000000000000001E-2</v>
      </c>
      <c r="F331" s="176">
        <f t="shared" si="164"/>
        <v>9.0579999999999998</v>
      </c>
      <c r="G331" s="176">
        <f t="shared" si="164"/>
        <v>3.5139999999999998</v>
      </c>
      <c r="H331" s="176">
        <f t="shared" si="164"/>
        <v>3.9049999999999998</v>
      </c>
      <c r="I331" s="176">
        <f t="shared" si="164"/>
        <v>4.218</v>
      </c>
      <c r="J331" s="176">
        <f t="shared" si="164"/>
        <v>4.5860000000000003</v>
      </c>
      <c r="K331" s="171">
        <f t="shared" ca="1" si="164"/>
        <v>4.9988572077473217</v>
      </c>
      <c r="L331" s="171">
        <f t="shared" ca="1" si="164"/>
        <v>5.3983004293355332</v>
      </c>
      <c r="M331" s="171">
        <f t="shared" ca="1" si="164"/>
        <v>5.8043046482674194</v>
      </c>
      <c r="N331" s="171">
        <f t="shared" ca="1" si="164"/>
        <v>6.2179090757692359</v>
      </c>
      <c r="O331" s="171">
        <f t="shared" ca="1" si="164"/>
        <v>6.6417384942001227</v>
      </c>
      <c r="P331" s="171">
        <f t="shared" ca="1" si="164"/>
        <v>7.0779550113846641</v>
      </c>
      <c r="Q331" s="171">
        <f t="shared" ca="1" si="164"/>
        <v>7.5276749941617886</v>
      </c>
      <c r="R331" s="171">
        <f t="shared" ca="1" si="164"/>
        <v>7.9903701001665057</v>
      </c>
      <c r="S331" s="171">
        <f t="shared" ca="1" si="164"/>
        <v>8.4646329695725697</v>
      </c>
      <c r="T331" s="171">
        <f t="shared" ca="1" si="164"/>
        <v>8.9504471602911924</v>
      </c>
    </row>
    <row r="332" spans="1:20">
      <c r="A332" s="167" t="s">
        <v>950</v>
      </c>
      <c r="B332" s="4" t="str">
        <f>$B$39</f>
        <v>From Fiscal Forecasts</v>
      </c>
      <c r="D332" s="175">
        <f>SUM('Fiscal Forecasts'!D$287,'Fiscal Forecasts'!D$293,-'Fiscal Forecasts'!D$347)</f>
        <v>1.2330000000000001</v>
      </c>
      <c r="E332" s="175">
        <f>SUM('Fiscal Forecasts'!E$287,'Fiscal Forecasts'!E$293,-'Fiscal Forecasts'!E$347)</f>
        <v>-3.9489999999999994</v>
      </c>
      <c r="F332" s="176">
        <f>SUM('Fiscal Forecasts'!F$287,'Fiscal Forecasts'!F$293,-'Fiscal Forecasts'!F$347)</f>
        <v>-4.8319999999999999</v>
      </c>
      <c r="G332" s="176">
        <f>SUM('Fiscal Forecasts'!G$287,'Fiscal Forecasts'!G$293,-'Fiscal Forecasts'!G$347)</f>
        <v>-0.71199999999999974</v>
      </c>
      <c r="H332" s="176">
        <f>SUM('Fiscal Forecasts'!H$287,'Fiscal Forecasts'!H$293,-'Fiscal Forecasts'!H$347)</f>
        <v>8.1000000000000405E-2</v>
      </c>
      <c r="I332" s="176">
        <f>SUM('Fiscal Forecasts'!I$287,'Fiscal Forecasts'!I$293,-'Fiscal Forecasts'!I$347)</f>
        <v>0.10299999999999976</v>
      </c>
      <c r="J332" s="176">
        <f>SUM('Fiscal Forecasts'!J$287,'Fiscal Forecasts'!J$293,-'Fiscal Forecasts'!J$347)</f>
        <v>9.9999999999999645E-2</v>
      </c>
      <c r="K332" s="171">
        <f ca="1">IF(K$6=OFFSET(Assumptions!$B$8,0,$C$1),AVERAGE(H$332/H$13,I$332/I$13,J$332/J$13),J$332/J$13)*K$13</f>
        <v>0.10409651287087537</v>
      </c>
      <c r="L332" s="171">
        <f ca="1">IF(L$6=OFFSET(Assumptions!$B$8,0,$C$1),AVERAGE(I$332/I$13,J$332/J$13,K$332/K$13),K$332/K$13)*L$13</f>
        <v>0.10854025192372309</v>
      </c>
      <c r="M332" s="171">
        <f ca="1">IF(M$6=OFFSET(Assumptions!$B$8,0,$C$1),AVERAGE(J$332/J$13,K$332/K$13,L$332/L$13),L$332/L$13)*M$13</f>
        <v>0.1130338292899615</v>
      </c>
      <c r="N332" s="171">
        <f ca="1">IF(N$6=OFFSET(Assumptions!$B$8,0,$C$1),AVERAGE(K$332/K$13,L$332/L$13,M$332/M$13),M$332/M$13)*N$13</f>
        <v>0.11773930262086302</v>
      </c>
      <c r="O332" s="171">
        <f ca="1">IF(O$6=OFFSET(Assumptions!$B$8,0,$C$1),AVERAGE(L$332/L$13,M$332/M$13,N$332/N$13),N$332/N$13)*O$13</f>
        <v>0.12254669082023462</v>
      </c>
      <c r="P332" s="171">
        <f ca="1">IF(P$6=OFFSET(Assumptions!$B$8,0,$C$1),AVERAGE(M$332/M$13,N$332/N$13,O$332/O$13),O$332/O$13)*P$13</f>
        <v>0.1274554350415148</v>
      </c>
      <c r="Q332" s="171">
        <f ca="1">IF(Q$6=OFFSET(Assumptions!$B$8,0,$C$1),AVERAGE(N$332/N$13,O$332/O$13,P$332/P$13),P$332/P$13)*Q$13</f>
        <v>0.13246517406933181</v>
      </c>
      <c r="R332" s="171">
        <f ca="1">IF(R$6=OFFSET(Assumptions!$B$8,0,$C$1),AVERAGE(O$332/O$13,P$332/P$13,Q$332/Q$13),Q$332/Q$13)*R$13</f>
        <v>0.13756241436495645</v>
      </c>
      <c r="S332" s="171">
        <f ca="1">IF(S$6=OFFSET(Assumptions!$B$8,0,$C$1),AVERAGE(P$332/P$13,Q$332/Q$13,R$332/R$13),R$332/R$13)*S$13</f>
        <v>0.14274308935598629</v>
      </c>
      <c r="T332" s="171">
        <f ca="1">IF(T$6=OFFSET(Assumptions!$B$8,0,$C$1),AVERAGE(Q$332/Q$13,R$332/R$13,S$332/S$13),S$332/S$13)*T$13</f>
        <v>0.1480773620764963</v>
      </c>
    </row>
    <row r="333" spans="1:20" ht="15">
      <c r="A333" s="168" t="s">
        <v>951</v>
      </c>
      <c r="B333" s="4"/>
      <c r="D333" s="138">
        <f t="shared" ref="D333:T333" si="165">SUM(D$331:D$332)</f>
        <v>3.1880000000000002</v>
      </c>
      <c r="E333" s="138">
        <f t="shared" si="165"/>
        <v>-3.9319999999999995</v>
      </c>
      <c r="F333" s="137">
        <f t="shared" si="165"/>
        <v>4.226</v>
      </c>
      <c r="G333" s="137">
        <f t="shared" si="165"/>
        <v>2.802</v>
      </c>
      <c r="H333" s="137">
        <f t="shared" si="165"/>
        <v>3.9860000000000002</v>
      </c>
      <c r="I333" s="137">
        <f t="shared" si="165"/>
        <v>4.3209999999999997</v>
      </c>
      <c r="J333" s="137">
        <f t="shared" si="165"/>
        <v>4.6859999999999999</v>
      </c>
      <c r="K333" s="140">
        <f t="shared" ca="1" si="165"/>
        <v>5.1029537206181974</v>
      </c>
      <c r="L333" s="140">
        <f t="shared" ca="1" si="165"/>
        <v>5.5068406812592565</v>
      </c>
      <c r="M333" s="140">
        <f t="shared" ca="1" si="165"/>
        <v>5.9173384775573812</v>
      </c>
      <c r="N333" s="140">
        <f t="shared" ca="1" si="165"/>
        <v>6.3356483783900988</v>
      </c>
      <c r="O333" s="140">
        <f t="shared" ca="1" si="165"/>
        <v>6.7642851850203574</v>
      </c>
      <c r="P333" s="140">
        <f t="shared" ca="1" si="165"/>
        <v>7.2054104464261792</v>
      </c>
      <c r="Q333" s="140">
        <f t="shared" ca="1" si="165"/>
        <v>7.6601401682311208</v>
      </c>
      <c r="R333" s="140">
        <f t="shared" ca="1" si="165"/>
        <v>8.1279325145314623</v>
      </c>
      <c r="S333" s="140">
        <f t="shared" ca="1" si="165"/>
        <v>8.6073760589285566</v>
      </c>
      <c r="T333" s="140">
        <f t="shared" ca="1" si="165"/>
        <v>9.098524522367688</v>
      </c>
    </row>
    <row r="334" spans="1:20">
      <c r="A334" s="167" t="s">
        <v>256</v>
      </c>
      <c r="B334" s="4" t="str">
        <f>$B$39</f>
        <v>From Fiscal Forecasts</v>
      </c>
      <c r="D334" s="175">
        <f>SUM('Fiscal Forecasts'!D$288,'Fiscal Forecasts'!D$294)</f>
        <v>-7.8920000000000003</v>
      </c>
      <c r="E334" s="175">
        <f>SUM('Fiscal Forecasts'!E$288,'Fiscal Forecasts'!E$294)</f>
        <v>-4.32</v>
      </c>
      <c r="F334" s="176">
        <f>SUM('Fiscal Forecasts'!F$288,'Fiscal Forecasts'!F$294)</f>
        <v>11.09</v>
      </c>
      <c r="G334" s="176">
        <f>SUM('Fiscal Forecasts'!G$288,'Fiscal Forecasts'!G$294)</f>
        <v>0.12300000000000003</v>
      </c>
      <c r="H334" s="176">
        <f>SUM('Fiscal Forecasts'!H$288,'Fiscal Forecasts'!H$294)</f>
        <v>0.32500000000000001</v>
      </c>
      <c r="I334" s="176">
        <f>SUM('Fiscal Forecasts'!I$288,'Fiscal Forecasts'!I$294)</f>
        <v>0.47900000000000004</v>
      </c>
      <c r="J334" s="176">
        <f>SUM('Fiscal Forecasts'!J$288,'Fiscal Forecasts'!J$294)</f>
        <v>0.66300000000000003</v>
      </c>
      <c r="K334" s="171">
        <f>J$334*Exogenous!V$27/Exogenous!U$27</f>
        <v>0.71132862008444664</v>
      </c>
      <c r="L334" s="171">
        <f>K$334*Exogenous!W$27/Exogenous!V$27</f>
        <v>0.765297967137474</v>
      </c>
      <c r="M334" s="171">
        <f>L$334*Exogenous!X$27/Exogenous!W$27</f>
        <v>0.82322455772562819</v>
      </c>
      <c r="N334" s="171">
        <f>M$334*Exogenous!Y$27/Exogenous!X$27</f>
        <v>0.88271029107882504</v>
      </c>
      <c r="O334" s="171">
        <f>N$334*Exogenous!Z$27/Exogenous!Y$27</f>
        <v>0.94207406002013128</v>
      </c>
      <c r="P334" s="171">
        <f>O$334*Exogenous!AA$27/Exogenous!Z$27</f>
        <v>0.99478034794810921</v>
      </c>
      <c r="Q334" s="171">
        <f>P$334*Exogenous!AB$27/Exogenous!AA$27</f>
        <v>1.0468215997482637</v>
      </c>
      <c r="R334" s="171">
        <f>Q$334*Exogenous!AC$27/Exogenous!AB$27</f>
        <v>1.1130892558714796</v>
      </c>
      <c r="S334" s="171">
        <f>R$334*Exogenous!AD$27/Exogenous!AC$27</f>
        <v>1.1875685879065774</v>
      </c>
      <c r="T334" s="171">
        <f>S$334*Exogenous!AE$27/Exogenous!AD$27</f>
        <v>1.2533184985255628</v>
      </c>
    </row>
    <row r="335" spans="1:20">
      <c r="A335" s="167" t="s">
        <v>418</v>
      </c>
      <c r="B335" s="4" t="str">
        <f>$B$39</f>
        <v>From Fiscal Forecasts</v>
      </c>
      <c r="D335" s="175">
        <f>SUM('Fiscal Forecasts'!D$289,'Fiscal Forecasts'!D$295)</f>
        <v>0.254</v>
      </c>
      <c r="E335" s="175">
        <f>SUM('Fiscal Forecasts'!E$289,'Fiscal Forecasts'!E$295)</f>
        <v>-6.9000000000000006E-2</v>
      </c>
      <c r="F335" s="176">
        <f>SUM('Fiscal Forecasts'!F$289,'Fiscal Forecasts'!F$295)</f>
        <v>0.26400000000000001</v>
      </c>
      <c r="G335" s="176">
        <f>SUM('Fiscal Forecasts'!G$289,'Fiscal Forecasts'!G$295)</f>
        <v>4.9999999999999992E-3</v>
      </c>
      <c r="H335" s="176">
        <f>SUM('Fiscal Forecasts'!H$289,'Fiscal Forecasts'!H$295)</f>
        <v>1.9E-2</v>
      </c>
      <c r="I335" s="176">
        <f>SUM('Fiscal Forecasts'!I$289,'Fiscal Forecasts'!I$295)</f>
        <v>1.9E-2</v>
      </c>
      <c r="J335" s="176">
        <f>SUM('Fiscal Forecasts'!J$289,'Fiscal Forecasts'!J$295)</f>
        <v>1.9E-2</v>
      </c>
      <c r="K335" s="171">
        <f ca="1">IF(K$6=OFFSET(Assumptions!$B$8,0,$C$1),AVERAGE(H$335/H$13,I$335/I$13,J$335/J$13),J$335/J$13)*K$13</f>
        <v>2.09704574027153E-2</v>
      </c>
      <c r="L335" s="171">
        <f ca="1">IF(L$6=OFFSET(Assumptions!$B$8,0,$C$1),AVERAGE(I$335/I$13,J$335/J$13,K$335/K$13),K$335/K$13)*L$13</f>
        <v>2.1865657808055657E-2</v>
      </c>
      <c r="M335" s="171">
        <f ca="1">IF(M$6=OFFSET(Assumptions!$B$8,0,$C$1),AVERAGE(J$335/J$13,K$335/K$13,L$335/L$13),L$335/L$13)*M$13</f>
        <v>2.277089824450906E-2</v>
      </c>
      <c r="N335" s="171">
        <f ca="1">IF(N$6=OFFSET(Assumptions!$B$8,0,$C$1),AVERAGE(K$335/K$13,L$335/L$13,M$335/M$13),M$335/M$13)*N$13</f>
        <v>2.371882556045752E-2</v>
      </c>
      <c r="O335" s="171">
        <f ca="1">IF(O$6=OFFSET(Assumptions!$B$8,0,$C$1),AVERAGE(L$335/L$13,M$335/M$13,N$335/N$13),N$335/N$13)*O$13</f>
        <v>2.4687283837040618E-2</v>
      </c>
      <c r="P335" s="171">
        <f ca="1">IF(P$6=OFFSET(Assumptions!$B$8,0,$C$1),AVERAGE(M$335/M$13,N$335/N$13,O$335/O$13),O$335/O$13)*P$13</f>
        <v>2.5676160493464925E-2</v>
      </c>
      <c r="Q335" s="171">
        <f ca="1">IF(Q$6=OFFSET(Assumptions!$B$8,0,$C$1),AVERAGE(N$335/N$13,O$335/O$13,P$335/P$13),P$335/P$13)*Q$13</f>
        <v>2.668538276214814E-2</v>
      </c>
      <c r="R335" s="171">
        <f ca="1">IF(R$6=OFFSET(Assumptions!$B$8,0,$C$1),AVERAGE(O$335/O$13,P$335/P$13,Q$335/Q$13),Q$335/Q$13)*R$13</f>
        <v>2.771223234185877E-2</v>
      </c>
      <c r="S335" s="171">
        <f ca="1">IF(S$6=OFFSET(Assumptions!$B$8,0,$C$1),AVERAGE(P$335/P$13,Q$335/Q$13,R$335/R$13),R$335/R$13)*S$13</f>
        <v>2.875589001319177E-2</v>
      </c>
      <c r="T335" s="171">
        <f ca="1">IF(T$6=OFFSET(Assumptions!$B$8,0,$C$1),AVERAGE(Q$335/Q$13,R$335/R$13,S$335/S$13),S$335/S$13)*T$13</f>
        <v>2.9830490264198057E-2</v>
      </c>
    </row>
    <row r="336" spans="1:20">
      <c r="A336" s="167" t="s">
        <v>419</v>
      </c>
      <c r="B336" s="4" t="str">
        <f>$B$39</f>
        <v>From Fiscal Forecasts</v>
      </c>
      <c r="D336" s="175">
        <f>SUM('Fiscal Forecasts'!D$24:D$26)-SUM('Fiscal Forecasts'!D$347,D$332,D$334:D$335)</f>
        <v>-2.6809999999999983</v>
      </c>
      <c r="E336" s="175">
        <f>SUM('Fiscal Forecasts'!E$24:E$26)-SUM('Fiscal Forecasts'!E$347,E$332,E$334:E$335)</f>
        <v>-0.4009999999999998</v>
      </c>
      <c r="F336" s="176">
        <f>SUM('Fiscal Forecasts'!F$24:F$26)-SUM('Fiscal Forecasts'!F$347,F$332,F$334:F$335)</f>
        <v>1.463000000000001</v>
      </c>
      <c r="G336" s="176">
        <f>SUM('Fiscal Forecasts'!G$24:G$26)-SUM('Fiscal Forecasts'!G$347,G$332,G$334:G$335)</f>
        <v>-8.7000000000000188E-2</v>
      </c>
      <c r="H336" s="176">
        <f>SUM('Fiscal Forecasts'!H$24:H$26)-SUM('Fiscal Forecasts'!H$347,H$332,H$334:H$335)</f>
        <v>-8.1999999999999851E-2</v>
      </c>
      <c r="I336" s="176">
        <f>SUM('Fiscal Forecasts'!I$24:I$26)-SUM('Fiscal Forecasts'!I$347,I$332,I$334:I$335)</f>
        <v>-9.7999999999999865E-2</v>
      </c>
      <c r="J336" s="176">
        <f>SUM('Fiscal Forecasts'!J$24:J$26)-SUM('Fiscal Forecasts'!J$347,J$332,J$334:J$335)</f>
        <v>-0.11500000000000021</v>
      </c>
      <c r="K336" s="171">
        <f ca="1">IF(K$6=OFFSET(Assumptions!$B$8,0,$C$1),AVERAGE(H$336/SUM(H$334,H$335),I$336/SUM(I$334,I$335),J$336/SUM(J$334,J$335)),J$336/SUM(J$334,J$335))*SUM(K$334,K$335)</f>
        <v>-0.1473827423983913</v>
      </c>
      <c r="L336" s="171">
        <f ca="1">IF(L$6=OFFSET(Assumptions!$B$8,0,$C$1),AVERAGE(I$336/SUM(I$334,I$335),J$336/SUM(J$334,J$335),K$336/SUM(K$334,K$335)),K$336/SUM(K$334,K$335))*SUM(L$334,L$335)</f>
        <v>-0.15842479845642679</v>
      </c>
      <c r="M336" s="171">
        <f ca="1">IF(M$6=OFFSET(Assumptions!$B$8,0,$C$1),AVERAGE(J$336/SUM(J$334,J$335),K$336/SUM(K$334,K$335),L$336/SUM(L$334,L$335)),L$336/SUM(L$334,L$335))*SUM(M$334,M$335)</f>
        <v>-0.17026531125138855</v>
      </c>
      <c r="N336" s="171">
        <f ca="1">IF(N$6=OFFSET(Assumptions!$B$8,0,$C$1),AVERAGE(K$336/SUM(K$334,K$335),L$336/SUM(L$334,L$335),M$336/SUM(M$334,M$335)),M$336/SUM(M$334,M$335))*SUM(N$334,N$335)</f>
        <v>-0.18242820878385008</v>
      </c>
      <c r="O336" s="171">
        <f ca="1">IF(O$6=OFFSET(Assumptions!$B$8,0,$C$1),AVERAGE(L$336/SUM(L$334,L$335),M$336/SUM(M$334,M$335),N$336/SUM(N$334,N$335)),N$336/SUM(N$334,N$335))*SUM(O$334,O$335)</f>
        <v>-0.19457069178804487</v>
      </c>
      <c r="P336" s="171">
        <f ca="1">IF(P$6=OFFSET(Assumptions!$B$8,0,$C$1),AVERAGE(M$336/SUM(M$334,M$335),N$336/SUM(N$334,N$335),O$336/SUM(O$334,O$335)),O$336/SUM(O$334,O$335))*SUM(P$334,P$335)</f>
        <v>-0.20537739748148598</v>
      </c>
      <c r="Q336" s="171">
        <f ca="1">IF(Q$6=OFFSET(Assumptions!$B$8,0,$C$1),AVERAGE(N$336/SUM(N$334,N$335),O$336/SUM(O$334,O$335),P$336/SUM(P$334,P$335)),P$336/SUM(P$334,P$335))*SUM(Q$334,Q$335)</f>
        <v>-0.21605435255922481</v>
      </c>
      <c r="R336" s="171">
        <f ca="1">IF(R$6=OFFSET(Assumptions!$B$8,0,$C$1),AVERAGE(O$336/SUM(O$334,O$335),P$336/SUM(P$334,P$335),Q$336/SUM(Q$334,Q$335)),Q$336/SUM(Q$334,Q$335))*SUM(R$334,R$335)</f>
        <v>-0.22959806591862802</v>
      </c>
      <c r="S336" s="171">
        <f ca="1">IF(S$6=OFFSET(Assumptions!$B$8,0,$C$1),AVERAGE(P$336/SUM(P$334,P$335),Q$336/SUM(Q$334,Q$335),R$336/SUM(R$334,R$335)),R$336/SUM(R$334,R$335))*SUM(S$334,S$335)</f>
        <v>-0.24479784655368469</v>
      </c>
      <c r="T336" s="171">
        <f ca="1">IF(T$6=OFFSET(Assumptions!$B$8,0,$C$1),AVERAGE(Q$336/SUM(Q$334,Q$335),R$336/SUM(R$334,R$335),S$336/SUM(S$334,S$335)),S$336/SUM(S$334,S$335))*SUM(T$334,T$335)</f>
        <v>-0.25824696860535512</v>
      </c>
    </row>
    <row r="337" spans="1:20" ht="15">
      <c r="A337" s="168" t="s">
        <v>477</v>
      </c>
      <c r="B337" s="4"/>
      <c r="D337" s="138">
        <f t="shared" ref="D337:T337" si="166">SUM(D$333:D$336)</f>
        <v>-7.1309999999999993</v>
      </c>
      <c r="E337" s="138">
        <f t="shared" si="166"/>
        <v>-8.7219999999999995</v>
      </c>
      <c r="F337" s="137">
        <f t="shared" si="166"/>
        <v>17.042999999999999</v>
      </c>
      <c r="G337" s="137">
        <f t="shared" si="166"/>
        <v>2.843</v>
      </c>
      <c r="H337" s="137">
        <f t="shared" si="166"/>
        <v>4.2480000000000002</v>
      </c>
      <c r="I337" s="137">
        <f t="shared" si="166"/>
        <v>4.7210000000000001</v>
      </c>
      <c r="J337" s="137">
        <f t="shared" si="166"/>
        <v>5.2530000000000001</v>
      </c>
      <c r="K337" s="140">
        <f t="shared" ca="1" si="166"/>
        <v>5.6878700557069681</v>
      </c>
      <c r="L337" s="140">
        <f t="shared" ca="1" si="166"/>
        <v>6.1355795077483597</v>
      </c>
      <c r="M337" s="140">
        <f t="shared" ca="1" si="166"/>
        <v>6.5930686222761299</v>
      </c>
      <c r="N337" s="140">
        <f t="shared" ca="1" si="166"/>
        <v>7.0596492862455316</v>
      </c>
      <c r="O337" s="140">
        <f t="shared" ca="1" si="166"/>
        <v>7.5364758370894833</v>
      </c>
      <c r="P337" s="140">
        <f t="shared" ca="1" si="166"/>
        <v>8.0204895573862665</v>
      </c>
      <c r="Q337" s="140">
        <f t="shared" ca="1" si="166"/>
        <v>8.5175927981823083</v>
      </c>
      <c r="R337" s="140">
        <f t="shared" ca="1" si="166"/>
        <v>9.0391359368261721</v>
      </c>
      <c r="S337" s="140">
        <f t="shared" ca="1" si="166"/>
        <v>9.5789026902946421</v>
      </c>
      <c r="T337" s="140">
        <f t="shared" ca="1" si="166"/>
        <v>10.123426542552092</v>
      </c>
    </row>
    <row r="338" spans="1:20" ht="15">
      <c r="A338" s="168"/>
      <c r="B338" s="4"/>
      <c r="D338" s="146"/>
      <c r="E338" s="146"/>
      <c r="F338" s="146"/>
      <c r="G338" s="146"/>
      <c r="H338" s="146"/>
      <c r="I338" s="146"/>
      <c r="J338" s="146"/>
      <c r="K338" s="146"/>
      <c r="L338" s="146"/>
      <c r="M338" s="146"/>
      <c r="N338" s="146"/>
      <c r="O338" s="146"/>
      <c r="P338" s="146"/>
      <c r="Q338" s="146"/>
      <c r="R338" s="146"/>
      <c r="S338" s="146"/>
      <c r="T338" s="146"/>
    </row>
    <row r="339" spans="1:20" ht="15">
      <c r="A339" s="18" t="s">
        <v>245</v>
      </c>
      <c r="B339" s="4"/>
      <c r="D339" s="142"/>
      <c r="E339" s="142"/>
      <c r="F339" s="141"/>
      <c r="G339" s="141"/>
      <c r="H339" s="141"/>
      <c r="I339" s="141"/>
      <c r="J339" s="141"/>
      <c r="K339" s="134"/>
      <c r="L339" s="134"/>
      <c r="M339" s="134"/>
      <c r="N339" s="134"/>
      <c r="O339" s="134"/>
      <c r="P339" s="134"/>
      <c r="Q339" s="134"/>
      <c r="R339" s="134"/>
      <c r="S339" s="134"/>
      <c r="T339" s="134"/>
    </row>
    <row r="340" spans="1:20" ht="15">
      <c r="A340" s="168" t="s">
        <v>478</v>
      </c>
      <c r="B340" s="4" t="str">
        <f>$B$39</f>
        <v>From Fiscal Forecasts</v>
      </c>
      <c r="D340" s="142">
        <f>'Fiscal Forecasts'!D$168-D$333</f>
        <v>4.0000000000000036E-3</v>
      </c>
      <c r="E340" s="142">
        <f>'Fiscal Forecasts'!E$168-E$333</f>
        <v>-4.2000000000000703E-2</v>
      </c>
      <c r="F340" s="141">
        <f>'Fiscal Forecasts'!F$168-F$333</f>
        <v>1.2000000000000455E-2</v>
      </c>
      <c r="G340" s="141">
        <f>'Fiscal Forecasts'!G$168-G$333</f>
        <v>1.7999999999999794E-2</v>
      </c>
      <c r="H340" s="141">
        <f>'Fiscal Forecasts'!H$168-H$333</f>
        <v>1.8999999999999684E-2</v>
      </c>
      <c r="I340" s="141">
        <f>'Fiscal Forecasts'!I$168-I$333</f>
        <v>1.8000000000000682E-2</v>
      </c>
      <c r="J340" s="141">
        <f>'Fiscal Forecasts'!J$168-J$333</f>
        <v>1.6000000000000014E-2</v>
      </c>
      <c r="K340" s="134">
        <f ca="1">IF(K$6=OFFSET(Assumptions!$B$8,0,$C$1),AVERAGE(H$340/H$13,I$340/I$13,J$340/J$13),J$340/J$13)*K$13</f>
        <v>1.9558560620821199E-2</v>
      </c>
      <c r="L340" s="134">
        <f ca="1">IF(L$6=OFFSET(Assumptions!$B$8,0,$C$1),AVERAGE(I$340/I$13,J$340/J$13,K$340/K$13),K$340/K$13)*L$13</f>
        <v>2.0393489066080864E-2</v>
      </c>
      <c r="M340" s="134">
        <f ca="1">IF(M$6=OFFSET(Assumptions!$B$8,0,$C$1),AVERAGE(J$340/J$13,K$340/K$13,L$340/L$13),L$340/L$13)*M$13</f>
        <v>2.1237781568279695E-2</v>
      </c>
      <c r="N340" s="134">
        <f ca="1">IF(N$6=OFFSET(Assumptions!$B$8,0,$C$1),AVERAGE(K$340/K$13,L$340/L$13,M$340/M$13),M$340/M$13)*N$13</f>
        <v>2.212188693217651E-2</v>
      </c>
      <c r="O340" s="134">
        <f ca="1">IF(O$6=OFFSET(Assumptions!$B$8,0,$C$1),AVERAGE(L$340/L$13,M$340/M$13,N$340/N$13),N$340/N$13)*O$13</f>
        <v>2.3025140950318906E-2</v>
      </c>
      <c r="P340" s="134">
        <f ca="1">IF(P$6=OFFSET(Assumptions!$B$8,0,$C$1),AVERAGE(M$340/M$13,N$340/N$13,O$340/O$13),O$340/O$13)*P$13</f>
        <v>2.3947438621741441E-2</v>
      </c>
      <c r="Q340" s="134">
        <f ca="1">IF(Q$6=OFFSET(Assumptions!$B$8,0,$C$1),AVERAGE(N$340/N$13,O$340/O$13,P$340/P$13),P$340/P$13)*Q$13</f>
        <v>2.4888712078150056E-2</v>
      </c>
      <c r="R340" s="134">
        <f ca="1">IF(R$6=OFFSET(Assumptions!$B$8,0,$C$1),AVERAGE(O$340/O$13,P$340/P$13,Q$340/Q$13),Q$340/Q$13)*R$13</f>
        <v>2.5846426035816737E-2</v>
      </c>
      <c r="S340" s="134">
        <f ca="1">IF(S$6=OFFSET(Assumptions!$B$8,0,$C$1),AVERAGE(P$340/P$13,Q$340/Q$13,R$340/R$13),R$340/R$13)*S$13</f>
        <v>2.6819816431655628E-2</v>
      </c>
      <c r="T340" s="134">
        <f ca="1">IF(T$6=OFFSET(Assumptions!$B$8,0,$C$1),AVERAGE(Q$340/Q$13,R$340/R$13,S$340/S$13),S$340/S$13)*T$13</f>
        <v>2.7822066108371537E-2</v>
      </c>
    </row>
    <row r="341" spans="1:20" ht="15">
      <c r="A341" s="168" t="s">
        <v>479</v>
      </c>
      <c r="B341" s="4" t="str">
        <f>$B$39</f>
        <v>From Fiscal Forecasts</v>
      </c>
      <c r="D341" s="142">
        <f>'Fiscal Forecasts'!D$28</f>
        <v>0.20599999999999999</v>
      </c>
      <c r="E341" s="142">
        <f>'Fiscal Forecasts'!E$28</f>
        <v>1.1930000000000001</v>
      </c>
      <c r="F341" s="141">
        <f>'Fiscal Forecasts'!F$28</f>
        <v>-0.53500000000000003</v>
      </c>
      <c r="G341" s="141">
        <f>'Fiscal Forecasts'!G$28</f>
        <v>-9.8000000000000004E-2</v>
      </c>
      <c r="H341" s="141">
        <f>'Fiscal Forecasts'!H$28</f>
        <v>-1E-3</v>
      </c>
      <c r="I341" s="141">
        <f>'Fiscal Forecasts'!I$28</f>
        <v>5.8999999999999997E-2</v>
      </c>
      <c r="J341" s="141">
        <f>'Fiscal Forecasts'!J$28</f>
        <v>0.13800000000000001</v>
      </c>
      <c r="K341" s="134">
        <f ca="1">SUM(K$340,IF(K$6=OFFSET(Assumptions!$B$8,0,$C$1),AVERAGE((H$341-H$340)/H$13,(I$341-I$340)/I$13,(J$341-J$340)/J$13),(J$341-J$340)/J$13)*K$13)</f>
        <v>6.9333735184609654E-2</v>
      </c>
      <c r="L341" s="134">
        <f ca="1">SUM(L$340,IF(L$6=OFFSET(Assumptions!$B$8,0,$C$1),AVERAGE((I$341-I$340)/I$13,(J$341-J$340)/J$13,(K$341-K$340)/K$13),(K$341-K$340)/K$13)*L$13)</f>
        <v>7.2293498371891723E-2</v>
      </c>
      <c r="M341" s="134">
        <f ca="1">SUM(M$340,IF(M$6=OFFSET(Assumptions!$B$8,0,$C$1),AVERAGE((J$341-J$340)/J$13,(K$341-K$340)/K$13,(L$341-L$340)/L$13),(L$341-L$340)/L$13)*M$13)</f>
        <v>7.5286456488834558E-2</v>
      </c>
      <c r="N341" s="134">
        <f ca="1">SUM(N$340,IF(N$6=OFFSET(Assumptions!$B$8,0,$C$1),AVERAGE((K$341-K$340)/K$13,(L$341-L$340)/L$13,(M$341-M$340)/M$13),(M$341-M$340)/M$13)*N$13)</f>
        <v>7.8420548427607345E-2</v>
      </c>
      <c r="O341" s="134">
        <f ca="1">SUM(O$340,IF(O$6=OFFSET(Assumptions!$B$8,0,$C$1),AVERAGE((L$341-L$340)/L$13,(M$341-M$340)/M$13,(N$341-N$340)/N$13),(N$341-N$340)/N$13)*O$13)</f>
        <v>8.1622521012013727E-2</v>
      </c>
      <c r="P341" s="134">
        <f ca="1">SUM(P$340,IF(P$6=OFFSET(Assumptions!$B$8,0,$C$1),AVERAGE((M$341-M$340)/M$13,(N$341-N$340)/N$13,(O$341-O$340)/O$13),(O$341-O$340)/O$13)*P$13)</f>
        <v>8.4892002020944296E-2</v>
      </c>
      <c r="Q341" s="134">
        <f ca="1">SUM(Q$340,IF(Q$6=OFFSET(Assumptions!$B$8,0,$C$1),AVERAGE((N$341-N$340)/N$13,(O$341-O$340)/O$13,(P$341-P$340)/P$13),(P$341-P$340)/P$13)*Q$13)</f>
        <v>8.8228750866023525E-2</v>
      </c>
      <c r="R341" s="134">
        <f ca="1">SUM(R$340,IF(R$6=OFFSET(Assumptions!$B$8,0,$C$1),AVERAGE((O$341-O$340)/O$13,(P$341-P$340)/P$13,(Q$341-Q$340)/Q$13),(Q$341-Q$340)/Q$13)*R$13)</f>
        <v>9.1623780143013256E-2</v>
      </c>
      <c r="S341" s="134">
        <f ca="1">SUM(S$340,IF(S$6=OFFSET(Assumptions!$B$8,0,$C$1),AVERAGE((P$341-P$340)/P$13,(Q$341-Q$340)/Q$13,(R$341-R$340)/R$13),(R$341-R$340)/R$13)*S$13)</f>
        <v>9.5074381301489624E-2</v>
      </c>
      <c r="T341" s="134">
        <f ca="1">SUM(T$340,IF(T$6=OFFSET(Assumptions!$B$8,0,$C$1),AVERAGE((Q$341-Q$340)/Q$13,(R$341-R$340)/R$13,(S$341-S$340)/S$13),(S$341-S$340)/S$13)*T$13)</f>
        <v>9.8627286600681527E-2</v>
      </c>
    </row>
    <row r="342" spans="1:20" ht="15">
      <c r="A342" s="168"/>
      <c r="B342" s="4"/>
      <c r="D342" s="142"/>
      <c r="E342" s="142"/>
      <c r="F342" s="141"/>
      <c r="G342" s="141"/>
      <c r="H342" s="141"/>
      <c r="I342" s="141"/>
      <c r="J342" s="141"/>
      <c r="K342" s="134"/>
      <c r="L342" s="134"/>
      <c r="M342" s="134"/>
      <c r="N342" s="134"/>
      <c r="O342" s="134"/>
      <c r="P342" s="134"/>
      <c r="Q342" s="134"/>
      <c r="R342" s="134"/>
      <c r="S342" s="134"/>
      <c r="T342" s="134"/>
    </row>
    <row r="343" spans="1:20" ht="15">
      <c r="A343" s="18" t="s">
        <v>198</v>
      </c>
      <c r="B343" s="4"/>
      <c r="D343" s="142"/>
      <c r="E343" s="142"/>
      <c r="F343" s="134"/>
      <c r="G343" s="134"/>
      <c r="H343" s="134"/>
      <c r="I343" s="134"/>
      <c r="J343" s="134"/>
      <c r="K343" s="134"/>
      <c r="L343" s="134"/>
      <c r="M343" s="134"/>
      <c r="N343" s="134"/>
      <c r="O343" s="134"/>
      <c r="P343" s="134"/>
      <c r="Q343" s="134"/>
      <c r="R343" s="134"/>
      <c r="S343" s="134"/>
      <c r="T343" s="134"/>
    </row>
    <row r="344" spans="1:20">
      <c r="A344" s="167" t="s">
        <v>480</v>
      </c>
      <c r="B344" s="4"/>
      <c r="D344" s="175">
        <f ca="1">OFFSET(Assumptions!$B$75,0,$C$1)*'Fiscal Forecasts'!D$351</f>
        <v>1.32921</v>
      </c>
      <c r="E344" s="175">
        <f ca="1">OFFSET(Assumptions!$B$75,0,$C$1)*'Fiscal Forecasts'!E$351</f>
        <v>1.4466299999999999</v>
      </c>
      <c r="F344" s="176">
        <f ca="1">OFFSET(Assumptions!$B$75,0,$C$1)*'Fiscal Forecasts'!F$351</f>
        <v>1.8377999999999999</v>
      </c>
      <c r="G344" s="176">
        <f ca="1">OFFSET(Assumptions!$B$75,0,$C$1)*'Fiscal Forecasts'!G$351</f>
        <v>1.9458599999999997</v>
      </c>
      <c r="H344" s="176">
        <f ca="1">OFFSET(Assumptions!$B$75,0,$C$1)*'Fiscal Forecasts'!H$351</f>
        <v>2.0897399999999999</v>
      </c>
      <c r="I344" s="176">
        <f ca="1">OFFSET(Assumptions!$B$75,0,$C$1)*'Fiscal Forecasts'!I$351</f>
        <v>2.2568999999999999</v>
      </c>
      <c r="J344" s="176">
        <f ca="1">OFFSET(Assumptions!$B$75,0,$C$1)*'Fiscal Forecasts'!J$351</f>
        <v>2.4422099999999998</v>
      </c>
      <c r="K344" s="171">
        <f ca="1">OFFSET(Assumptions!$B$75,0,$C$1)*K$384</f>
        <v>2.6308369262168583</v>
      </c>
      <c r="L344" s="171">
        <f ca="1">OFFSET(Assumptions!$B$75,0,$C$1)*L$384</f>
        <v>2.8239852413841251</v>
      </c>
      <c r="M344" s="171">
        <f ca="1">OFFSET(Assumptions!$B$75,0,$C$1)*M$384</f>
        <v>3.0297854927898902</v>
      </c>
      <c r="N344" s="171">
        <f ca="1">OFFSET(Assumptions!$B$75,0,$C$1)*N$384</f>
        <v>3.2401792552769915</v>
      </c>
      <c r="O344" s="171">
        <f ca="1">OFFSET(Assumptions!$B$75,0,$C$1)*O$384</f>
        <v>3.4563697029166871</v>
      </c>
      <c r="P344" s="171">
        <f ca="1">OFFSET(Assumptions!$B$75,0,$C$1)*P$384</f>
        <v>3.6793032309547224</v>
      </c>
      <c r="Q344" s="171">
        <f ca="1">OFFSET(Assumptions!$B$75,0,$C$1)*Q$384</f>
        <v>3.9090767636024535</v>
      </c>
      <c r="R344" s="171">
        <f ca="1">OFFSET(Assumptions!$B$75,0,$C$1)*R$384</f>
        <v>4.1449880569741824</v>
      </c>
      <c r="S344" s="171">
        <f ca="1">OFFSET(Assumptions!$B$75,0,$C$1)*S$384</f>
        <v>4.3863235876403257</v>
      </c>
      <c r="T344" s="171">
        <f ca="1">OFFSET(Assumptions!$B$75,0,$C$1)*T$384</f>
        <v>4.6339247471847491</v>
      </c>
    </row>
    <row r="345" spans="1:20">
      <c r="A345" s="167" t="s">
        <v>481</v>
      </c>
      <c r="B345" s="4" t="str">
        <f>$B$39</f>
        <v>From Fiscal Forecasts</v>
      </c>
      <c r="D345" s="49">
        <f ca="1">'Fiscal Forecasts'!D$171-D$344</f>
        <v>16.04879</v>
      </c>
      <c r="E345" s="49">
        <f ca="1">'Fiscal Forecasts'!E$171-E$344</f>
        <v>16.734370000000002</v>
      </c>
      <c r="F345" s="176">
        <f ca="1">'Fiscal Forecasts'!F$171-F$344</f>
        <v>7.6232000000000006</v>
      </c>
      <c r="G345" s="176">
        <f ca="1">'Fiscal Forecasts'!G$171-G$344</f>
        <v>5.2991400000000004</v>
      </c>
      <c r="H345" s="176">
        <f ca="1">'Fiscal Forecasts'!H$171-H$344</f>
        <v>4.5172600000000003</v>
      </c>
      <c r="I345" s="176">
        <f ca="1">'Fiscal Forecasts'!I$171-I$344</f>
        <v>3.7210999999999999</v>
      </c>
      <c r="J345" s="176">
        <f ca="1">'Fiscal Forecasts'!J$171-J$344</f>
        <v>3.1117900000000005</v>
      </c>
      <c r="K345" s="171">
        <f ca="1">(J$345/J$13+ IF(K$2&gt;0,K$2*IF(K$6=OFFSET(Assumptions!$B$8,0,$C$1),SUMPRODUCT(OFFSET(J$345,0,0,1,-OFFSET(Assumptions!$B$86,0,$C$1)),OFFSET(J$15,0,0,1,-OFFSET(Assumptions!$B$86,0,$C$1)))/OFFSET(Assumptions!$B$86,0,$C$1)-J$345/J$13,(J$345/J$13-I$345/I$13)/J$2),0))*K$13</f>
        <v>3.5683852138375403</v>
      </c>
      <c r="L345" s="171">
        <f ca="1">(K$345/K$13+ IF(L$2&gt;0,L$2*IF(L$6=OFFSET(Assumptions!$B$8,0,$C$1),SUMPRODUCT(OFFSET(K$345,0,0,1,-OFFSET(Assumptions!$B$86,0,$C$1)),OFFSET(K$15,0,0,1,-OFFSET(Assumptions!$B$86,0,$C$1)))/OFFSET(Assumptions!$B$86,0,$C$1)-K$345/K$13,(K$345/K$13-J$345/J$13)/K$2),0))*L$13</f>
        <v>3.9857846846666818</v>
      </c>
      <c r="M345" s="171">
        <f ca="1">(L$345/L$13+ IF(M$2&gt;0,M$2*IF(M$6=OFFSET(Assumptions!$B$8,0,$C$1),SUMPRODUCT(OFFSET(L$345,0,0,1,-OFFSET(Assumptions!$B$86,0,$C$1)),OFFSET(L$15,0,0,1,-OFFSET(Assumptions!$B$86,0,$C$1)))/OFFSET(Assumptions!$B$86,0,$C$1)-L$345/L$13,(L$345/L$13-K$345/K$13)/L$2),0))*M$13</f>
        <v>4.3578294706634955</v>
      </c>
      <c r="N345" s="171">
        <f ca="1">(M$345/M$13+ IF(N$2&gt;0,N$2*IF(N$6=OFFSET(Assumptions!$B$8,0,$C$1),SUMPRODUCT(OFFSET(M$345,0,0,1,-OFFSET(Assumptions!$B$86,0,$C$1)),OFFSET(M$15,0,0,1,-OFFSET(Assumptions!$B$86,0,$C$1)))/OFFSET(Assumptions!$B$86,0,$C$1)-M$345/M$13,(M$345/M$13-L$345/L$13)/M$2),0))*N$13</f>
        <v>4.6830087257625435</v>
      </c>
      <c r="O345" s="171">
        <f ca="1">(N$345/N$13+ IF(O$2&gt;0,O$2*IF(O$6=OFFSET(Assumptions!$B$8,0,$C$1),SUMPRODUCT(OFFSET(N$345,0,0,1,-OFFSET(Assumptions!$B$86,0,$C$1)),OFFSET(N$15,0,0,1,-OFFSET(Assumptions!$B$86,0,$C$1)))/OFFSET(Assumptions!$B$86,0,$C$1)-N$345/N$13,(N$345/N$13-M$345/M$13)/N$2),0))*O$13</f>
        <v>4.9490385391486704</v>
      </c>
      <c r="P345" s="171">
        <f ca="1">(O$345/O$13+ IF(P$2&gt;0,P$2*IF(P$6=OFFSET(Assumptions!$B$8,0,$C$1),SUMPRODUCT(OFFSET(O$345,0,0,1,-OFFSET(Assumptions!$B$86,0,$C$1)),OFFSET(O$15,0,0,1,-OFFSET(Assumptions!$B$86,0,$C$1)))/OFFSET(Assumptions!$B$86,0,$C$1)-O$345/O$13,(O$345/O$13-N$345/N$13)/O$2),0))*P$13</f>
        <v>5.1472777912030203</v>
      </c>
      <c r="Q345" s="171">
        <f ca="1">(P$345/P$13+ IF(Q$2&gt;0,Q$2*IF(Q$6=OFFSET(Assumptions!$B$8,0,$C$1),SUMPRODUCT(OFFSET(P$345,0,0,1,-OFFSET(Assumptions!$B$86,0,$C$1)),OFFSET(P$15,0,0,1,-OFFSET(Assumptions!$B$86,0,$C$1)))/OFFSET(Assumptions!$B$86,0,$C$1)-P$345/P$13,(P$345/P$13-O$345/O$13)/P$2),0))*Q$13</f>
        <v>5.3495957106327117</v>
      </c>
      <c r="R345" s="171">
        <f ca="1">(Q$345/Q$13+ IF(R$2&gt;0,R$2*IF(R$6=OFFSET(Assumptions!$B$8,0,$C$1),SUMPRODUCT(OFFSET(Q$345,0,0,1,-OFFSET(Assumptions!$B$86,0,$C$1)),OFFSET(Q$15,0,0,1,-OFFSET(Assumptions!$B$86,0,$C$1)))/OFFSET(Assumptions!$B$86,0,$C$1)-Q$345/Q$13,(Q$345/Q$13-P$345/P$13)/Q$2),0))*R$13</f>
        <v>5.5554473619298719</v>
      </c>
      <c r="S345" s="171">
        <f ca="1">(R$345/R$13+ IF(S$2&gt;0,S$2*IF(S$6=OFFSET(Assumptions!$B$8,0,$C$1),SUMPRODUCT(OFFSET(R$345,0,0,1,-OFFSET(Assumptions!$B$86,0,$C$1)),OFFSET(R$15,0,0,1,-OFFSET(Assumptions!$B$86,0,$C$1)))/OFFSET(Assumptions!$B$86,0,$C$1)-R$345/R$13,(R$345/R$13-Q$345/Q$13)/R$2),0))*S$13</f>
        <v>5.7646685168855862</v>
      </c>
      <c r="T345" s="171">
        <f ca="1">(S$345/S$13+ IF(T$2&gt;0,T$2*IF(T$6=OFFSET(Assumptions!$B$8,0,$C$1),SUMPRODUCT(OFFSET(S$345,0,0,1,-OFFSET(Assumptions!$B$86,0,$C$1)),OFFSET(S$15,0,0,1,-OFFSET(Assumptions!$B$86,0,$C$1)))/OFFSET(Assumptions!$B$86,0,$C$1)-S$345/S$13,(S$345/S$13-R$345/R$13)/S$2),0))*T$13</f>
        <v>5.9800927041519678</v>
      </c>
    </row>
    <row r="346" spans="1:20" ht="15">
      <c r="A346" s="168" t="s">
        <v>482</v>
      </c>
      <c r="B346" s="4"/>
      <c r="D346" s="138">
        <f t="shared" ref="D346:T346" ca="1" si="167">SUM(D$344:D$345)</f>
        <v>17.378</v>
      </c>
      <c r="E346" s="138">
        <f t="shared" ca="1" si="167"/>
        <v>18.181000000000001</v>
      </c>
      <c r="F346" s="137">
        <f t="shared" ca="1" si="167"/>
        <v>9.4610000000000003</v>
      </c>
      <c r="G346" s="137">
        <f t="shared" ca="1" si="167"/>
        <v>7.2450000000000001</v>
      </c>
      <c r="H346" s="137">
        <f t="shared" ca="1" si="167"/>
        <v>6.6070000000000002</v>
      </c>
      <c r="I346" s="137">
        <f t="shared" ca="1" si="167"/>
        <v>5.9779999999999998</v>
      </c>
      <c r="J346" s="137">
        <f t="shared" ca="1" si="167"/>
        <v>5.5540000000000003</v>
      </c>
      <c r="K346" s="140">
        <f t="shared" ca="1" si="167"/>
        <v>6.199222140054399</v>
      </c>
      <c r="L346" s="140">
        <f t="shared" ca="1" si="167"/>
        <v>6.8097699260508069</v>
      </c>
      <c r="M346" s="140">
        <f t="shared" ca="1" si="167"/>
        <v>7.3876149634533856</v>
      </c>
      <c r="N346" s="140">
        <f t="shared" ca="1" si="167"/>
        <v>7.9231879810395345</v>
      </c>
      <c r="O346" s="140">
        <f t="shared" ca="1" si="167"/>
        <v>8.4054082420653575</v>
      </c>
      <c r="P346" s="140">
        <f t="shared" ca="1" si="167"/>
        <v>8.8265810221577432</v>
      </c>
      <c r="Q346" s="140">
        <f t="shared" ca="1" si="167"/>
        <v>9.2586724742351656</v>
      </c>
      <c r="R346" s="140">
        <f t="shared" ca="1" si="167"/>
        <v>9.7004354189040534</v>
      </c>
      <c r="S346" s="140">
        <f t="shared" ca="1" si="167"/>
        <v>10.150992104525912</v>
      </c>
      <c r="T346" s="140">
        <f t="shared" ca="1" si="167"/>
        <v>10.614017451336718</v>
      </c>
    </row>
    <row r="347" spans="1:20" ht="15">
      <c r="A347" s="168" t="s">
        <v>483</v>
      </c>
      <c r="B347" s="4" t="str">
        <f>$B$39</f>
        <v>From Fiscal Forecasts</v>
      </c>
      <c r="D347" s="142">
        <f>'Fiscal Forecasts'!D$116</f>
        <v>20.248000000000001</v>
      </c>
      <c r="E347" s="142">
        <f>'Fiscal Forecasts'!E$116</f>
        <v>21.927</v>
      </c>
      <c r="F347" s="141">
        <f>'Fiscal Forecasts'!F$116</f>
        <v>14.946999999999999</v>
      </c>
      <c r="G347" s="141">
        <f>'Fiscal Forecasts'!G$116</f>
        <v>12.422000000000001</v>
      </c>
      <c r="H347" s="141">
        <f>'Fiscal Forecasts'!H$116</f>
        <v>11.834</v>
      </c>
      <c r="I347" s="141">
        <f>'Fiscal Forecasts'!I$116</f>
        <v>11.064</v>
      </c>
      <c r="J347" s="141">
        <f>'Fiscal Forecasts'!J$116</f>
        <v>10.814</v>
      </c>
      <c r="K347" s="134">
        <f ca="1">SUM(K$346,((J$347-J$346)/J$13+ IF(K$2&gt;0,K$2*IF(K$6=OFFSET(Assumptions!$B$8,0,$C$1),(SUMPRODUCT(OFFSET(J$347,0,0,1,-OFFSET(Assumptions!$B$86,0,$C$1)),OFFSET(J$15,0,0,1,-OFFSET(Assumptions!$B$86,0,$C$1)))-SUMPRODUCT(OFFSET(J$346,0,0,1,-OFFSET(Assumptions!$B$86,0,$C$1)),OFFSET(J$15,0,0,1,-OFFSET(Assumptions!$B$86,0,$C$1))))/OFFSET(Assumptions!$B$86,0,$C$1)-(J$347-J$346)/J$13,((J$347-J$346)/J$13-(I$347-I$346)/I$13)/J$2),0))*K$13)</f>
        <v>11.771923668867592</v>
      </c>
      <c r="L347" s="134">
        <f ca="1">SUM(L$346,((K$347-K$346)/K$13+ IF(L$2&gt;0,L$2*IF(L$6=OFFSET(Assumptions!$B$8,0,$C$1),(SUMPRODUCT(OFFSET(K$347,0,0,1,-OFFSET(Assumptions!$B$86,0,$C$1)),OFFSET(K$15,0,0,1,-OFFSET(Assumptions!$B$86,0,$C$1)))-SUMPRODUCT(OFFSET(K$346,0,0,1,-OFFSET(Assumptions!$B$86,0,$C$1)),OFFSET(K$15,0,0,1,-OFFSET(Assumptions!$B$86,0,$C$1))))/OFFSET(Assumptions!$B$86,0,$C$1)-(K$347-K$346)/K$13,((K$347-K$346)/K$13-(J$347-J$346)/J$13)/K$2),0))*L$13)</f>
        <v>12.68546185552762</v>
      </c>
      <c r="M347" s="134">
        <f ca="1">SUM(M$346,((L$347-L$346)/L$13+ IF(M$2&gt;0,M$2*IF(M$6=OFFSET(Assumptions!$B$8,0,$C$1),(SUMPRODUCT(OFFSET(L$347,0,0,1,-OFFSET(Assumptions!$B$86,0,$C$1)),OFFSET(L$15,0,0,1,-OFFSET(Assumptions!$B$86,0,$C$1)))-SUMPRODUCT(OFFSET(L$346,0,0,1,-OFFSET(Assumptions!$B$86,0,$C$1)),OFFSET(L$15,0,0,1,-OFFSET(Assumptions!$B$86,0,$C$1))))/OFFSET(Assumptions!$B$86,0,$C$1)-(L$347-L$346)/L$13,((L$347-L$346)/L$13-(K$347-K$346)/K$13)/L$2),0))*M$13)</f>
        <v>13.557406963607226</v>
      </c>
      <c r="N347" s="134">
        <f ca="1">SUM(N$346,((M$347-M$346)/M$13+ IF(N$2&gt;0,N$2*IF(N$6=OFFSET(Assumptions!$B$8,0,$C$1),(SUMPRODUCT(OFFSET(M$347,0,0,1,-OFFSET(Assumptions!$B$86,0,$C$1)),OFFSET(M$15,0,0,1,-OFFSET(Assumptions!$B$86,0,$C$1)))-SUMPRODUCT(OFFSET(M$346,0,0,1,-OFFSET(Assumptions!$B$86,0,$C$1)),OFFSET(M$15,0,0,1,-OFFSET(Assumptions!$B$86,0,$C$1))))/OFFSET(Assumptions!$B$86,0,$C$1)-(M$347-M$346)/M$13,((M$347-M$346)/M$13-(L$347-L$346)/L$13)/M$2),0))*N$13)</f>
        <v>14.385129925872857</v>
      </c>
      <c r="O347" s="134">
        <f ca="1">SUM(O$346,((N$347-N$346)/N$13+ IF(O$2&gt;0,O$2*IF(O$6=OFFSET(Assumptions!$B$8,0,$C$1),(SUMPRODUCT(OFFSET(N$347,0,0,1,-OFFSET(Assumptions!$B$86,0,$C$1)),OFFSET(N$15,0,0,1,-OFFSET(Assumptions!$B$86,0,$C$1)))-SUMPRODUCT(OFFSET(N$346,0,0,1,-OFFSET(Assumptions!$B$86,0,$C$1)),OFFSET(N$15,0,0,1,-OFFSET(Assumptions!$B$86,0,$C$1))))/OFFSET(Assumptions!$B$86,0,$C$1)-(N$347-N$346)/N$13,((N$347-N$346)/N$13-(M$347-M$346)/M$13)/N$2),0))*O$13)</f>
        <v>15.149571347952058</v>
      </c>
      <c r="P347" s="134">
        <f ca="1">SUM(P$346,((O$347-O$346)/O$13+ IF(P$2&gt;0,P$2*IF(P$6=OFFSET(Assumptions!$B$8,0,$C$1),(SUMPRODUCT(OFFSET(O$347,0,0,1,-OFFSET(Assumptions!$B$86,0,$C$1)),OFFSET(O$15,0,0,1,-OFFSET(Assumptions!$B$86,0,$C$1)))-SUMPRODUCT(OFFSET(O$346,0,0,1,-OFFSET(Assumptions!$B$86,0,$C$1)),OFFSET(O$15,0,0,1,-OFFSET(Assumptions!$B$86,0,$C$1))))/OFFSET(Assumptions!$B$86,0,$C$1)-(O$347-O$346)/O$13,((O$347-O$346)/O$13-(N$347-N$346)/N$13)/O$2),0))*P$13)</f>
        <v>15.840889094438968</v>
      </c>
      <c r="Q347" s="134">
        <f ca="1">SUM(Q$346,((P$347-P$346)/P$13+ IF(Q$2&gt;0,Q$2*IF(Q$6=OFFSET(Assumptions!$B$8,0,$C$1),(SUMPRODUCT(OFFSET(P$347,0,0,1,-OFFSET(Assumptions!$B$86,0,$C$1)),OFFSET(P$15,0,0,1,-OFFSET(Assumptions!$B$86,0,$C$1)))-SUMPRODUCT(OFFSET(P$346,0,0,1,-OFFSET(Assumptions!$B$86,0,$C$1)),OFFSET(P$15,0,0,1,-OFFSET(Assumptions!$B$86,0,$C$1))))/OFFSET(Assumptions!$B$86,0,$C$1)-(P$347-P$346)/P$13,((P$347-P$346)/P$13-(O$347-O$346)/O$13)/P$2),0))*Q$13)</f>
        <v>16.54868360218752</v>
      </c>
      <c r="R347" s="134">
        <f ca="1">SUM(R$346,((Q$347-Q$346)/Q$13+ IF(R$2&gt;0,R$2*IF(R$6=OFFSET(Assumptions!$B$8,0,$C$1),(SUMPRODUCT(OFFSET(Q$347,0,0,1,-OFFSET(Assumptions!$B$86,0,$C$1)),OFFSET(Q$15,0,0,1,-OFFSET(Assumptions!$B$86,0,$C$1)))-SUMPRODUCT(OFFSET(Q$346,0,0,1,-OFFSET(Assumptions!$B$86,0,$C$1)),OFFSET(Q$15,0,0,1,-OFFSET(Assumptions!$B$86,0,$C$1))))/OFFSET(Assumptions!$B$86,0,$C$1)-(Q$347-Q$346)/Q$13,((Q$347-Q$346)/Q$13-(P$347-P$346)/P$13)/Q$2),0))*R$13)</f>
        <v>17.270965096263982</v>
      </c>
      <c r="S347" s="134">
        <f ca="1">SUM(S$346,((R$347-R$346)/R$13+ IF(S$2&gt;0,S$2*IF(S$6=OFFSET(Assumptions!$B$8,0,$C$1),(SUMPRODUCT(OFFSET(R$347,0,0,1,-OFFSET(Assumptions!$B$86,0,$C$1)),OFFSET(R$15,0,0,1,-OFFSET(Assumptions!$B$86,0,$C$1)))-SUMPRODUCT(OFFSET(R$346,0,0,1,-OFFSET(Assumptions!$B$86,0,$C$1)),OFFSET(R$15,0,0,1,-OFFSET(Assumptions!$B$86,0,$C$1))))/OFFSET(Assumptions!$B$86,0,$C$1)-(R$347-R$346)/R$13,((R$347-R$346)/R$13-(Q$347-Q$346)/Q$13)/R$2),0))*S$13)</f>
        <v>18.006632027656135</v>
      </c>
      <c r="T347" s="134">
        <f ca="1">SUM(T$346,((S$347-S$346)/S$13+ IF(T$2&gt;0,T$2*IF(T$6=OFFSET(Assumptions!$B$8,0,$C$1),(SUMPRODUCT(OFFSET(S$347,0,0,1,-OFFSET(Assumptions!$B$86,0,$C$1)),OFFSET(S$15,0,0,1,-OFFSET(Assumptions!$B$86,0,$C$1)))-SUMPRODUCT(OFFSET(S$346,0,0,1,-OFFSET(Assumptions!$B$86,0,$C$1)),OFFSET(S$15,0,0,1,-OFFSET(Assumptions!$B$86,0,$C$1))))/OFFSET(Assumptions!$B$86,0,$C$1)-(S$347-S$346)/S$13,((S$347-S$346)/S$13-(R$347-R$346)/R$13)/S$2),0))*T$13)</f>
        <v>18.763220628093869</v>
      </c>
    </row>
    <row r="348" spans="1:20" ht="15">
      <c r="A348" s="168"/>
      <c r="B348" s="4"/>
      <c r="D348" s="134"/>
      <c r="E348" s="134"/>
      <c r="F348" s="134"/>
      <c r="G348" s="134"/>
      <c r="H348" s="134"/>
      <c r="I348" s="134"/>
      <c r="J348" s="134"/>
      <c r="K348" s="134"/>
      <c r="L348" s="134"/>
      <c r="M348" s="134"/>
      <c r="N348" s="134"/>
      <c r="O348" s="134"/>
      <c r="P348" s="134"/>
      <c r="Q348" s="134"/>
      <c r="R348" s="134"/>
      <c r="S348" s="134"/>
      <c r="T348" s="134"/>
    </row>
    <row r="349" spans="1:20">
      <c r="A349" s="18" t="s">
        <v>199</v>
      </c>
      <c r="B349" s="4"/>
    </row>
    <row r="350" spans="1:20">
      <c r="A350" s="167" t="s">
        <v>484</v>
      </c>
      <c r="B350" s="4"/>
      <c r="D350" s="175">
        <f>'Fiscal Forecasts'!D$351-D$75</f>
        <v>0.63100000000000023</v>
      </c>
      <c r="E350" s="175">
        <f>'Fiscal Forecasts'!E$351-E$75</f>
        <v>1.377999999999993</v>
      </c>
      <c r="F350" s="176">
        <f>'Fiscal Forecasts'!F$351-F$75</f>
        <v>2.8969999999999985</v>
      </c>
      <c r="G350" s="176">
        <f>'Fiscal Forecasts'!G$351-G$75</f>
        <v>2.9669999999999916</v>
      </c>
      <c r="H350" s="176">
        <f>'Fiscal Forecasts'!H$351-H$75</f>
        <v>2.6839999999999975</v>
      </c>
      <c r="I350" s="176">
        <f>'Fiscal Forecasts'!I$351-I$75</f>
        <v>2.5090000000000003</v>
      </c>
      <c r="J350" s="176">
        <f>'Fiscal Forecasts'!J$351-J$75</f>
        <v>2.3719999999999999</v>
      </c>
      <c r="K350" s="171">
        <f t="shared" ref="K350:T350" ca="1" si="168">SUM(J$350,K$449-J$449)</f>
        <v>2.4341455128597498</v>
      </c>
      <c r="L350" s="171">
        <f t="shared" ca="1" si="168"/>
        <v>2.4902893071263428</v>
      </c>
      <c r="M350" s="171">
        <f t="shared" ca="1" si="168"/>
        <v>2.6698035451126794</v>
      </c>
      <c r="N350" s="171">
        <f t="shared" ca="1" si="168"/>
        <v>2.8533245840422374</v>
      </c>
      <c r="O350" s="171">
        <f t="shared" ca="1" si="168"/>
        <v>3.0419019215472667</v>
      </c>
      <c r="P350" s="171">
        <f t="shared" ca="1" si="168"/>
        <v>3.2363610737299799</v>
      </c>
      <c r="Q350" s="171">
        <f t="shared" ca="1" si="168"/>
        <v>3.4367865850737891</v>
      </c>
      <c r="R350" s="171">
        <f t="shared" ca="1" si="168"/>
        <v>3.6425659063949318</v>
      </c>
      <c r="S350" s="171">
        <f t="shared" ca="1" si="168"/>
        <v>3.853076649655113</v>
      </c>
      <c r="T350" s="171">
        <f t="shared" ca="1" si="168"/>
        <v>4.0690527389773496</v>
      </c>
    </row>
    <row r="351" spans="1:20">
      <c r="A351" s="167" t="s">
        <v>322</v>
      </c>
      <c r="B351" s="4" t="str">
        <f>$B$39</f>
        <v>From Fiscal Forecasts</v>
      </c>
      <c r="D351" s="175">
        <f>'Fiscal Forecasts'!D$305</f>
        <v>13.763999999999999</v>
      </c>
      <c r="E351" s="175">
        <f>'Fiscal Forecasts'!E$305</f>
        <v>14.29</v>
      </c>
      <c r="F351" s="176">
        <f>'Fiscal Forecasts'!F$305</f>
        <v>14.612</v>
      </c>
      <c r="G351" s="176">
        <f>'Fiscal Forecasts'!G$305</f>
        <v>13.942</v>
      </c>
      <c r="H351" s="176">
        <f>'Fiscal Forecasts'!H$305</f>
        <v>14.606999999999999</v>
      </c>
      <c r="I351" s="176">
        <f>'Fiscal Forecasts'!I$305</f>
        <v>14.678000000000001</v>
      </c>
      <c r="J351" s="176">
        <f>'Fiscal Forecasts'!J$305</f>
        <v>14.933</v>
      </c>
      <c r="K351" s="171">
        <f t="shared" ref="K351:T351" ca="1" si="169">J$351*K$135/J$135</f>
        <v>15.691377754400675</v>
      </c>
      <c r="L351" s="171">
        <f t="shared" ca="1" si="169"/>
        <v>16.387825530100123</v>
      </c>
      <c r="M351" s="171">
        <f t="shared" ca="1" si="169"/>
        <v>17.075330124476721</v>
      </c>
      <c r="N351" s="171">
        <f t="shared" ca="1" si="169"/>
        <v>17.818438281186133</v>
      </c>
      <c r="O351" s="171">
        <f t="shared" ca="1" si="169"/>
        <v>18.5467055955985</v>
      </c>
      <c r="P351" s="171">
        <f t="shared" ca="1" si="169"/>
        <v>19.289614549784201</v>
      </c>
      <c r="Q351" s="171">
        <f t="shared" ca="1" si="169"/>
        <v>20.047808461327662</v>
      </c>
      <c r="R351" s="171">
        <f t="shared" ca="1" si="169"/>
        <v>20.819245164189343</v>
      </c>
      <c r="S351" s="171">
        <f t="shared" ca="1" si="169"/>
        <v>21.603309207061443</v>
      </c>
      <c r="T351" s="171">
        <f t="shared" ca="1" si="169"/>
        <v>22.410619343726484</v>
      </c>
    </row>
    <row r="352" spans="1:20">
      <c r="A352" s="167" t="s">
        <v>485</v>
      </c>
      <c r="B352" s="4" t="str">
        <f>$B$39</f>
        <v>From Fiscal Forecasts</v>
      </c>
      <c r="D352" s="175">
        <f>'Fiscal Forecasts'!D$172-SUM(D$350:D$351)</f>
        <v>2.1780000000000008</v>
      </c>
      <c r="E352" s="175">
        <f>'Fiscal Forecasts'!E$172-SUM(E$350:E$351)</f>
        <v>2.4320000000000093</v>
      </c>
      <c r="F352" s="176">
        <f>'Fiscal Forecasts'!F$172-SUM(F$350:F$351)</f>
        <v>0.9789999999999992</v>
      </c>
      <c r="G352" s="176">
        <f>'Fiscal Forecasts'!G$172-SUM(G$350:G$351)</f>
        <v>1.1510000000000069</v>
      </c>
      <c r="H352" s="176">
        <f>'Fiscal Forecasts'!H$172-SUM(H$350:H$351)</f>
        <v>1.6220000000000034</v>
      </c>
      <c r="I352" s="176">
        <f>'Fiscal Forecasts'!I$172-SUM(I$350:I$351)</f>
        <v>2.286999999999999</v>
      </c>
      <c r="J352" s="176">
        <f>'Fiscal Forecasts'!J$172-SUM(J$350:J$351)</f>
        <v>2.91</v>
      </c>
      <c r="K352" s="171">
        <f t="shared" ref="K352:T352" ca="1" si="170">SUM(J$352,K$451-J$451,K$472-J$472)</f>
        <v>3.2499026443478836</v>
      </c>
      <c r="L352" s="171">
        <f t="shared" ca="1" si="170"/>
        <v>3.590052522675534</v>
      </c>
      <c r="M352" s="171">
        <f t="shared" ca="1" si="170"/>
        <v>3.9296599388015183</v>
      </c>
      <c r="N352" s="171">
        <f t="shared" ca="1" si="170"/>
        <v>4.2724502823584789</v>
      </c>
      <c r="O352" s="171">
        <f t="shared" ca="1" si="170"/>
        <v>4.6184229687465814</v>
      </c>
      <c r="P352" s="171">
        <f t="shared" ca="1" si="170"/>
        <v>4.9674701217626449</v>
      </c>
      <c r="Q352" s="171">
        <f t="shared" ca="1" si="170"/>
        <v>5.31898885243828</v>
      </c>
      <c r="R352" s="171">
        <f t="shared" ca="1" si="170"/>
        <v>5.6729858642414035</v>
      </c>
      <c r="S352" s="171">
        <f t="shared" ca="1" si="170"/>
        <v>6.0297024403126649</v>
      </c>
      <c r="T352" s="171">
        <f t="shared" ca="1" si="170"/>
        <v>6.3935210454728821</v>
      </c>
    </row>
    <row r="353" spans="1:20" ht="15">
      <c r="A353" s="168" t="s">
        <v>486</v>
      </c>
      <c r="B353" s="4"/>
      <c r="D353" s="138">
        <f t="shared" ref="D353:T353" si="171">SUM(D$350:D$352)</f>
        <v>16.573</v>
      </c>
      <c r="E353" s="138">
        <f t="shared" si="171"/>
        <v>18.100000000000001</v>
      </c>
      <c r="F353" s="137">
        <f t="shared" si="171"/>
        <v>18.488</v>
      </c>
      <c r="G353" s="137">
        <f t="shared" si="171"/>
        <v>18.059999999999999</v>
      </c>
      <c r="H353" s="137">
        <f t="shared" si="171"/>
        <v>18.913</v>
      </c>
      <c r="I353" s="137">
        <f t="shared" si="171"/>
        <v>19.474</v>
      </c>
      <c r="J353" s="137">
        <f t="shared" si="171"/>
        <v>20.215</v>
      </c>
      <c r="K353" s="140">
        <f t="shared" ca="1" si="171"/>
        <v>21.375425911608307</v>
      </c>
      <c r="L353" s="140">
        <f t="shared" ca="1" si="171"/>
        <v>22.468167359902001</v>
      </c>
      <c r="M353" s="140">
        <f t="shared" ca="1" si="171"/>
        <v>23.674793608390917</v>
      </c>
      <c r="N353" s="140">
        <f t="shared" ca="1" si="171"/>
        <v>24.944213147586851</v>
      </c>
      <c r="O353" s="140">
        <f t="shared" ca="1" si="171"/>
        <v>26.20703048589235</v>
      </c>
      <c r="P353" s="140">
        <f t="shared" ca="1" si="171"/>
        <v>27.493445745276826</v>
      </c>
      <c r="Q353" s="140">
        <f t="shared" ca="1" si="171"/>
        <v>28.803583898839733</v>
      </c>
      <c r="R353" s="140">
        <f t="shared" ca="1" si="171"/>
        <v>30.13479693482568</v>
      </c>
      <c r="S353" s="140">
        <f t="shared" ca="1" si="171"/>
        <v>31.48608829702922</v>
      </c>
      <c r="T353" s="140">
        <f t="shared" ca="1" si="171"/>
        <v>32.873193128176716</v>
      </c>
    </row>
    <row r="354" spans="1:20" ht="15">
      <c r="A354" s="168" t="s">
        <v>487</v>
      </c>
      <c r="B354" s="4" t="str">
        <f>$B$39</f>
        <v>From Fiscal Forecasts</v>
      </c>
      <c r="D354" s="142">
        <f>'Fiscal Forecasts'!D$117</f>
        <v>23.327000000000002</v>
      </c>
      <c r="E354" s="142">
        <f>'Fiscal Forecasts'!E$117</f>
        <v>24.742999999999999</v>
      </c>
      <c r="F354" s="141">
        <f>'Fiscal Forecasts'!F$117</f>
        <v>25.001000000000001</v>
      </c>
      <c r="G354" s="141">
        <f>'Fiscal Forecasts'!G$117</f>
        <v>24.66</v>
      </c>
      <c r="H354" s="141">
        <f>'Fiscal Forecasts'!H$117</f>
        <v>25.73</v>
      </c>
      <c r="I354" s="141">
        <f>'Fiscal Forecasts'!I$117</f>
        <v>26.594999999999999</v>
      </c>
      <c r="J354" s="141">
        <f>'Fiscal Forecasts'!J$117</f>
        <v>27.579000000000001</v>
      </c>
      <c r="K354" s="134">
        <f t="shared" ref="K354:T354" ca="1" si="172">J$354+K$353-J$353+K$453-K$452-(J$453-J$452)+K$474-K$473-(J$474-J$473)</f>
        <v>29.085416462743339</v>
      </c>
      <c r="L354" s="134">
        <f t="shared" ca="1" si="172"/>
        <v>30.524400124294552</v>
      </c>
      <c r="M354" s="134">
        <f t="shared" ca="1" si="172"/>
        <v>32.076716407941625</v>
      </c>
      <c r="N354" s="134">
        <f t="shared" ca="1" si="172"/>
        <v>33.695065918302028</v>
      </c>
      <c r="O354" s="134">
        <f t="shared" ca="1" si="172"/>
        <v>35.310052568707874</v>
      </c>
      <c r="P354" s="134">
        <f t="shared" ca="1" si="172"/>
        <v>36.951766672783123</v>
      </c>
      <c r="Q354" s="134">
        <f t="shared" ca="1" si="172"/>
        <v>38.619719516473204</v>
      </c>
      <c r="R354" s="134">
        <f t="shared" ca="1" si="172"/>
        <v>40.31126991155471</v>
      </c>
      <c r="S354" s="134">
        <f t="shared" ca="1" si="172"/>
        <v>42.025666906521657</v>
      </c>
      <c r="T354" s="134">
        <f t="shared" ca="1" si="172"/>
        <v>43.783106602094982</v>
      </c>
    </row>
    <row r="355" spans="1:20" ht="15">
      <c r="A355" s="168"/>
      <c r="B355" s="4"/>
      <c r="D355" s="171"/>
      <c r="E355" s="171"/>
    </row>
    <row r="356" spans="1:20" ht="15">
      <c r="A356" s="18" t="s">
        <v>200</v>
      </c>
      <c r="B356" s="4"/>
      <c r="D356" s="142"/>
      <c r="E356" s="142"/>
      <c r="F356" s="141"/>
      <c r="G356" s="141"/>
      <c r="H356" s="141"/>
      <c r="I356" s="141"/>
      <c r="J356" s="141"/>
      <c r="K356" s="134"/>
      <c r="L356" s="134"/>
      <c r="M356" s="134"/>
      <c r="N356" s="134"/>
      <c r="O356" s="134"/>
      <c r="P356" s="134"/>
      <c r="Q356" s="134"/>
      <c r="R356" s="134"/>
      <c r="S356" s="134"/>
      <c r="T356" s="134"/>
    </row>
    <row r="357" spans="1:20">
      <c r="A357" s="167" t="s">
        <v>492</v>
      </c>
      <c r="B357" s="4"/>
      <c r="D357" s="175">
        <f ca="1">OFFSET(Assumptions!$B$76,0,$C$1)*D$384</f>
        <v>17.722800000000003</v>
      </c>
      <c r="E357" s="175">
        <f ca="1">OFFSET(Assumptions!$B$76,0,$C$1)*E$384</f>
        <v>19.288399999999999</v>
      </c>
      <c r="F357" s="176">
        <f ca="1">OFFSET(Assumptions!$B$76,0,$C$1)*F$384</f>
        <v>24.504000000000001</v>
      </c>
      <c r="G357" s="176">
        <f ca="1">OFFSET(Assumptions!$B$76,0,$C$1)*G$384</f>
        <v>25.944800000000001</v>
      </c>
      <c r="H357" s="176">
        <f ca="1">OFFSET(Assumptions!$B$76,0,$C$1)*H$384</f>
        <v>27.863200000000003</v>
      </c>
      <c r="I357" s="176">
        <f ca="1">OFFSET(Assumptions!$B$76,0,$C$1)*I$384</f>
        <v>30.092000000000002</v>
      </c>
      <c r="J357" s="176">
        <f ca="1">OFFSET(Assumptions!$B$76,0,$C$1)*J$384</f>
        <v>32.562800000000003</v>
      </c>
      <c r="K357" s="171">
        <f ca="1">OFFSET(Assumptions!$B$76,0,$C$1)*K$384</f>
        <v>35.077825682891444</v>
      </c>
      <c r="L357" s="171">
        <f ca="1">OFFSET(Assumptions!$B$76,0,$C$1)*L$384</f>
        <v>37.653136551788343</v>
      </c>
      <c r="M357" s="171">
        <f ca="1">OFFSET(Assumptions!$B$76,0,$C$1)*M$384</f>
        <v>40.397139903865209</v>
      </c>
      <c r="N357" s="171">
        <f ca="1">OFFSET(Assumptions!$B$76,0,$C$1)*N$384</f>
        <v>43.20239007035989</v>
      </c>
      <c r="O357" s="171">
        <f ca="1">OFFSET(Assumptions!$B$76,0,$C$1)*O$384</f>
        <v>46.084929372222497</v>
      </c>
      <c r="P357" s="171">
        <f ca="1">OFFSET(Assumptions!$B$76,0,$C$1)*P$384</f>
        <v>49.057376412729639</v>
      </c>
      <c r="Q357" s="171">
        <f ca="1">OFFSET(Assumptions!$B$76,0,$C$1)*Q$384</f>
        <v>52.121023514699381</v>
      </c>
      <c r="R357" s="171">
        <f ca="1">OFFSET(Assumptions!$B$76,0,$C$1)*R$384</f>
        <v>55.266507426322441</v>
      </c>
      <c r="S357" s="171">
        <f ca="1">OFFSET(Assumptions!$B$76,0,$C$1)*S$384</f>
        <v>58.484314501871012</v>
      </c>
      <c r="T357" s="171">
        <f ca="1">OFFSET(Assumptions!$B$76,0,$C$1)*T$384</f>
        <v>61.78566329579666</v>
      </c>
    </row>
    <row r="358" spans="1:20">
      <c r="A358" s="167" t="s">
        <v>493</v>
      </c>
      <c r="B358" s="4" t="str">
        <f>$B$39</f>
        <v>From Fiscal Forecasts</v>
      </c>
      <c r="D358" s="175">
        <f ca="1">'Fiscal Forecasts'!D$173-OFFSET(Assumptions!$B$76,0,$C$1)*'Fiscal Forecasts'!D$351</f>
        <v>9.6831999999999958</v>
      </c>
      <c r="E358" s="175">
        <f ca="1">'Fiscal Forecasts'!E$173-OFFSET(Assumptions!$B$76,0,$C$1)*'Fiscal Forecasts'!E$351</f>
        <v>24.377599999999997</v>
      </c>
      <c r="F358" s="176">
        <f ca="1">'Fiscal Forecasts'!F$173-OFFSET(Assumptions!$B$76,0,$C$1)*'Fiscal Forecasts'!F$351</f>
        <v>13.886999999999997</v>
      </c>
      <c r="G358" s="176">
        <f ca="1">'Fiscal Forecasts'!G$173-OFFSET(Assumptions!$B$76,0,$C$1)*'Fiscal Forecasts'!G$351</f>
        <v>12.601199999999999</v>
      </c>
      <c r="H358" s="176">
        <f ca="1">'Fiscal Forecasts'!H$173-OFFSET(Assumptions!$B$76,0,$C$1)*'Fiscal Forecasts'!H$351</f>
        <v>11.817799999999995</v>
      </c>
      <c r="I358" s="176">
        <f ca="1">'Fiscal Forecasts'!I$173-OFFSET(Assumptions!$B$76,0,$C$1)*'Fiscal Forecasts'!I$351</f>
        <v>10.995999999999999</v>
      </c>
      <c r="J358" s="176">
        <f ca="1">'Fiscal Forecasts'!J$173-OFFSET(Assumptions!$B$76,0,$C$1)*'Fiscal Forecasts'!J$351</f>
        <v>11.588200000000001</v>
      </c>
      <c r="K358" s="171">
        <f ca="1">(J$358/J$13+ IF(K$2&gt;0,K$2*IF(K$6=OFFSET(Assumptions!$B$8,0,$C$1),SUMPRODUCT(OFFSET(J$358,0,0,1,-OFFSET(Assumptions!$B$86,0,$C$1)),OFFSET(J$15,0,0,1,-OFFSET(Assumptions!$B$86,0,$C$1)))/OFFSET(Assumptions!$B$86,0,$C$1)-J$358/J$13,(J$358/J$13-I$358/I$13)/J$2),0))*K$13</f>
        <v>12.290655358492378</v>
      </c>
      <c r="L358" s="171">
        <f ca="1">(K$358/K$13+ IF(L$2&gt;0,L$2*IF(L$6=OFFSET(Assumptions!$B$8,0,$C$1),SUMPRODUCT(OFFSET(K$358,0,0,1,-OFFSET(Assumptions!$B$86,0,$C$1)),OFFSET(K$15,0,0,1,-OFFSET(Assumptions!$B$86,0,$C$1)))/OFFSET(Assumptions!$B$86,0,$C$1)-K$358/K$13,(K$358/K$13-J$358/J$13)/K$2),0))*L$13</f>
        <v>12.970047635074945</v>
      </c>
      <c r="M358" s="171">
        <f ca="1">(L$358/L$13+ IF(M$2&gt;0,M$2*IF(M$6=OFFSET(Assumptions!$B$8,0,$C$1),SUMPRODUCT(OFFSET(L$358,0,0,1,-OFFSET(Assumptions!$B$86,0,$C$1)),OFFSET(L$15,0,0,1,-OFFSET(Assumptions!$B$86,0,$C$1)))/OFFSET(Assumptions!$B$86,0,$C$1)-L$358/L$13,(L$358/L$13-K$358/K$13)/L$2),0))*M$13</f>
        <v>13.627853650940288</v>
      </c>
      <c r="N358" s="171">
        <f ca="1">(M$358/M$13+ IF(N$2&gt;0,N$2*IF(N$6=OFFSET(Assumptions!$B$8,0,$C$1),SUMPRODUCT(OFFSET(M$358,0,0,1,-OFFSET(Assumptions!$B$86,0,$C$1)),OFFSET(M$15,0,0,1,-OFFSET(Assumptions!$B$86,0,$C$1)))/OFFSET(Assumptions!$B$86,0,$C$1)-M$358/M$13,(M$358/M$13-L$358/L$13)/M$2),0))*N$13</f>
        <v>14.279083043118353</v>
      </c>
      <c r="O358" s="171">
        <f ca="1">(N$358/N$13+ IF(O$2&gt;0,O$2*IF(O$6=OFFSET(Assumptions!$B$8,0,$C$1),SUMPRODUCT(OFFSET(N$358,0,0,1,-OFFSET(Assumptions!$B$86,0,$C$1)),OFFSET(N$15,0,0,1,-OFFSET(Assumptions!$B$86,0,$C$1)))/OFFSET(Assumptions!$B$86,0,$C$1)-N$358/N$13,(N$358/N$13-M$358/M$13)/N$2),0))*O$13</f>
        <v>14.905780871967258</v>
      </c>
      <c r="P358" s="171">
        <f ca="1">(O$358/O$13+ IF(P$2&gt;0,P$2*IF(P$6=OFFSET(Assumptions!$B$8,0,$C$1),SUMPRODUCT(OFFSET(O$358,0,0,1,-OFFSET(Assumptions!$B$86,0,$C$1)),OFFSET(O$15,0,0,1,-OFFSET(Assumptions!$B$86,0,$C$1)))/OFFSET(Assumptions!$B$86,0,$C$1)-O$358/O$13,(O$358/O$13-N$358/N$13)/O$2),0))*P$13</f>
        <v>15.502848530254907</v>
      </c>
      <c r="Q358" s="171">
        <f ca="1">(P$358/P$13+ IF(Q$2&gt;0,Q$2*IF(Q$6=OFFSET(Assumptions!$B$8,0,$C$1),SUMPRODUCT(OFFSET(P$358,0,0,1,-OFFSET(Assumptions!$B$86,0,$C$1)),OFFSET(P$15,0,0,1,-OFFSET(Assumptions!$B$86,0,$C$1)))/OFFSET(Assumptions!$B$86,0,$C$1)-P$358/P$13,(P$358/P$13-O$358/O$13)/P$2),0))*Q$13</f>
        <v>16.112200538657344</v>
      </c>
      <c r="R358" s="171">
        <f ca="1">(Q$358/Q$13+ IF(R$2&gt;0,R$2*IF(R$6=OFFSET(Assumptions!$B$8,0,$C$1),SUMPRODUCT(OFFSET(Q$358,0,0,1,-OFFSET(Assumptions!$B$86,0,$C$1)),OFFSET(Q$15,0,0,1,-OFFSET(Assumptions!$B$86,0,$C$1)))/OFFSET(Assumptions!$B$86,0,$C$1)-Q$358/Q$13,(Q$358/Q$13-P$358/P$13)/Q$2),0))*R$13</f>
        <v>16.732195631056829</v>
      </c>
      <c r="S358" s="171">
        <f ca="1">(R$358/R$13+ IF(S$2&gt;0,S$2*IF(S$6=OFFSET(Assumptions!$B$8,0,$C$1),SUMPRODUCT(OFFSET(R$358,0,0,1,-OFFSET(Assumptions!$B$86,0,$C$1)),OFFSET(R$15,0,0,1,-OFFSET(Assumptions!$B$86,0,$C$1)))/OFFSET(Assumptions!$B$86,0,$C$1)-R$358/R$13,(R$358/R$13-Q$358/Q$13)/R$2),0))*S$13</f>
        <v>17.362339176086941</v>
      </c>
      <c r="T358" s="171">
        <f ca="1">(S$358/S$13+ IF(T$2&gt;0,T$2*IF(T$6=OFFSET(Assumptions!$B$8,0,$C$1),SUMPRODUCT(OFFSET(S$358,0,0,1,-OFFSET(Assumptions!$B$86,0,$C$1)),OFFSET(S$15,0,0,1,-OFFSET(Assumptions!$B$86,0,$C$1)))/OFFSET(Assumptions!$B$86,0,$C$1)-S$358/S$13,(S$358/S$13-R$358/R$13)/S$2),0))*T$13</f>
        <v>18.011165347981471</v>
      </c>
    </row>
    <row r="359" spans="1:20" ht="15">
      <c r="A359" s="168" t="s">
        <v>494</v>
      </c>
      <c r="B359" s="4"/>
      <c r="D359" s="138">
        <f t="shared" ref="D359:T359" ca="1" si="173">SUM(D$357:D$358)</f>
        <v>27.405999999999999</v>
      </c>
      <c r="E359" s="138">
        <f t="shared" ca="1" si="173"/>
        <v>43.665999999999997</v>
      </c>
      <c r="F359" s="137">
        <f t="shared" ca="1" si="173"/>
        <v>38.390999999999998</v>
      </c>
      <c r="G359" s="137">
        <f t="shared" ca="1" si="173"/>
        <v>38.545999999999999</v>
      </c>
      <c r="H359" s="137">
        <f t="shared" ca="1" si="173"/>
        <v>39.680999999999997</v>
      </c>
      <c r="I359" s="137">
        <f t="shared" ca="1" si="173"/>
        <v>41.088000000000001</v>
      </c>
      <c r="J359" s="137">
        <f t="shared" ca="1" si="173"/>
        <v>44.151000000000003</v>
      </c>
      <c r="K359" s="140">
        <f t="shared" ca="1" si="173"/>
        <v>47.368481041383824</v>
      </c>
      <c r="L359" s="140">
        <f t="shared" ca="1" si="173"/>
        <v>50.623184186863284</v>
      </c>
      <c r="M359" s="140">
        <f t="shared" ca="1" si="173"/>
        <v>54.024993554805498</v>
      </c>
      <c r="N359" s="140">
        <f t="shared" ca="1" si="173"/>
        <v>57.481473113478245</v>
      </c>
      <c r="O359" s="140">
        <f t="shared" ca="1" si="173"/>
        <v>60.990710244189756</v>
      </c>
      <c r="P359" s="140">
        <f t="shared" ca="1" si="173"/>
        <v>64.560224942984547</v>
      </c>
      <c r="Q359" s="140">
        <f t="shared" ca="1" si="173"/>
        <v>68.233224053356722</v>
      </c>
      <c r="R359" s="140">
        <f t="shared" ca="1" si="173"/>
        <v>71.998703057379274</v>
      </c>
      <c r="S359" s="140">
        <f t="shared" ca="1" si="173"/>
        <v>75.84665367795796</v>
      </c>
      <c r="T359" s="140">
        <f t="shared" ca="1" si="173"/>
        <v>79.796828643778127</v>
      </c>
    </row>
    <row r="360" spans="1:20">
      <c r="A360" s="167" t="s">
        <v>256</v>
      </c>
      <c r="B360" s="4" t="str">
        <f>$B$39</f>
        <v>From Fiscal Forecasts</v>
      </c>
      <c r="D360" s="175">
        <f>'Fiscal Forecasts'!D$205</f>
        <v>33.838000000000001</v>
      </c>
      <c r="E360" s="175">
        <f>'Fiscal Forecasts'!E$205</f>
        <v>34.494</v>
      </c>
      <c r="F360" s="176">
        <f>'Fiscal Forecasts'!F$205</f>
        <v>32.215000000000003</v>
      </c>
      <c r="G360" s="176">
        <f>'Fiscal Forecasts'!G$205</f>
        <v>31.315000000000001</v>
      </c>
      <c r="H360" s="176">
        <f>'Fiscal Forecasts'!H$205</f>
        <v>31.106999999999999</v>
      </c>
      <c r="I360" s="176">
        <f>'Fiscal Forecasts'!I$205</f>
        <v>31.552</v>
      </c>
      <c r="J360" s="176">
        <f>'Fiscal Forecasts'!J$205</f>
        <v>31.445</v>
      </c>
      <c r="K360" s="171">
        <f>J$360*Exogenous!V$28/Exogenous!U$28</f>
        <v>32.647242358462464</v>
      </c>
      <c r="L360" s="171">
        <f>K$360*Exogenous!W$28/Exogenous!V$28</f>
        <v>33.928832420365069</v>
      </c>
      <c r="M360" s="171">
        <f>L$360*Exogenous!X$28/Exogenous!W$28</f>
        <v>35.294116517426495</v>
      </c>
      <c r="N360" s="171">
        <f>M$360*Exogenous!Y$28/Exogenous!X$28</f>
        <v>36.743068916695741</v>
      </c>
      <c r="O360" s="171">
        <f>N$360*Exogenous!Z$28/Exogenous!Y$28</f>
        <v>38.280651552208418</v>
      </c>
      <c r="P360" s="171">
        <f>O$360*Exogenous!AA$28/Exogenous!Z$28</f>
        <v>39.879939391445888</v>
      </c>
      <c r="Q360" s="171">
        <f>P$360*Exogenous!AB$28/Exogenous!AA$28</f>
        <v>41.52495142885148</v>
      </c>
      <c r="R360" s="171">
        <f>Q$360*Exogenous!AC$28/Exogenous!AB$28</f>
        <v>43.247383838315685</v>
      </c>
      <c r="S360" s="171">
        <f>R$360*Exogenous!AD$28/Exogenous!AC$28</f>
        <v>45.063218238664483</v>
      </c>
      <c r="T360" s="171">
        <f>S$360*Exogenous!AE$28/Exogenous!AD$28</f>
        <v>46.951986952242621</v>
      </c>
    </row>
    <row r="361" spans="1:20">
      <c r="A361" s="167" t="s">
        <v>418</v>
      </c>
      <c r="B361" s="4" t="str">
        <f>$B$39</f>
        <v>From Fiscal Forecasts</v>
      </c>
      <c r="D361" s="175">
        <f>'Fiscal Forecasts'!D$206</f>
        <v>3.3879999999999999</v>
      </c>
      <c r="E361" s="175">
        <f>'Fiscal Forecasts'!E$206</f>
        <v>3.88</v>
      </c>
      <c r="F361" s="176">
        <f>'Fiscal Forecasts'!F$206</f>
        <v>4.2850000000000001</v>
      </c>
      <c r="G361" s="176">
        <f>'Fiscal Forecasts'!G$206</f>
        <v>3.927</v>
      </c>
      <c r="H361" s="176">
        <f>'Fiscal Forecasts'!H$206</f>
        <v>3.7989999999999999</v>
      </c>
      <c r="I361" s="176">
        <f>'Fiscal Forecasts'!I$206</f>
        <v>3.8959999999999999</v>
      </c>
      <c r="J361" s="176">
        <f>'Fiscal Forecasts'!J$206</f>
        <v>3.9369999999999998</v>
      </c>
      <c r="K361" s="171">
        <f ca="1">(J$361/J$13+ IF(K$2&gt;0,K$2*IF(K$6=OFFSET(Assumptions!$B$8,0,$C$1),SUMPRODUCT(OFFSET(J$361,0,0,1,-OFFSET(Assumptions!$B$86,0,$C$1)),OFFSET(J$15,0,0,1,-OFFSET(Assumptions!$B$86,0,$C$1)))/OFFSET(Assumptions!$B$86,0,$C$1)-J$361/J$13,(J$361/J$13-I$361/I$13)/J$2),0))*K$13</f>
        <v>4.1673137060784482</v>
      </c>
      <c r="L361" s="171">
        <f ca="1">(K$361/K$13+ IF(L$2&gt;0,L$2*IF(L$6=OFFSET(Assumptions!$B$8,0,$C$1),SUMPRODUCT(OFFSET(K$361,0,0,1,-OFFSET(Assumptions!$B$86,0,$C$1)),OFFSET(K$15,0,0,1,-OFFSET(Assumptions!$B$86,0,$C$1)))/OFFSET(Assumptions!$B$86,0,$C$1)-K$361/K$13,(K$361/K$13-J$361/J$13)/K$2),0))*L$13</f>
        <v>4.3908190677685308</v>
      </c>
      <c r="M361" s="171">
        <f ca="1">(L$361/L$13+ IF(M$2&gt;0,M$2*IF(M$6=OFFSET(Assumptions!$B$8,0,$C$1),SUMPRODUCT(OFFSET(L$361,0,0,1,-OFFSET(Assumptions!$B$86,0,$C$1)),OFFSET(L$15,0,0,1,-OFFSET(Assumptions!$B$86,0,$C$1)))/OFFSET(Assumptions!$B$86,0,$C$1)-L$361/L$13,(L$361/L$13-K$361/K$13)/L$2),0))*M$13</f>
        <v>4.6082218541171125</v>
      </c>
      <c r="N361" s="171">
        <f ca="1">(M$361/M$13+ IF(N$2&gt;0,N$2*IF(N$6=OFFSET(Assumptions!$B$8,0,$C$1),SUMPRODUCT(OFFSET(M$361,0,0,1,-OFFSET(Assumptions!$B$86,0,$C$1)),OFFSET(M$15,0,0,1,-OFFSET(Assumptions!$B$86,0,$C$1)))/OFFSET(Assumptions!$B$86,0,$C$1)-M$361/M$13,(M$361/M$13-L$361/L$13)/M$2),0))*N$13</f>
        <v>4.8247939392762431</v>
      </c>
      <c r="O361" s="171">
        <f ca="1">(N$361/N$13+ IF(O$2&gt;0,O$2*IF(O$6=OFFSET(Assumptions!$B$8,0,$C$1),SUMPRODUCT(OFFSET(N$361,0,0,1,-OFFSET(Assumptions!$B$86,0,$C$1)),OFFSET(N$15,0,0,1,-OFFSET(Assumptions!$B$86,0,$C$1)))/OFFSET(Assumptions!$B$86,0,$C$1)-N$361/N$13,(N$361/N$13-M$361/M$13)/N$2),0))*O$13</f>
        <v>5.0346675312322668</v>
      </c>
      <c r="P361" s="171">
        <f ca="1">(O$361/O$13+ IF(P$2&gt;0,P$2*IF(P$6=OFFSET(Assumptions!$B$8,0,$C$1),SUMPRODUCT(OFFSET(O$361,0,0,1,-OFFSET(Assumptions!$B$86,0,$C$1)),OFFSET(O$15,0,0,1,-OFFSET(Assumptions!$B$86,0,$C$1)))/OFFSET(Assumptions!$B$86,0,$C$1)-O$361/O$13,(O$361/O$13-N$361/N$13)/O$2),0))*P$13</f>
        <v>5.2363367479576413</v>
      </c>
      <c r="Q361" s="171">
        <f ca="1">(P$361/P$13+ IF(Q$2&gt;0,Q$2*IF(Q$6=OFFSET(Assumptions!$B$8,0,$C$1),SUMPRODUCT(OFFSET(P$361,0,0,1,-OFFSET(Assumptions!$B$86,0,$C$1)),OFFSET(P$15,0,0,1,-OFFSET(Assumptions!$B$86,0,$C$1)))/OFFSET(Assumptions!$B$86,0,$C$1)-P$361/P$13,(P$361/P$13-O$361/O$13)/P$2),0))*Q$13</f>
        <v>5.4421552017606603</v>
      </c>
      <c r="R361" s="171">
        <f ca="1">(Q$361/Q$13+ IF(R$2&gt;0,R$2*IF(R$6=OFFSET(Assumptions!$B$8,0,$C$1),SUMPRODUCT(OFFSET(Q$361,0,0,1,-OFFSET(Assumptions!$B$86,0,$C$1)),OFFSET(Q$15,0,0,1,-OFFSET(Assumptions!$B$86,0,$C$1)))/OFFSET(Assumptions!$B$86,0,$C$1)-Q$361/Q$13,(Q$361/Q$13-P$361/P$13)/Q$2),0))*R$13</f>
        <v>5.6515685285792143</v>
      </c>
      <c r="S361" s="171">
        <f ca="1">(R$361/R$13+ IF(S$2&gt;0,S$2*IF(S$6=OFFSET(Assumptions!$B$8,0,$C$1),SUMPRODUCT(OFFSET(R$361,0,0,1,-OFFSET(Assumptions!$B$86,0,$C$1)),OFFSET(R$15,0,0,1,-OFFSET(Assumptions!$B$86,0,$C$1)))/OFFSET(Assumptions!$B$86,0,$C$1)-R$361/R$13,(R$361/R$13-Q$361/Q$13)/R$2),0))*S$13</f>
        <v>5.8644096587037842</v>
      </c>
      <c r="T361" s="171">
        <f ca="1">(S$361/S$13+ IF(T$2&gt;0,T$2*IF(T$6=OFFSET(Assumptions!$B$8,0,$C$1),SUMPRODUCT(OFFSET(S$361,0,0,1,-OFFSET(Assumptions!$B$86,0,$C$1)),OFFSET(S$15,0,0,1,-OFFSET(Assumptions!$B$86,0,$C$1)))/OFFSET(Assumptions!$B$86,0,$C$1)-S$361/S$13,(S$361/S$13-R$361/R$13)/S$2),0))*T$13</f>
        <v>6.083561146915617</v>
      </c>
    </row>
    <row r="362" spans="1:20">
      <c r="A362" s="167" t="s">
        <v>419</v>
      </c>
      <c r="B362" s="4" t="str">
        <f>$B$39</f>
        <v>From Fiscal Forecasts</v>
      </c>
      <c r="D362" s="175">
        <f ca="1">'Fiscal Forecasts'!D$118-SUM(OFFSET(Assumptions!$B$76,0,$C$1)*'Fiscal Forecasts'!D$351,D$358,D$360:D$361)</f>
        <v>-21.016000000000005</v>
      </c>
      <c r="E362" s="175">
        <f ca="1">'Fiscal Forecasts'!E$118-SUM(OFFSET(Assumptions!$B$76,0,$C$1)*'Fiscal Forecasts'!E$351,E$358,E$360:E$361)</f>
        <v>-21.034999999999989</v>
      </c>
      <c r="F362" s="176">
        <f ca="1">'Fiscal Forecasts'!F$118-SUM(OFFSET(Assumptions!$B$76,0,$C$1)*'Fiscal Forecasts'!F$351,F$358,F$360:F$361)</f>
        <v>-17.149999999999991</v>
      </c>
      <c r="G362" s="176">
        <f ca="1">'Fiscal Forecasts'!G$118-SUM(OFFSET(Assumptions!$B$76,0,$C$1)*'Fiscal Forecasts'!G$351,G$358,G$360:G$361)</f>
        <v>-16.580000000000013</v>
      </c>
      <c r="H362" s="176">
        <f ca="1">'Fiscal Forecasts'!H$118-SUM(OFFSET(Assumptions!$B$76,0,$C$1)*'Fiscal Forecasts'!H$351,H$358,H$360:H$361)</f>
        <v>-16.284000000000006</v>
      </c>
      <c r="I362" s="176">
        <f ca="1">'Fiscal Forecasts'!I$118-SUM(OFFSET(Assumptions!$B$76,0,$C$1)*'Fiscal Forecasts'!I$351,I$358,I$360:I$361)</f>
        <v>-16.496000000000002</v>
      </c>
      <c r="J362" s="176">
        <f ca="1">'Fiscal Forecasts'!J$118-SUM(OFFSET(Assumptions!$B$76,0,$C$1)*'Fiscal Forecasts'!J$351,J$358,J$360:J$361)</f>
        <v>-16.834000000000003</v>
      </c>
      <c r="K362" s="171">
        <f ca="1">IF(K$6=OFFSET(Assumptions!$B$8,0,$C$1),AVERAGE(H$362/H$360,I$362/I$360,J$362/J$360),J$362/J$360)*K$360</f>
        <v>-17.212174263681018</v>
      </c>
      <c r="L362" s="171">
        <f ca="1">IF(L$6=OFFSET(Assumptions!$B$8,0,$C$1),AVERAGE(I$362/I$360,J$362/J$360,K$362/K$360),K$362/K$360)*L$360</f>
        <v>-17.887850060058089</v>
      </c>
      <c r="M362" s="171">
        <f ca="1">IF(M$6=OFFSET(Assumptions!$B$8,0,$C$1),AVERAGE(J$362/J$360,K$362/K$360,L$362/L$360),L$362/L$360)*M$360</f>
        <v>-18.607650756853001</v>
      </c>
      <c r="N362" s="171">
        <f ca="1">IF(N$6=OFFSET(Assumptions!$B$8,0,$C$1),AVERAGE(K$362/K$360,L$362/L$360,M$362/M$360),M$362/M$360)*N$360</f>
        <v>-19.371562787221976</v>
      </c>
      <c r="O362" s="171">
        <f ca="1">IF(O$6=OFFSET(Assumptions!$B$8,0,$C$1),AVERAGE(L$362/L$360,M$362/M$360,N$362/N$360),N$362/N$360)*O$360</f>
        <v>-20.182202166091109</v>
      </c>
      <c r="P362" s="171">
        <f ca="1">IF(P$6=OFFSET(Assumptions!$B$8,0,$C$1),AVERAGE(M$362/M$360,N$362/N$360,O$362/O$360),O$362/O$360)*P$360</f>
        <v>-21.025373564290561</v>
      </c>
      <c r="Q362" s="171">
        <f ca="1">IF(Q$6=OFFSET(Assumptions!$B$8,0,$C$1),AVERAGE(N$362/N$360,O$362/O$360,P$362/P$360),P$362/P$360)*Q$360</f>
        <v>-21.892651527396648</v>
      </c>
      <c r="R362" s="171">
        <f ca="1">IF(R$6=OFFSET(Assumptions!$B$8,0,$C$1),AVERAGE(O$362/O$360,P$362/P$360,Q$362/Q$360),Q$362/Q$360)*R$360</f>
        <v>-22.80074681040989</v>
      </c>
      <c r="S362" s="171">
        <f ca="1">IF(S$6=OFFSET(Assumptions!$B$8,0,$C$1),AVERAGE(P$362/P$360,Q$362/Q$360,R$362/R$360),R$362/R$360)*S$360</f>
        <v>-23.75808519107985</v>
      </c>
      <c r="T362" s="171">
        <f ca="1">IF(T$6=OFFSET(Assumptions!$B$8,0,$C$1),AVERAGE(Q$362/Q$360,R$362/R$360,S$362/S$360),S$362/S$360)*T$360</f>
        <v>-24.753875766128793</v>
      </c>
    </row>
    <row r="363" spans="1:20" ht="15">
      <c r="A363" s="168" t="s">
        <v>504</v>
      </c>
      <c r="B363" s="4"/>
      <c r="D363" s="138">
        <f t="shared" ref="D363:T363" ca="1" si="174">SUM(D$359:D$362)</f>
        <v>43.616</v>
      </c>
      <c r="E363" s="138">
        <f t="shared" ca="1" si="174"/>
        <v>61.005000000000003</v>
      </c>
      <c r="F363" s="137">
        <f t="shared" ca="1" si="174"/>
        <v>57.741</v>
      </c>
      <c r="G363" s="137">
        <f t="shared" ca="1" si="174"/>
        <v>57.207999999999998</v>
      </c>
      <c r="H363" s="137">
        <f t="shared" ca="1" si="174"/>
        <v>58.302999999999997</v>
      </c>
      <c r="I363" s="137">
        <f t="shared" ca="1" si="174"/>
        <v>60.04</v>
      </c>
      <c r="J363" s="137">
        <f t="shared" ca="1" si="174"/>
        <v>62.698999999999998</v>
      </c>
      <c r="K363" s="140">
        <f t="shared" ca="1" si="174"/>
        <v>66.970862842243704</v>
      </c>
      <c r="L363" s="140">
        <f t="shared" ca="1" si="174"/>
        <v>71.054985614938801</v>
      </c>
      <c r="M363" s="140">
        <f t="shared" ca="1" si="174"/>
        <v>75.319681169496107</v>
      </c>
      <c r="N363" s="140">
        <f t="shared" ca="1" si="174"/>
        <v>79.67777318222825</v>
      </c>
      <c r="O363" s="140">
        <f t="shared" ca="1" si="174"/>
        <v>84.123827161539339</v>
      </c>
      <c r="P363" s="140">
        <f t="shared" ca="1" si="174"/>
        <v>88.65112751809751</v>
      </c>
      <c r="Q363" s="140">
        <f t="shared" ca="1" si="174"/>
        <v>93.307679156572206</v>
      </c>
      <c r="R363" s="140">
        <f t="shared" ca="1" si="174"/>
        <v>98.096908613864287</v>
      </c>
      <c r="S363" s="140">
        <f t="shared" ca="1" si="174"/>
        <v>103.01619638424637</v>
      </c>
      <c r="T363" s="140">
        <f t="shared" ca="1" si="174"/>
        <v>108.07850097680756</v>
      </c>
    </row>
    <row r="364" spans="1:20" ht="15">
      <c r="A364" s="168"/>
      <c r="B364" s="4"/>
      <c r="D364" s="145"/>
      <c r="E364" s="145"/>
      <c r="F364" s="145"/>
      <c r="G364" s="145"/>
      <c r="H364" s="146"/>
      <c r="I364" s="146"/>
      <c r="J364" s="146"/>
      <c r="K364" s="146"/>
      <c r="L364" s="146"/>
      <c r="M364" s="146"/>
      <c r="N364" s="146"/>
      <c r="O364" s="146"/>
      <c r="P364" s="146"/>
      <c r="Q364" s="146"/>
      <c r="R364" s="146"/>
      <c r="S364" s="146"/>
      <c r="T364" s="146"/>
    </row>
    <row r="365" spans="1:20" ht="15">
      <c r="A365" s="18" t="s">
        <v>201</v>
      </c>
      <c r="B365" s="4"/>
      <c r="D365" s="145"/>
      <c r="E365" s="145"/>
      <c r="F365" s="145"/>
      <c r="G365" s="145"/>
      <c r="H365" s="134"/>
      <c r="I365" s="134"/>
      <c r="J365" s="134"/>
      <c r="K365" s="134"/>
      <c r="L365" s="134"/>
      <c r="M365" s="134"/>
      <c r="N365" s="134"/>
      <c r="O365" s="134"/>
      <c r="P365" s="134"/>
      <c r="Q365" s="134"/>
      <c r="R365" s="134"/>
      <c r="S365" s="134"/>
      <c r="T365" s="134"/>
    </row>
    <row r="366" spans="1:20">
      <c r="A366" s="167" t="s">
        <v>516</v>
      </c>
      <c r="B366" s="4"/>
      <c r="D366" s="175">
        <f t="shared" ref="D366:T366" ca="1" si="175">D$384-SUM(D$344,D$350,D$357,D$388,D$391)</f>
        <v>18.93299</v>
      </c>
      <c r="E366" s="175">
        <f t="shared" ca="1" si="175"/>
        <v>18.201970000000003</v>
      </c>
      <c r="F366" s="176">
        <f t="shared" ca="1" si="175"/>
        <v>22.558200000000006</v>
      </c>
      <c r="G366" s="176">
        <f t="shared" ca="1" si="175"/>
        <v>23.690339999999999</v>
      </c>
      <c r="H366" s="176">
        <f t="shared" ca="1" si="175"/>
        <v>25.617060000000002</v>
      </c>
      <c r="I366" s="176">
        <f t="shared" ca="1" si="175"/>
        <v>27.675100000000008</v>
      </c>
      <c r="J366" s="176">
        <f t="shared" ca="1" si="175"/>
        <v>30.183990000000001</v>
      </c>
      <c r="K366" s="171">
        <f t="shared" ca="1" si="175"/>
        <v>34.511171393597607</v>
      </c>
      <c r="L366" s="171">
        <f t="shared" ca="1" si="175"/>
        <v>37.638108392255404</v>
      </c>
      <c r="M366" s="171">
        <f t="shared" ca="1" si="175"/>
        <v>40.887948450869317</v>
      </c>
      <c r="N366" s="171">
        <f t="shared" ca="1" si="175"/>
        <v>44.269186051529857</v>
      </c>
      <c r="O366" s="171">
        <f t="shared" ca="1" si="175"/>
        <v>47.800766958430344</v>
      </c>
      <c r="P366" s="171">
        <f t="shared" ca="1" si="175"/>
        <v>51.498843059681008</v>
      </c>
      <c r="Q366" s="171">
        <f t="shared" ca="1" si="175"/>
        <v>55.199364868963016</v>
      </c>
      <c r="R366" s="171">
        <f t="shared" ca="1" si="175"/>
        <v>58.532254948217812</v>
      </c>
      <c r="S366" s="171">
        <f t="shared" ca="1" si="175"/>
        <v>61.941777164949769</v>
      </c>
      <c r="T366" s="171">
        <f t="shared" ca="1" si="175"/>
        <v>65.439818468793874</v>
      </c>
    </row>
    <row r="367" spans="1:20">
      <c r="A367" s="167" t="s">
        <v>517</v>
      </c>
      <c r="B367" s="4" t="str">
        <f>$B$39</f>
        <v>From Fiscal Forecasts</v>
      </c>
      <c r="D367" s="175">
        <f ca="1">'Fiscal Forecasts'!D$174 -(1-OFFSET(Assumptions!$B$76,0,$C$1))*'Fiscal Forecasts'!D$351 +SUM(D$344,D$350,D$388,D$391)</f>
        <v>7.4620100000000011</v>
      </c>
      <c r="E367" s="175">
        <f ca="1">'Fiscal Forecasts'!E$174 -(1-OFFSET(Assumptions!$B$76,0,$C$1))*'Fiscal Forecasts'!E$351 +SUM(E$344,E$350,E$388,E$391)</f>
        <v>-0.34197000000000344</v>
      </c>
      <c r="F367" s="176">
        <f ca="1">'Fiscal Forecasts'!F$174 -(1-OFFSET(Assumptions!$B$76,0,$C$1))*'Fiscal Forecasts'!F$351 +SUM(F$344,F$350,F$388,F$391)</f>
        <v>1.7538</v>
      </c>
      <c r="G367" s="176">
        <f ca="1">'Fiscal Forecasts'!G$174 -(1-OFFSET(Assumptions!$B$76,0,$C$1))*'Fiscal Forecasts'!G$351 +SUM(G$344,G$350,G$388,G$391)</f>
        <v>3.2836600000000011</v>
      </c>
      <c r="H367" s="176">
        <f ca="1">'Fiscal Forecasts'!H$174 -(1-OFFSET(Assumptions!$B$76,0,$C$1))*'Fiscal Forecasts'!H$351 +SUM(H$344,H$350,H$388,H$391)</f>
        <v>3.6159399999999948</v>
      </c>
      <c r="I367" s="176">
        <f ca="1">'Fiscal Forecasts'!I$174 -(1-OFFSET(Assumptions!$B$76,0,$C$1))*'Fiscal Forecasts'!I$351 +SUM(I$344,I$350,I$388,I$391)</f>
        <v>4.0008999999999943</v>
      </c>
      <c r="J367" s="176">
        <f ca="1">'Fiscal Forecasts'!J$174 -(1-OFFSET(Assumptions!$B$76,0,$C$1))*'Fiscal Forecasts'!J$351 +SUM(J$344,J$350,J$388,J$391)</f>
        <v>4.3510100000000023</v>
      </c>
      <c r="K367" s="171">
        <f ca="1">(J$367/J$13+ IF(K$2&gt;0,K$2*IF(K$6=OFFSET(Assumptions!$B$8,0,$C$1),SUMPRODUCT(OFFSET(J$367,0,0,1,-OFFSET(Assumptions!$B$86,0,$C$1)),OFFSET(J$15,0,0,1,-OFFSET(Assumptions!$B$86,0,$C$1)))/OFFSET(Assumptions!$B$86,0,$C$1)-J$367/J$13,(J$367/J$13-I$367/I$13)/J$2),0))*K$13</f>
        <v>4.4928404553283849</v>
      </c>
      <c r="L367" s="171">
        <f ca="1">(K$367/K$13+ IF(L$2&gt;0,L$2*IF(L$6=OFFSET(Assumptions!$B$8,0,$C$1),SUMPRODUCT(OFFSET(K$367,0,0,1,-OFFSET(Assumptions!$B$86,0,$C$1)),OFFSET(K$15,0,0,1,-OFFSET(Assumptions!$B$86,0,$C$1)))/OFFSET(Assumptions!$B$86,0,$C$1)-K$367/K$13,(K$367/K$13-J$367/J$13)/K$2),0))*L$13</f>
        <v>4.6410271297860106</v>
      </c>
      <c r="M367" s="171">
        <f ca="1">(L$367/L$13+ IF(M$2&gt;0,M$2*IF(M$6=OFFSET(Assumptions!$B$8,0,$C$1),SUMPRODUCT(OFFSET(L$367,0,0,1,-OFFSET(Assumptions!$B$86,0,$C$1)),OFFSET(L$15,0,0,1,-OFFSET(Assumptions!$B$86,0,$C$1)))/OFFSET(Assumptions!$B$86,0,$C$1)-L$367/L$13,(L$367/L$13-K$367/K$13)/L$2),0))*M$13</f>
        <v>4.7991071859203611</v>
      </c>
      <c r="N367" s="171">
        <f ca="1">(M$367/M$13+ IF(N$2&gt;0,N$2*IF(N$6=OFFSET(Assumptions!$B$8,0,$C$1),SUMPRODUCT(OFFSET(M$367,0,0,1,-OFFSET(Assumptions!$B$86,0,$C$1)),OFFSET(M$15,0,0,1,-OFFSET(Assumptions!$B$86,0,$C$1)))/OFFSET(Assumptions!$B$86,0,$C$1)-M$367/M$13,(M$367/M$13-L$367/L$13)/M$2),0))*N$13</f>
        <v>4.9752375313488786</v>
      </c>
      <c r="O367" s="171">
        <f ca="1">(N$367/N$13+ IF(O$2&gt;0,O$2*IF(O$6=OFFSET(Assumptions!$B$8,0,$C$1),SUMPRODUCT(OFFSET(N$367,0,0,1,-OFFSET(Assumptions!$B$86,0,$C$1)),OFFSET(N$15,0,0,1,-OFFSET(Assumptions!$B$86,0,$C$1)))/OFFSET(Assumptions!$B$86,0,$C$1)-N$367/N$13,(N$367/N$13-M$367/M$13)/N$2),0))*O$13</f>
        <v>5.1660719490556684</v>
      </c>
      <c r="P367" s="171">
        <f ca="1">(O$367/O$13+ IF(P$2&gt;0,P$2*IF(P$6=OFFSET(Assumptions!$B$8,0,$C$1),SUMPRODUCT(OFFSET(O$367,0,0,1,-OFFSET(Assumptions!$B$86,0,$C$1)),OFFSET(O$15,0,0,1,-OFFSET(Assumptions!$B$86,0,$C$1)))/OFFSET(Assumptions!$B$86,0,$C$1)-O$367/O$13,(O$367/O$13-N$367/N$13)/O$2),0))*P$13</f>
        <v>5.3730047161251928</v>
      </c>
      <c r="Q367" s="171">
        <f ca="1">(P$367/P$13+ IF(Q$2&gt;0,Q$2*IF(Q$6=OFFSET(Assumptions!$B$8,0,$C$1),SUMPRODUCT(OFFSET(P$367,0,0,1,-OFFSET(Assumptions!$B$86,0,$C$1)),OFFSET(P$15,0,0,1,-OFFSET(Assumptions!$B$86,0,$C$1)))/OFFSET(Assumptions!$B$86,0,$C$1)-P$367/P$13,(P$367/P$13-O$367/O$13)/P$2),0))*Q$13</f>
        <v>5.5841950150265278</v>
      </c>
      <c r="R367" s="171">
        <f ca="1">(Q$367/Q$13+ IF(R$2&gt;0,R$2*IF(R$6=OFFSET(Assumptions!$B$8,0,$C$1),SUMPRODUCT(OFFSET(Q$367,0,0,1,-OFFSET(Assumptions!$B$86,0,$C$1)),OFFSET(Q$15,0,0,1,-OFFSET(Assumptions!$B$86,0,$C$1)))/OFFSET(Assumptions!$B$86,0,$C$1)-Q$367/Q$13,(Q$367/Q$13-P$367/P$13)/Q$2),0))*R$13</f>
        <v>5.7990740128401077</v>
      </c>
      <c r="S367" s="171">
        <f ca="1">(R$367/R$13+ IF(S$2&gt;0,S$2*IF(S$6=OFFSET(Assumptions!$B$8,0,$C$1),SUMPRODUCT(OFFSET(R$367,0,0,1,-OFFSET(Assumptions!$B$86,0,$C$1)),OFFSET(R$15,0,0,1,-OFFSET(Assumptions!$B$86,0,$C$1)))/OFFSET(Assumptions!$B$86,0,$C$1)-R$367/R$13,(R$367/R$13-Q$367/Q$13)/R$2),0))*S$13</f>
        <v>6.0174702793504249</v>
      </c>
      <c r="T367" s="171">
        <f ca="1">(S$367/S$13+ IF(T$2&gt;0,T$2*IF(T$6=OFFSET(Assumptions!$B$8,0,$C$1),SUMPRODUCT(OFFSET(S$367,0,0,1,-OFFSET(Assumptions!$B$86,0,$C$1)),OFFSET(S$15,0,0,1,-OFFSET(Assumptions!$B$86,0,$C$1)))/OFFSET(Assumptions!$B$86,0,$C$1)-S$367/S$13,(S$367/S$13-R$367/R$13)/S$2),0))*T$13</f>
        <v>6.2423416037867892</v>
      </c>
    </row>
    <row r="368" spans="1:20" ht="15">
      <c r="A368" s="168" t="s">
        <v>518</v>
      </c>
      <c r="B368" s="4"/>
      <c r="D368" s="138">
        <f t="shared" ref="D368:T368" ca="1" si="176">SUM(D$366:D$367)</f>
        <v>26.395000000000003</v>
      </c>
      <c r="E368" s="138">
        <f t="shared" ca="1" si="176"/>
        <v>17.86</v>
      </c>
      <c r="F368" s="137">
        <f t="shared" ca="1" si="176"/>
        <v>24.312000000000005</v>
      </c>
      <c r="G368" s="137">
        <f t="shared" ca="1" si="176"/>
        <v>26.974</v>
      </c>
      <c r="H368" s="137">
        <f t="shared" ca="1" si="176"/>
        <v>29.232999999999997</v>
      </c>
      <c r="I368" s="137">
        <f t="shared" ca="1" si="176"/>
        <v>31.676000000000002</v>
      </c>
      <c r="J368" s="137">
        <f t="shared" ca="1" si="176"/>
        <v>34.535000000000004</v>
      </c>
      <c r="K368" s="140">
        <f t="shared" ca="1" si="176"/>
        <v>39.004011848925991</v>
      </c>
      <c r="L368" s="140">
        <f t="shared" ca="1" si="176"/>
        <v>42.279135522041415</v>
      </c>
      <c r="M368" s="140">
        <f t="shared" ca="1" si="176"/>
        <v>45.68705563678968</v>
      </c>
      <c r="N368" s="140">
        <f t="shared" ca="1" si="176"/>
        <v>49.244423582878738</v>
      </c>
      <c r="O368" s="140">
        <f t="shared" ca="1" si="176"/>
        <v>52.966838907486014</v>
      </c>
      <c r="P368" s="140">
        <f t="shared" ca="1" si="176"/>
        <v>56.871847775806202</v>
      </c>
      <c r="Q368" s="140">
        <f t="shared" ca="1" si="176"/>
        <v>60.783559883989547</v>
      </c>
      <c r="R368" s="140">
        <f t="shared" ca="1" si="176"/>
        <v>64.33132896105792</v>
      </c>
      <c r="S368" s="140">
        <f t="shared" ca="1" si="176"/>
        <v>67.959247444300189</v>
      </c>
      <c r="T368" s="140">
        <f t="shared" ca="1" si="176"/>
        <v>71.682160072580658</v>
      </c>
    </row>
    <row r="369" spans="1:20">
      <c r="A369" s="167" t="s">
        <v>256</v>
      </c>
      <c r="B369" s="4" t="str">
        <f>$B$39</f>
        <v>From Fiscal Forecasts</v>
      </c>
      <c r="D369" s="175">
        <f>'Fiscal Forecasts'!D$207</f>
        <v>14.254</v>
      </c>
      <c r="E369" s="175">
        <f>'Fiscal Forecasts'!E$207</f>
        <v>17.135000000000002</v>
      </c>
      <c r="F369" s="176">
        <f>'Fiscal Forecasts'!F$207</f>
        <v>20.414000000000001</v>
      </c>
      <c r="G369" s="176">
        <f>'Fiscal Forecasts'!G$207</f>
        <v>20.54</v>
      </c>
      <c r="H369" s="176">
        <f>'Fiscal Forecasts'!H$207</f>
        <v>20.719000000000001</v>
      </c>
      <c r="I369" s="176">
        <f>'Fiscal Forecasts'!I$207</f>
        <v>21.042000000000002</v>
      </c>
      <c r="J369" s="176">
        <f>'Fiscal Forecasts'!J$207</f>
        <v>21.54</v>
      </c>
      <c r="K369" s="171">
        <f>J$369*Exogenous!V$28/Exogenous!U$28</f>
        <v>22.363542706353364</v>
      </c>
      <c r="L369" s="171">
        <f>K$369*Exogenous!W$28/Exogenous!V$28</f>
        <v>23.24143903115483</v>
      </c>
      <c r="M369" s="171">
        <f>L$369*Exogenous!X$28/Exogenous!W$28</f>
        <v>24.176666235820221</v>
      </c>
      <c r="N369" s="171">
        <f>M$369*Exogenous!Y$28/Exogenous!X$28</f>
        <v>25.169206693134885</v>
      </c>
      <c r="O369" s="171">
        <f>N$369*Exogenous!Z$28/Exogenous!Y$28</f>
        <v>26.222459355527732</v>
      </c>
      <c r="P369" s="171">
        <f>O$369*Exogenous!AA$28/Exogenous!Z$28</f>
        <v>27.317980425878346</v>
      </c>
      <c r="Q369" s="171">
        <f>P$369*Exogenous!AB$28/Exogenous!AA$28</f>
        <v>28.444822826441758</v>
      </c>
      <c r="R369" s="171">
        <f>Q$369*Exogenous!AC$28/Exogenous!AB$28</f>
        <v>29.6246986127308</v>
      </c>
      <c r="S369" s="171">
        <f>R$369*Exogenous!AD$28/Exogenous!AC$28</f>
        <v>30.86855528258334</v>
      </c>
      <c r="T369" s="171">
        <f>S$369*Exogenous!AE$28/Exogenous!AD$28</f>
        <v>32.162372362897315</v>
      </c>
    </row>
    <row r="370" spans="1:20">
      <c r="A370" s="167" t="s">
        <v>418</v>
      </c>
      <c r="B370" s="4" t="str">
        <f>$B$39</f>
        <v>From Fiscal Forecasts</v>
      </c>
      <c r="D370" s="175">
        <f>'Fiscal Forecasts'!D$208</f>
        <v>0.27900000000000003</v>
      </c>
      <c r="E370" s="175">
        <f>'Fiscal Forecasts'!E$208</f>
        <v>3.7999999999999999E-2</v>
      </c>
      <c r="F370" s="176">
        <f>'Fiscal Forecasts'!F$208</f>
        <v>3.3000000000000002E-2</v>
      </c>
      <c r="G370" s="176">
        <f>'Fiscal Forecasts'!G$208</f>
        <v>0.03</v>
      </c>
      <c r="H370" s="176">
        <f>'Fiscal Forecasts'!H$208</f>
        <v>0.03</v>
      </c>
      <c r="I370" s="176">
        <f>'Fiscal Forecasts'!I$208</f>
        <v>0.03</v>
      </c>
      <c r="J370" s="176">
        <f>'Fiscal Forecasts'!J$208</f>
        <v>0.03</v>
      </c>
      <c r="K370" s="171">
        <f ca="1">(J$370/J$13+ IF(K$2&gt;0,K$2*IF(K$6=OFFSET(Assumptions!$B$8,0,$C$1),SUMPRODUCT(OFFSET(J$370,0,0,1,-OFFSET(Assumptions!$B$86,0,$C$1)),OFFSET(J$15,0,0,1,-OFFSET(Assumptions!$B$86,0,$C$1)))/OFFSET(Assumptions!$B$86,0,$C$1)-J$370/J$13,(J$370/J$13-I$370/I$13)/J$2),0))*K$13</f>
        <v>3.1929322030886782E-2</v>
      </c>
      <c r="L370" s="171">
        <f ca="1">(K$370/K$13+ IF(L$2&gt;0,L$2*IF(L$6=OFFSET(Assumptions!$B$8,0,$C$1),SUMPRODUCT(OFFSET(K$370,0,0,1,-OFFSET(Assumptions!$B$86,0,$C$1)),OFFSET(K$15,0,0,1,-OFFSET(Assumptions!$B$86,0,$C$1)))/OFFSET(Assumptions!$B$86,0,$C$1)-K$370/K$13,(K$370/K$13-J$370/J$13)/K$2),0))*L$13</f>
        <v>3.3785294050747504E-2</v>
      </c>
      <c r="M370" s="171">
        <f ca="1">(L$370/L$13+ IF(M$2&gt;0,M$2*IF(M$6=OFFSET(Assumptions!$B$8,0,$C$1),SUMPRODUCT(OFFSET(L$370,0,0,1,-OFFSET(Assumptions!$B$86,0,$C$1)),OFFSET(L$15,0,0,1,-OFFSET(Assumptions!$B$86,0,$C$1)))/OFFSET(Assumptions!$B$86,0,$C$1)-L$370/L$13,(L$370/L$13-K$370/K$13)/L$2),0))*M$13</f>
        <v>3.5569029244215442E-2</v>
      </c>
      <c r="N370" s="171">
        <f ca="1">(M$370/M$13+ IF(N$2&gt;0,N$2*IF(N$6=OFFSET(Assumptions!$B$8,0,$C$1),SUMPRODUCT(OFFSET(M$370,0,0,1,-OFFSET(Assumptions!$B$86,0,$C$1)),OFFSET(M$15,0,0,1,-OFFSET(Assumptions!$B$86,0,$C$1)))/OFFSET(Assumptions!$B$86,0,$C$1)-M$370/M$13,(M$370/M$13-L$370/L$13)/M$2),0))*N$13</f>
        <v>3.7317094334709075E-2</v>
      </c>
      <c r="O370" s="171">
        <f ca="1">(N$370/N$13+ IF(O$2&gt;0,O$2*IF(O$6=OFFSET(Assumptions!$B$8,0,$C$1),SUMPRODUCT(OFFSET(N$370,0,0,1,-OFFSET(Assumptions!$B$86,0,$C$1)),OFFSET(N$15,0,0,1,-OFFSET(Assumptions!$B$86,0,$C$1)))/OFFSET(Assumptions!$B$86,0,$C$1)-N$370/N$13,(N$370/N$13-M$370/M$13)/N$2),0))*O$13</f>
        <v>3.8979921847958877E-2</v>
      </c>
      <c r="P370" s="171">
        <f ca="1">(O$370/O$13+ IF(P$2&gt;0,P$2*IF(P$6=OFFSET(Assumptions!$B$8,0,$C$1),SUMPRODUCT(OFFSET(O$370,0,0,1,-OFFSET(Assumptions!$B$86,0,$C$1)),OFFSET(O$15,0,0,1,-OFFSET(Assumptions!$B$86,0,$C$1)))/OFFSET(Assumptions!$B$86,0,$C$1)-O$370/O$13,(O$370/O$13-N$370/N$13)/O$2),0))*P$13</f>
        <v>4.0541306042313041E-2</v>
      </c>
      <c r="Q370" s="171">
        <f ca="1">(P$370/P$13+ IF(Q$2&gt;0,Q$2*IF(Q$6=OFFSET(Assumptions!$B$8,0,$C$1),SUMPRODUCT(OFFSET(P$370,0,0,1,-OFFSET(Assumptions!$B$86,0,$C$1)),OFFSET(P$15,0,0,1,-OFFSET(Assumptions!$B$86,0,$C$1)))/OFFSET(Assumptions!$B$86,0,$C$1)-P$370/P$13,(P$370/P$13-O$370/O$13)/P$2),0))*Q$13</f>
        <v>4.2134814887602338E-2</v>
      </c>
      <c r="R370" s="171">
        <f ca="1">(Q$370/Q$13+ IF(R$2&gt;0,R$2*IF(R$6=OFFSET(Assumptions!$B$8,0,$C$1),SUMPRODUCT(OFFSET(Q$370,0,0,1,-OFFSET(Assumptions!$B$86,0,$C$1)),OFFSET(Q$15,0,0,1,-OFFSET(Assumptions!$B$86,0,$C$1)))/OFFSET(Assumptions!$B$86,0,$C$1)-Q$370/Q$13,(Q$370/Q$13-P$370/P$13)/Q$2),0))*R$13</f>
        <v>4.3756156329250694E-2</v>
      </c>
      <c r="S370" s="171">
        <f ca="1">(R$370/R$13+ IF(S$2&gt;0,S$2*IF(S$6=OFFSET(Assumptions!$B$8,0,$C$1),SUMPRODUCT(OFFSET(R$370,0,0,1,-OFFSET(Assumptions!$B$86,0,$C$1)),OFFSET(R$15,0,0,1,-OFFSET(Assumptions!$B$86,0,$C$1)))/OFFSET(Assumptions!$B$86,0,$C$1)-R$370/R$13,(R$370/R$13-Q$370/Q$13)/R$2),0))*S$13</f>
        <v>4.5404036862934385E-2</v>
      </c>
      <c r="T370" s="171">
        <f ca="1">(S$370/S$13+ IF(T$2&gt;0,T$2*IF(T$6=OFFSET(Assumptions!$B$8,0,$C$1),SUMPRODUCT(OFFSET(S$370,0,0,1,-OFFSET(Assumptions!$B$86,0,$C$1)),OFFSET(S$15,0,0,1,-OFFSET(Assumptions!$B$86,0,$C$1)))/OFFSET(Assumptions!$B$86,0,$C$1)-S$370/S$13,(S$370/S$13-R$370/R$13)/S$2),0))*T$13</f>
        <v>4.7100774101365366E-2</v>
      </c>
    </row>
    <row r="371" spans="1:20">
      <c r="A371" s="167" t="s">
        <v>419</v>
      </c>
      <c r="B371" s="4" t="str">
        <f>$B$39</f>
        <v>From Fiscal Forecasts</v>
      </c>
      <c r="D371" s="175">
        <f ca="1">'Fiscal Forecasts'!D$119-SUM(D$368:D$370) -(1-OFFSET(Assumptions!$B$76,0,$C$1))*('Fiscal Forecasts'!D$351-D$384)</f>
        <v>-1.3760000000000048</v>
      </c>
      <c r="E371" s="175">
        <f ca="1">'Fiscal Forecasts'!E$119-SUM(E$368:E$370) -(1-OFFSET(Assumptions!$B$76,0,$C$1))*('Fiscal Forecasts'!E$351-E$384)</f>
        <v>-1.2420000000000044</v>
      </c>
      <c r="F371" s="176">
        <f ca="1">'Fiscal Forecasts'!F$119-SUM(F$368:F$370) -(1-OFFSET(Assumptions!$B$76,0,$C$1))*('Fiscal Forecasts'!F$351-F$384)</f>
        <v>-1.2650000000000077</v>
      </c>
      <c r="G371" s="176">
        <f ca="1">'Fiscal Forecasts'!G$119-SUM(G$368:G$370) -(1-OFFSET(Assumptions!$B$76,0,$C$1))*('Fiscal Forecasts'!G$351-G$384)</f>
        <v>-1.2959999999999994</v>
      </c>
      <c r="H371" s="176">
        <f ca="1">'Fiscal Forecasts'!H$119-SUM(H$368:H$370) -(1-OFFSET(Assumptions!$B$76,0,$C$1))*('Fiscal Forecasts'!H$351-H$384)</f>
        <v>-1.3260000000000005</v>
      </c>
      <c r="I371" s="176">
        <f ca="1">'Fiscal Forecasts'!I$119-SUM(I$368:I$370) -(1-OFFSET(Assumptions!$B$76,0,$C$1))*('Fiscal Forecasts'!I$351-I$384)</f>
        <v>-1.3660000000000068</v>
      </c>
      <c r="J371" s="176">
        <f ca="1">'Fiscal Forecasts'!J$119-SUM(J$368:J$370) -(1-OFFSET(Assumptions!$B$76,0,$C$1))*('Fiscal Forecasts'!J$351-J$384)</f>
        <v>-1.4130000000000038</v>
      </c>
      <c r="K371" s="171">
        <f ca="1">IF(K$6=OFFSET(Assumptions!$B$8,0,$C$1),AVERAGE(H$371/H$369,I$371/I$369,J$371/J$369),J$371/J$369)*K$369</f>
        <v>-1.4500215234800422</v>
      </c>
      <c r="L371" s="171">
        <f ca="1">IF(L$6=OFFSET(Assumptions!$B$8,0,$C$1),AVERAGE(I$371/I$369,J$371/J$369,K$371/K$369),K$371/K$369)*L$369</f>
        <v>-1.5069431205213064</v>
      </c>
      <c r="M371" s="171">
        <f ca="1">IF(M$6=OFFSET(Assumptions!$B$8,0,$C$1),AVERAGE(J$371/J$369,K$371/K$369,L$371/L$369),L$371/L$369)*M$369</f>
        <v>-1.5675819734041117</v>
      </c>
      <c r="N371" s="171">
        <f ca="1">IF(N$6=OFFSET(Assumptions!$B$8,0,$C$1),AVERAGE(K$371/K$369,L$371/L$369,M$371/M$369),M$371/M$369)*N$369</f>
        <v>-1.6319369392039675</v>
      </c>
      <c r="O371" s="171">
        <f ca="1">IF(O$6=OFFSET(Assumptions!$B$8,0,$C$1),AVERAGE(L$371/L$369,M$371/M$369,N$371/N$369),N$371/N$369)*O$369</f>
        <v>-1.700228401347772</v>
      </c>
      <c r="P371" s="171">
        <f ca="1">IF(P$6=OFFSET(Assumptions!$B$8,0,$C$1),AVERAGE(M$371/M$369,N$371/N$369,O$371/O$369),O$371/O$369)*P$369</f>
        <v>-1.7712604892549797</v>
      </c>
      <c r="Q371" s="171">
        <f ca="1">IF(Q$6=OFFSET(Assumptions!$B$8,0,$C$1),AVERAGE(N$371/N$369,O$371/O$369,P$371/P$369),P$371/P$369)*Q$369</f>
        <v>-1.8443234093764267</v>
      </c>
      <c r="R371" s="171">
        <f ca="1">IF(R$6=OFFSET(Assumptions!$B$8,0,$C$1),AVERAGE(O$371/O$369,P$371/P$369,Q$371/Q$369),Q$371/Q$369)*R$369</f>
        <v>-1.9208249416969749</v>
      </c>
      <c r="S371" s="171">
        <f ca="1">IF(S$6=OFFSET(Assumptions!$B$8,0,$C$1),AVERAGE(P$371/P$369,Q$371/Q$369,R$371/R$369),R$371/R$369)*S$369</f>
        <v>-2.0014749070040367</v>
      </c>
      <c r="T371" s="171">
        <f ca="1">IF(T$6=OFFSET(Assumptions!$B$8,0,$C$1),AVERAGE(Q$371/Q$369,R$371/R$369,S$371/S$369),S$371/S$369)*T$369</f>
        <v>-2.0853642369968375</v>
      </c>
    </row>
    <row r="372" spans="1:20" ht="15">
      <c r="A372" s="168" t="s">
        <v>519</v>
      </c>
      <c r="B372" s="4"/>
      <c r="D372" s="138">
        <f t="shared" ref="D372:T372" ca="1" si="177">SUM(D$368:D$371)</f>
        <v>39.552</v>
      </c>
      <c r="E372" s="138">
        <f t="shared" ca="1" si="177"/>
        <v>33.790999999999997</v>
      </c>
      <c r="F372" s="137">
        <f t="shared" ca="1" si="177"/>
        <v>43.494</v>
      </c>
      <c r="G372" s="137">
        <f t="shared" ca="1" si="177"/>
        <v>46.247999999999998</v>
      </c>
      <c r="H372" s="137">
        <f t="shared" ca="1" si="177"/>
        <v>48.655999999999999</v>
      </c>
      <c r="I372" s="137">
        <f t="shared" ca="1" si="177"/>
        <v>51.381999999999998</v>
      </c>
      <c r="J372" s="137">
        <f t="shared" ca="1" si="177"/>
        <v>54.692</v>
      </c>
      <c r="K372" s="140">
        <f t="shared" ca="1" si="177"/>
        <v>59.949462353830199</v>
      </c>
      <c r="L372" s="140">
        <f t="shared" ca="1" si="177"/>
        <v>64.047416726725686</v>
      </c>
      <c r="M372" s="140">
        <f t="shared" ca="1" si="177"/>
        <v>68.331708928449999</v>
      </c>
      <c r="N372" s="140">
        <f t="shared" ca="1" si="177"/>
        <v>72.819010431144363</v>
      </c>
      <c r="O372" s="140">
        <f t="shared" ca="1" si="177"/>
        <v>77.528049783513922</v>
      </c>
      <c r="P372" s="140">
        <f t="shared" ca="1" si="177"/>
        <v>82.459109018471878</v>
      </c>
      <c r="Q372" s="140">
        <f t="shared" ca="1" si="177"/>
        <v>87.426194115942479</v>
      </c>
      <c r="R372" s="140">
        <f t="shared" ca="1" si="177"/>
        <v>92.078958788420991</v>
      </c>
      <c r="S372" s="140">
        <f t="shared" ca="1" si="177"/>
        <v>96.871731856742429</v>
      </c>
      <c r="T372" s="140">
        <f t="shared" ca="1" si="177"/>
        <v>101.8062689725825</v>
      </c>
    </row>
    <row r="373" spans="1:20" ht="15">
      <c r="A373" s="168"/>
      <c r="B373" s="4"/>
      <c r="D373" s="46"/>
      <c r="E373" s="46"/>
      <c r="F373" s="145"/>
      <c r="G373" s="145"/>
      <c r="H373" s="145"/>
      <c r="I373" s="145"/>
      <c r="J373" s="145"/>
      <c r="K373" s="171"/>
      <c r="L373" s="171"/>
      <c r="M373" s="171"/>
      <c r="N373" s="171"/>
      <c r="O373" s="171"/>
      <c r="P373" s="171"/>
      <c r="Q373" s="171"/>
      <c r="R373" s="171"/>
      <c r="S373" s="171"/>
      <c r="T373" s="171"/>
    </row>
    <row r="374" spans="1:20">
      <c r="A374" s="18" t="s">
        <v>373</v>
      </c>
      <c r="F374" s="171"/>
      <c r="G374" s="171"/>
      <c r="H374" s="171"/>
      <c r="I374" s="171"/>
      <c r="J374" s="171"/>
      <c r="K374" s="171"/>
      <c r="L374" s="171"/>
      <c r="M374" s="171"/>
      <c r="N374" s="171"/>
      <c r="O374" s="171"/>
      <c r="P374" s="171"/>
      <c r="Q374" s="171"/>
      <c r="R374" s="171"/>
      <c r="S374" s="171"/>
      <c r="T374" s="171"/>
    </row>
    <row r="375" spans="1:20">
      <c r="A375" s="167" t="s">
        <v>338</v>
      </c>
      <c r="B375" s="4" t="str">
        <f>$B$39</f>
        <v>From Fiscal Forecasts</v>
      </c>
      <c r="D375" s="175">
        <f>'Fiscal Forecasts'!D$344</f>
        <v>0.98199999999999998</v>
      </c>
      <c r="E375" s="175">
        <f>'Fiscal Forecasts'!E$344</f>
        <v>0.80300000000000005</v>
      </c>
      <c r="F375" s="176">
        <f>IF($C$3="Yes",'NZSF Adjuster'!Q$21,'Fiscal Forecasts'!F$344)</f>
        <v>0.69</v>
      </c>
      <c r="G375" s="176">
        <f>IF($C$3="Yes",'NZSF Adjuster'!R$21,'Fiscal Forecasts'!G$344)</f>
        <v>0.86399999999999999</v>
      </c>
      <c r="H375" s="176">
        <f>IF($C$3="Yes",'NZSF Adjuster'!S$21,'Fiscal Forecasts'!H$344)</f>
        <v>0.96699999999999997</v>
      </c>
      <c r="I375" s="176">
        <f>IF($C$3="Yes",'NZSF Adjuster'!T$21,'Fiscal Forecasts'!I$344)</f>
        <v>1.0529999999999999</v>
      </c>
      <c r="J375" s="176">
        <f>IF($C$3="Yes",'NZSF Adjuster'!U$21,'Fiscal Forecasts'!J$344)</f>
        <v>1.1519999999999999</v>
      </c>
      <c r="K375" s="171">
        <f ca="1">IF(K$6=OFFSET(Assumptions!$B$8,0,$C$1),AVERAGE(H$375/(H$375-H$377+H$378),I$375/(I$375-I$377+I$378),J$375/(J$375-J$377+J$378)),(J$375-IF($C$3="Yes",'NZSF Adjuster'!U$25,Exogenous!U$10))/(J$375-IF($C$3="Yes",'NZSF Adjuster'!U$25,Exogenous!U$10)-J$377+J$378))*IF($C$3="Yes",'NZSF Adjuster'!V$21-'NZSF Adjuster'!V$23+'NZSF Adjuster'!V$24,Exogenous!V$7) +IF($C$3="Yes",'NZSF Adjuster'!V$25,Exogenous!V$10)</f>
        <v>1.2471600508984306</v>
      </c>
      <c r="L375" s="171">
        <f ca="1">IF(L$6=OFFSET(Assumptions!$B$8,0,$C$1),AVERAGE(I$375/(I$375-I$377+I$378),J$375/(J$375-J$377+J$378),K$375/(K$375-K$377+K$378)),(K$375-IF($C$3="Yes",'NZSF Adjuster'!V$25,Exogenous!V$10))/(K$375-IF($C$3="Yes",'NZSF Adjuster'!V$25,Exogenous!V$10)-K$377+K$378))*IF($C$3="Yes",'NZSF Adjuster'!W$21-'NZSF Adjuster'!W$23+'NZSF Adjuster'!W$24,Exogenous!W$7) +IF($C$3="Yes",'NZSF Adjuster'!W$25,Exogenous!W$10)</f>
        <v>1.3468167539934728</v>
      </c>
      <c r="M375" s="171">
        <f ca="1">IF(M$6=OFFSET(Assumptions!$B$8,0,$C$1),AVERAGE(J$375/(J$375-J$377+J$378),K$375/(K$375-K$377+K$378),L$375/(L$375-L$377+L$378)),(L$375-IF($C$3="Yes",'NZSF Adjuster'!W$25,Exogenous!W$10))/(L$375-IF($C$3="Yes",'NZSF Adjuster'!W$25,Exogenous!W$10)-L$377+L$378))*IF($C$3="Yes",'NZSF Adjuster'!X$21-'NZSF Adjuster'!X$23+'NZSF Adjuster'!X$24,Exogenous!X$7) +IF($C$3="Yes",'NZSF Adjuster'!X$25,Exogenous!X$10)</f>
        <v>1.4481103539713465</v>
      </c>
      <c r="N375" s="171">
        <f ca="1">IF(N$6=OFFSET(Assumptions!$B$8,0,$C$1),AVERAGE(K$375/(K$375-K$377+K$378),L$375/(L$375-L$377+L$378),M$375/(M$375-M$377+M$378)),(M$375-IF($C$3="Yes",'NZSF Adjuster'!X$25,Exogenous!X$10))/(M$375-IF($C$3="Yes",'NZSF Adjuster'!X$25,Exogenous!X$10)-M$377+M$378))*IF($C$3="Yes",'NZSF Adjuster'!Y$21-'NZSF Adjuster'!Y$23+'NZSF Adjuster'!Y$24,Exogenous!Y$7) +IF($C$3="Yes",'NZSF Adjuster'!Y$25,Exogenous!Y$10)</f>
        <v>1.5513001226359802</v>
      </c>
      <c r="O375" s="171">
        <f ca="1">IF(O$6=OFFSET(Assumptions!$B$8,0,$C$1),AVERAGE(L$375/(L$375-L$377+L$378),M$375/(M$375-M$377+M$378),N$375/(N$375-N$377+N$378)),(N$375-IF($C$3="Yes",'NZSF Adjuster'!Y$25,Exogenous!Y$10))/(N$375-IF($C$3="Yes",'NZSF Adjuster'!Y$25,Exogenous!Y$10)-N$377+N$378))*IF($C$3="Yes",'NZSF Adjuster'!Z$21-'NZSF Adjuster'!Z$23+'NZSF Adjuster'!Z$24,Exogenous!Z$7) +IF($C$3="Yes",'NZSF Adjuster'!Z$25,Exogenous!Z$10)</f>
        <v>1.6570409144000076</v>
      </c>
      <c r="P375" s="171">
        <f ca="1">IF(P$6=OFFSET(Assumptions!$B$8,0,$C$1),AVERAGE(M$375/(M$375-M$377+M$378),N$375/(N$375-N$377+N$378),O$375/(O$375-O$377+O$378)),(O$375-IF($C$3="Yes",'NZSF Adjuster'!Z$25,Exogenous!Z$10))/(O$375-IF($C$3="Yes",'NZSF Adjuster'!Z$25,Exogenous!Z$10)-O$377+O$378))*IF($C$3="Yes",'NZSF Adjuster'!AA$21-'NZSF Adjuster'!AA$23+'NZSF Adjuster'!AA$24,Exogenous!AA$7) +IF($C$3="Yes",'NZSF Adjuster'!AA$25,Exogenous!AA$10)</f>
        <v>1.7658721514538402</v>
      </c>
      <c r="Q375" s="171">
        <f ca="1">IF(Q$6=OFFSET(Assumptions!$B$8,0,$C$1),AVERAGE(N$375/(N$375-N$377+N$378),O$375/(O$375-O$377+O$378),P$375/(P$375-P$377+P$378)),(P$375-IF($C$3="Yes",'NZSF Adjuster'!AA$25,Exogenous!AA$10))/(P$375-IF($C$3="Yes",'NZSF Adjuster'!AA$25,Exogenous!AA$10)-P$377+P$378))*IF($C$3="Yes",'NZSF Adjuster'!AB$21-'NZSF Adjuster'!AB$23+'NZSF Adjuster'!AB$24,Exogenous!AB$7) +IF($C$3="Yes",'NZSF Adjuster'!AB$25,Exogenous!AB$10)</f>
        <v>1.8780723550806029</v>
      </c>
      <c r="R375" s="171">
        <f ca="1">IF(R$6=OFFSET(Assumptions!$B$8,0,$C$1),AVERAGE(O$375/(O$375-O$377+O$378),P$375/(P$375-P$377+P$378),Q$375/(Q$375-Q$377+Q$378)),(Q$375-IF($C$3="Yes",'NZSF Adjuster'!AB$25,Exogenous!AB$10))/(Q$375-IF($C$3="Yes",'NZSF Adjuster'!AB$25,Exogenous!AB$10)-Q$377+Q$378))*IF($C$3="Yes",'NZSF Adjuster'!AC$21-'NZSF Adjuster'!AC$23+'NZSF Adjuster'!AC$24,Exogenous!AC$7) +IF($C$3="Yes",'NZSF Adjuster'!AC$25,Exogenous!AC$10)</f>
        <v>1.9935097096545578</v>
      </c>
      <c r="S375" s="171">
        <f ca="1">IF(S$6=OFFSET(Assumptions!$B$8,0,$C$1),AVERAGE(P$375/(P$375-P$377+P$378),Q$375/(Q$375-Q$377+Q$378),R$375/(R$375-R$377+R$378)),(R$375-IF($C$3="Yes",'NZSF Adjuster'!AC$25,Exogenous!AC$10))/(R$375-IF($C$3="Yes",'NZSF Adjuster'!AC$25,Exogenous!AC$10)-R$377+R$378))*IF($C$3="Yes",'NZSF Adjuster'!AD$21-'NZSF Adjuster'!AD$23+'NZSF Adjuster'!AD$24,Exogenous!AD$7) +IF($C$3="Yes",'NZSF Adjuster'!AD$25,Exogenous!AD$10)</f>
        <v>2.1118330943335626</v>
      </c>
      <c r="T375" s="171">
        <f ca="1">IF(T$6=OFFSET(Assumptions!$B$8,0,$C$1),AVERAGE(Q$375/(Q$375-Q$377+Q$378),R$375/(R$375-R$377+R$378),S$375/(S$375-S$377+S$378)),(S$375-IF($C$3="Yes",'NZSF Adjuster'!AD$25,Exogenous!AD$10))/(S$375-IF($C$3="Yes",'NZSF Adjuster'!AD$25,Exogenous!AD$10)-S$377+S$378))*IF($C$3="Yes",'NZSF Adjuster'!AE$21-'NZSF Adjuster'!AE$23+'NZSF Adjuster'!AE$24,Exogenous!AE$7) +IF($C$3="Yes",'NZSF Adjuster'!AE$25,Exogenous!AE$10)</f>
        <v>2.2330384069967848</v>
      </c>
    </row>
    <row r="376" spans="1:20">
      <c r="A376" s="167" t="s">
        <v>339</v>
      </c>
      <c r="B376" s="4" t="str">
        <f>$B$39</f>
        <v>From Fiscal Forecasts</v>
      </c>
      <c r="D376" s="175">
        <f>'Fiscal Forecasts'!D$345</f>
        <v>0.504</v>
      </c>
      <c r="E376" s="175">
        <f>'Fiscal Forecasts'!E$345</f>
        <v>0.44800000000000001</v>
      </c>
      <c r="F376" s="176">
        <f>IF($C$3="Yes",'NZSF Adjuster'!Q$22,'Fiscal Forecasts'!F$345)</f>
        <v>2.2599999999999998</v>
      </c>
      <c r="G376" s="176">
        <f>IF($C$3="Yes",'NZSF Adjuster'!R$22,'Fiscal Forecasts'!G$345)</f>
        <v>0.99299999999999999</v>
      </c>
      <c r="H376" s="176">
        <f>IF($C$3="Yes",'NZSF Adjuster'!S$22,'Fiscal Forecasts'!H$345)</f>
        <v>1.1060000000000001</v>
      </c>
      <c r="I376" s="176">
        <f>IF($C$3="Yes",'NZSF Adjuster'!T$22,'Fiscal Forecasts'!I$345)</f>
        <v>1.1970000000000001</v>
      </c>
      <c r="J376" s="176">
        <f>IF($C$3="Yes",'NZSF Adjuster'!U$22,'Fiscal Forecasts'!J$345)</f>
        <v>1.3049999999999999</v>
      </c>
      <c r="K376" s="171">
        <f>IF($C$3="Yes",'NZSF Adjuster'!V$22,Exogenous!V$8)</f>
        <v>1.426868587667357</v>
      </c>
      <c r="L376" s="171">
        <f>IF($C$3="Yes",'NZSF Adjuster'!W$22,Exogenous!W$8)</f>
        <v>1.5408852442258896</v>
      </c>
      <c r="M376" s="171">
        <f>IF($C$3="Yes",'NZSF Adjuster'!X$22,Exogenous!X$8)</f>
        <v>1.656774665023206</v>
      </c>
      <c r="N376" s="171">
        <f>IF($C$3="Yes",'NZSF Adjuster'!Y$22,Exogenous!Y$8)</f>
        <v>1.7748334814278526</v>
      </c>
      <c r="O376" s="171">
        <f>IF($C$3="Yes",'NZSF Adjuster'!Z$22,Exogenous!Z$8)</f>
        <v>1.8958109085788231</v>
      </c>
      <c r="P376" s="171">
        <f>IF($C$3="Yes",'NZSF Adjuster'!AA$22,Exogenous!AA$8)</f>
        <v>2.0203240962785309</v>
      </c>
      <c r="Q376" s="171">
        <f>IF($C$3="Yes",'NZSF Adjuster'!AB$22,Exogenous!AB$8)</f>
        <v>2.1486916991131304</v>
      </c>
      <c r="R376" s="171">
        <f>IF($C$3="Yes",'NZSF Adjuster'!AC$22,Exogenous!AC$8)</f>
        <v>2.2807629075890099</v>
      </c>
      <c r="S376" s="171">
        <f>IF($C$3="Yes",'NZSF Adjuster'!AD$22,Exogenous!AD$8)</f>
        <v>2.4161360063852149</v>
      </c>
      <c r="T376" s="171">
        <f>IF($C$3="Yes",'NZSF Adjuster'!AE$22,Exogenous!AE$8)</f>
        <v>2.5548063022890699</v>
      </c>
    </row>
    <row r="377" spans="1:20">
      <c r="A377" s="167" t="s">
        <v>340</v>
      </c>
      <c r="B377" s="4" t="str">
        <f>$B$39</f>
        <v>From Fiscal Forecasts</v>
      </c>
      <c r="D377" s="175">
        <f>'Fiscal Forecasts'!D$346</f>
        <v>0.13</v>
      </c>
      <c r="E377" s="175">
        <f>'Fiscal Forecasts'!E$346</f>
        <v>0.15</v>
      </c>
      <c r="F377" s="176">
        <f>IF($C$3="Yes",'NZSF Adjuster'!Q$23,'Fiscal Forecasts'!F$346)</f>
        <v>0.125</v>
      </c>
      <c r="G377" s="176">
        <f>IF($C$3="Yes",'NZSF Adjuster'!R$23,'Fiscal Forecasts'!G$346)</f>
        <v>0.217</v>
      </c>
      <c r="H377" s="176">
        <f>IF($C$3="Yes",'NZSF Adjuster'!S$23,'Fiscal Forecasts'!H$346)</f>
        <v>0.23799999999999999</v>
      </c>
      <c r="I377" s="176">
        <f>IF($C$3="Yes",'NZSF Adjuster'!T$23,'Fiscal Forecasts'!I$346)</f>
        <v>0.254</v>
      </c>
      <c r="J377" s="176">
        <f>IF($C$3="Yes",'NZSF Adjuster'!U$23,'Fiscal Forecasts'!J$346)</f>
        <v>0.27200000000000002</v>
      </c>
      <c r="K377" s="171">
        <f ca="1">IF(K$6=OFFSET(Assumptions!$B$8,0,$C$1),AVERAGE(H$377/(H$375-H$377+H$378),I$377/(I$375-I$377+I$378),J$377/(J$375-J$377+J$378)),J$377/(J$375-IF($C$3="Yes",'NZSF Adjuster'!U$25,Exogenous!U$10)-J$377+J$378))*IF($C$3="Yes",'NZSF Adjuster'!V$21-'NZSF Adjuster'!V$23+'NZSF Adjuster'!V$24,Exogenous!V$7)</f>
        <v>0.30073147669843048</v>
      </c>
      <c r="L377" s="171">
        <f ca="1">IF(L$6=OFFSET(Assumptions!$B$8,0,$C$1),AVERAGE(I$377/(I$375-I$377+I$378),J$377/(J$375-J$377+J$378),K$377/(K$375-K$377+K$378)),K$377/(K$375-IF($C$3="Yes",'NZSF Adjuster'!V$25,Exogenous!V$10)-K$377+K$378))*IF($C$3="Yes",'NZSF Adjuster'!W$21-'NZSF Adjuster'!W$23+'NZSF Adjuster'!W$24,Exogenous!W$7)</f>
        <v>0.32476199905446596</v>
      </c>
      <c r="M377" s="171">
        <f ca="1">IF(M$6=OFFSET(Assumptions!$B$8,0,$C$1),AVERAGE(J$377/(J$375-J$377+J$378),K$377/(K$375-K$377+K$378),L$377/(L$375-L$377+L$378)),L$377/(L$375-IF($C$3="Yes",'NZSF Adjuster'!W$25,Exogenous!W$10)-L$377+L$378))*IF($C$3="Yes",'NZSF Adjuster'!X$21-'NZSF Adjuster'!X$23+'NZSF Adjuster'!X$24,Exogenous!X$7)</f>
        <v>0.34918723130873974</v>
      </c>
      <c r="N377" s="171">
        <f ca="1">IF(N$6=OFFSET(Assumptions!$B$8,0,$C$1),AVERAGE(K$377/(K$375-K$377+K$378),L$377/(L$375-L$377+L$378),M$377/(M$375-M$377+M$378)),M$377/(M$375-IF($C$3="Yes",'NZSF Adjuster'!X$25,Exogenous!X$10)-M$377+M$378))*IF($C$3="Yes",'NZSF Adjuster'!Y$21-'NZSF Adjuster'!Y$23+'NZSF Adjuster'!Y$24,Exogenous!Y$7)</f>
        <v>0.3740696924558311</v>
      </c>
      <c r="O377" s="171">
        <f ca="1">IF(O$6=OFFSET(Assumptions!$B$8,0,$C$1),AVERAGE(L$377/(L$375-L$377+L$378),M$377/(M$375-M$377+M$378),N$377/(N$375-N$377+N$378)),N$377/(N$375-IF($C$3="Yes",'NZSF Adjuster'!Y$25,Exogenous!Y$10)-N$377+N$378))*IF($C$3="Yes",'NZSF Adjuster'!Z$21-'NZSF Adjuster'!Z$23+'NZSF Adjuster'!Z$24,Exogenous!Z$7)</f>
        <v>0.3995672895217004</v>
      </c>
      <c r="P377" s="171">
        <f ca="1">IF(P$6=OFFSET(Assumptions!$B$8,0,$C$1),AVERAGE(M$377/(M$375-M$377+M$378),N$377/(N$375-N$377+N$378),O$377/(O$375-O$377+O$378)),O$377/(O$375-IF($C$3="Yes",'NZSF Adjuster'!Z$25,Exogenous!Z$10)-O$377+O$378))*IF($C$3="Yes",'NZSF Adjuster'!AA$21-'NZSF Adjuster'!AA$23+'NZSF Adjuster'!AA$24,Exogenous!AA$7)</f>
        <v>0.42581009501129147</v>
      </c>
      <c r="Q377" s="171">
        <f ca="1">IF(Q$6=OFFSET(Assumptions!$B$8,0,$C$1),AVERAGE(N$377/(N$375-N$377+N$378),O$377/(O$375-O$377+O$378),P$377/(P$375-P$377+P$378)),P$377/(P$375-IF($C$3="Yes",'NZSF Adjuster'!AA$25,Exogenous!AA$10)-P$377+P$378))*IF($C$3="Yes",'NZSF Adjuster'!AB$21-'NZSF Adjuster'!AB$23+'NZSF Adjuster'!AB$24,Exogenous!AB$7)</f>
        <v>0.45286526960434687</v>
      </c>
      <c r="R377" s="171">
        <f ca="1">IF(R$6=OFFSET(Assumptions!$B$8,0,$C$1),AVERAGE(O$377/(O$375-O$377+O$378),P$377/(P$375-P$377+P$378),Q$377/(Q$375-Q$377+Q$378)),Q$377/(Q$375-IF($C$3="Yes",'NZSF Adjuster'!AB$25,Exogenous!AB$10)-Q$377+Q$378))*IF($C$3="Yes",'NZSF Adjuster'!AC$21-'NZSF Adjuster'!AC$23+'NZSF Adjuster'!AC$24,Exogenous!AC$7)</f>
        <v>0.48070102820018806</v>
      </c>
      <c r="S377" s="171">
        <f ca="1">IF(S$6=OFFSET(Assumptions!$B$8,0,$C$1),AVERAGE(P$377/(P$375-P$377+P$378),Q$377/(Q$375-Q$377+Q$378),R$377/(R$375-R$377+R$378)),R$377/(R$375-IF($C$3="Yes",'NZSF Adjuster'!AC$25,Exogenous!AC$10)-R$377+R$378))*IF($C$3="Yes",'NZSF Adjuster'!AD$21-'NZSF Adjuster'!AD$23+'NZSF Adjuster'!AD$24,Exogenous!AD$7)</f>
        <v>0.50923270396773679</v>
      </c>
      <c r="T377" s="171">
        <f ca="1">IF(T$6=OFFSET(Assumptions!$B$8,0,$C$1),AVERAGE(Q$377/(Q$375-Q$377+Q$378),R$377/(R$375-R$377+R$378),S$377/(S$375-S$377+S$378)),S$377/(S$375-IF($C$3="Yes",'NZSF Adjuster'!AD$25,Exogenous!AD$10)-S$377+S$378))*IF($C$3="Yes",'NZSF Adjuster'!AE$21-'NZSF Adjuster'!AE$23+'NZSF Adjuster'!AE$24,Exogenous!AE$7)</f>
        <v>0.53845930775018458</v>
      </c>
    </row>
    <row r="378" spans="1:20">
      <c r="A378" s="167" t="s">
        <v>350</v>
      </c>
      <c r="B378" s="4" t="str">
        <f>$B$39</f>
        <v>From Fiscal Forecasts</v>
      </c>
      <c r="D378" s="175">
        <f>'Fiscal Forecasts'!D$347</f>
        <v>1.9550000000000001</v>
      </c>
      <c r="E378" s="175">
        <f>'Fiscal Forecasts'!E$347</f>
        <v>1.7000000000000001E-2</v>
      </c>
      <c r="F378" s="176">
        <f>IF($C$3="Yes",'NZSF Adjuster'!Q$24,'Fiscal Forecasts'!F$347)</f>
        <v>9.0579999999999998</v>
      </c>
      <c r="G378" s="176">
        <f>IF($C$3="Yes",'NZSF Adjuster'!R$24,'Fiscal Forecasts'!G$347)</f>
        <v>3.5139999999999998</v>
      </c>
      <c r="H378" s="176">
        <f>IF($C$3="Yes",'NZSF Adjuster'!S$24,'Fiscal Forecasts'!H$347)</f>
        <v>3.9049999999999998</v>
      </c>
      <c r="I378" s="176">
        <f>IF($C$3="Yes",'NZSF Adjuster'!T$24,'Fiscal Forecasts'!I$347)</f>
        <v>4.218</v>
      </c>
      <c r="J378" s="176">
        <f>IF($C$3="Yes",'NZSF Adjuster'!U$24,'Fiscal Forecasts'!J$347)</f>
        <v>4.5860000000000003</v>
      </c>
      <c r="K378" s="171">
        <f ca="1">IF(K$6=OFFSET(Assumptions!$B$8,0,$C$1),AVERAGE(H$378/(H$375-H$377+H$378),I$378/(I$375-I$377+I$378),J$378/(J$375-J$377+J$378)),J$378/(J$375-IF($C$3="Yes",'NZSF Adjuster'!U$25,Exogenous!U$10)-J$377+J$378))*IF($C$3="Yes",'NZSF Adjuster'!V$21-'NZSF Adjuster'!V$23+'NZSF Adjuster'!V$24,Exogenous!V$7)</f>
        <v>4.9988572077473217</v>
      </c>
      <c r="L378" s="171">
        <f ca="1">IF(L$6=OFFSET(Assumptions!$B$8,0,$C$1),AVERAGE(I$378/(I$375-I$377+I$378),J$378/(J$375-J$377+J$378),K$378/(K$375-K$377+K$378)),K$378/(K$375-IF($C$3="Yes",'NZSF Adjuster'!V$25,Exogenous!V$10)-K$377+K$378))*IF($C$3="Yes",'NZSF Adjuster'!W$21-'NZSF Adjuster'!W$23+'NZSF Adjuster'!W$24,Exogenous!W$7)</f>
        <v>5.3983004293355332</v>
      </c>
      <c r="M378" s="171">
        <f ca="1">IF(M$6=OFFSET(Assumptions!$B$8,0,$C$1),AVERAGE(J$378/(J$375-J$377+J$378),K$378/(K$375-K$377+K$378),L$378/(L$375-L$377+L$378)),L$378/(L$375-IF($C$3="Yes",'NZSF Adjuster'!W$25,Exogenous!W$10)-L$377+L$378))*IF($C$3="Yes",'NZSF Adjuster'!X$21-'NZSF Adjuster'!X$23+'NZSF Adjuster'!X$24,Exogenous!X$7)</f>
        <v>5.8043046482674194</v>
      </c>
      <c r="N378" s="171">
        <f ca="1">IF(N$6=OFFSET(Assumptions!$B$8,0,$C$1),AVERAGE(K$378/(K$375-K$377+K$378),L$378/(L$375-L$377+L$378),M$378/(M$375-M$377+M$378)),M$378/(M$375-IF($C$3="Yes",'NZSF Adjuster'!X$25,Exogenous!X$10)-M$377+M$378))*IF($C$3="Yes",'NZSF Adjuster'!Y$21-'NZSF Adjuster'!Y$23+'NZSF Adjuster'!Y$24,Exogenous!Y$7)</f>
        <v>6.2179090757692359</v>
      </c>
      <c r="O378" s="171">
        <f ca="1">IF(O$6=OFFSET(Assumptions!$B$8,0,$C$1),AVERAGE(L$378/(L$375-L$377+L$378),M$378/(M$375-M$377+M$378),N$378/(N$375-N$377+N$378)),N$378/(N$375-IF($C$3="Yes",'NZSF Adjuster'!Y$25,Exogenous!Y$10)-N$377+N$378))*IF($C$3="Yes",'NZSF Adjuster'!Z$21-'NZSF Adjuster'!Z$23+'NZSF Adjuster'!Z$24,Exogenous!Z$7)</f>
        <v>6.6417384942001227</v>
      </c>
      <c r="P378" s="171">
        <f ca="1">IF(P$6=OFFSET(Assumptions!$B$8,0,$C$1),AVERAGE(M$378/(M$375-M$377+M$378),N$378/(N$375-N$377+N$378),O$378/(O$375-O$377+O$378)),O$378/(O$375-IF($C$3="Yes",'NZSF Adjuster'!Z$25,Exogenous!Z$10)-O$377+O$378))*IF($C$3="Yes",'NZSF Adjuster'!AA$21-'NZSF Adjuster'!AA$23+'NZSF Adjuster'!AA$24,Exogenous!AA$7)</f>
        <v>7.0779550113846641</v>
      </c>
      <c r="Q378" s="171">
        <f ca="1">IF(Q$6=OFFSET(Assumptions!$B$8,0,$C$1),AVERAGE(N$378/(N$375-N$377+N$378),O$378/(O$375-O$377+O$378),P$378/(P$375-P$377+P$378)),P$378/(P$375-IF($C$3="Yes",'NZSF Adjuster'!AA$25,Exogenous!AA$10)-P$377+P$378))*IF($C$3="Yes",'NZSF Adjuster'!AB$21-'NZSF Adjuster'!AB$23+'NZSF Adjuster'!AB$24,Exogenous!AB$7)</f>
        <v>7.5276749941617886</v>
      </c>
      <c r="R378" s="171">
        <f ca="1">IF(R$6=OFFSET(Assumptions!$B$8,0,$C$1),AVERAGE(O$378/(O$375-O$377+O$378),P$378/(P$375-P$377+P$378),Q$378/(Q$375-Q$377+Q$378)),Q$378/(Q$375-IF($C$3="Yes",'NZSF Adjuster'!AB$25,Exogenous!AB$10)-Q$377+Q$378))*IF($C$3="Yes",'NZSF Adjuster'!AC$21-'NZSF Adjuster'!AC$23+'NZSF Adjuster'!AC$24,Exogenous!AC$7)</f>
        <v>7.9903701001665057</v>
      </c>
      <c r="S378" s="171">
        <f ca="1">IF(S$6=OFFSET(Assumptions!$B$8,0,$C$1),AVERAGE(P$378/(P$375-P$377+P$378),Q$378/(Q$375-Q$377+Q$378),R$378/(R$375-R$377+R$378)),R$378/(R$375-IF($C$3="Yes",'NZSF Adjuster'!AC$25,Exogenous!AC$10)-R$377+R$378))*IF($C$3="Yes",'NZSF Adjuster'!AD$21-'NZSF Adjuster'!AD$23+'NZSF Adjuster'!AD$24,Exogenous!AD$7)</f>
        <v>8.4646329695725697</v>
      </c>
      <c r="T378" s="171">
        <f ca="1">IF(T$6=OFFSET(Assumptions!$B$8,0,$C$1),AVERAGE(Q$378/(Q$375-Q$377+Q$378),R$378/(R$375-R$377+R$378),S$378/(S$375-S$377+S$378)),S$378/(S$375-IF($C$3="Yes",'NZSF Adjuster'!AD$25,Exogenous!AD$10)-S$377+S$378))*IF($C$3="Yes",'NZSF Adjuster'!AE$21-'NZSF Adjuster'!AE$23+'NZSF Adjuster'!AE$24,Exogenous!AE$7)</f>
        <v>8.9504471602911924</v>
      </c>
    </row>
    <row r="379" spans="1:20" ht="15">
      <c r="A379" s="168" t="s">
        <v>441</v>
      </c>
      <c r="D379" s="138">
        <f t="shared" ref="D379:J379" si="178">SUM(D$375,D$378)-SUM(D$376,D$377)</f>
        <v>2.3030000000000004</v>
      </c>
      <c r="E379" s="138">
        <f t="shared" si="178"/>
        <v>0.22200000000000009</v>
      </c>
      <c r="F379" s="137">
        <f t="shared" si="178"/>
        <v>7.3629999999999995</v>
      </c>
      <c r="G379" s="137">
        <f t="shared" si="178"/>
        <v>3.1680000000000001</v>
      </c>
      <c r="H379" s="137">
        <f t="shared" si="178"/>
        <v>3.5279999999999996</v>
      </c>
      <c r="I379" s="137">
        <f t="shared" si="178"/>
        <v>3.82</v>
      </c>
      <c r="J379" s="137">
        <f t="shared" si="178"/>
        <v>4.1610000000000005</v>
      </c>
      <c r="K379" s="140">
        <f t="shared" ref="K379:T379" ca="1" si="179">SUM(K$375,-K$376,-K$377,K$378)</f>
        <v>4.5184171942799649</v>
      </c>
      <c r="L379" s="140">
        <f t="shared" ca="1" si="179"/>
        <v>4.8794699400486508</v>
      </c>
      <c r="M379" s="140">
        <f t="shared" ca="1" si="179"/>
        <v>5.24645310590682</v>
      </c>
      <c r="N379" s="140">
        <f t="shared" ca="1" si="179"/>
        <v>5.6203060245215326</v>
      </c>
      <c r="O379" s="140">
        <f t="shared" ca="1" si="179"/>
        <v>6.0034012104996073</v>
      </c>
      <c r="P379" s="140">
        <f t="shared" ca="1" si="179"/>
        <v>6.3976929715486817</v>
      </c>
      <c r="Q379" s="140">
        <f t="shared" ca="1" si="179"/>
        <v>6.804190380524914</v>
      </c>
      <c r="R379" s="140">
        <f t="shared" ca="1" si="179"/>
        <v>7.2224158740318654</v>
      </c>
      <c r="S379" s="140">
        <f t="shared" ca="1" si="179"/>
        <v>7.6510973535531805</v>
      </c>
      <c r="T379" s="140">
        <f t="shared" ca="1" si="179"/>
        <v>8.0902199572487223</v>
      </c>
    </row>
    <row r="380" spans="1:20">
      <c r="A380" s="167" t="s">
        <v>442</v>
      </c>
      <c r="B380" s="4" t="str">
        <f>$B$39</f>
        <v>From Fiscal Forecasts</v>
      </c>
      <c r="D380" s="175">
        <f>'Fiscal Forecasts'!D$348</f>
        <v>1</v>
      </c>
      <c r="E380" s="175">
        <f>'Fiscal Forecasts'!E$348</f>
        <v>1.46</v>
      </c>
      <c r="F380" s="176">
        <f>IF($C$3="Yes",'NZSF Adjuster'!Q$20,'Fiscal Forecasts'!F$348)</f>
        <v>2.12</v>
      </c>
      <c r="G380" s="176">
        <f>IF($C$3="Yes",'NZSF Adjuster'!R$20,'Fiscal Forecasts'!G$348)</f>
        <v>2.42</v>
      </c>
      <c r="H380" s="176">
        <f>IF($C$3="Yes",'NZSF Adjuster'!S$20,'Fiscal Forecasts'!H$348)</f>
        <v>1.351</v>
      </c>
      <c r="I380" s="176">
        <f>IF($C$3="Yes",'NZSF Adjuster'!T$20,'Fiscal Forecasts'!I$348)</f>
        <v>1.63</v>
      </c>
      <c r="J380" s="176">
        <f>IF($C$3="Yes",'NZSF Adjuster'!U$20,'Fiscal Forecasts'!J$348)</f>
        <v>1.8979999999999999</v>
      </c>
      <c r="K380" s="171">
        <f>IF($C$3="Yes",'NZSF Adjuster'!V$20,Exogenous!V$9)</f>
        <v>1.6879782431057286</v>
      </c>
      <c r="L380" s="171">
        <f>IF($C$3="Yes",'NZSF Adjuster'!W$20,Exogenous!W$9)</f>
        <v>1.4327527342206707</v>
      </c>
      <c r="M380" s="171">
        <f>IF($C$3="Yes",'NZSF Adjuster'!X$20,Exogenous!X$9)</f>
        <v>1.1647696793195053</v>
      </c>
      <c r="N380" s="171">
        <f>IF($C$3="Yes",'NZSF Adjuster'!Y$20,Exogenous!Y$9)</f>
        <v>0.9340167943912725</v>
      </c>
      <c r="O380" s="171">
        <f>IF($C$3="Yes",'NZSF Adjuster'!Z$20,Exogenous!Z$9)</f>
        <v>0.7315037003943381</v>
      </c>
      <c r="P380" s="171">
        <f>IF($C$3="Yes",'NZSF Adjuster'!AA$20,Exogenous!AA$9)</f>
        <v>0.54727674926238734</v>
      </c>
      <c r="Q380" s="171">
        <f>IF($C$3="Yes",'NZSF Adjuster'!AB$20,Exogenous!AB$9)</f>
        <v>0.35386359603993611</v>
      </c>
      <c r="R380" s="171">
        <f>IF($C$3="Yes",'NZSF Adjuster'!AC$20,Exogenous!AC$9)</f>
        <v>0.12684560172290915</v>
      </c>
      <c r="S380" s="171">
        <f>IF($C$3="Yes",'NZSF Adjuster'!AD$20,Exogenous!AD$9)</f>
        <v>-0.13285652283220983</v>
      </c>
      <c r="T380" s="171">
        <f>IF($C$3="Yes",'NZSF Adjuster'!AE$20,Exogenous!AE$9)</f>
        <v>-0.37678819574019329</v>
      </c>
    </row>
    <row r="381" spans="1:20">
      <c r="A381" s="167" t="s">
        <v>75</v>
      </c>
      <c r="B381" s="4" t="str">
        <f>$B$39</f>
        <v>From Fiscal Forecasts</v>
      </c>
      <c r="D381" s="175">
        <f>'Fiscal Forecasts'!D$349</f>
        <v>8.8999999999999996E-2</v>
      </c>
      <c r="E381" s="175">
        <f>'Fiscal Forecasts'!E$349</f>
        <v>-0.13</v>
      </c>
      <c r="F381" s="176">
        <f>IF($C$3="Yes",'NZSF Adjuster'!Q$25,'Fiscal Forecasts'!F$349)</f>
        <v>0</v>
      </c>
      <c r="G381" s="176">
        <f>IF($C$3="Yes",'NZSF Adjuster'!R$25,'Fiscal Forecasts'!G$349)</f>
        <v>0</v>
      </c>
      <c r="H381" s="176">
        <f>IF($C$3="Yes",'NZSF Adjuster'!S$25,'Fiscal Forecasts'!H$349)</f>
        <v>0</v>
      </c>
      <c r="I381" s="176">
        <f>IF($C$3="Yes",'NZSF Adjuster'!T$25,'Fiscal Forecasts'!I$349)</f>
        <v>0</v>
      </c>
      <c r="J381" s="176">
        <f>IF($C$3="Yes",'NZSF Adjuster'!U$25,'Fiscal Forecasts'!J$349)</f>
        <v>0</v>
      </c>
      <c r="K381" s="171">
        <f ca="1">IF(K$6=OFFSET(Assumptions!$B$8,0,$C$1),0,J$381)</f>
        <v>0</v>
      </c>
      <c r="L381" s="171">
        <f ca="1">IF(L$6=OFFSET(Assumptions!$B$8,0,$C$1),0,K$381)</f>
        <v>0</v>
      </c>
      <c r="M381" s="171">
        <f ca="1">IF(M$6=OFFSET(Assumptions!$B$8,0,$C$1),0,L$381)</f>
        <v>0</v>
      </c>
      <c r="N381" s="171">
        <f ca="1">IF(N$6=OFFSET(Assumptions!$B$8,0,$C$1),0,M$381)</f>
        <v>0</v>
      </c>
      <c r="O381" s="171">
        <f ca="1">IF(O$6=OFFSET(Assumptions!$B$8,0,$C$1),0,N$381)</f>
        <v>0</v>
      </c>
      <c r="P381" s="171">
        <f ca="1">IF(P$6=OFFSET(Assumptions!$B$8,0,$C$1),0,O$381)</f>
        <v>0</v>
      </c>
      <c r="Q381" s="171">
        <f ca="1">IF(Q$6=OFFSET(Assumptions!$B$8,0,$C$1),0,P$381)</f>
        <v>0</v>
      </c>
      <c r="R381" s="171">
        <f ca="1">IF(R$6=OFFSET(Assumptions!$B$8,0,$C$1),0,Q$381)</f>
        <v>0</v>
      </c>
      <c r="S381" s="171">
        <f ca="1">IF(S$6=OFFSET(Assumptions!$B$8,0,$C$1),0,R$381)</f>
        <v>0</v>
      </c>
      <c r="T381" s="171">
        <f ca="1">IF(T$6=OFFSET(Assumptions!$B$8,0,$C$1),0,S$381)</f>
        <v>0</v>
      </c>
    </row>
    <row r="382" spans="1:20" ht="15">
      <c r="A382" s="168" t="s">
        <v>343</v>
      </c>
      <c r="C382" s="60">
        <f>'Fiscal Forecasts'!C$350</f>
        <v>39.052999999999997</v>
      </c>
      <c r="D382" s="138">
        <f>SUM(C$382,D$379:D$381)</f>
        <v>42.444999999999993</v>
      </c>
      <c r="E382" s="138">
        <f t="shared" ref="E382:T382" si="180">SUM(D$382,E$379:E$381)</f>
        <v>43.996999999999993</v>
      </c>
      <c r="F382" s="137">
        <f t="shared" si="180"/>
        <v>53.47999999999999</v>
      </c>
      <c r="G382" s="137">
        <f t="shared" ref="G382" si="181">SUM(F$382,G$379:G$381)</f>
        <v>59.067999999999991</v>
      </c>
      <c r="H382" s="137">
        <f t="shared" ref="H382" si="182">SUM(G$382,H$379:H$381)</f>
        <v>63.946999999999989</v>
      </c>
      <c r="I382" s="137">
        <f t="shared" ref="I382" si="183">SUM(H$382,I$379:I$381)</f>
        <v>69.396999999999977</v>
      </c>
      <c r="J382" s="137">
        <f t="shared" ref="J382" si="184">SUM(I$382,J$379:J$381)</f>
        <v>75.455999999999975</v>
      </c>
      <c r="K382" s="140">
        <f t="shared" ca="1" si="180"/>
        <v>81.662395437385669</v>
      </c>
      <c r="L382" s="140">
        <f t="shared" ca="1" si="180"/>
        <v>87.974618111654991</v>
      </c>
      <c r="M382" s="140">
        <f t="shared" ca="1" si="180"/>
        <v>94.385840896881319</v>
      </c>
      <c r="N382" s="140">
        <f t="shared" ca="1" si="180"/>
        <v>100.94016371579413</v>
      </c>
      <c r="O382" s="140">
        <f t="shared" ca="1" si="180"/>
        <v>107.67506862668807</v>
      </c>
      <c r="P382" s="140">
        <f t="shared" ca="1" si="180"/>
        <v>114.62003834749913</v>
      </c>
      <c r="Q382" s="140">
        <f t="shared" ca="1" si="180"/>
        <v>121.77809232406398</v>
      </c>
      <c r="R382" s="140">
        <f t="shared" ca="1" si="180"/>
        <v>129.12735379981876</v>
      </c>
      <c r="S382" s="140">
        <f t="shared" ca="1" si="180"/>
        <v>136.64559463053973</v>
      </c>
      <c r="T382" s="140">
        <f t="shared" ca="1" si="180"/>
        <v>144.35902639204826</v>
      </c>
    </row>
    <row r="383" spans="1:20">
      <c r="A383" s="4" t="s">
        <v>444</v>
      </c>
    </row>
    <row r="384" spans="1:20">
      <c r="A384" s="167" t="s">
        <v>344</v>
      </c>
      <c r="B384" s="4" t="str">
        <f>$B$39</f>
        <v>From Fiscal Forecasts</v>
      </c>
      <c r="D384" s="175">
        <f>'Fiscal Forecasts'!D$351</f>
        <v>44.307000000000002</v>
      </c>
      <c r="E384" s="175">
        <f>'Fiscal Forecasts'!E$351</f>
        <v>48.220999999999997</v>
      </c>
      <c r="F384" s="176">
        <f>'Fiscal Forecasts'!F$351 +IF($C$3="Yes",'NZSF Adjuster'!Q$26-Exogenous!Q$11,0)</f>
        <v>61.26</v>
      </c>
      <c r="G384" s="176">
        <f>'Fiscal Forecasts'!G$351 +IF($C$3="Yes",'NZSF Adjuster'!R$26-Exogenous!R$11,0)</f>
        <v>64.861999999999995</v>
      </c>
      <c r="H384" s="176">
        <f>'Fiscal Forecasts'!H$351 +IF($C$3="Yes",'NZSF Adjuster'!S$26-Exogenous!S$11,0)</f>
        <v>69.658000000000001</v>
      </c>
      <c r="I384" s="176">
        <f>'Fiscal Forecasts'!I$351 +IF($C$3="Yes",'NZSF Adjuster'!T$26-Exogenous!T$11,0)</f>
        <v>75.23</v>
      </c>
      <c r="J384" s="176">
        <f>'Fiscal Forecasts'!J$351 +IF($C$3="Yes",'NZSF Adjuster'!U$26-Exogenous!U$11,0)</f>
        <v>81.406999999999996</v>
      </c>
      <c r="K384" s="171">
        <f ca="1">(J$384/J$382+MIN(ABS(OFFSET(Assumptions!$B$74,0,$C$1)-J$384/J$382),OFFSET(Assumptions!$B$73,0,$C$1))*SIGN(OFFSET(Assumptions!$B$74,0,$C$1)-J$384/J$382))*K$382</f>
        <v>87.694564207228609</v>
      </c>
      <c r="L384" s="171">
        <f ca="1">(K$384/K$382+MIN(ABS(OFFSET(Assumptions!$B$74,0,$C$1)-K$384/K$382),OFFSET(Assumptions!$B$73,0,$C$1))*SIGN(OFFSET(Assumptions!$B$74,0,$C$1)-K$384/K$382))*L$382</f>
        <v>94.132841379470847</v>
      </c>
      <c r="M384" s="171">
        <f ca="1">(L$384/L$382+MIN(ABS(OFFSET(Assumptions!$B$74,0,$C$1)-L$384/L$382),OFFSET(Assumptions!$B$73,0,$C$1))*SIGN(OFFSET(Assumptions!$B$74,0,$C$1)-L$384/L$382))*M$382</f>
        <v>100.99284975966302</v>
      </c>
      <c r="N384" s="171">
        <f ca="1">(M$384/M$382+MIN(ABS(OFFSET(Assumptions!$B$74,0,$C$1)-M$384/M$382),OFFSET(Assumptions!$B$73,0,$C$1))*SIGN(OFFSET(Assumptions!$B$74,0,$C$1)-M$384/M$382))*N$382</f>
        <v>108.00597517589972</v>
      </c>
      <c r="O384" s="171">
        <f ca="1">(N$384/N$382+MIN(ABS(OFFSET(Assumptions!$B$74,0,$C$1)-N$384/N$382),OFFSET(Assumptions!$B$73,0,$C$1))*SIGN(OFFSET(Assumptions!$B$74,0,$C$1)-N$384/N$382))*O$382</f>
        <v>115.21232343055624</v>
      </c>
      <c r="P384" s="171">
        <f ca="1">(O$384/O$382+MIN(ABS(OFFSET(Assumptions!$B$74,0,$C$1)-O$384/O$382),OFFSET(Assumptions!$B$73,0,$C$1))*SIGN(OFFSET(Assumptions!$B$74,0,$C$1)-O$384/O$382))*P$382</f>
        <v>122.64344103182408</v>
      </c>
      <c r="Q384" s="171">
        <f ca="1">(P$384/P$382+MIN(ABS(OFFSET(Assumptions!$B$74,0,$C$1)-P$384/P$382),OFFSET(Assumptions!$B$73,0,$C$1))*SIGN(OFFSET(Assumptions!$B$74,0,$C$1)-P$384/P$382))*Q$382</f>
        <v>130.30255878674845</v>
      </c>
      <c r="R384" s="171">
        <f ca="1">(Q$384/Q$382+MIN(ABS(OFFSET(Assumptions!$B$74,0,$C$1)-Q$384/Q$382),OFFSET(Assumptions!$B$73,0,$C$1))*SIGN(OFFSET(Assumptions!$B$74,0,$C$1)-Q$384/Q$382))*R$382</f>
        <v>138.16626856580609</v>
      </c>
      <c r="S384" s="171">
        <f ca="1">(R$384/R$382+MIN(ABS(OFFSET(Assumptions!$B$74,0,$C$1)-R$384/R$382),OFFSET(Assumptions!$B$73,0,$C$1))*SIGN(OFFSET(Assumptions!$B$74,0,$C$1)-R$384/R$382))*S$382</f>
        <v>146.21078625467752</v>
      </c>
      <c r="T384" s="171">
        <f ca="1">(S$384/S$382+MIN(ABS(OFFSET(Assumptions!$B$74,0,$C$1)-S$384/S$382),OFFSET(Assumptions!$B$73,0,$C$1))*SIGN(OFFSET(Assumptions!$B$74,0,$C$1)-S$384/S$382))*T$382</f>
        <v>154.46415823949164</v>
      </c>
    </row>
    <row r="385" spans="1:20">
      <c r="A385" s="167" t="s">
        <v>445</v>
      </c>
      <c r="B385" s="4" t="str">
        <f>$B$39</f>
        <v>From Fiscal Forecasts</v>
      </c>
      <c r="D385" s="175">
        <f>-'Fiscal Forecasts'!D$352</f>
        <v>1.9910000000000001</v>
      </c>
      <c r="E385" s="175">
        <f>-'Fiscal Forecasts'!E$352</f>
        <v>4.226</v>
      </c>
      <c r="F385" s="176">
        <f>-'Fiscal Forecasts'!F$352</f>
        <v>7.78</v>
      </c>
      <c r="G385" s="176">
        <f>-'Fiscal Forecasts'!G$352</f>
        <v>5.7939999999999996</v>
      </c>
      <c r="H385" s="176">
        <f>-'Fiscal Forecasts'!H$352</f>
        <v>5.7110000000000003</v>
      </c>
      <c r="I385" s="176">
        <f>-'Fiscal Forecasts'!I$352</f>
        <v>5.8330000000000002</v>
      </c>
      <c r="J385" s="176">
        <f>-'Fiscal Forecasts'!J$352</f>
        <v>5.9509999999999996</v>
      </c>
      <c r="K385" s="171">
        <f t="shared" ref="K385:T385" ca="1" si="185">K$384-K$382</f>
        <v>6.03216876984294</v>
      </c>
      <c r="L385" s="171">
        <f t="shared" ca="1" si="185"/>
        <v>6.1582232678158562</v>
      </c>
      <c r="M385" s="171">
        <f t="shared" ca="1" si="185"/>
        <v>6.6070088627816972</v>
      </c>
      <c r="N385" s="171">
        <f t="shared" ca="1" si="185"/>
        <v>7.0658114601055928</v>
      </c>
      <c r="O385" s="171">
        <f t="shared" ca="1" si="185"/>
        <v>7.5372548038681657</v>
      </c>
      <c r="P385" s="171">
        <f t="shared" ca="1" si="185"/>
        <v>8.0234026843249495</v>
      </c>
      <c r="Q385" s="171">
        <f t="shared" ca="1" si="185"/>
        <v>8.5244664626844724</v>
      </c>
      <c r="R385" s="171">
        <f t="shared" ca="1" si="185"/>
        <v>9.0389147659873288</v>
      </c>
      <c r="S385" s="171">
        <f t="shared" ca="1" si="185"/>
        <v>9.5651916241377819</v>
      </c>
      <c r="T385" s="171">
        <f t="shared" ca="1" si="185"/>
        <v>10.105131847443374</v>
      </c>
    </row>
    <row r="386" spans="1:20">
      <c r="A386" s="167" t="s">
        <v>346</v>
      </c>
      <c r="B386" s="4" t="str">
        <f>$B$39</f>
        <v>From Fiscal Forecasts</v>
      </c>
      <c r="D386" s="175">
        <f>'Fiscal Forecasts'!D$353</f>
        <v>0</v>
      </c>
      <c r="E386" s="175">
        <f>'Fiscal Forecasts'!E$353</f>
        <v>2E-3</v>
      </c>
      <c r="F386" s="176">
        <f>'Fiscal Forecasts'!F$353</f>
        <v>0</v>
      </c>
      <c r="G386" s="176">
        <f>'Fiscal Forecasts'!G$353</f>
        <v>0</v>
      </c>
      <c r="H386" s="176">
        <f>'Fiscal Forecasts'!H$353</f>
        <v>0</v>
      </c>
      <c r="I386" s="176">
        <f>'Fiscal Forecasts'!I$353</f>
        <v>0</v>
      </c>
      <c r="J386" s="176">
        <f>'Fiscal Forecasts'!J$353</f>
        <v>0</v>
      </c>
      <c r="K386" s="171">
        <f ca="1">IF(K$6=OFFSET(Assumptions!$B$8,0,$C$1),0,J$386)</f>
        <v>0</v>
      </c>
      <c r="L386" s="171">
        <f ca="1">IF(L$6=OFFSET(Assumptions!$B$8,0,$C$1),0,K$386)</f>
        <v>0</v>
      </c>
      <c r="M386" s="171">
        <f ca="1">IF(M$6=OFFSET(Assumptions!$B$8,0,$C$1),0,L$386)</f>
        <v>0</v>
      </c>
      <c r="N386" s="171">
        <f ca="1">IF(N$6=OFFSET(Assumptions!$B$8,0,$C$1),0,M$386)</f>
        <v>0</v>
      </c>
      <c r="O386" s="171">
        <f ca="1">IF(O$6=OFFSET(Assumptions!$B$8,0,$C$1),0,N$386)</f>
        <v>0</v>
      </c>
      <c r="P386" s="171">
        <f ca="1">IF(P$6=OFFSET(Assumptions!$B$8,0,$C$1),0,O$386)</f>
        <v>0</v>
      </c>
      <c r="Q386" s="171">
        <f ca="1">IF(Q$6=OFFSET(Assumptions!$B$8,0,$C$1),0,P$386)</f>
        <v>0</v>
      </c>
      <c r="R386" s="171">
        <f ca="1">IF(R$6=OFFSET(Assumptions!$B$8,0,$C$1),0,Q$386)</f>
        <v>0</v>
      </c>
      <c r="S386" s="171">
        <f ca="1">IF(S$6=OFFSET(Assumptions!$B$8,0,$C$1),0,R$386)</f>
        <v>0</v>
      </c>
      <c r="T386" s="171">
        <f ca="1">IF(T$6=OFFSET(Assumptions!$B$8,0,$C$1),0,S$386)</f>
        <v>0</v>
      </c>
    </row>
    <row r="387" spans="1:20">
      <c r="B387" s="4"/>
      <c r="D387" s="175"/>
      <c r="E387" s="175"/>
      <c r="F387" s="176"/>
      <c r="G387" s="176"/>
      <c r="H387" s="176"/>
      <c r="I387" s="176"/>
      <c r="J387" s="176"/>
      <c r="K387" s="171"/>
      <c r="L387" s="171"/>
      <c r="M387" s="171"/>
      <c r="N387" s="171"/>
      <c r="O387" s="171"/>
      <c r="P387" s="171"/>
      <c r="Q387" s="171"/>
      <c r="R387" s="171"/>
      <c r="S387" s="171"/>
      <c r="T387" s="171"/>
    </row>
    <row r="388" spans="1:20" ht="15">
      <c r="A388" s="18" t="s">
        <v>1088</v>
      </c>
      <c r="B388" s="4" t="str">
        <f>$B$39</f>
        <v>From Fiscal Forecasts</v>
      </c>
      <c r="D388" s="142">
        <f>'Fiscal Forecasts'!D$121</f>
        <v>3.6880000000000002</v>
      </c>
      <c r="E388" s="142">
        <f>'Fiscal Forecasts'!E$121</f>
        <v>4.22</v>
      </c>
      <c r="F388" s="141">
        <f>'Fiscal Forecasts'!F$121</f>
        <v>4.2759999999999998</v>
      </c>
      <c r="G388" s="141">
        <f>'Fiscal Forecasts'!G$121</f>
        <v>5.1260000000000003</v>
      </c>
      <c r="H388" s="141">
        <f>'Fiscal Forecasts'!H$121</f>
        <v>6.218</v>
      </c>
      <c r="I388" s="141">
        <f>'Fiscal Forecasts'!I$121</f>
        <v>7.5110000000000001</v>
      </c>
      <c r="J388" s="141">
        <f>'Fiscal Forecasts'!J$121</f>
        <v>8.66</v>
      </c>
      <c r="K388" s="134">
        <f ca="1">OFFSET(Assumptions!$B$77,0,$C$1)*K$384</f>
        <v>7.8925107786505748</v>
      </c>
      <c r="L388" s="134">
        <f ca="1">OFFSET(Assumptions!$B$77,0,$C$1)*L$384</f>
        <v>8.4719557241523766</v>
      </c>
      <c r="M388" s="134">
        <f ca="1">OFFSET(Assumptions!$B$77,0,$C$1)*M$384</f>
        <v>9.0893564783696714</v>
      </c>
      <c r="N388" s="134">
        <f ca="1">OFFSET(Assumptions!$B$77,0,$C$1)*N$384</f>
        <v>9.720537765830974</v>
      </c>
      <c r="O388" s="134">
        <f ca="1">OFFSET(Assumptions!$B$77,0,$C$1)*O$384</f>
        <v>10.369109108750061</v>
      </c>
      <c r="P388" s="134">
        <f ca="1">OFFSET(Assumptions!$B$77,0,$C$1)*P$384</f>
        <v>11.037909692864167</v>
      </c>
      <c r="Q388" s="134">
        <f ca="1">OFFSET(Assumptions!$B$77,0,$C$1)*Q$384</f>
        <v>11.727230290807359</v>
      </c>
      <c r="R388" s="134">
        <f ca="1">OFFSET(Assumptions!$B$77,0,$C$1)*R$384</f>
        <v>12.434964170922548</v>
      </c>
      <c r="S388" s="134">
        <f ca="1">OFFSET(Assumptions!$B$77,0,$C$1)*S$384</f>
        <v>13.158970762920976</v>
      </c>
      <c r="T388" s="134">
        <f ca="1">OFFSET(Assumptions!$B$77,0,$C$1)*T$384</f>
        <v>13.901774241554246</v>
      </c>
    </row>
    <row r="389" spans="1:20">
      <c r="B389" s="4"/>
    </row>
    <row r="390" spans="1:20">
      <c r="A390" s="18" t="s">
        <v>202</v>
      </c>
      <c r="B390" s="4"/>
      <c r="D390" s="176"/>
      <c r="E390" s="176"/>
      <c r="F390" s="176"/>
      <c r="G390" s="176"/>
      <c r="H390" s="176"/>
      <c r="I390" s="176"/>
      <c r="J390" s="176"/>
      <c r="K390" s="176"/>
      <c r="L390" s="176"/>
      <c r="M390" s="176"/>
      <c r="N390" s="176"/>
      <c r="O390" s="176"/>
      <c r="P390" s="176"/>
      <c r="Q390" s="176"/>
      <c r="R390" s="176"/>
      <c r="S390" s="176"/>
      <c r="T390" s="176"/>
    </row>
    <row r="391" spans="1:20">
      <c r="A391" s="167" t="s">
        <v>520</v>
      </c>
      <c r="B391" s="4" t="str">
        <f>$B$39</f>
        <v>From Fiscal Forecasts</v>
      </c>
      <c r="D391" s="175">
        <f>'Fiscal Forecasts'!D$176-SUM(D$76,D$77)</f>
        <v>2.0030000000000001</v>
      </c>
      <c r="E391" s="175">
        <f>'Fiscal Forecasts'!E$176-SUM(E$76,E$77)</f>
        <v>3.6860000000000017</v>
      </c>
      <c r="F391" s="176">
        <f>'Fiscal Forecasts'!F$176-SUM(F$76,F$77)</f>
        <v>5.1870000000000012</v>
      </c>
      <c r="G391" s="176">
        <f>'Fiscal Forecasts'!G$176-SUM(G$76,G$77)</f>
        <v>5.1880000000000024</v>
      </c>
      <c r="H391" s="176">
        <f>'Fiscal Forecasts'!H$176-SUM(H$76,H$77)</f>
        <v>5.1859999999999999</v>
      </c>
      <c r="I391" s="176">
        <f>'Fiscal Forecasts'!I$176-SUM(I$76,I$77)</f>
        <v>5.1859999999999928</v>
      </c>
      <c r="J391" s="176">
        <f>'Fiscal Forecasts'!J$176-SUM(J$76,J$77)</f>
        <v>5.1859999999999999</v>
      </c>
      <c r="K391" s="171">
        <f ca="1">(J$391/J$384+MIN(ABS(OFFSET(Assumptions!$B$78,0,$C$1)-J$391/J$384),OFFSET(Assumptions!$B$73,0,$C$1))*SIGN(OFFSET(Assumptions!$B$78,0,$C$1)-J$391/J$384))*K$384</f>
        <v>5.1480739130123743</v>
      </c>
      <c r="L391" s="171">
        <f ca="1">(K$391/K$384+MIN(ABS(OFFSET(Assumptions!$B$78,0,$C$1)-K$391/K$384),OFFSET(Assumptions!$B$73,0,$C$1))*SIGN(OFFSET(Assumptions!$B$78,0,$C$1)-K$391/K$384))*L$384</f>
        <v>5.0553661627642592</v>
      </c>
      <c r="M391" s="171">
        <f ca="1">(L$391/L$384+MIN(ABS(OFFSET(Assumptions!$B$78,0,$C$1)-L$391/L$384),OFFSET(Assumptions!$B$73,0,$C$1))*SIGN(OFFSET(Assumptions!$B$78,0,$C$1)-L$391/L$384))*M$384</f>
        <v>4.9188158886562485</v>
      </c>
      <c r="N391" s="171">
        <f ca="1">(M$391/M$384+MIN(ABS(OFFSET(Assumptions!$B$78,0,$C$1)-M$391/M$384),OFFSET(Assumptions!$B$73,0,$C$1))*SIGN(OFFSET(Assumptions!$B$78,0,$C$1)-M$391/M$384))*N$384</f>
        <v>4.7203574488597626</v>
      </c>
      <c r="O391" s="171">
        <f ca="1">(N$391/N$384+MIN(ABS(OFFSET(Assumptions!$B$78,0,$C$1)-N$391/N$384),OFFSET(Assumptions!$B$73,0,$C$1))*SIGN(OFFSET(Assumptions!$B$78,0,$C$1)-N$391/N$384))*O$384</f>
        <v>4.4592463666893813</v>
      </c>
      <c r="P391" s="171">
        <f ca="1">(O$391/O$384+MIN(ABS(OFFSET(Assumptions!$B$78,0,$C$1)-O$391/O$384),OFFSET(Assumptions!$B$73,0,$C$1))*SIGN(OFFSET(Assumptions!$B$78,0,$C$1)-O$391/O$384))*P$384</f>
        <v>4.1336475618645663</v>
      </c>
      <c r="Q391" s="171">
        <f ca="1">(P$391/P$384+MIN(ABS(OFFSET(Assumptions!$B$78,0,$C$1)-P$391/P$384),OFFSET(Assumptions!$B$73,0,$C$1))*SIGN(OFFSET(Assumptions!$B$78,0,$C$1)-P$391/P$384))*Q$384</f>
        <v>3.9090767636024535</v>
      </c>
      <c r="R391" s="171">
        <f ca="1">(Q$391/Q$384+MIN(ABS(OFFSET(Assumptions!$B$78,0,$C$1)-Q$391/Q$384),OFFSET(Assumptions!$B$73,0,$C$1))*SIGN(OFFSET(Assumptions!$B$78,0,$C$1)-Q$391/Q$384))*R$384</f>
        <v>4.1449880569741824</v>
      </c>
      <c r="S391" s="171">
        <f ca="1">(R$391/R$384+MIN(ABS(OFFSET(Assumptions!$B$78,0,$C$1)-R$391/R$384),OFFSET(Assumptions!$B$73,0,$C$1))*SIGN(OFFSET(Assumptions!$B$78,0,$C$1)-R$391/R$384))*S$384</f>
        <v>4.3863235876403257</v>
      </c>
      <c r="T391" s="171">
        <f ca="1">(S$391/S$384+MIN(ABS(OFFSET(Assumptions!$B$78,0,$C$1)-S$391/S$384),OFFSET(Assumptions!$B$73,0,$C$1))*SIGN(OFFSET(Assumptions!$B$78,0,$C$1)-S$391/S$384))*T$384</f>
        <v>4.6339247471847491</v>
      </c>
    </row>
    <row r="392" spans="1:20">
      <c r="A392" s="167" t="s">
        <v>435</v>
      </c>
      <c r="B392" s="4"/>
      <c r="D392" s="175">
        <f t="shared" ref="D392:T392" si="186">D$407</f>
        <v>10.731</v>
      </c>
      <c r="E392" s="175">
        <f t="shared" si="186"/>
        <v>10.395</v>
      </c>
      <c r="F392" s="176">
        <f t="shared" si="186"/>
        <v>10.833</v>
      </c>
      <c r="G392" s="176">
        <f t="shared" si="186"/>
        <v>10.615</v>
      </c>
      <c r="H392" s="176">
        <f t="shared" si="186"/>
        <v>10.369</v>
      </c>
      <c r="I392" s="176">
        <f t="shared" si="186"/>
        <v>10.080999999999998</v>
      </c>
      <c r="J392" s="176">
        <f t="shared" si="186"/>
        <v>9.7489999999999988</v>
      </c>
      <c r="K392" s="171">
        <f t="shared" si="186"/>
        <v>9.5699999999999967</v>
      </c>
      <c r="L392" s="171">
        <f t="shared" si="186"/>
        <v>9.4769999999999968</v>
      </c>
      <c r="M392" s="171">
        <f t="shared" si="186"/>
        <v>9.4179999999999957</v>
      </c>
      <c r="N392" s="171">
        <f t="shared" si="186"/>
        <v>9.3919999999999959</v>
      </c>
      <c r="O392" s="171">
        <f t="shared" si="186"/>
        <v>9.4009999999999945</v>
      </c>
      <c r="P392" s="171">
        <f t="shared" si="186"/>
        <v>9.4369999999999941</v>
      </c>
      <c r="Q392" s="171">
        <f t="shared" si="186"/>
        <v>9.4929999999999932</v>
      </c>
      <c r="R392" s="171">
        <f t="shared" si="186"/>
        <v>9.5629999999999935</v>
      </c>
      <c r="S392" s="171">
        <f t="shared" si="186"/>
        <v>9.6429999999999936</v>
      </c>
      <c r="T392" s="171">
        <f t="shared" si="186"/>
        <v>9.7289999999999939</v>
      </c>
    </row>
    <row r="393" spans="1:20">
      <c r="A393" s="167" t="s">
        <v>1226</v>
      </c>
      <c r="B393" s="4"/>
      <c r="D393" s="175">
        <f>D$76</f>
        <v>0</v>
      </c>
      <c r="E393" s="175">
        <f>E$76</f>
        <v>0</v>
      </c>
      <c r="F393" s="176">
        <f t="shared" ref="F393:T393" si="187">F$76</f>
        <v>4.54</v>
      </c>
      <c r="G393" s="176">
        <f t="shared" si="187"/>
        <v>18.72</v>
      </c>
      <c r="H393" s="176">
        <f t="shared" si="187"/>
        <v>28</v>
      </c>
      <c r="I393" s="176">
        <f t="shared" si="187"/>
        <v>21.76</v>
      </c>
      <c r="J393" s="176">
        <f t="shared" si="187"/>
        <v>9.2799999999999994</v>
      </c>
      <c r="K393" s="171">
        <f t="shared" ca="1" si="187"/>
        <v>0</v>
      </c>
      <c r="L393" s="171">
        <f t="shared" ca="1" si="187"/>
        <v>0</v>
      </c>
      <c r="M393" s="171">
        <f t="shared" ca="1" si="187"/>
        <v>0</v>
      </c>
      <c r="N393" s="171">
        <f t="shared" ca="1" si="187"/>
        <v>0</v>
      </c>
      <c r="O393" s="171">
        <f t="shared" ca="1" si="187"/>
        <v>0</v>
      </c>
      <c r="P393" s="171">
        <f t="shared" ca="1" si="187"/>
        <v>0</v>
      </c>
      <c r="Q393" s="171">
        <f t="shared" ca="1" si="187"/>
        <v>0</v>
      </c>
      <c r="R393" s="171">
        <f t="shared" ca="1" si="187"/>
        <v>0</v>
      </c>
      <c r="S393" s="171">
        <f t="shared" ca="1" si="187"/>
        <v>0</v>
      </c>
      <c r="T393" s="171">
        <f t="shared" ca="1" si="187"/>
        <v>0</v>
      </c>
    </row>
    <row r="394" spans="1:20">
      <c r="A394" s="167" t="s">
        <v>521</v>
      </c>
      <c r="B394" s="4"/>
      <c r="D394" s="175">
        <f t="shared" ref="D394:J394" si="188">D$77-D$407</f>
        <v>3.1140000000000008</v>
      </c>
      <c r="E394" s="175">
        <f t="shared" si="188"/>
        <v>4.1609999999999996</v>
      </c>
      <c r="F394" s="176">
        <f t="shared" si="188"/>
        <v>5.0359999999999996</v>
      </c>
      <c r="G394" s="176">
        <f t="shared" si="188"/>
        <v>4.9209999999999994</v>
      </c>
      <c r="H394" s="176">
        <f t="shared" si="188"/>
        <v>5.24</v>
      </c>
      <c r="I394" s="176">
        <f t="shared" si="188"/>
        <v>5.0720000000000027</v>
      </c>
      <c r="J394" s="176">
        <f t="shared" si="188"/>
        <v>4.822000000000001</v>
      </c>
      <c r="K394" s="171">
        <f ca="1">(J$394/J$13+ IF(K$2&gt;0,K$2*IF(K$6=OFFSET(Assumptions!$B$8,0,$C$1),SUMPRODUCT(OFFSET(J$394,0,0,1,-OFFSET(Assumptions!$B$86,0,$C$1)),OFFSET(J$15,0,0,1,-OFFSET(Assumptions!$B$86,0,$C$1)))/OFFSET(Assumptions!$B$86,0,$C$1)-J$394/J$13,(J$394/J$13-I$394/I$13)/J$2),0))*K$13</f>
        <v>5.2168053432101074</v>
      </c>
      <c r="L394" s="171">
        <f ca="1">(K$394/K$13+ IF(L$2&gt;0,L$2*IF(L$6=OFFSET(Assumptions!$B$8,0,$C$1),SUMPRODUCT(OFFSET(K$394,0,0,1,-OFFSET(Assumptions!$B$86,0,$C$1)),OFFSET(K$15,0,0,1,-OFFSET(Assumptions!$B$86,0,$C$1)))/OFFSET(Assumptions!$B$86,0,$C$1)-K$394/K$13,(K$394/K$13-J$394/J$13)/K$2),0))*L$13</f>
        <v>5.5893893307830007</v>
      </c>
      <c r="M394" s="171">
        <f ca="1">(L$394/L$13+ IF(M$2&gt;0,M$2*IF(M$6=OFFSET(Assumptions!$B$8,0,$C$1),SUMPRODUCT(OFFSET(L$394,0,0,1,-OFFSET(Assumptions!$B$86,0,$C$1)),OFFSET(L$15,0,0,1,-OFFSET(Assumptions!$B$86,0,$C$1)))/OFFSET(Assumptions!$B$86,0,$C$1)-L$394/L$13,(L$394/L$13-K$394/K$13)/L$2),0))*M$13</f>
        <v>5.9378588009895292</v>
      </c>
      <c r="N394" s="171">
        <f ca="1">(M$394/M$13+ IF(N$2&gt;0,N$2*IF(N$6=OFFSET(Assumptions!$B$8,0,$C$1),SUMPRODUCT(OFFSET(M$394,0,0,1,-OFFSET(Assumptions!$B$86,0,$C$1)),OFFSET(M$15,0,0,1,-OFFSET(Assumptions!$B$86,0,$C$1)))/OFFSET(Assumptions!$B$86,0,$C$1)-M$394/M$13,(M$394/M$13-L$394/L$13)/M$2),0))*N$13</f>
        <v>6.266339702651349</v>
      </c>
      <c r="O394" s="171">
        <f ca="1">(N$394/N$13+ IF(O$2&gt;0,O$2*IF(O$6=OFFSET(Assumptions!$B$8,0,$C$1),SUMPRODUCT(OFFSET(N$394,0,0,1,-OFFSET(Assumptions!$B$86,0,$C$1)),OFFSET(N$15,0,0,1,-OFFSET(Assumptions!$B$86,0,$C$1)))/OFFSET(Assumptions!$B$86,0,$C$1)-N$394/N$13,(N$394/N$13-M$394/M$13)/N$2),0))*O$13</f>
        <v>6.5645061342096804</v>
      </c>
      <c r="P394" s="171">
        <f ca="1">(O$394/O$13+ IF(P$2&gt;0,P$2*IF(P$6=OFFSET(Assumptions!$B$8,0,$C$1),SUMPRODUCT(OFFSET(O$394,0,0,1,-OFFSET(Assumptions!$B$86,0,$C$1)),OFFSET(O$15,0,0,1,-OFFSET(Assumptions!$B$86,0,$C$1)))/OFFSET(Assumptions!$B$86,0,$C$1)-O$394/O$13,(O$394/O$13-N$394/N$13)/O$2),0))*P$13</f>
        <v>6.8274547404607393</v>
      </c>
      <c r="Q394" s="171">
        <f ca="1">(P$394/P$13+ IF(Q$2&gt;0,Q$2*IF(Q$6=OFFSET(Assumptions!$B$8,0,$C$1),SUMPRODUCT(OFFSET(P$394,0,0,1,-OFFSET(Assumptions!$B$86,0,$C$1)),OFFSET(P$15,0,0,1,-OFFSET(Assumptions!$B$86,0,$C$1)))/OFFSET(Assumptions!$B$86,0,$C$1)-P$394/P$13,(P$394/P$13-O$394/O$13)/P$2),0))*Q$13</f>
        <v>7.0958133746986549</v>
      </c>
      <c r="R394" s="171">
        <f ca="1">(Q$394/Q$13+ IF(R$2&gt;0,R$2*IF(R$6=OFFSET(Assumptions!$B$8,0,$C$1),SUMPRODUCT(OFFSET(Q$394,0,0,1,-OFFSET(Assumptions!$B$86,0,$C$1)),OFFSET(Q$15,0,0,1,-OFFSET(Assumptions!$B$86,0,$C$1)))/OFFSET(Assumptions!$B$86,0,$C$1)-Q$394/Q$13,(Q$394/Q$13-P$394/P$13)/Q$2),0))*R$13</f>
        <v>7.3688592232989469</v>
      </c>
      <c r="S394" s="171">
        <f ca="1">(R$394/R$13+ IF(S$2&gt;0,S$2*IF(S$6=OFFSET(Assumptions!$B$8,0,$C$1),SUMPRODUCT(OFFSET(R$394,0,0,1,-OFFSET(Assumptions!$B$86,0,$C$1)),OFFSET(R$15,0,0,1,-OFFSET(Assumptions!$B$86,0,$C$1)))/OFFSET(Assumptions!$B$86,0,$C$1)-R$394/R$13,(R$394/R$13-Q$394/Q$13)/R$2),0))*S$13</f>
        <v>7.6463744505999411</v>
      </c>
      <c r="T394" s="171">
        <f ca="1">(S$394/S$13+ IF(T$2&gt;0,T$2*IF(T$6=OFFSET(Assumptions!$B$8,0,$C$1),SUMPRODUCT(OFFSET(S$394,0,0,1,-OFFSET(Assumptions!$B$86,0,$C$1)),OFFSET(S$15,0,0,1,-OFFSET(Assumptions!$B$86,0,$C$1)))/OFFSET(Assumptions!$B$86,0,$C$1)-S$394/S$13,(S$394/S$13-R$394/R$13)/S$2),0))*T$13</f>
        <v>7.9321175070705738</v>
      </c>
    </row>
    <row r="395" spans="1:20" ht="15">
      <c r="A395" s="168" t="s">
        <v>522</v>
      </c>
      <c r="B395" s="4"/>
      <c r="D395" s="138">
        <f t="shared" ref="D395:T395" si="189">SUM(D$391:D$394)</f>
        <v>15.848000000000001</v>
      </c>
      <c r="E395" s="138">
        <f t="shared" si="189"/>
        <v>18.242000000000001</v>
      </c>
      <c r="F395" s="137">
        <f t="shared" si="189"/>
        <v>25.596000000000004</v>
      </c>
      <c r="G395" s="137">
        <f t="shared" si="189"/>
        <v>39.444000000000003</v>
      </c>
      <c r="H395" s="137">
        <f t="shared" si="189"/>
        <v>48.795000000000002</v>
      </c>
      <c r="I395" s="137">
        <f t="shared" si="189"/>
        <v>42.098999999999997</v>
      </c>
      <c r="J395" s="137">
        <f t="shared" si="189"/>
        <v>29.036999999999999</v>
      </c>
      <c r="K395" s="140">
        <f t="shared" ca="1" si="189"/>
        <v>19.93487925622248</v>
      </c>
      <c r="L395" s="140">
        <f t="shared" ca="1" si="189"/>
        <v>20.121755493547255</v>
      </c>
      <c r="M395" s="140">
        <f t="shared" ca="1" si="189"/>
        <v>20.274674689645771</v>
      </c>
      <c r="N395" s="140">
        <f t="shared" ca="1" si="189"/>
        <v>20.378697151511105</v>
      </c>
      <c r="O395" s="140">
        <f t="shared" ca="1" si="189"/>
        <v>20.424752500899057</v>
      </c>
      <c r="P395" s="140">
        <f t="shared" ca="1" si="189"/>
        <v>20.398102302325299</v>
      </c>
      <c r="Q395" s="140">
        <f t="shared" ca="1" si="189"/>
        <v>20.497890138301102</v>
      </c>
      <c r="R395" s="140">
        <f t="shared" ca="1" si="189"/>
        <v>21.076847280273125</v>
      </c>
      <c r="S395" s="140">
        <f t="shared" ca="1" si="189"/>
        <v>21.675698038240263</v>
      </c>
      <c r="T395" s="140">
        <f t="shared" ca="1" si="189"/>
        <v>22.295042254255314</v>
      </c>
    </row>
    <row r="396" spans="1:20">
      <c r="A396" s="167" t="s">
        <v>524</v>
      </c>
      <c r="B396" s="4" t="str">
        <f>$B$39</f>
        <v>From Fiscal Forecasts</v>
      </c>
      <c r="D396" s="175">
        <f>'Fiscal Forecasts'!D$310</f>
        <v>20.411000000000001</v>
      </c>
      <c r="E396" s="175">
        <f>'Fiscal Forecasts'!E$310</f>
        <v>22.189</v>
      </c>
      <c r="F396" s="176">
        <f>'Fiscal Forecasts'!F$310</f>
        <v>24.614999999999998</v>
      </c>
      <c r="G396" s="176">
        <f>'Fiscal Forecasts'!G$310</f>
        <v>26.8</v>
      </c>
      <c r="H396" s="176">
        <f>'Fiscal Forecasts'!H$310</f>
        <v>29.242000000000001</v>
      </c>
      <c r="I396" s="176">
        <f>'Fiscal Forecasts'!I$310</f>
        <v>31.914999999999999</v>
      </c>
      <c r="J396" s="176">
        <f>'Fiscal Forecasts'!J$310</f>
        <v>34.826999999999998</v>
      </c>
      <c r="K396" s="171">
        <f ca="1">IF(K$6=OFFSET(Assumptions!$B$8,0,$C$1),AVERAGE(H$396/H$13,I$396/I$13,J$396/J$13),J$396/J$13)*K$13</f>
        <v>35.201109246032885</v>
      </c>
      <c r="L396" s="171">
        <f ca="1">IF(L$6=OFFSET(Assumptions!$B$8,0,$C$1),AVERAGE(I$396/I$13,J$396/J$13,K$396/K$13),K$396/K$13)*L$13</f>
        <v>36.703796891815884</v>
      </c>
      <c r="M396" s="171">
        <f ca="1">IF(M$6=OFFSET(Assumptions!$B$8,0,$C$1),AVERAGE(J$396/J$13,K$396/K$13,L$396/L$13),L$396/L$13)*M$13</f>
        <v>38.223337781438858</v>
      </c>
      <c r="N396" s="171">
        <f ca="1">IF(N$6=OFFSET(Assumptions!$B$8,0,$C$1),AVERAGE(K$396/K$13,L$396/L$13,M$396/M$13),M$396/M$13)*N$13</f>
        <v>39.814533069419554</v>
      </c>
      <c r="O396" s="171">
        <f ca="1">IF(O$6=OFFSET(Assumptions!$B$8,0,$C$1),AVERAGE(L$396/L$13,M$396/M$13,N$396/N$13),N$396/N$13)*O$13</f>
        <v>41.440191725287129</v>
      </c>
      <c r="P396" s="171">
        <f ca="1">IF(P$6=OFFSET(Assumptions!$B$8,0,$C$1),AVERAGE(M$396/M$13,N$396/N$13,O$396/O$13),O$396/O$13)*P$13</f>
        <v>43.100124770387829</v>
      </c>
      <c r="Q396" s="171">
        <f ca="1">IF(Q$6=OFFSET(Assumptions!$B$8,0,$C$1),AVERAGE(N$396/N$13,O$396/O$13,P$396/P$13),P$396/P$13)*Q$13</f>
        <v>44.79421005671292</v>
      </c>
      <c r="R396" s="171">
        <f ca="1">IF(R$6=OFFSET(Assumptions!$B$8,0,$C$1),AVERAGE(O$396/O$13,P$396/P$13,Q$396/Q$13),Q$396/Q$13)*R$13</f>
        <v>46.517884630923994</v>
      </c>
      <c r="S396" s="171">
        <f ca="1">IF(S$6=OFFSET(Assumptions!$B$8,0,$C$1),AVERAGE(P$396/P$13,Q$396/Q$13,R$396/R$13),R$396/R$13)*S$13</f>
        <v>48.269773347442708</v>
      </c>
      <c r="T396" s="171">
        <f ca="1">IF(T$6=OFFSET(Assumptions!$B$8,0,$C$1),AVERAGE(Q$396/Q$13,R$396/R$13,S$396/S$13),S$396/S$13)*T$13</f>
        <v>50.073602424942408</v>
      </c>
    </row>
    <row r="397" spans="1:20">
      <c r="A397" s="167" t="s">
        <v>525</v>
      </c>
      <c r="B397" s="4" t="str">
        <f>$B$39</f>
        <v>From Fiscal Forecasts</v>
      </c>
      <c r="D397" s="175">
        <f>'Fiscal Forecasts'!D$120-SUM(D$395:D$396)</f>
        <v>-2.5690000000000026</v>
      </c>
      <c r="E397" s="175">
        <f>'Fiscal Forecasts'!E$120-SUM(E$395:E$396)</f>
        <v>-2.8019999999999996</v>
      </c>
      <c r="F397" s="176">
        <f>'Fiscal Forecasts'!F$120-SUM(F$395:F$396)</f>
        <v>-3.1670000000000016</v>
      </c>
      <c r="G397" s="176">
        <f>'Fiscal Forecasts'!G$120-SUM(G$395:G$396)</f>
        <v>-2.5050000000000026</v>
      </c>
      <c r="H397" s="176">
        <f>'Fiscal Forecasts'!H$120-SUM(H$395:H$396)</f>
        <v>-2.3719999999999999</v>
      </c>
      <c r="I397" s="176">
        <f>'Fiscal Forecasts'!I$120-SUM(I$395:I$396)</f>
        <v>-2.0949999999999989</v>
      </c>
      <c r="J397" s="176">
        <f>'Fiscal Forecasts'!J$120-SUM(J$395:J$396)</f>
        <v>-1.8589999999999947</v>
      </c>
      <c r="K397" s="171">
        <f ca="1">IF(K$6=OFFSET(Assumptions!$B$8,0,$C$1),AVERAGE(H$397/H$396,I$397/I$396,J$397/J$396),J$397/J$396)*K$396</f>
        <v>-2.3483533365838221</v>
      </c>
      <c r="L397" s="171">
        <f ca="1">IF(L$6=OFFSET(Assumptions!$B$8,0,$C$1),AVERAGE(I$397/I$396,J$397/J$396,K$397/K$396),K$397/K$396)*L$396</f>
        <v>-2.4486013578081955</v>
      </c>
      <c r="M397" s="171">
        <f ca="1">IF(M$6=OFFSET(Assumptions!$B$8,0,$C$1),AVERAGE(J$397/J$396,K$397/K$396,L$397/L$396),L$397/L$396)*M$396</f>
        <v>-2.5499737007443439</v>
      </c>
      <c r="N397" s="171">
        <f ca="1">IF(N$6=OFFSET(Assumptions!$B$8,0,$C$1),AVERAGE(K$397/K$396,L$397/L$396,M$397/M$396),M$397/M$396)*N$396</f>
        <v>-2.6561262863793274</v>
      </c>
      <c r="O397" s="171">
        <f ca="1">IF(O$6=OFFSET(Assumptions!$B$8,0,$C$1),AVERAGE(L$397/L$396,M$397/M$396,N$397/N$396),N$397/N$396)*O$396</f>
        <v>-2.7645780087943885</v>
      </c>
      <c r="P397" s="171">
        <f ca="1">IF(P$6=OFFSET(Assumptions!$B$8,0,$C$1),AVERAGE(M$397/M$396,N$397/N$396,O$397/O$396),O$397/O$396)*P$396</f>
        <v>-2.8753162607546523</v>
      </c>
      <c r="Q397" s="171">
        <f ca="1">IF(Q$6=OFFSET(Assumptions!$B$8,0,$C$1),AVERAGE(N$397/N$396,O$397/O$396,P$397/P$396),P$397/P$396)*Q$396</f>
        <v>-2.9883328934633915</v>
      </c>
      <c r="R397" s="171">
        <f ca="1">IF(R$6=OFFSET(Assumptions!$B$8,0,$C$1),AVERAGE(O$397/O$396,P$397/P$396,Q$397/Q$396),Q$397/Q$396)*R$396</f>
        <v>-3.1033235009820865</v>
      </c>
      <c r="S397" s="171">
        <f ca="1">IF(S$6=OFFSET(Assumptions!$B$8,0,$C$1),AVERAGE(P$397/P$396,Q$397/Q$396,R$397/R$396),R$397/R$396)*S$396</f>
        <v>-3.2201963439372814</v>
      </c>
      <c r="T397" s="171">
        <f ca="1">IF(T$6=OFFSET(Assumptions!$B$8,0,$C$1),AVERAGE(Q$397/Q$396,R$397/R$396,S$397/S$396),S$397/S$396)*T$396</f>
        <v>-3.3405342572446792</v>
      </c>
    </row>
    <row r="398" spans="1:20" ht="15">
      <c r="A398" s="168" t="s">
        <v>523</v>
      </c>
      <c r="D398" s="138">
        <f t="shared" ref="D398:T398" si="190">SUM(D$395:D$397)</f>
        <v>33.69</v>
      </c>
      <c r="E398" s="138">
        <f t="shared" si="190"/>
        <v>37.628999999999998</v>
      </c>
      <c r="F398" s="137">
        <f t="shared" si="190"/>
        <v>47.043999999999997</v>
      </c>
      <c r="G398" s="137">
        <f t="shared" si="190"/>
        <v>63.738999999999997</v>
      </c>
      <c r="H398" s="137">
        <f t="shared" si="190"/>
        <v>75.665000000000006</v>
      </c>
      <c r="I398" s="137">
        <f t="shared" si="190"/>
        <v>71.918999999999997</v>
      </c>
      <c r="J398" s="137">
        <f t="shared" si="190"/>
        <v>62.005000000000003</v>
      </c>
      <c r="K398" s="140">
        <f t="shared" ca="1" si="190"/>
        <v>52.787635165671546</v>
      </c>
      <c r="L398" s="140">
        <f t="shared" ca="1" si="190"/>
        <v>54.376951027554945</v>
      </c>
      <c r="M398" s="140">
        <f t="shared" ca="1" si="190"/>
        <v>55.948038770340283</v>
      </c>
      <c r="N398" s="140">
        <f t="shared" ca="1" si="190"/>
        <v>57.537103934551332</v>
      </c>
      <c r="O398" s="140">
        <f t="shared" ca="1" si="190"/>
        <v>59.100366217391795</v>
      </c>
      <c r="P398" s="140">
        <f t="shared" ca="1" si="190"/>
        <v>60.622910811958477</v>
      </c>
      <c r="Q398" s="140">
        <f t="shared" ca="1" si="190"/>
        <v>62.303767301550636</v>
      </c>
      <c r="R398" s="140">
        <f t="shared" ca="1" si="190"/>
        <v>64.49140841021503</v>
      </c>
      <c r="S398" s="140">
        <f t="shared" ca="1" si="190"/>
        <v>66.725275041745689</v>
      </c>
      <c r="T398" s="140">
        <f t="shared" ca="1" si="190"/>
        <v>69.028110421953045</v>
      </c>
    </row>
    <row r="399" spans="1:20" ht="15">
      <c r="A399" s="168"/>
      <c r="D399" s="175"/>
      <c r="E399" s="175"/>
      <c r="F399" s="145"/>
      <c r="G399" s="145"/>
      <c r="H399" s="145"/>
      <c r="I399" s="145"/>
      <c r="J399" s="145"/>
      <c r="K399" s="145"/>
      <c r="L399" s="145"/>
      <c r="M399" s="145"/>
      <c r="N399" s="145"/>
      <c r="O399" s="145"/>
      <c r="P399" s="145"/>
      <c r="Q399" s="145"/>
      <c r="R399" s="145"/>
      <c r="S399" s="145"/>
      <c r="T399" s="145"/>
    </row>
    <row r="400" spans="1:20">
      <c r="A400" s="18" t="s">
        <v>435</v>
      </c>
      <c r="D400" s="175"/>
      <c r="E400" s="175"/>
    </row>
    <row r="401" spans="1:20">
      <c r="A401" s="167" t="s">
        <v>1316</v>
      </c>
      <c r="B401" s="4" t="str">
        <f t="shared" ref="B401:B406" si="191">$B$39</f>
        <v>From Fiscal Forecasts</v>
      </c>
      <c r="D401" s="175">
        <f>'Fiscal Forecasts'!D$312</f>
        <v>1.361</v>
      </c>
      <c r="E401" s="175">
        <f>'Fiscal Forecasts'!E$312</f>
        <v>1.413</v>
      </c>
      <c r="F401" s="176">
        <f>'Fiscal Forecasts'!F$312</f>
        <v>1.4530000000000001</v>
      </c>
      <c r="G401" s="176">
        <f>'Fiscal Forecasts'!G$312</f>
        <v>1.5760000000000001</v>
      </c>
      <c r="H401" s="176">
        <f>'Fiscal Forecasts'!H$312</f>
        <v>1.6</v>
      </c>
      <c r="I401" s="176">
        <f>'Fiscal Forecasts'!I$312</f>
        <v>1.5940000000000001</v>
      </c>
      <c r="J401" s="176">
        <f>'Fiscal Forecasts'!J$312</f>
        <v>1.619</v>
      </c>
      <c r="K401" s="171">
        <f>Exogenous!V$14</f>
        <v>1.665</v>
      </c>
      <c r="L401" s="171">
        <f>Exogenous!W$14</f>
        <v>1.7190000000000001</v>
      </c>
      <c r="M401" s="171">
        <f>Exogenous!X$14</f>
        <v>1.7769999999999999</v>
      </c>
      <c r="N401" s="171">
        <f>Exogenous!Y$14</f>
        <v>1.833</v>
      </c>
      <c r="O401" s="171">
        <f>Exogenous!Z$14</f>
        <v>1.889</v>
      </c>
      <c r="P401" s="171">
        <f>Exogenous!AA$14</f>
        <v>1.944</v>
      </c>
      <c r="Q401" s="171">
        <f>Exogenous!AB$14</f>
        <v>1.9930000000000001</v>
      </c>
      <c r="R401" s="171">
        <f>Exogenous!AC$14</f>
        <v>2.0379999999999998</v>
      </c>
      <c r="S401" s="171">
        <f>Exogenous!AD$14</f>
        <v>2.08</v>
      </c>
      <c r="T401" s="171">
        <f>Exogenous!AE$14</f>
        <v>2.12</v>
      </c>
    </row>
    <row r="402" spans="1:20">
      <c r="A402" s="167" t="s">
        <v>1317</v>
      </c>
      <c r="B402" s="4" t="str">
        <f t="shared" si="191"/>
        <v>From Fiscal Forecasts</v>
      </c>
      <c r="D402" s="175">
        <f>'Fiscal Forecasts'!D$313</f>
        <v>3.5999999999999997E-2</v>
      </c>
      <c r="E402" s="175">
        <f>'Fiscal Forecasts'!E$313</f>
        <v>3.5999999999999997E-2</v>
      </c>
      <c r="F402" s="176">
        <f>'Fiscal Forecasts'!F$313</f>
        <v>3.6999999999999998E-2</v>
      </c>
      <c r="G402" s="176">
        <f>'Fiscal Forecasts'!G$313</f>
        <v>3.5000000000000003E-2</v>
      </c>
      <c r="H402" s="176">
        <f>'Fiscal Forecasts'!H$313</f>
        <v>3.5000000000000003E-2</v>
      </c>
      <c r="I402" s="176">
        <f>'Fiscal Forecasts'!I$313</f>
        <v>3.5000000000000003E-2</v>
      </c>
      <c r="J402" s="176">
        <f>'Fiscal Forecasts'!J$313</f>
        <v>3.5000000000000003E-2</v>
      </c>
      <c r="K402" s="171">
        <f>Exogenous!V$15</f>
        <v>4.3999999999999997E-2</v>
      </c>
      <c r="L402" s="171">
        <f>Exogenous!W$15</f>
        <v>4.4999999999999998E-2</v>
      </c>
      <c r="M402" s="171">
        <f>Exogenous!X$15</f>
        <v>4.4999999999999998E-2</v>
      </c>
      <c r="N402" s="171">
        <f>Exogenous!Y$15</f>
        <v>4.3999999999999997E-2</v>
      </c>
      <c r="O402" s="171">
        <f>Exogenous!Z$15</f>
        <v>4.7E-2</v>
      </c>
      <c r="P402" s="171">
        <f>Exogenous!AA$15</f>
        <v>4.4999999999999998E-2</v>
      </c>
      <c r="Q402" s="171">
        <f>Exogenous!AB$15</f>
        <v>4.5999999999999999E-2</v>
      </c>
      <c r="R402" s="171">
        <f>Exogenous!AC$15</f>
        <v>4.8000000000000001E-2</v>
      </c>
      <c r="S402" s="171">
        <f>Exogenous!AD$15</f>
        <v>4.8000000000000001E-2</v>
      </c>
      <c r="T402" s="171">
        <f>Exogenous!AE$15</f>
        <v>4.8000000000000001E-2</v>
      </c>
    </row>
    <row r="403" spans="1:20">
      <c r="A403" s="167" t="s">
        <v>326</v>
      </c>
      <c r="B403" s="4" t="str">
        <f t="shared" si="191"/>
        <v>From Fiscal Forecasts</v>
      </c>
      <c r="D403" s="175">
        <f>'Fiscal Forecasts'!D$314</f>
        <v>0.56299999999999994</v>
      </c>
      <c r="E403" s="175">
        <f>'Fiscal Forecasts'!E$314</f>
        <v>0.50600000000000001</v>
      </c>
      <c r="F403" s="176">
        <f>'Fiscal Forecasts'!F$314</f>
        <v>0.47599999999999998</v>
      </c>
      <c r="G403" s="176">
        <f>'Fiscal Forecasts'!G$314</f>
        <v>0.51500000000000001</v>
      </c>
      <c r="H403" s="176">
        <f>'Fiscal Forecasts'!H$314</f>
        <v>0.53900000000000003</v>
      </c>
      <c r="I403" s="176">
        <f>'Fiscal Forecasts'!I$314</f>
        <v>0.55300000000000005</v>
      </c>
      <c r="J403" s="176">
        <f>'Fiscal Forecasts'!J$314</f>
        <v>0.58799999999999997</v>
      </c>
      <c r="K403" s="171">
        <f>Exogenous!V$16</f>
        <v>0.61699999999999999</v>
      </c>
      <c r="L403" s="171">
        <f>Exogenous!W$16</f>
        <v>0.65100000000000002</v>
      </c>
      <c r="M403" s="171">
        <f>Exogenous!X$16</f>
        <v>0.68600000000000005</v>
      </c>
      <c r="N403" s="171">
        <f>Exogenous!Y$16</f>
        <v>0.72</v>
      </c>
      <c r="O403" s="171">
        <f>Exogenous!Z$16</f>
        <v>0.753</v>
      </c>
      <c r="P403" s="171">
        <f>Exogenous!AA$16</f>
        <v>0.78400000000000003</v>
      </c>
      <c r="Q403" s="171">
        <f>Exogenous!AB$16</f>
        <v>0.81299999999999994</v>
      </c>
      <c r="R403" s="171">
        <f>Exogenous!AC$16</f>
        <v>0.84</v>
      </c>
      <c r="S403" s="171">
        <f>Exogenous!AD$16</f>
        <v>0.86499999999999999</v>
      </c>
      <c r="T403" s="171">
        <f>Exogenous!AE$16</f>
        <v>0.88800000000000001</v>
      </c>
    </row>
    <row r="404" spans="1:20">
      <c r="A404" s="167" t="s">
        <v>443</v>
      </c>
      <c r="B404" s="4" t="str">
        <f t="shared" si="191"/>
        <v>From Fiscal Forecasts</v>
      </c>
      <c r="D404" s="175">
        <f>'Fiscal Forecasts'!D$315</f>
        <v>1.371</v>
      </c>
      <c r="E404" s="175">
        <f>'Fiscal Forecasts'!E$315</f>
        <v>1.4770000000000001</v>
      </c>
      <c r="F404" s="176">
        <f>'Fiscal Forecasts'!F$315</f>
        <v>1.4530000000000001</v>
      </c>
      <c r="G404" s="176">
        <f>'Fiscal Forecasts'!G$315</f>
        <v>1.508</v>
      </c>
      <c r="H404" s="176">
        <f>'Fiscal Forecasts'!H$315</f>
        <v>1.54</v>
      </c>
      <c r="I404" s="176">
        <f>'Fiscal Forecasts'!I$315</f>
        <v>1.577</v>
      </c>
      <c r="J404" s="176">
        <f>'Fiscal Forecasts'!J$315</f>
        <v>1.6339999999999999</v>
      </c>
      <c r="K404" s="171">
        <f>Exogenous!V$17</f>
        <v>1.47</v>
      </c>
      <c r="L404" s="171">
        <f>Exogenous!W$17</f>
        <v>1.488</v>
      </c>
      <c r="M404" s="171">
        <f>Exogenous!X$17</f>
        <v>1.4990000000000001</v>
      </c>
      <c r="N404" s="171">
        <f>Exogenous!Y$17</f>
        <v>1.508</v>
      </c>
      <c r="O404" s="171">
        <f>Exogenous!Z$17</f>
        <v>1.518</v>
      </c>
      <c r="P404" s="171">
        <f>Exogenous!AA$17</f>
        <v>1.5309999999999999</v>
      </c>
      <c r="Q404" s="171">
        <f>Exogenous!AB$17</f>
        <v>1.55</v>
      </c>
      <c r="R404" s="171">
        <f>Exogenous!AC$17</f>
        <v>1.573</v>
      </c>
      <c r="S404" s="171">
        <f>Exogenous!AD$17</f>
        <v>1.597</v>
      </c>
      <c r="T404" s="171">
        <f>Exogenous!AE$17</f>
        <v>1.6240000000000001</v>
      </c>
    </row>
    <row r="405" spans="1:20">
      <c r="A405" s="167" t="s">
        <v>78</v>
      </c>
      <c r="B405" s="4" t="str">
        <f t="shared" si="191"/>
        <v>From Fiscal Forecasts</v>
      </c>
      <c r="D405" s="175">
        <f>'Fiscal Forecasts'!D$316</f>
        <v>0.39400000000000002</v>
      </c>
      <c r="E405" s="175">
        <f>'Fiscal Forecasts'!E$316</f>
        <v>0.33100000000000002</v>
      </c>
      <c r="F405" s="176">
        <f>'Fiscal Forecasts'!F$316</f>
        <v>0.23400000000000001</v>
      </c>
      <c r="G405" s="176">
        <f>'Fiscal Forecasts'!G$316</f>
        <v>0.19400000000000001</v>
      </c>
      <c r="H405" s="176">
        <f>'Fiscal Forecasts'!H$316</f>
        <v>0.19800000000000001</v>
      </c>
      <c r="I405" s="176">
        <f>'Fiscal Forecasts'!I$316</f>
        <v>0.21299999999999999</v>
      </c>
      <c r="J405" s="176">
        <f>'Fiscal Forecasts'!J$316</f>
        <v>0.23599999999999999</v>
      </c>
      <c r="K405" s="171">
        <f>Exogenous!V$18</f>
        <v>0.25900000000000001</v>
      </c>
      <c r="L405" s="171">
        <f>Exogenous!W$18</f>
        <v>0.28199999999999997</v>
      </c>
      <c r="M405" s="171">
        <f>Exogenous!X$18</f>
        <v>0.30399999999999999</v>
      </c>
      <c r="N405" s="171">
        <f>Exogenous!Y$18</f>
        <v>0.32500000000000001</v>
      </c>
      <c r="O405" s="171">
        <f>Exogenous!Z$18</f>
        <v>0.34399999999999997</v>
      </c>
      <c r="P405" s="171">
        <f>Exogenous!AA$18</f>
        <v>0.36199999999999999</v>
      </c>
      <c r="Q405" s="171">
        <f>Exogenous!AB$18</f>
        <v>0.38</v>
      </c>
      <c r="R405" s="171">
        <f>Exogenous!AC$18</f>
        <v>0.39700000000000002</v>
      </c>
      <c r="S405" s="171">
        <f>Exogenous!AD$18</f>
        <v>0.41399999999999998</v>
      </c>
      <c r="T405" s="171">
        <f>Exogenous!AE$18</f>
        <v>0.43</v>
      </c>
    </row>
    <row r="406" spans="1:20">
      <c r="A406" s="167" t="s">
        <v>1051</v>
      </c>
      <c r="B406" s="4" t="str">
        <f t="shared" si="191"/>
        <v>From Fiscal Forecasts</v>
      </c>
      <c r="D406" s="175">
        <f>'Fiscal Forecasts'!D$317</f>
        <v>0.94499999999999995</v>
      </c>
      <c r="E406" s="175">
        <f>'Fiscal Forecasts'!E$317</f>
        <v>-0.13300000000000001</v>
      </c>
      <c r="F406" s="176">
        <f>'Fiscal Forecasts'!F$317</f>
        <v>0.64300000000000002</v>
      </c>
      <c r="G406" s="176">
        <f>'Fiscal Forecasts'!G$317</f>
        <v>0</v>
      </c>
      <c r="H406" s="176">
        <f>'Fiscal Forecasts'!H$317</f>
        <v>0</v>
      </c>
      <c r="I406" s="176">
        <f>'Fiscal Forecasts'!I$317</f>
        <v>0</v>
      </c>
      <c r="J406" s="176">
        <f>'Fiscal Forecasts'!J$317</f>
        <v>0</v>
      </c>
      <c r="K406" s="171">
        <f>Exogenous!V$19</f>
        <v>-0.06</v>
      </c>
      <c r="L406" s="171">
        <f>Exogenous!W$19</f>
        <v>0</v>
      </c>
      <c r="M406" s="171">
        <f>Exogenous!X$19</f>
        <v>0</v>
      </c>
      <c r="N406" s="171">
        <f>Exogenous!Y$19</f>
        <v>0</v>
      </c>
      <c r="O406" s="171">
        <f>Exogenous!Z$19</f>
        <v>0</v>
      </c>
      <c r="P406" s="171">
        <f>Exogenous!AA$19</f>
        <v>0</v>
      </c>
      <c r="Q406" s="171">
        <f>Exogenous!AB$19</f>
        <v>0</v>
      </c>
      <c r="R406" s="171">
        <f>Exogenous!AC$19</f>
        <v>0</v>
      </c>
      <c r="S406" s="171">
        <f>Exogenous!AD$19</f>
        <v>0</v>
      </c>
      <c r="T406" s="171">
        <f>Exogenous!AE$19</f>
        <v>0</v>
      </c>
    </row>
    <row r="407" spans="1:20" ht="15">
      <c r="A407" s="168" t="s">
        <v>436</v>
      </c>
      <c r="C407" s="60">
        <f>'Fiscal Forecasts'!C$309</f>
        <v>9.9290000000000003</v>
      </c>
      <c r="D407" s="138">
        <f>SUM(C$407,D$401,D$402,-D$403,-D$404,D$405,D$406)</f>
        <v>10.731</v>
      </c>
      <c r="E407" s="138">
        <f t="shared" ref="E407:T407" si="192">SUM(D$407,E$401,E$402,-E$403,-E$404,E$405,E$406)</f>
        <v>10.395</v>
      </c>
      <c r="F407" s="137">
        <f t="shared" si="192"/>
        <v>10.833</v>
      </c>
      <c r="G407" s="137">
        <f t="shared" si="192"/>
        <v>10.615</v>
      </c>
      <c r="H407" s="137">
        <f t="shared" si="192"/>
        <v>10.369</v>
      </c>
      <c r="I407" s="137">
        <f t="shared" si="192"/>
        <v>10.080999999999998</v>
      </c>
      <c r="J407" s="137">
        <f t="shared" si="192"/>
        <v>9.7489999999999988</v>
      </c>
      <c r="K407" s="140">
        <f t="shared" si="192"/>
        <v>9.5699999999999967</v>
      </c>
      <c r="L407" s="140">
        <f t="shared" si="192"/>
        <v>9.4769999999999968</v>
      </c>
      <c r="M407" s="140">
        <f t="shared" si="192"/>
        <v>9.4179999999999957</v>
      </c>
      <c r="N407" s="140">
        <f t="shared" si="192"/>
        <v>9.3919999999999959</v>
      </c>
      <c r="O407" s="140">
        <f t="shared" si="192"/>
        <v>9.4009999999999945</v>
      </c>
      <c r="P407" s="140">
        <f t="shared" si="192"/>
        <v>9.4369999999999941</v>
      </c>
      <c r="Q407" s="140">
        <f t="shared" si="192"/>
        <v>9.4929999999999932</v>
      </c>
      <c r="R407" s="140">
        <f t="shared" si="192"/>
        <v>9.5629999999999935</v>
      </c>
      <c r="S407" s="140">
        <f t="shared" si="192"/>
        <v>9.6429999999999936</v>
      </c>
      <c r="T407" s="140">
        <f t="shared" si="192"/>
        <v>9.7289999999999939</v>
      </c>
    </row>
    <row r="408" spans="1:20" ht="15">
      <c r="A408" s="168"/>
      <c r="D408" s="46"/>
      <c r="E408" s="46"/>
      <c r="F408" s="145"/>
      <c r="G408" s="145"/>
      <c r="H408" s="145"/>
      <c r="I408" s="145"/>
      <c r="J408" s="145"/>
      <c r="K408" s="146"/>
      <c r="L408" s="146"/>
      <c r="M408" s="146"/>
      <c r="N408" s="146"/>
      <c r="O408" s="146"/>
      <c r="P408" s="146"/>
      <c r="Q408" s="146"/>
      <c r="R408" s="146"/>
      <c r="S408" s="146"/>
      <c r="T408" s="146"/>
    </row>
    <row r="409" spans="1:20">
      <c r="A409" s="18" t="s">
        <v>203</v>
      </c>
    </row>
    <row r="410" spans="1:20" ht="15">
      <c r="A410" s="168" t="s">
        <v>526</v>
      </c>
      <c r="B410" s="4" t="str">
        <f>$B$39</f>
        <v>From Fiscal Forecasts</v>
      </c>
      <c r="D410" s="142">
        <f>ROUND('Fiscal Forecasts'!D$180*D$411/SUM(D$411,D$415),3)</f>
        <v>0.75700000000000001</v>
      </c>
      <c r="E410" s="142">
        <f>ROUND('Fiscal Forecasts'!E$180*E$411/SUM(E$411,E$415),3)</f>
        <v>1.0569999999999999</v>
      </c>
      <c r="F410" s="141">
        <f>ROUND('Fiscal Forecasts'!F$180*F$411/SUM(F$411,F$415),3)</f>
        <v>1.131</v>
      </c>
      <c r="G410" s="141">
        <f>ROUND('Fiscal Forecasts'!G$180*G$411/SUM(G$411,G$415),3)</f>
        <v>1.3360000000000001</v>
      </c>
      <c r="H410" s="141">
        <f>ROUND('Fiscal Forecasts'!H$180*H$411/SUM(H$411,H$415),3)</f>
        <v>1.444</v>
      </c>
      <c r="I410" s="141">
        <f>ROUND('Fiscal Forecasts'!I$180*I$411/SUM(I$411,I$415),3)</f>
        <v>1.456</v>
      </c>
      <c r="J410" s="141">
        <f>ROUND('Fiscal Forecasts'!J$180*J$411/SUM(J$411,J$415),3)</f>
        <v>1.4950000000000001</v>
      </c>
      <c r="K410" s="134">
        <f t="shared" ref="K410:T410" ca="1" si="193">J$410*(1+K$23)*(1+K$30)</f>
        <v>1.5441968683609339</v>
      </c>
      <c r="L410" s="134">
        <f t="shared" ca="1" si="193"/>
        <v>1.5934295209023066</v>
      </c>
      <c r="M410" s="134">
        <f t="shared" ca="1" si="193"/>
        <v>1.6425836584866174</v>
      </c>
      <c r="N410" s="134">
        <f t="shared" ca="1" si="193"/>
        <v>1.6921984869906017</v>
      </c>
      <c r="O410" s="134">
        <f t="shared" ca="1" si="193"/>
        <v>1.7422739218003813</v>
      </c>
      <c r="P410" s="134">
        <f t="shared" ca="1" si="193"/>
        <v>1.792794349117548</v>
      </c>
      <c r="Q410" s="134">
        <f t="shared" ca="1" si="193"/>
        <v>1.8436725079286693</v>
      </c>
      <c r="R410" s="134">
        <f t="shared" ca="1" si="193"/>
        <v>1.8949093684810625</v>
      </c>
      <c r="S410" s="134">
        <f t="shared" ca="1" si="193"/>
        <v>1.9465398536419236</v>
      </c>
      <c r="T410" s="134">
        <f t="shared" ca="1" si="193"/>
        <v>1.9991982731127849</v>
      </c>
    </row>
    <row r="411" spans="1:20" ht="15">
      <c r="A411" s="168" t="s">
        <v>527</v>
      </c>
      <c r="B411" s="4" t="str">
        <f>$B$39</f>
        <v>From Fiscal Forecasts</v>
      </c>
      <c r="D411" s="142">
        <f>'Fiscal Forecasts'!D$122</f>
        <v>1.5169999999999999</v>
      </c>
      <c r="E411" s="142">
        <f>'Fiscal Forecasts'!E$122</f>
        <v>1.7729999999999999</v>
      </c>
      <c r="F411" s="141">
        <f>'Fiscal Forecasts'!F$122</f>
        <v>2.0750000000000002</v>
      </c>
      <c r="G411" s="141">
        <f>'Fiscal Forecasts'!G$122</f>
        <v>2.4990000000000001</v>
      </c>
      <c r="H411" s="141">
        <f>'Fiscal Forecasts'!H$122</f>
        <v>2.9180000000000001</v>
      </c>
      <c r="I411" s="141">
        <f>'Fiscal Forecasts'!I$122</f>
        <v>3.1680000000000001</v>
      </c>
      <c r="J411" s="141">
        <f>'Fiscal Forecasts'!J$122</f>
        <v>3.4129999999999998</v>
      </c>
      <c r="K411" s="134">
        <f t="shared" ref="K411:T411" ca="1" si="194">K$410+(J$411-J$410)*(1+K$23)*(1+K$30)</f>
        <v>3.5253136533216498</v>
      </c>
      <c r="L411" s="134">
        <f t="shared" ca="1" si="194"/>
        <v>3.6377089998926899</v>
      </c>
      <c r="M411" s="134">
        <f t="shared" ca="1" si="194"/>
        <v>3.7499251012808186</v>
      </c>
      <c r="N411" s="134">
        <f t="shared" ca="1" si="194"/>
        <v>3.8631929338454327</v>
      </c>
      <c r="O411" s="134">
        <f t="shared" ca="1" si="194"/>
        <v>3.9775123044178589</v>
      </c>
      <c r="P411" s="134">
        <f t="shared" ca="1" si="194"/>
        <v>4.092847567584073</v>
      </c>
      <c r="Q411" s="134">
        <f t="shared" ca="1" si="194"/>
        <v>4.2089995114117364</v>
      </c>
      <c r="R411" s="134">
        <f t="shared" ca="1" si="194"/>
        <v>4.3259703509203096</v>
      </c>
      <c r="S411" s="134">
        <f t="shared" ca="1" si="194"/>
        <v>4.4438398130300207</v>
      </c>
      <c r="T411" s="134">
        <f t="shared" ca="1" si="194"/>
        <v>4.5640559907250369</v>
      </c>
    </row>
    <row r="412" spans="1:20" ht="15">
      <c r="A412" s="168"/>
      <c r="B412" s="4"/>
      <c r="D412" s="142"/>
      <c r="E412" s="142"/>
      <c r="F412" s="142"/>
      <c r="G412" s="142"/>
      <c r="H412" s="142"/>
      <c r="I412" s="142"/>
      <c r="J412" s="142"/>
      <c r="K412" s="142"/>
      <c r="L412" s="142"/>
      <c r="M412" s="142"/>
      <c r="N412" s="142"/>
      <c r="O412" s="142"/>
      <c r="P412" s="142"/>
      <c r="Q412" s="142"/>
      <c r="R412" s="142"/>
      <c r="S412" s="142"/>
      <c r="T412" s="142"/>
    </row>
    <row r="413" spans="1:20">
      <c r="A413" s="18" t="s">
        <v>204</v>
      </c>
    </row>
    <row r="414" spans="1:20" ht="15">
      <c r="A414" s="168" t="s">
        <v>528</v>
      </c>
      <c r="B414" s="4" t="str">
        <f>$B$39</f>
        <v>From Fiscal Forecasts</v>
      </c>
      <c r="D414" s="142">
        <f>'Fiscal Forecasts'!D$180-D$410</f>
        <v>1.4119999999999999</v>
      </c>
      <c r="E414" s="142">
        <f>'Fiscal Forecasts'!E$180-E$410</f>
        <v>2.153</v>
      </c>
      <c r="F414" s="141">
        <f>'Fiscal Forecasts'!F$180-F$410</f>
        <v>1.8139999999999998</v>
      </c>
      <c r="G414" s="141">
        <f>'Fiscal Forecasts'!G$180-G$410</f>
        <v>1.8429999999999997</v>
      </c>
      <c r="H414" s="141">
        <f>'Fiscal Forecasts'!H$180-H$410</f>
        <v>1.6579999999999999</v>
      </c>
      <c r="I414" s="141">
        <f>'Fiscal Forecasts'!I$180-I$410</f>
        <v>1.4980000000000002</v>
      </c>
      <c r="J414" s="141">
        <f>'Fiscal Forecasts'!J$180-J$410</f>
        <v>1.3919999999999999</v>
      </c>
      <c r="K414" s="134">
        <f t="shared" ref="K414:T414" ca="1" si="195">J$414*(1+K$23)*(1+K$30)</f>
        <v>1.4378073851226887</v>
      </c>
      <c r="L414" s="134">
        <f t="shared" ca="1" si="195"/>
        <v>1.4836480890274315</v>
      </c>
      <c r="M414" s="134">
        <f t="shared" ca="1" si="195"/>
        <v>1.529415687366803</v>
      </c>
      <c r="N414" s="134">
        <f t="shared" ca="1" si="195"/>
        <v>1.5756122367163321</v>
      </c>
      <c r="O414" s="134">
        <f t="shared" ca="1" si="195"/>
        <v>1.6222376582917255</v>
      </c>
      <c r="P414" s="134">
        <f t="shared" ca="1" si="195"/>
        <v>1.6692774140278435</v>
      </c>
      <c r="Q414" s="134">
        <f t="shared" ca="1" si="195"/>
        <v>1.7166502548740517</v>
      </c>
      <c r="R414" s="134">
        <f t="shared" ca="1" si="195"/>
        <v>1.7643570842311962</v>
      </c>
      <c r="S414" s="134">
        <f t="shared" ca="1" si="195"/>
        <v>1.8124304189094027</v>
      </c>
      <c r="T414" s="134">
        <f t="shared" ca="1" si="195"/>
        <v>1.8614608670053483</v>
      </c>
    </row>
    <row r="415" spans="1:20" ht="15">
      <c r="A415" s="168" t="s">
        <v>529</v>
      </c>
      <c r="B415" s="4" t="str">
        <f>$B$39</f>
        <v>From Fiscal Forecasts</v>
      </c>
      <c r="D415" s="142">
        <f>'Fiscal Forecasts'!D$123</f>
        <v>2.8279999999999998</v>
      </c>
      <c r="E415" s="142">
        <f>'Fiscal Forecasts'!E$123</f>
        <v>3.61</v>
      </c>
      <c r="F415" s="141">
        <f>'Fiscal Forecasts'!F$123</f>
        <v>3.3260000000000001</v>
      </c>
      <c r="G415" s="141">
        <f>'Fiscal Forecasts'!G$123</f>
        <v>3.4470000000000001</v>
      </c>
      <c r="H415" s="141">
        <f>'Fiscal Forecasts'!H$123</f>
        <v>3.35</v>
      </c>
      <c r="I415" s="141">
        <f>'Fiscal Forecasts'!I$123</f>
        <v>3.26</v>
      </c>
      <c r="J415" s="141">
        <f>'Fiscal Forecasts'!J$123</f>
        <v>3.18</v>
      </c>
      <c r="K415" s="134">
        <f t="shared" ref="K415:T415" ca="1" si="196">K$414+(J$415-J$414)*(1+K$23)*(1+K$30)</f>
        <v>3.284646181530281</v>
      </c>
      <c r="L415" s="134">
        <f t="shared" ca="1" si="196"/>
        <v>3.3893684792437022</v>
      </c>
      <c r="M415" s="134">
        <f t="shared" ca="1" si="196"/>
        <v>3.4939237685534734</v>
      </c>
      <c r="N415" s="134">
        <f t="shared" ca="1" si="196"/>
        <v>3.5994589890502429</v>
      </c>
      <c r="O415" s="134">
        <f t="shared" ca="1" si="196"/>
        <v>3.7059739607526501</v>
      </c>
      <c r="P415" s="134">
        <f t="shared" ca="1" si="196"/>
        <v>3.8134354717015402</v>
      </c>
      <c r="Q415" s="134">
        <f t="shared" ca="1" si="196"/>
        <v>3.9216579098415849</v>
      </c>
      <c r="R415" s="134">
        <f t="shared" ca="1" si="196"/>
        <v>4.0306433389764411</v>
      </c>
      <c r="S415" s="134">
        <f t="shared" ca="1" si="196"/>
        <v>4.1404660431982059</v>
      </c>
      <c r="T415" s="134">
        <f t="shared" ca="1" si="196"/>
        <v>4.2524752565208406</v>
      </c>
    </row>
    <row r="416" spans="1:20" ht="15">
      <c r="A416" s="168"/>
      <c r="B416" s="4"/>
      <c r="D416" s="171"/>
      <c r="E416" s="171"/>
      <c r="F416" s="171"/>
      <c r="G416" s="171"/>
      <c r="H416" s="171"/>
      <c r="I416" s="171"/>
      <c r="J416" s="171"/>
      <c r="K416" s="171"/>
      <c r="L416" s="171"/>
      <c r="M416" s="171"/>
      <c r="N416" s="171"/>
      <c r="O416" s="171"/>
      <c r="P416" s="171"/>
      <c r="Q416" s="171"/>
      <c r="R416" s="171"/>
      <c r="S416" s="171"/>
      <c r="T416" s="171"/>
    </row>
    <row r="417" spans="1:20">
      <c r="A417" s="18" t="s">
        <v>530</v>
      </c>
      <c r="B417" s="4"/>
      <c r="D417" s="171"/>
      <c r="E417" s="171"/>
      <c r="F417" s="171"/>
      <c r="G417" s="171"/>
      <c r="H417" s="171"/>
      <c r="I417" s="171"/>
      <c r="J417" s="171"/>
      <c r="K417" s="171"/>
      <c r="L417" s="171"/>
      <c r="M417" s="171"/>
      <c r="N417" s="171"/>
      <c r="O417" s="171"/>
      <c r="P417" s="171"/>
      <c r="Q417" s="171"/>
      <c r="R417" s="171"/>
      <c r="S417" s="171"/>
      <c r="T417" s="171"/>
    </row>
    <row r="418" spans="1:20" ht="15">
      <c r="A418" s="168" t="s">
        <v>532</v>
      </c>
      <c r="B418" s="4" t="str">
        <f>$B$39</f>
        <v>From Fiscal Forecasts</v>
      </c>
      <c r="C418" s="60">
        <f>'Fiscal Forecasts'!C$177</f>
        <v>41.279000000000003</v>
      </c>
      <c r="D418" s="142">
        <f>'Fiscal Forecasts'!D$177</f>
        <v>43.683999999999997</v>
      </c>
      <c r="E418" s="142">
        <f>'Fiscal Forecasts'!E$177</f>
        <v>45.167000000000002</v>
      </c>
      <c r="F418" s="141">
        <f>'Fiscal Forecasts'!F$177</f>
        <v>46.210999999999999</v>
      </c>
      <c r="G418" s="141">
        <f>'Fiscal Forecasts'!G$177</f>
        <v>48.415999999999997</v>
      </c>
      <c r="H418" s="141">
        <f>'Fiscal Forecasts'!H$177</f>
        <v>50.008000000000003</v>
      </c>
      <c r="I418" s="141">
        <f>'Fiscal Forecasts'!I$177</f>
        <v>51.195999999999998</v>
      </c>
      <c r="J418" s="141">
        <f>'Fiscal Forecasts'!J$177</f>
        <v>51.122999999999998</v>
      </c>
      <c r="K418" s="134">
        <f t="shared" ref="K418:T418" ca="1" si="197">SUM(J$418,K$422,-K$423)</f>
        <v>51.122999999999998</v>
      </c>
      <c r="L418" s="134">
        <f t="shared" ca="1" si="197"/>
        <v>51.122999999999998</v>
      </c>
      <c r="M418" s="134">
        <f t="shared" ca="1" si="197"/>
        <v>51.122999999999998</v>
      </c>
      <c r="N418" s="134">
        <f t="shared" ca="1" si="197"/>
        <v>51.122999999999998</v>
      </c>
      <c r="O418" s="134">
        <f t="shared" ca="1" si="197"/>
        <v>51.122999999999998</v>
      </c>
      <c r="P418" s="134">
        <f t="shared" ca="1" si="197"/>
        <v>51.122999999999998</v>
      </c>
      <c r="Q418" s="134">
        <f t="shared" ca="1" si="197"/>
        <v>51.122999999999998</v>
      </c>
      <c r="R418" s="134">
        <f t="shared" ca="1" si="197"/>
        <v>51.122999999999998</v>
      </c>
      <c r="S418" s="134">
        <f t="shared" ca="1" si="197"/>
        <v>51.122999999999998</v>
      </c>
      <c r="T418" s="134">
        <f t="shared" ca="1" si="197"/>
        <v>51.122999999999998</v>
      </c>
    </row>
    <row r="419" spans="1:20">
      <c r="A419" s="167" t="s">
        <v>256</v>
      </c>
      <c r="B419" s="4" t="str">
        <f>$B$39</f>
        <v>From Fiscal Forecasts</v>
      </c>
      <c r="D419" s="175">
        <f>'Fiscal Forecasts'!D$321</f>
        <v>93.730999999999995</v>
      </c>
      <c r="E419" s="175">
        <f>'Fiscal Forecasts'!E$321</f>
        <v>101.509</v>
      </c>
      <c r="F419" s="176">
        <f>'Fiscal Forecasts'!F$321</f>
        <v>106.19</v>
      </c>
      <c r="G419" s="176">
        <f>'Fiscal Forecasts'!G$321</f>
        <v>112.893</v>
      </c>
      <c r="H419" s="176">
        <f>'Fiscal Forecasts'!H$321</f>
        <v>116.98699999999999</v>
      </c>
      <c r="I419" s="176">
        <f>'Fiscal Forecasts'!I$321</f>
        <v>120.504</v>
      </c>
      <c r="J419" s="176">
        <f>'Fiscal Forecasts'!J$321</f>
        <v>124.172</v>
      </c>
      <c r="K419" s="171">
        <f ca="1">IF(K$6=OFFSET(Assumptions!$B$8,0,$C$1),AVERAGE(H$419/SUM(H$419,H$420),I$419/SUM(I$419,I$420),J$419/SUM(J$419,J$420)),J$419/SUM(J$419,J$420))*SUM(J$419,J$420,K$425,-K$426) +K$424</f>
        <v>128.31174960677032</v>
      </c>
      <c r="L419" s="171">
        <f ca="1">IF(L$6=OFFSET(Assumptions!$B$8,0,$C$1),AVERAGE(I$419/SUM(I$419,I$420),J$419/SUM(J$419,J$420),K$419/SUM(K$419,K$420)),K$419/SUM(K$419,K$420))*SUM(K$419,K$420,L$425,-L$426) +L$424</f>
        <v>132.83572831691896</v>
      </c>
      <c r="M419" s="171">
        <f ca="1">IF(M$6=OFFSET(Assumptions!$B$8,0,$C$1),AVERAGE(J$419/SUM(J$419,J$420),K$419/SUM(K$419,K$420),L$419/SUM(L$419,L$420)),L$419/SUM(L$419,L$420))*SUM(L$419,L$420,M$425,-M$426) +M$424</f>
        <v>137.0464460274975</v>
      </c>
      <c r="N419" s="171">
        <f ca="1">IF(N$6=OFFSET(Assumptions!$B$8,0,$C$1),AVERAGE(K$419/SUM(K$419,K$420),L$419/SUM(L$419,L$420),M$419/SUM(M$419,M$420)),M$419/SUM(M$419,M$420))*SUM(M$419,M$420,N$425,-N$426) +N$424</f>
        <v>140.9714885071113</v>
      </c>
      <c r="O419" s="171">
        <f ca="1">IF(O$6=OFFSET(Assumptions!$B$8,0,$C$1),AVERAGE(L$419/SUM(L$419,L$420),M$419/SUM(M$419,M$420),N$419/SUM(N$419,N$420)),N$419/SUM(N$419,N$420))*SUM(N$419,N$420,O$425,-O$426) +O$424</f>
        <v>144.62471417415279</v>
      </c>
      <c r="P419" s="171">
        <f ca="1">IF(P$6=OFFSET(Assumptions!$B$8,0,$C$1),AVERAGE(M$419/SUM(M$419,M$420),N$419/SUM(N$419,N$420),O$419/SUM(O$419,O$420)),O$419/SUM(O$419,O$420))*SUM(O$419,O$420,P$425,-P$426) +P$424</f>
        <v>148.01933902444415</v>
      </c>
      <c r="Q419" s="171">
        <f ca="1">IF(Q$6=OFFSET(Assumptions!$B$8,0,$C$1),AVERAGE(N$419/SUM(N$419,N$420),O$419/SUM(O$419,O$420),P$419/SUM(P$419,P$420)),P$419/SUM(P$419,P$420))*SUM(P$419,P$420,Q$425,-Q$426) +Q$424</f>
        <v>151.16796092879275</v>
      </c>
      <c r="R419" s="171">
        <f ca="1">IF(R$6=OFFSET(Assumptions!$B$8,0,$C$1),AVERAGE(O$419/SUM(O$419,O$420),P$419/SUM(P$419,P$420),Q$419/SUM(Q$419,Q$420)),Q$419/SUM(Q$419,Q$420))*SUM(Q$419,Q$420,R$425,-R$426) +R$424</f>
        <v>154.08320369848315</v>
      </c>
      <c r="S419" s="171">
        <f ca="1">IF(S$6=OFFSET(Assumptions!$B$8,0,$C$1),AVERAGE(P$419/SUM(P$419,P$420),Q$419/SUM(Q$419,Q$420),R$419/SUM(R$419,R$420)),R$419/SUM(R$419,R$420))*SUM(R$419,R$420,S$425,-S$426) +S$424</f>
        <v>156.77716975039911</v>
      </c>
      <c r="T419" s="171">
        <f ca="1">IF(T$6=OFFSET(Assumptions!$B$8,0,$C$1),AVERAGE(Q$419/SUM(Q$419,Q$420),R$419/SUM(R$419,R$420),S$419/SUM(S$419,S$420)),S$419/SUM(S$419,S$420))*SUM(S$419,S$420,T$425,-T$426) +T$424</f>
        <v>159.2584536108391</v>
      </c>
    </row>
    <row r="420" spans="1:20">
      <c r="A420" s="167" t="s">
        <v>418</v>
      </c>
      <c r="B420" s="4" t="str">
        <f>$B$39</f>
        <v>From Fiscal Forecasts</v>
      </c>
      <c r="D420" s="175">
        <f>SUM('Fiscal Forecasts'!D$322:D$323)</f>
        <v>40.21</v>
      </c>
      <c r="E420" s="175">
        <f>SUM('Fiscal Forecasts'!E$322:E$323)</f>
        <v>39.826000000000001</v>
      </c>
      <c r="F420" s="176">
        <f>SUM('Fiscal Forecasts'!F$322:F$323)</f>
        <v>39.155999999999999</v>
      </c>
      <c r="G420" s="176">
        <f>SUM('Fiscal Forecasts'!G$322:G$323)</f>
        <v>39.694000000000003</v>
      </c>
      <c r="H420" s="176">
        <f>SUM('Fiscal Forecasts'!H$322:H$323)</f>
        <v>40.587000000000003</v>
      </c>
      <c r="I420" s="176">
        <f>SUM('Fiscal Forecasts'!I$322:I$323)</f>
        <v>41.31</v>
      </c>
      <c r="J420" s="176">
        <f>SUM('Fiscal Forecasts'!J$322:J$323)</f>
        <v>41.366999999999997</v>
      </c>
      <c r="K420" s="171">
        <f ca="1">IF(K$6=OFFSET(Assumptions!$B$8,0,$C$1),AVERAGE(H$420/SUM(H$419,H$420),I$420/SUM(I$419,I$420),J$420/SUM(J$419,J$420)),J$420/SUM(J$419,J$420))*SUM(J$419,J$420,K$425,-K$426)</f>
        <v>43.534511658562543</v>
      </c>
      <c r="L420" s="171">
        <f ca="1">IF(L$6=OFFSET(Assumptions!$B$8,0,$C$1),AVERAGE(I$420/SUM(I$419,I$420),J$420/SUM(J$419,J$420),K$420/SUM(K$419,K$420)),K$420/SUM(K$419,K$420))*SUM(K$419,K$420,L$425,-L$426)</f>
        <v>44.859750871641374</v>
      </c>
      <c r="M420" s="171">
        <f ca="1">IF(M$6=OFFSET(Assumptions!$B$8,0,$C$1),AVERAGE(J$420/SUM(J$419,J$420),K$420/SUM(K$419,K$420),L$420/SUM(L$419,L$420)),L$420/SUM(L$419,L$420))*SUM(L$419,L$420,M$425,-M$426)</f>
        <v>46.071824741932666</v>
      </c>
      <c r="N420" s="171">
        <f ca="1">IF(N$6=OFFSET(Assumptions!$B$8,0,$C$1),AVERAGE(K$420/SUM(K$419,K$420),L$420/SUM(L$419,L$420),M$420/SUM(M$419,M$420)),M$420/SUM(M$419,M$420))*SUM(M$419,M$420,N$425,-N$426)</f>
        <v>47.173664469136611</v>
      </c>
      <c r="O420" s="171">
        <f ca="1">IF(O$6=OFFSET(Assumptions!$B$8,0,$C$1),AVERAGE(L$420/SUM(L$419,L$420),M$420/SUM(M$419,M$420),N$420/SUM(N$419,N$420)),N$420/SUM(N$419,N$420))*SUM(N$419,N$420,O$425,-O$426)</f>
        <v>48.170637925571839</v>
      </c>
      <c r="P420" s="171">
        <f ca="1">IF(P$6=OFFSET(Assumptions!$B$8,0,$C$1),AVERAGE(M$420/SUM(M$419,M$420),N$420/SUM(N$419,N$420),O$420/SUM(O$419,O$420)),O$420/SUM(O$419,O$420))*SUM(O$419,O$420,P$425,-P$426)</f>
        <v>49.067841501562022</v>
      </c>
      <c r="Q420" s="171">
        <f ca="1">IF(Q$6=OFFSET(Assumptions!$B$8,0,$C$1),AVERAGE(N$420/SUM(N$419,N$420),O$420/SUM(O$419,O$420),P$420/SUM(P$419,P$420)),P$420/SUM(P$419,P$420))*SUM(P$419,P$420,Q$425,-Q$426)</f>
        <v>49.87011483089502</v>
      </c>
      <c r="R420" s="171">
        <f ca="1">IF(R$6=OFFSET(Assumptions!$B$8,0,$C$1),AVERAGE(O$420/SUM(O$419,O$420),P$420/SUM(P$419,P$420),Q$420/SUM(Q$419,Q$420)),Q$420/SUM(Q$419,Q$420))*SUM(Q$419,Q$420,R$425,-R$426)</f>
        <v>50.58228317039152</v>
      </c>
      <c r="S420" s="171">
        <f ca="1">IF(S$6=OFFSET(Assumptions!$B$8,0,$C$1),AVERAGE(P$420/SUM(P$419,P$420),Q$420/SUM(Q$419,Q$420),R$420/SUM(R$419,R$420)),R$420/SUM(R$419,R$420))*SUM(R$419,R$420,S$425,-S$426)</f>
        <v>51.208961846086176</v>
      </c>
      <c r="T420" s="171">
        <f ca="1">IF(T$6=OFFSET(Assumptions!$B$8,0,$C$1),AVERAGE(Q$420/SUM(Q$419,Q$420),R$420/SUM(R$419,R$420),S$420/SUM(S$419,S$420)),S$420/SUM(S$419,S$420))*SUM(S$419,S$420,T$425,-T$426)</f>
        <v>51.753451484605669</v>
      </c>
    </row>
    <row r="421" spans="1:20" ht="15">
      <c r="A421" s="168" t="s">
        <v>531</v>
      </c>
      <c r="B421" s="4"/>
      <c r="D421" s="138">
        <f t="shared" ref="D421:T421" si="198">SUM(D$418:D$420)</f>
        <v>177.625</v>
      </c>
      <c r="E421" s="138">
        <f t="shared" si="198"/>
        <v>186.50199999999998</v>
      </c>
      <c r="F421" s="137">
        <f t="shared" si="198"/>
        <v>191.55700000000002</v>
      </c>
      <c r="G421" s="137">
        <f t="shared" si="198"/>
        <v>201.00299999999999</v>
      </c>
      <c r="H421" s="137">
        <f t="shared" si="198"/>
        <v>207.58199999999999</v>
      </c>
      <c r="I421" s="137">
        <f t="shared" si="198"/>
        <v>213.01</v>
      </c>
      <c r="J421" s="137">
        <f t="shared" si="198"/>
        <v>216.66199999999998</v>
      </c>
      <c r="K421" s="140">
        <f t="shared" ca="1" si="198"/>
        <v>222.96926126533285</v>
      </c>
      <c r="L421" s="140">
        <f t="shared" ca="1" si="198"/>
        <v>228.81847918856033</v>
      </c>
      <c r="M421" s="140">
        <f t="shared" ca="1" si="198"/>
        <v>234.24127076943014</v>
      </c>
      <c r="N421" s="140">
        <f t="shared" ca="1" si="198"/>
        <v>239.2681529762479</v>
      </c>
      <c r="O421" s="140">
        <f t="shared" ca="1" si="198"/>
        <v>243.91835209972461</v>
      </c>
      <c r="P421" s="140">
        <f t="shared" ca="1" si="198"/>
        <v>248.21018052600616</v>
      </c>
      <c r="Q421" s="140">
        <f t="shared" ca="1" si="198"/>
        <v>252.16107575968778</v>
      </c>
      <c r="R421" s="140">
        <f t="shared" ca="1" si="198"/>
        <v>255.78848686887466</v>
      </c>
      <c r="S421" s="140">
        <f t="shared" ca="1" si="198"/>
        <v>259.10913159648527</v>
      </c>
      <c r="T421" s="140">
        <f t="shared" ca="1" si="198"/>
        <v>262.13490509544476</v>
      </c>
    </row>
    <row r="422" spans="1:20">
      <c r="A422" s="167" t="s">
        <v>1100</v>
      </c>
      <c r="B422" s="4"/>
      <c r="D422" s="175">
        <f>SUM(D$418-C$418,D$423)</f>
        <v>3.9059999999999939</v>
      </c>
      <c r="E422" s="175">
        <f t="shared" ref="E422:J422" si="199">SUM(E$418-D$418,E$423)</f>
        <v>3.1580000000000039</v>
      </c>
      <c r="F422" s="176">
        <f t="shared" si="199"/>
        <v>2.825999999999997</v>
      </c>
      <c r="G422" s="176">
        <f t="shared" si="199"/>
        <v>4.0209999999999981</v>
      </c>
      <c r="H422" s="176">
        <f t="shared" si="199"/>
        <v>3.4610000000000056</v>
      </c>
      <c r="I422" s="176">
        <f t="shared" si="199"/>
        <v>3.0999999999999952</v>
      </c>
      <c r="J422" s="176">
        <f t="shared" si="199"/>
        <v>1.8869999999999996</v>
      </c>
      <c r="K422" s="171">
        <f t="shared" ref="K422:T422" ca="1" si="200">K$423</f>
        <v>1.6976699999999998</v>
      </c>
      <c r="L422" s="171">
        <f t="shared" ca="1" si="200"/>
        <v>1.8297149999999998</v>
      </c>
      <c r="M422" s="171">
        <f t="shared" ca="1" si="200"/>
        <v>1.9481523000000001</v>
      </c>
      <c r="N422" s="171">
        <f t="shared" ca="1" si="200"/>
        <v>2.0689583460000001</v>
      </c>
      <c r="O422" s="171">
        <f t="shared" ca="1" si="200"/>
        <v>2.1921805129199998</v>
      </c>
      <c r="P422" s="171">
        <f t="shared" ca="1" si="200"/>
        <v>2.3178671231783996</v>
      </c>
      <c r="Q422" s="171">
        <f t="shared" ca="1" si="200"/>
        <v>2.4460674656419679</v>
      </c>
      <c r="R422" s="171">
        <f t="shared" ca="1" si="200"/>
        <v>2.5768318149548075</v>
      </c>
      <c r="S422" s="171">
        <f t="shared" ca="1" si="200"/>
        <v>2.7102114512539037</v>
      </c>
      <c r="T422" s="171">
        <f t="shared" ca="1" si="200"/>
        <v>2.8462586802789818</v>
      </c>
    </row>
    <row r="423" spans="1:20">
      <c r="A423" s="167" t="s">
        <v>952</v>
      </c>
      <c r="B423" s="4"/>
      <c r="D423" s="175">
        <f t="shared" ref="D423:J423" si="201">D$212</f>
        <v>1.5009999999999999</v>
      </c>
      <c r="E423" s="175">
        <f t="shared" si="201"/>
        <v>1.675</v>
      </c>
      <c r="F423" s="176">
        <f t="shared" si="201"/>
        <v>1.782</v>
      </c>
      <c r="G423" s="176">
        <f t="shared" si="201"/>
        <v>1.8160000000000001</v>
      </c>
      <c r="H423" s="176">
        <f t="shared" si="201"/>
        <v>1.869</v>
      </c>
      <c r="I423" s="176">
        <f t="shared" si="201"/>
        <v>1.9119999999999999</v>
      </c>
      <c r="J423" s="176">
        <f t="shared" si="201"/>
        <v>1.96</v>
      </c>
      <c r="K423" s="171">
        <f ca="1">OFFSET(Assumptions!$B$68,0,$C$1)*SUM(J$418,J$442:J$443)</f>
        <v>1.6976699999999998</v>
      </c>
      <c r="L423" s="171">
        <f ca="1">OFFSET(Assumptions!$B$68,0,$C$1)*SUM(K$418,K$442:K$443)</f>
        <v>1.8297149999999998</v>
      </c>
      <c r="M423" s="171">
        <f ca="1">OFFSET(Assumptions!$B$68,0,$C$1)*SUM(L$418,L$442:L$443)</f>
        <v>1.9481523000000001</v>
      </c>
      <c r="N423" s="171">
        <f ca="1">OFFSET(Assumptions!$B$68,0,$C$1)*SUM(M$418,M$442:M$443)</f>
        <v>2.0689583460000001</v>
      </c>
      <c r="O423" s="171">
        <f ca="1">OFFSET(Assumptions!$B$68,0,$C$1)*SUM(N$418,N$442:N$443)</f>
        <v>2.1921805129199998</v>
      </c>
      <c r="P423" s="171">
        <f ca="1">OFFSET(Assumptions!$B$68,0,$C$1)*SUM(O$418,O$442:O$443)</f>
        <v>2.3178671231783996</v>
      </c>
      <c r="Q423" s="171">
        <f ca="1">OFFSET(Assumptions!$B$68,0,$C$1)*SUM(P$418,P$442:P$443)</f>
        <v>2.4460674656419679</v>
      </c>
      <c r="R423" s="171">
        <f ca="1">OFFSET(Assumptions!$B$68,0,$C$1)*SUM(Q$418,Q$442:Q$443)</f>
        <v>2.5768318149548075</v>
      </c>
      <c r="S423" s="171">
        <f ca="1">OFFSET(Assumptions!$B$68,0,$C$1)*SUM(R$418,R$442:R$443)</f>
        <v>2.7102114512539037</v>
      </c>
      <c r="T423" s="171">
        <f ca="1">OFFSET(Assumptions!$B$68,0,$C$1)*SUM(S$418,S$442:S$443)</f>
        <v>2.8462586802789818</v>
      </c>
    </row>
    <row r="424" spans="1:20">
      <c r="A424" s="167" t="s">
        <v>1102</v>
      </c>
      <c r="B424" s="4"/>
      <c r="D424" s="175">
        <f t="shared" ref="D424:T424" si="202">D$131-D$287</f>
        <v>0.99300000000000033</v>
      </c>
      <c r="E424" s="175">
        <f t="shared" si="202"/>
        <v>0.64000000000000012</v>
      </c>
      <c r="F424" s="176">
        <f t="shared" si="202"/>
        <v>-1.6020000000000003</v>
      </c>
      <c r="G424" s="176">
        <f t="shared" si="202"/>
        <v>3.199999999999914E-2</v>
      </c>
      <c r="H424" s="176">
        <f t="shared" si="202"/>
        <v>0.21999999999999975</v>
      </c>
      <c r="I424" s="176">
        <f t="shared" si="202"/>
        <v>0.59699999999999953</v>
      </c>
      <c r="J424" s="176">
        <f t="shared" si="202"/>
        <v>1.028</v>
      </c>
      <c r="K424" s="171">
        <f t="shared" ca="1" si="202"/>
        <v>0.62134583178417468</v>
      </c>
      <c r="L424" s="171">
        <f t="shared" ca="1" si="202"/>
        <v>0.61802558010589159</v>
      </c>
      <c r="M424" s="171">
        <f t="shared" ca="1" si="202"/>
        <v>0.62160470380451827</v>
      </c>
      <c r="N424" s="171">
        <f t="shared" ca="1" si="202"/>
        <v>0.64748142031043976</v>
      </c>
      <c r="O424" s="171">
        <f t="shared" ca="1" si="202"/>
        <v>0.6739185952386455</v>
      </c>
      <c r="P424" s="171">
        <f t="shared" ca="1" si="202"/>
        <v>0.7009131553352832</v>
      </c>
      <c r="Q424" s="171">
        <f t="shared" ca="1" si="202"/>
        <v>0.72846311417579734</v>
      </c>
      <c r="R424" s="171">
        <f t="shared" ca="1" si="202"/>
        <v>0.7564942670092929</v>
      </c>
      <c r="S424" s="171">
        <f t="shared" ca="1" si="202"/>
        <v>0.78498425061451549</v>
      </c>
      <c r="T424" s="171">
        <f t="shared" ca="1" si="202"/>
        <v>0.81431891117829469</v>
      </c>
    </row>
    <row r="425" spans="1:20">
      <c r="A425" s="167" t="s">
        <v>1101</v>
      </c>
      <c r="B425" s="4" t="str">
        <f>$B$39</f>
        <v>From Fiscal Forecasts</v>
      </c>
      <c r="D425" s="175">
        <f>SUM('Fiscal Forecasts'!D$326:D$329)-SUM('Fiscal Forecasts'!D$331:D$333,'Fiscal Forecasts'!D$335)-SUM(D$422,D$424)</f>
        <v>18.617000000000008</v>
      </c>
      <c r="E425" s="175">
        <f>SUM('Fiscal Forecasts'!E$326:E$329)-SUM('Fiscal Forecasts'!E$331:E$333,'Fiscal Forecasts'!E$335)-SUM(E$422,E$424)</f>
        <v>10.378999999999996</v>
      </c>
      <c r="F425" s="176">
        <f>SUM('Fiscal Forecasts'!F$326:F$329)-SUM('Fiscal Forecasts'!F$331:F$333,'Fiscal Forecasts'!F$335)-SUM(F$422,F$424)</f>
        <v>9.4650000000000034</v>
      </c>
      <c r="G425" s="176">
        <f>SUM('Fiscal Forecasts'!G$326:G$329)-SUM('Fiscal Forecasts'!G$331:G$333,'Fiscal Forecasts'!G$335)-SUM(G$422,G$424)</f>
        <v>11.149000000000004</v>
      </c>
      <c r="H425" s="176">
        <f>SUM('Fiscal Forecasts'!H$326:H$329)-SUM('Fiscal Forecasts'!H$331:H$333,'Fiscal Forecasts'!H$335)-SUM(H$422,H$424)</f>
        <v>8.8419999999999952</v>
      </c>
      <c r="I425" s="176">
        <f>SUM('Fiscal Forecasts'!I$326:I$329)-SUM('Fiscal Forecasts'!I$331:I$333,'Fiscal Forecasts'!I$335)-SUM(I$422,I$424)</f>
        <v>7.8430000000000044</v>
      </c>
      <c r="J425" s="176">
        <f>SUM('Fiscal Forecasts'!J$326:J$329)-SUM('Fiscal Forecasts'!J$331:J$333,'Fiscal Forecasts'!J$335)-SUM(J$422,J$424)</f>
        <v>7.0170000000000012</v>
      </c>
      <c r="K425" s="171">
        <f ca="1">IF(K$6=OFFSET(Assumptions!$B$8,0,$C$1),AVERAGE(OFFSET(J$425,0,0,1,-8)),J$425)*IF(SUM(J$419,J$420)&lt;OFFSET(Assumptions!$B$69,0,$C$1)*J$13,K$13/J$13,2-K$13/J$13) +K$426-J$426</f>
        <v>10.652085433548713</v>
      </c>
      <c r="L425" s="171">
        <f ca="1">IF(L$6=OFFSET(Assumptions!$B$8,0,$C$1),AVERAGE(OFFSET(K$425,0,0,1,-8)),K$425)*IF(SUM(K$419,K$420)&lt;OFFSET(Assumptions!$B$69,0,$C$1)*K$13,L$13/K$13,2-L$13/K$13) +L$426-K$426</f>
        <v>10.38658018108158</v>
      </c>
      <c r="M425" s="171">
        <f ca="1">IF(M$6=OFFSET(Assumptions!$B$8,0,$C$1),AVERAGE(OFFSET(L$425,0,0,1,-8)),L$425)*IF(SUM(L$419,L$420)&lt;OFFSET(Assumptions!$B$69,0,$C$1)*L$13,M$13/L$13,2-M$13/L$13) +M$426-L$426</f>
        <v>10.132051252722107</v>
      </c>
      <c r="N425" s="171">
        <f ca="1">IF(N$6=OFFSET(Assumptions!$B$8,0,$C$1),AVERAGE(OFFSET(M$425,0,0,1,-8)),M$425)*IF(SUM(M$419,M$420)&lt;OFFSET(Assumptions!$B$69,0,$C$1)*M$13,N$13/M$13,2-N$13/M$13) +N$426-M$426</f>
        <v>9.872948909590221</v>
      </c>
      <c r="O425" s="171">
        <f ca="1">IF(O$6=OFFSET(Assumptions!$B$8,0,$C$1),AVERAGE(OFFSET(N$425,0,0,1,-8)),N$425)*IF(SUM(N$419,N$420)&lt;OFFSET(Assumptions!$B$69,0,$C$1)*N$13,O$13/N$13,2-O$13/N$13) +O$426-N$426</f>
        <v>9.6206351175255111</v>
      </c>
      <c r="P425" s="171">
        <f ca="1">IF(P$6=OFFSET(Assumptions!$B$8,0,$C$1),AVERAGE(OFFSET(O$425,0,0,1,-8)),O$425)*IF(SUM(O$419,O$420)&lt;OFFSET(Assumptions!$B$69,0,$C$1)*O$13,P$13/O$13,2-P$13/O$13) +P$426-O$426</f>
        <v>9.3747758339380098</v>
      </c>
      <c r="Q425" s="171">
        <f ca="1">IF(Q$6=OFFSET(Assumptions!$B$8,0,$C$1),AVERAGE(OFFSET(P$425,0,0,1,-8)),P$425)*IF(SUM(P$419,P$420)&lt;OFFSET(Assumptions!$B$69,0,$C$1)*P$13,Q$13/P$13,2-Q$13/P$13) +Q$426-P$426</f>
        <v>9.1350475352859775</v>
      </c>
      <c r="R425" s="171">
        <f ca="1">IF(R$6=OFFSET(Assumptions!$B$8,0,$C$1),AVERAGE(OFFSET(Q$425,0,0,1,-8)),Q$425)*IF(SUM(Q$419,Q$420)&lt;OFFSET(Assumptions!$B$69,0,$C$1)*Q$13,R$13/Q$13,2-R$13/Q$13) +R$426-Q$426</f>
        <v>8.9020591149682531</v>
      </c>
      <c r="S425" s="171">
        <f ca="1">IF(S$6=OFFSET(Assumptions!$B$8,0,$C$1),AVERAGE(OFFSET(R$425,0,0,1,-8)),R$425)*IF(SUM(R$419,R$420)&lt;OFFSET(Assumptions!$B$69,0,$C$1)*R$13,S$13/R$13,2-S$13/R$13) +S$426-R$426</f>
        <v>8.6756250830623696</v>
      </c>
      <c r="T425" s="171">
        <f ca="1">IF(T$6=OFFSET(Assumptions!$B$8,0,$C$1),AVERAGE(OFFSET(S$425,0,0,1,-8)),S$425)*IF(SUM(S$419,S$420)&lt;OFFSET(Assumptions!$B$69,0,$C$1)*S$13,T$13/S$13,2-T$13/S$13) +T$426-S$426</f>
        <v>8.4510385356756998</v>
      </c>
    </row>
    <row r="426" spans="1:20">
      <c r="A426" s="167" t="s">
        <v>1103</v>
      </c>
      <c r="B426" s="4" t="str">
        <f>$B$39</f>
        <v>From Fiscal Forecasts</v>
      </c>
      <c r="D426" s="175">
        <f>'Fiscal Forecasts'!D$334-D$423</f>
        <v>3.0530000000000004</v>
      </c>
      <c r="E426" s="175">
        <f>'Fiscal Forecasts'!E$334-E$423</f>
        <v>3.6189999999999998</v>
      </c>
      <c r="F426" s="176">
        <f>'Fiscal Forecasts'!F$334-F$423</f>
        <v>3.8520000000000003</v>
      </c>
      <c r="G426" s="176">
        <f>'Fiscal Forecasts'!G$334-G$423</f>
        <v>3.9400000000000004</v>
      </c>
      <c r="H426" s="176">
        <f>'Fiscal Forecasts'!H$334-H$423</f>
        <v>4.0750000000000002</v>
      </c>
      <c r="I426" s="176">
        <f>'Fiscal Forecasts'!I$334-I$423</f>
        <v>4.2</v>
      </c>
      <c r="J426" s="176">
        <f>'Fiscal Forecasts'!J$334-J$423</f>
        <v>4.32</v>
      </c>
      <c r="K426" s="171">
        <f ca="1">OFFSET(Assumptions!$B$68,0,$C$1)*SUM(J$419,J$420)</f>
        <v>4.9661699999999991</v>
      </c>
      <c r="L426" s="171">
        <f ca="1">OFFSET(Assumptions!$B$68,0,$C$1)*SUM(K$419,K$420)</f>
        <v>5.1553878379599851</v>
      </c>
      <c r="M426" s="171">
        <f ca="1">OFFSET(Assumptions!$B$68,0,$C$1)*SUM(L$419,L$420)</f>
        <v>5.3308643756568097</v>
      </c>
      <c r="N426" s="171">
        <f ca="1">OFFSET(Assumptions!$B$68,0,$C$1)*SUM(M$419,M$420)</f>
        <v>5.4935481230829044</v>
      </c>
      <c r="O426" s="171">
        <f ca="1">OFFSET(Assumptions!$B$68,0,$C$1)*SUM(N$419,N$420)</f>
        <v>5.6443545892874374</v>
      </c>
      <c r="P426" s="171">
        <f ca="1">OFFSET(Assumptions!$B$68,0,$C$1)*SUM(O$419,O$420)</f>
        <v>5.7838605629917383</v>
      </c>
      <c r="Q426" s="171">
        <f ca="1">OFFSET(Assumptions!$B$68,0,$C$1)*SUM(P$419,P$420)</f>
        <v>5.9126154157801851</v>
      </c>
      <c r="R426" s="171">
        <f ca="1">OFFSET(Assumptions!$B$68,0,$C$1)*SUM(Q$419,Q$420)</f>
        <v>6.0311422727906336</v>
      </c>
      <c r="S426" s="171">
        <f ca="1">OFFSET(Assumptions!$B$68,0,$C$1)*SUM(R$419,R$420)</f>
        <v>6.1399646060662398</v>
      </c>
      <c r="T426" s="171">
        <f ca="1">OFFSET(Assumptions!$B$68,0,$C$1)*SUM(S$419,S$420)</f>
        <v>6.2395839478945581</v>
      </c>
    </row>
    <row r="427" spans="1:20">
      <c r="B427" s="152"/>
      <c r="C427" s="152"/>
      <c r="D427" s="152"/>
      <c r="E427" s="152"/>
      <c r="F427" s="152"/>
      <c r="G427" s="152"/>
      <c r="H427" s="152"/>
      <c r="I427" s="152"/>
      <c r="J427" s="152"/>
      <c r="K427" s="152"/>
      <c r="L427" s="152"/>
      <c r="M427" s="152"/>
      <c r="N427" s="152"/>
      <c r="O427" s="152"/>
      <c r="P427" s="152"/>
      <c r="Q427" s="152"/>
      <c r="R427" s="152"/>
      <c r="S427" s="152"/>
      <c r="T427" s="152"/>
    </row>
    <row r="428" spans="1:20">
      <c r="A428" s="18" t="s">
        <v>206</v>
      </c>
      <c r="B428" s="152"/>
      <c r="C428" s="152"/>
      <c r="D428" s="152"/>
      <c r="E428" s="152"/>
      <c r="F428" s="152"/>
      <c r="G428" s="152"/>
      <c r="H428" s="152"/>
      <c r="I428" s="152"/>
      <c r="J428" s="152"/>
      <c r="K428" s="152"/>
      <c r="L428" s="152"/>
      <c r="M428" s="152"/>
      <c r="N428" s="152"/>
      <c r="O428" s="152"/>
      <c r="P428" s="152"/>
      <c r="Q428" s="152"/>
      <c r="R428" s="152"/>
      <c r="S428" s="152"/>
      <c r="T428" s="152"/>
    </row>
    <row r="429" spans="1:20" ht="15">
      <c r="A429" s="168" t="s">
        <v>533</v>
      </c>
      <c r="B429" s="4" t="str">
        <f>$B$39</f>
        <v>From Fiscal Forecasts</v>
      </c>
      <c r="D429" s="142">
        <f>'Fiscal Forecasts'!D$178</f>
        <v>46.601999999999997</v>
      </c>
      <c r="E429" s="142">
        <f>'Fiscal Forecasts'!E$178</f>
        <v>49.604999999999997</v>
      </c>
      <c r="F429" s="141">
        <f>'Fiscal Forecasts'!F$178</f>
        <v>54.780999999999999</v>
      </c>
      <c r="G429" s="141">
        <f>'Fiscal Forecasts'!G$178</f>
        <v>61.332999999999998</v>
      </c>
      <c r="H429" s="141">
        <f>'Fiscal Forecasts'!H$178</f>
        <v>65.42</v>
      </c>
      <c r="I429" s="141">
        <f>'Fiscal Forecasts'!I$178</f>
        <v>69.402000000000001</v>
      </c>
      <c r="J429" s="141">
        <f>'Fiscal Forecasts'!J$178</f>
        <v>72.828999999999994</v>
      </c>
      <c r="K429" s="134">
        <f t="shared" ref="K429:T429" ca="1" si="203">SUM(J$429,K$131-K$287)</f>
        <v>73.450345831784162</v>
      </c>
      <c r="L429" s="134">
        <f t="shared" ca="1" si="203"/>
        <v>74.068371411890055</v>
      </c>
      <c r="M429" s="134">
        <f t="shared" ca="1" si="203"/>
        <v>74.689976115694577</v>
      </c>
      <c r="N429" s="134">
        <f t="shared" ca="1" si="203"/>
        <v>75.337457536005019</v>
      </c>
      <c r="O429" s="134">
        <f t="shared" ca="1" si="203"/>
        <v>76.011376131243665</v>
      </c>
      <c r="P429" s="134">
        <f t="shared" ca="1" si="203"/>
        <v>76.712289286578951</v>
      </c>
      <c r="Q429" s="134">
        <f t="shared" ca="1" si="203"/>
        <v>77.440752400754747</v>
      </c>
      <c r="R429" s="134">
        <f t="shared" ca="1" si="203"/>
        <v>78.197246667764034</v>
      </c>
      <c r="S429" s="134">
        <f t="shared" ca="1" si="203"/>
        <v>78.982230918378548</v>
      </c>
      <c r="T429" s="134">
        <f t="shared" ca="1" si="203"/>
        <v>79.796549829556838</v>
      </c>
    </row>
    <row r="430" spans="1:20" ht="15">
      <c r="A430" s="168" t="s">
        <v>534</v>
      </c>
      <c r="B430" s="4" t="str">
        <f>$B$39</f>
        <v>From Fiscal Forecasts</v>
      </c>
      <c r="D430" s="142">
        <f>'Fiscal Forecasts'!D$125</f>
        <v>14.65</v>
      </c>
      <c r="E430" s="142">
        <f>'Fiscal Forecasts'!E$125</f>
        <v>14.308</v>
      </c>
      <c r="F430" s="141">
        <f>'Fiscal Forecasts'!F$125</f>
        <v>14.162000000000001</v>
      </c>
      <c r="G430" s="141">
        <f>'Fiscal Forecasts'!G$125</f>
        <v>14.695</v>
      </c>
      <c r="H430" s="141">
        <f>'Fiscal Forecasts'!H$125</f>
        <v>15.173</v>
      </c>
      <c r="I430" s="141">
        <f>'Fiscal Forecasts'!I$125</f>
        <v>15.428000000000001</v>
      </c>
      <c r="J430" s="141">
        <f>'Fiscal Forecasts'!J$125</f>
        <v>15.661</v>
      </c>
      <c r="K430" s="134">
        <f ca="1">(J$430/J$13+ IF(K$2&gt;0,K$2*IF(K$6=OFFSET(Assumptions!$B$8,0,$C$1),SUMPRODUCT(OFFSET(J$430,0,0,1,-OFFSET(Assumptions!$B$86,0,$C$1)),OFFSET(J$15,0,0,1,-OFFSET(Assumptions!$B$86,0,$C$1)))/OFFSET(Assumptions!$B$86,0,$C$1)-J$430/J$13,(J$430/J$13-I$430/I$13)/J$2),0))*K$13</f>
        <v>16.576494254980688</v>
      </c>
      <c r="L430" s="134">
        <f ca="1">(K$430/K$13+ IF(L$2&gt;0,L$2*IF(L$6=OFFSET(Assumptions!$B$8,0,$C$1),SUMPRODUCT(OFFSET(K$430,0,0,1,-OFFSET(Assumptions!$B$86,0,$C$1)),OFFSET(K$15,0,0,1,-OFFSET(Assumptions!$B$86,0,$C$1)))/OFFSET(Assumptions!$B$86,0,$C$1)-K$430/K$13,(K$430/K$13-J$430/J$13)/K$2),0))*L$13</f>
        <v>17.464988234857877</v>
      </c>
      <c r="M430" s="134">
        <f ca="1">(L$430/L$13+ IF(M$2&gt;0,M$2*IF(M$6=OFFSET(Assumptions!$B$8,0,$C$1),SUMPRODUCT(OFFSET(L$430,0,0,1,-OFFSET(Assumptions!$B$86,0,$C$1)),OFFSET(L$15,0,0,1,-OFFSET(Assumptions!$B$86,0,$C$1)))/OFFSET(Assumptions!$B$86,0,$C$1)-L$430/L$13,(L$430/L$13-K$430/K$13)/L$2),0))*M$13</f>
        <v>18.329305837265551</v>
      </c>
      <c r="N430" s="134">
        <f ca="1">(M$430/M$13+ IF(N$2&gt;0,N$2*IF(N$6=OFFSET(Assumptions!$B$8,0,$C$1),SUMPRODUCT(OFFSET(M$430,0,0,1,-OFFSET(Assumptions!$B$86,0,$C$1)),OFFSET(M$15,0,0,1,-OFFSET(Assumptions!$B$86,0,$C$1)))/OFFSET(Assumptions!$B$86,0,$C$1)-M$430/M$13,(M$430/M$13-L$430/L$13)/M$2),0))*N$13</f>
        <v>19.190431938523602</v>
      </c>
      <c r="O430" s="134">
        <f ca="1">(N$430/N$13+ IF(O$2&gt;0,O$2*IF(O$6=OFFSET(Assumptions!$B$8,0,$C$1),SUMPRODUCT(OFFSET(N$430,0,0,1,-OFFSET(Assumptions!$B$86,0,$C$1)),OFFSET(N$15,0,0,1,-OFFSET(Assumptions!$B$86,0,$C$1)))/OFFSET(Assumptions!$B$86,0,$C$1)-N$430/N$13,(N$430/N$13-M$430/M$13)/N$2),0))*O$13</f>
        <v>20.025043726199009</v>
      </c>
      <c r="P430" s="134">
        <f ca="1">(O$430/O$13+ IF(P$2&gt;0,P$2*IF(P$6=OFFSET(Assumptions!$B$8,0,$C$1),SUMPRODUCT(OFFSET(O$430,0,0,1,-OFFSET(Assumptions!$B$86,0,$C$1)),OFFSET(O$15,0,0,1,-OFFSET(Assumptions!$B$86,0,$C$1)))/OFFSET(Assumptions!$B$86,0,$C$1)-O$430/O$13,(O$430/O$13-N$430/N$13)/O$2),0))*P$13</f>
        <v>20.827169161116359</v>
      </c>
      <c r="Q430" s="134">
        <f ca="1">(P$430/P$13+ IF(Q$2&gt;0,Q$2*IF(Q$6=OFFSET(Assumptions!$B$8,0,$C$1),SUMPRODUCT(OFFSET(P$430,0,0,1,-OFFSET(Assumptions!$B$86,0,$C$1)),OFFSET(P$15,0,0,1,-OFFSET(Assumptions!$B$86,0,$C$1)))/OFFSET(Assumptions!$B$86,0,$C$1)-P$430/P$13,(P$430/P$13-O$430/O$13)/P$2),0))*Q$13</f>
        <v>21.645797901047345</v>
      </c>
      <c r="R430" s="134">
        <f ca="1">(Q$430/Q$13+ IF(R$2&gt;0,R$2*IF(R$6=OFFSET(Assumptions!$B$8,0,$C$1),SUMPRODUCT(OFFSET(Q$430,0,0,1,-OFFSET(Assumptions!$B$86,0,$C$1)),OFFSET(Q$15,0,0,1,-OFFSET(Assumptions!$B$86,0,$C$1)))/OFFSET(Assumptions!$B$86,0,$C$1)-Q$430/Q$13,(Q$430/Q$13-P$430/P$13)/Q$2),0))*R$13</f>
        <v>22.478725001074537</v>
      </c>
      <c r="S430" s="134">
        <f ca="1">(R$430/R$13+ IF(S$2&gt;0,S$2*IF(S$6=OFFSET(Assumptions!$B$8,0,$C$1),SUMPRODUCT(OFFSET(R$430,0,0,1,-OFFSET(Assumptions!$B$86,0,$C$1)),OFFSET(R$15,0,0,1,-OFFSET(Assumptions!$B$86,0,$C$1)))/OFFSET(Assumptions!$B$86,0,$C$1)-R$430/R$13,(R$430/R$13-Q$430/Q$13)/R$2),0))*S$13</f>
        <v>23.32528595292252</v>
      </c>
      <c r="T430" s="134">
        <f ca="1">(S$430/S$13+ IF(T$2&gt;0,T$2*IF(T$6=OFFSET(Assumptions!$B$8,0,$C$1),SUMPRODUCT(OFFSET(S$430,0,0,1,-OFFSET(Assumptions!$B$86,0,$C$1)),OFFSET(S$15,0,0,1,-OFFSET(Assumptions!$B$86,0,$C$1)))/OFFSET(Assumptions!$B$86,0,$C$1)-S$430/S$13,(S$430/S$13-R$430/R$13)/S$2),0))*T$13</f>
        <v>24.196945919917287</v>
      </c>
    </row>
    <row r="431" spans="1:20" ht="15">
      <c r="A431" s="168"/>
      <c r="B431" s="4"/>
      <c r="D431" s="134"/>
      <c r="E431" s="134"/>
      <c r="F431" s="134"/>
      <c r="G431" s="134"/>
      <c r="H431" s="134"/>
      <c r="I431" s="134"/>
      <c r="J431" s="134"/>
      <c r="K431" s="134"/>
      <c r="L431" s="134"/>
      <c r="M431" s="134"/>
      <c r="N431" s="134"/>
      <c r="O431" s="134"/>
      <c r="P431" s="134"/>
      <c r="Q431" s="134"/>
      <c r="R431" s="134"/>
      <c r="S431" s="134"/>
      <c r="T431" s="134"/>
    </row>
    <row r="432" spans="1:20" ht="15">
      <c r="A432" s="18" t="s">
        <v>207</v>
      </c>
      <c r="B432" s="4"/>
      <c r="D432" s="141"/>
      <c r="E432" s="141"/>
      <c r="F432" s="141"/>
      <c r="G432" s="141"/>
      <c r="H432" s="141"/>
      <c r="I432" s="141"/>
      <c r="J432" s="141"/>
      <c r="K432" s="141"/>
      <c r="L432" s="141"/>
      <c r="M432" s="141"/>
      <c r="N432" s="141"/>
      <c r="O432" s="141"/>
      <c r="P432" s="141"/>
      <c r="Q432" s="141"/>
      <c r="R432" s="141"/>
      <c r="S432" s="141"/>
      <c r="T432" s="141"/>
    </row>
    <row r="433" spans="1:20" ht="15">
      <c r="A433" s="168" t="s">
        <v>279</v>
      </c>
      <c r="B433" s="4" t="str">
        <f>$B$39</f>
        <v>From Fiscal Forecasts</v>
      </c>
      <c r="D433" s="175">
        <f>'Fiscal Forecasts'!D$179</f>
        <v>1.681</v>
      </c>
      <c r="E433" s="175">
        <f>'Fiscal Forecasts'!E$179</f>
        <v>1.57</v>
      </c>
      <c r="F433" s="176">
        <f>'Fiscal Forecasts'!F$179</f>
        <v>1.7669999999999999</v>
      </c>
      <c r="G433" s="176">
        <f>'Fiscal Forecasts'!G$179</f>
        <v>2.0640000000000001</v>
      </c>
      <c r="H433" s="176">
        <f>'Fiscal Forecasts'!H$179</f>
        <v>2.1019999999999999</v>
      </c>
      <c r="I433" s="176">
        <f>'Fiscal Forecasts'!I$179</f>
        <v>2.0670000000000002</v>
      </c>
      <c r="J433" s="176">
        <f>'Fiscal Forecasts'!J$179</f>
        <v>1.99</v>
      </c>
      <c r="K433" s="171">
        <f ca="1">(J$433/J$13+ IF(K$2&gt;0,K$2*IF(K$6=OFFSET(Assumptions!$B$8,0,$C$1),SUMPRODUCT(OFFSET(J$433,0,0,1,-OFFSET(Assumptions!$B$86,0,$C$1)),OFFSET(J$15,0,0,1,-OFFSET(Assumptions!$B$86,0,$C$1)))/OFFSET(Assumptions!$B$86,0,$C$1)-J$433/J$13,(J$433/J$13-I$433/I$13)/J$2),0))*K$13</f>
        <v>2.1418988655741886</v>
      </c>
      <c r="L433" s="171">
        <f ca="1">(K$433/K$13+ IF(L$2&gt;0,L$2*IF(L$6=OFFSET(Assumptions!$B$8,0,$C$1),SUMPRODUCT(OFFSET(K$433,0,0,1,-OFFSET(Assumptions!$B$86,0,$C$1)),OFFSET(K$15,0,0,1,-OFFSET(Assumptions!$B$86,0,$C$1)))/OFFSET(Assumptions!$B$86,0,$C$1)-K$433/K$13,(K$433/K$13-J$433/J$13)/K$2),0))*L$13</f>
        <v>2.285986120606835</v>
      </c>
      <c r="M433" s="171">
        <f ca="1">(L$433/L$13+ IF(M$2&gt;0,M$2*IF(M$6=OFFSET(Assumptions!$B$8,0,$C$1),SUMPRODUCT(OFFSET(L$433,0,0,1,-OFFSET(Assumptions!$B$86,0,$C$1)),OFFSET(L$15,0,0,1,-OFFSET(Assumptions!$B$86,0,$C$1)))/OFFSET(Assumptions!$B$86,0,$C$1)-L$433/L$13,(L$433/L$13-K$433/K$13)/L$2),0))*M$13</f>
        <v>2.4217504118243252</v>
      </c>
      <c r="N433" s="171">
        <f ca="1">(M$433/M$13+ IF(N$2&gt;0,N$2*IF(N$6=OFFSET(Assumptions!$B$8,0,$C$1),SUMPRODUCT(OFFSET(M$433,0,0,1,-OFFSET(Assumptions!$B$86,0,$C$1)),OFFSET(M$15,0,0,1,-OFFSET(Assumptions!$B$86,0,$C$1)))/OFFSET(Assumptions!$B$86,0,$C$1)-M$433/M$13,(M$433/M$13-L$433/L$13)/M$2),0))*N$13</f>
        <v>2.5511226650115288</v>
      </c>
      <c r="O433" s="171">
        <f ca="1">(N$433/N$13+ IF(O$2&gt;0,O$2*IF(O$6=OFFSET(Assumptions!$B$8,0,$C$1),SUMPRODUCT(OFFSET(N$433,0,0,1,-OFFSET(Assumptions!$B$86,0,$C$1)),OFFSET(N$15,0,0,1,-OFFSET(Assumptions!$B$86,0,$C$1)))/OFFSET(Assumptions!$B$86,0,$C$1)-N$433/N$13,(N$433/N$13-M$433/M$13)/N$2),0))*O$13</f>
        <v>2.6701487495285994</v>
      </c>
      <c r="P433" s="171">
        <f ca="1">(O$433/O$13+ IF(P$2&gt;0,P$2*IF(P$6=OFFSET(Assumptions!$B$8,0,$C$1),SUMPRODUCT(OFFSET(O$433,0,0,1,-OFFSET(Assumptions!$B$86,0,$C$1)),OFFSET(O$15,0,0,1,-OFFSET(Assumptions!$B$86,0,$C$1)))/OFFSET(Assumptions!$B$86,0,$C$1)-O$433/O$13,(O$433/O$13-N$433/N$13)/O$2),0))*P$13</f>
        <v>2.7771045323121095</v>
      </c>
      <c r="Q433" s="171">
        <f ca="1">(P$433/P$13+ IF(Q$2&gt;0,Q$2*IF(Q$6=OFFSET(Assumptions!$B$8,0,$C$1),SUMPRODUCT(OFFSET(P$433,0,0,1,-OFFSET(Assumptions!$B$86,0,$C$1)),OFFSET(P$15,0,0,1,-OFFSET(Assumptions!$B$86,0,$C$1)))/OFFSET(Assumptions!$B$86,0,$C$1)-P$433/P$13,(P$433/P$13-O$433/O$13)/P$2),0))*Q$13</f>
        <v>2.8862608735487139</v>
      </c>
      <c r="R433" s="171">
        <f ca="1">(Q$433/Q$13+ IF(R$2&gt;0,R$2*IF(R$6=OFFSET(Assumptions!$B$8,0,$C$1),SUMPRODUCT(OFFSET(Q$433,0,0,1,-OFFSET(Assumptions!$B$86,0,$C$1)),OFFSET(Q$15,0,0,1,-OFFSET(Assumptions!$B$86,0,$C$1)))/OFFSET(Assumptions!$B$86,0,$C$1)-Q$433/Q$13,(Q$433/Q$13-P$433/P$13)/Q$2),0))*R$13</f>
        <v>2.9973237648459921</v>
      </c>
      <c r="S433" s="171">
        <f ca="1">(R$433/R$13+ IF(S$2&gt;0,S$2*IF(S$6=OFFSET(Assumptions!$B$8,0,$C$1),SUMPRODUCT(OFFSET(R$433,0,0,1,-OFFSET(Assumptions!$B$86,0,$C$1)),OFFSET(R$15,0,0,1,-OFFSET(Assumptions!$B$86,0,$C$1)))/OFFSET(Assumptions!$B$86,0,$C$1)-R$433/R$13,(R$433/R$13-Q$433/Q$13)/R$2),0))*S$13</f>
        <v>3.1102046003579398</v>
      </c>
      <c r="T433" s="171">
        <f ca="1">(S$433/S$13+ IF(T$2&gt;0,T$2*IF(T$6=OFFSET(Assumptions!$B$8,0,$C$1),SUMPRODUCT(OFFSET(S$433,0,0,1,-OFFSET(Assumptions!$B$86,0,$C$1)),OFFSET(S$15,0,0,1,-OFFSET(Assumptions!$B$86,0,$C$1)))/OFFSET(Assumptions!$B$86,0,$C$1)-S$433/S$13,(S$433/S$13-R$433/R$13)/S$2),0))*T$13</f>
        <v>3.2264321503552553</v>
      </c>
    </row>
    <row r="434" spans="1:20">
      <c r="A434" s="167" t="s">
        <v>256</v>
      </c>
      <c r="B434" s="4" t="str">
        <f>$B$39</f>
        <v>From Fiscal Forecasts</v>
      </c>
      <c r="D434" s="175">
        <f>'Fiscal Forecasts'!D$339</f>
        <v>0.69299999999999995</v>
      </c>
      <c r="E434" s="175">
        <f>'Fiscal Forecasts'!E$339</f>
        <v>0.81599999999999995</v>
      </c>
      <c r="F434" s="176">
        <f>'Fiscal Forecasts'!F$339</f>
        <v>0.81499999999999995</v>
      </c>
      <c r="G434" s="176">
        <f>'Fiscal Forecasts'!G$339</f>
        <v>0.82599999999999996</v>
      </c>
      <c r="H434" s="176">
        <f>'Fiscal Forecasts'!H$339</f>
        <v>0.82099999999999995</v>
      </c>
      <c r="I434" s="176">
        <f>'Fiscal Forecasts'!I$339</f>
        <v>0.80800000000000005</v>
      </c>
      <c r="J434" s="176">
        <f>'Fiscal Forecasts'!J$339</f>
        <v>0.78900000000000003</v>
      </c>
      <c r="K434" s="171">
        <f ca="1">(J$434/J$13+ IF(K$2&gt;0,K$2*IF(K$6=OFFSET(Assumptions!$B$8,0,$C$1),SUMPRODUCT(OFFSET(J$434,0,0,1,-OFFSET(Assumptions!$B$86,0,$C$1)),OFFSET(J$15,0,0,1,-OFFSET(Assumptions!$B$86,0,$C$1)))/OFFSET(Assumptions!$B$86,0,$C$1)-J$434/J$13,(J$434/J$13-I$434/I$13)/J$2),0))*K$13</f>
        <v>0.84620831435894794</v>
      </c>
      <c r="L434" s="171">
        <f ca="1">(K$434/K$13+ IF(L$2&gt;0,L$2*IF(L$6=OFFSET(Assumptions!$B$8,0,$C$1),SUMPRODUCT(OFFSET(K$434,0,0,1,-OFFSET(Assumptions!$B$86,0,$C$1)),OFFSET(K$15,0,0,1,-OFFSET(Assumptions!$B$86,0,$C$1)))/OFFSET(Assumptions!$B$86,0,$C$1)-K$434/K$13,(K$434/K$13-J$434/J$13)/K$2),0))*L$13</f>
        <v>0.90069102701375914</v>
      </c>
      <c r="M434" s="171">
        <f ca="1">(L$434/L$13+ IF(M$2&gt;0,M$2*IF(M$6=OFFSET(Assumptions!$B$8,0,$C$1),SUMPRODUCT(OFFSET(L$434,0,0,1,-OFFSET(Assumptions!$B$86,0,$C$1)),OFFSET(L$15,0,0,1,-OFFSET(Assumptions!$B$86,0,$C$1)))/OFFSET(Assumptions!$B$86,0,$C$1)-L$434/L$13,(L$434/L$13-K$434/K$13)/L$2),0))*M$13</f>
        <v>0.95231920159239625</v>
      </c>
      <c r="N434" s="171">
        <f ca="1">(M$434/M$13+ IF(N$2&gt;0,N$2*IF(N$6=OFFSET(Assumptions!$B$8,0,$C$1),SUMPRODUCT(OFFSET(M$434,0,0,1,-OFFSET(Assumptions!$B$86,0,$C$1)),OFFSET(M$15,0,0,1,-OFFSET(Assumptions!$B$86,0,$C$1)))/OFFSET(Assumptions!$B$86,0,$C$1)-M$434/M$13,(M$434/M$13-L$434/L$13)/M$2),0))*N$13</f>
        <v>1.0019208048392614</v>
      </c>
      <c r="O434" s="171">
        <f ca="1">(N$434/N$13+ IF(O$2&gt;0,O$2*IF(O$6=OFFSET(Assumptions!$B$8,0,$C$1),SUMPRODUCT(OFFSET(N$434,0,0,1,-OFFSET(Assumptions!$B$86,0,$C$1)),OFFSET(N$15,0,0,1,-OFFSET(Assumptions!$B$86,0,$C$1)))/OFFSET(Assumptions!$B$86,0,$C$1)-N$434/N$13,(N$434/N$13-M$434/M$13)/N$2),0))*O$13</f>
        <v>1.0480121106282099</v>
      </c>
      <c r="P434" s="171">
        <f ca="1">(O$434/O$13+ IF(P$2&gt;0,P$2*IF(P$6=OFFSET(Assumptions!$B$8,0,$C$1),SUMPRODUCT(OFFSET(O$434,0,0,1,-OFFSET(Assumptions!$B$86,0,$C$1)),OFFSET(O$15,0,0,1,-OFFSET(Assumptions!$B$86,0,$C$1)))/OFFSET(Assumptions!$B$86,0,$C$1)-O$434/O$13,(O$434/O$13-N$434/N$13)/O$2),0))*P$13</f>
        <v>1.0899914032345217</v>
      </c>
      <c r="Q434" s="171">
        <f ca="1">(P$434/P$13+ IF(Q$2&gt;0,Q$2*IF(Q$6=OFFSET(Assumptions!$B$8,0,$C$1),SUMPRODUCT(OFFSET(P$434,0,0,1,-OFFSET(Assumptions!$B$86,0,$C$1)),OFFSET(P$15,0,0,1,-OFFSET(Assumptions!$B$86,0,$C$1)))/OFFSET(Assumptions!$B$86,0,$C$1)-P$434/P$13,(P$434/P$13-O$434/O$13)/P$2),0))*Q$13</f>
        <v>1.1328343975014228</v>
      </c>
      <c r="R434" s="171">
        <f ca="1">(Q$434/Q$13+ IF(R$2&gt;0,R$2*IF(R$6=OFFSET(Assumptions!$B$8,0,$C$1),SUMPRODUCT(OFFSET(Q$434,0,0,1,-OFFSET(Assumptions!$B$86,0,$C$1)),OFFSET(Q$15,0,0,1,-OFFSET(Assumptions!$B$86,0,$C$1)))/OFFSET(Assumptions!$B$86,0,$C$1)-Q$434/Q$13,(Q$434/Q$13-P$434/P$13)/Q$2),0))*R$13</f>
        <v>1.1764256974773066</v>
      </c>
      <c r="S434" s="171">
        <f ca="1">(R$434/R$13+ IF(S$2&gt;0,S$2*IF(S$6=OFFSET(Assumptions!$B$8,0,$C$1),SUMPRODUCT(OFFSET(R$434,0,0,1,-OFFSET(Assumptions!$B$86,0,$C$1)),OFFSET(R$15,0,0,1,-OFFSET(Assumptions!$B$86,0,$C$1)))/OFFSET(Assumptions!$B$86,0,$C$1)-R$434/R$13,(R$434/R$13-Q$434/Q$13)/R$2),0))*S$13</f>
        <v>1.2207305260735553</v>
      </c>
      <c r="T434" s="171">
        <f ca="1">(S$434/S$13+ IF(T$2&gt;0,T$2*IF(T$6=OFFSET(Assumptions!$B$8,0,$C$1),SUMPRODUCT(OFFSET(S$434,0,0,1,-OFFSET(Assumptions!$B$86,0,$C$1)),OFFSET(S$15,0,0,1,-OFFSET(Assumptions!$B$86,0,$C$1)))/OFFSET(Assumptions!$B$86,0,$C$1)-S$434/S$13,(S$434/S$13-R$434/R$13)/S$2),0))*T$13</f>
        <v>1.2663489134414263</v>
      </c>
    </row>
    <row r="435" spans="1:20">
      <c r="A435" s="167" t="s">
        <v>418</v>
      </c>
      <c r="B435" s="4" t="str">
        <f>$B$39</f>
        <v>From Fiscal Forecasts</v>
      </c>
      <c r="D435" s="175">
        <f>SUM('Fiscal Forecasts'!D$340:D$341)</f>
        <v>1.5369999999999999</v>
      </c>
      <c r="E435" s="175">
        <f>SUM('Fiscal Forecasts'!E$340:E$341)</f>
        <v>1.506</v>
      </c>
      <c r="F435" s="176">
        <f>SUM('Fiscal Forecasts'!F$340:F$341)</f>
        <v>1.5469999999999999</v>
      </c>
      <c r="G435" s="176">
        <f>SUM('Fiscal Forecasts'!G$340:G$341)</f>
        <v>1.494</v>
      </c>
      <c r="H435" s="176">
        <f>SUM('Fiscal Forecasts'!H$340:H$341)</f>
        <v>1.488</v>
      </c>
      <c r="I435" s="176">
        <f>SUM('Fiscal Forecasts'!I$340:I$341)</f>
        <v>1.4630000000000001</v>
      </c>
      <c r="J435" s="176">
        <f>SUM('Fiscal Forecasts'!J$340:J$341)</f>
        <v>1.4430000000000001</v>
      </c>
      <c r="K435" s="171">
        <f ca="1">(J$435/J$13+ IF(K$2&gt;0,K$2*IF(K$6=OFFSET(Assumptions!$B$8,0,$C$1),SUMPRODUCT(OFFSET(J$435,0,0,1,-OFFSET(Assumptions!$B$86,0,$C$1)),OFFSET(J$15,0,0,1,-OFFSET(Assumptions!$B$86,0,$C$1)))/OFFSET(Assumptions!$B$86,0,$C$1)-J$435/J$13,(J$435/J$13-I$435/I$13)/J$2),0))*K$13</f>
        <v>1.5440722472997295</v>
      </c>
      <c r="L435" s="171">
        <f ca="1">(K$435/K$13+ IF(L$2&gt;0,L$2*IF(L$6=OFFSET(Assumptions!$B$8,0,$C$1),SUMPRODUCT(OFFSET(K$435,0,0,1,-OFFSET(Assumptions!$B$86,0,$C$1)),OFFSET(K$15,0,0,1,-OFFSET(Assumptions!$B$86,0,$C$1)))/OFFSET(Assumptions!$B$86,0,$C$1)-K$435/K$13,(K$435/K$13-J$435/J$13)/K$2),0))*L$13</f>
        <v>1.6405975934495998</v>
      </c>
      <c r="M435" s="171">
        <f ca="1">(L$435/L$13+ IF(M$2&gt;0,M$2*IF(M$6=OFFSET(Assumptions!$B$8,0,$C$1),SUMPRODUCT(OFFSET(L$435,0,0,1,-OFFSET(Assumptions!$B$86,0,$C$1)),OFFSET(L$15,0,0,1,-OFFSET(Assumptions!$B$86,0,$C$1)))/OFFSET(Assumptions!$B$86,0,$C$1)-L$435/L$13,(L$435/L$13-K$435/K$13)/L$2),0))*M$13</f>
        <v>1.732427218762427</v>
      </c>
      <c r="N435" s="171">
        <f ca="1">(M$435/M$13+ IF(N$2&gt;0,N$2*IF(N$6=OFFSET(Assumptions!$B$8,0,$C$1),SUMPRODUCT(OFFSET(M$435,0,0,1,-OFFSET(Assumptions!$B$86,0,$C$1)),OFFSET(M$15,0,0,1,-OFFSET(Assumptions!$B$86,0,$C$1)))/OFFSET(Assumptions!$B$86,0,$C$1)-M$435/M$13,(M$435/M$13-L$435/L$13)/M$2),0))*N$13</f>
        <v>1.8211489237861203</v>
      </c>
      <c r="O435" s="171">
        <f ca="1">(N$435/N$13+ IF(O$2&gt;0,O$2*IF(O$6=OFFSET(Assumptions!$B$8,0,$C$1),SUMPRODUCT(OFFSET(N$435,0,0,1,-OFFSET(Assumptions!$B$86,0,$C$1)),OFFSET(N$15,0,0,1,-OFFSET(Assumptions!$B$86,0,$C$1)))/OFFSET(Assumptions!$B$86,0,$C$1)-N$435/N$13,(N$435/N$13-M$435/M$13)/N$2),0))*O$13</f>
        <v>1.9041481525612256</v>
      </c>
      <c r="P435" s="171">
        <f ca="1">(O$435/O$13+ IF(P$2&gt;0,P$2*IF(P$6=OFFSET(Assumptions!$B$8,0,$C$1),SUMPRODUCT(OFFSET(O$435,0,0,1,-OFFSET(Assumptions!$B$86,0,$C$1)),OFFSET(O$15,0,0,1,-OFFSET(Assumptions!$B$86,0,$C$1)))/OFFSET(Assumptions!$B$86,0,$C$1)-O$435/O$13,(O$435/O$13-N$435/N$13)/O$2),0))*P$13</f>
        <v>1.9804209280869023</v>
      </c>
      <c r="Q435" s="171">
        <f ca="1">(P$435/P$13+ IF(Q$2&gt;0,Q$2*IF(Q$6=OFFSET(Assumptions!$B$8,0,$C$1),SUMPRODUCT(OFFSET(P$435,0,0,1,-OFFSET(Assumptions!$B$86,0,$C$1)),OFFSET(P$15,0,0,1,-OFFSET(Assumptions!$B$86,0,$C$1)))/OFFSET(Assumptions!$B$86,0,$C$1)-P$435/P$13,(P$435/P$13-O$435/O$13)/P$2),0))*Q$13</f>
        <v>2.0582629754794746</v>
      </c>
      <c r="R435" s="171">
        <f ca="1">(Q$435/Q$13+ IF(R$2&gt;0,R$2*IF(R$6=OFFSET(Assumptions!$B$8,0,$C$1),SUMPRODUCT(OFFSET(Q$435,0,0,1,-OFFSET(Assumptions!$B$86,0,$C$1)),OFFSET(Q$15,0,0,1,-OFFSET(Assumptions!$B$86,0,$C$1)))/OFFSET(Assumptions!$B$86,0,$C$1)-Q$435/Q$13,(Q$435/Q$13-P$435/P$13)/Q$2),0))*R$13</f>
        <v>2.1374646301884703</v>
      </c>
      <c r="S435" s="171">
        <f ca="1">(R$435/R$13+ IF(S$2&gt;0,S$2*IF(S$6=OFFSET(Assumptions!$B$8,0,$C$1),SUMPRODUCT(OFFSET(R$435,0,0,1,-OFFSET(Assumptions!$B$86,0,$C$1)),OFFSET(R$15,0,0,1,-OFFSET(Assumptions!$B$86,0,$C$1)))/OFFSET(Assumptions!$B$86,0,$C$1)-R$435/R$13,(R$435/R$13-Q$435/Q$13)/R$2),0))*S$13</f>
        <v>2.217962705225522</v>
      </c>
      <c r="T435" s="171">
        <f ca="1">(S$435/S$13+ IF(T$2&gt;0,T$2*IF(T$6=OFFSET(Assumptions!$B$8,0,$C$1),SUMPRODUCT(OFFSET(S$435,0,0,1,-OFFSET(Assumptions!$B$86,0,$C$1)),OFFSET(S$15,0,0,1,-OFFSET(Assumptions!$B$86,0,$C$1)))/OFFSET(Assumptions!$B$86,0,$C$1)-S$435/S$13,(S$435/S$13-R$435/R$13)/S$2),0))*T$13</f>
        <v>2.3008474039312317</v>
      </c>
    </row>
    <row r="436" spans="1:20" ht="15">
      <c r="A436" s="168" t="s">
        <v>535</v>
      </c>
      <c r="B436" s="4"/>
      <c r="D436" s="138">
        <f t="shared" ref="D436:T436" si="204">SUM(D$433:D$435)</f>
        <v>3.911</v>
      </c>
      <c r="E436" s="138">
        <f t="shared" si="204"/>
        <v>3.8920000000000003</v>
      </c>
      <c r="F436" s="137">
        <f t="shared" si="204"/>
        <v>4.1289999999999996</v>
      </c>
      <c r="G436" s="137">
        <f t="shared" si="204"/>
        <v>4.3840000000000003</v>
      </c>
      <c r="H436" s="137">
        <f t="shared" si="204"/>
        <v>4.4109999999999996</v>
      </c>
      <c r="I436" s="137">
        <f t="shared" si="204"/>
        <v>4.3380000000000001</v>
      </c>
      <c r="J436" s="137">
        <f t="shared" si="204"/>
        <v>4.2219999999999995</v>
      </c>
      <c r="K436" s="140">
        <f t="shared" ca="1" si="204"/>
        <v>4.5321794272328662</v>
      </c>
      <c r="L436" s="140">
        <f t="shared" ca="1" si="204"/>
        <v>4.8272747410701946</v>
      </c>
      <c r="M436" s="140">
        <f t="shared" ca="1" si="204"/>
        <v>5.1064968321791486</v>
      </c>
      <c r="N436" s="140">
        <f t="shared" ca="1" si="204"/>
        <v>5.3741923936369105</v>
      </c>
      <c r="O436" s="140">
        <f t="shared" ca="1" si="204"/>
        <v>5.6223090127180342</v>
      </c>
      <c r="P436" s="140">
        <f t="shared" ca="1" si="204"/>
        <v>5.8475168636335333</v>
      </c>
      <c r="Q436" s="140">
        <f t="shared" ca="1" si="204"/>
        <v>6.0773582465296112</v>
      </c>
      <c r="R436" s="140">
        <f t="shared" ca="1" si="204"/>
        <v>6.3112140925117686</v>
      </c>
      <c r="S436" s="140">
        <f t="shared" ca="1" si="204"/>
        <v>6.5488978316570172</v>
      </c>
      <c r="T436" s="140">
        <f t="shared" ca="1" si="204"/>
        <v>6.7936284677279133</v>
      </c>
    </row>
    <row r="437" spans="1:20" ht="15">
      <c r="A437" s="168"/>
      <c r="B437" s="4"/>
      <c r="D437" s="46"/>
      <c r="E437" s="46"/>
      <c r="F437" s="145"/>
      <c r="G437" s="145"/>
      <c r="H437" s="145"/>
      <c r="I437" s="145"/>
      <c r="J437" s="145"/>
      <c r="K437" s="146"/>
      <c r="L437" s="146"/>
      <c r="M437" s="146"/>
      <c r="N437" s="146"/>
      <c r="O437" s="146"/>
      <c r="P437" s="146"/>
      <c r="Q437" s="146"/>
      <c r="R437" s="146"/>
      <c r="S437" s="146"/>
      <c r="T437" s="146"/>
    </row>
    <row r="438" spans="1:20" ht="15">
      <c r="A438" s="18" t="s">
        <v>303</v>
      </c>
      <c r="B438" s="4"/>
      <c r="D438" s="46"/>
      <c r="E438" s="46"/>
      <c r="F438" s="145"/>
      <c r="G438" s="145"/>
      <c r="H438" s="145"/>
      <c r="I438" s="145"/>
      <c r="J438" s="145"/>
    </row>
    <row r="439" spans="1:20">
      <c r="A439" s="167" t="s">
        <v>298</v>
      </c>
      <c r="B439" s="4" t="str">
        <f>$B$39</f>
        <v>From Fiscal Forecasts</v>
      </c>
      <c r="D439" s="175">
        <f>'Fiscal Forecasts'!D$283</f>
        <v>0</v>
      </c>
      <c r="E439" s="175">
        <f>'Fiscal Forecasts'!E$283</f>
        <v>0</v>
      </c>
      <c r="F439" s="176">
        <f>'Fiscal Forecasts'!F$283</f>
        <v>0</v>
      </c>
      <c r="G439" s="176">
        <f>'Fiscal Forecasts'!G$283</f>
        <v>2.0329999999999999</v>
      </c>
      <c r="H439" s="176">
        <f>'Fiscal Forecasts'!H$283</f>
        <v>2.0099999999999998</v>
      </c>
      <c r="I439" s="176">
        <f>'Fiscal Forecasts'!I$283</f>
        <v>1.583</v>
      </c>
      <c r="J439" s="176">
        <f>'Fiscal Forecasts'!J$283</f>
        <v>1.3839999999999999</v>
      </c>
      <c r="K439" s="171">
        <f ca="1">IF(K$6=OFFSET(Assumptions!$B$8,0,$C$1),OFFSET(Assumptions!$B$64,0,$C$1),0)</f>
        <v>0.53100000000000003</v>
      </c>
      <c r="L439" s="171">
        <f ca="1">IF(L$6=OFFSET(Assumptions!$B$8,0,$C$1),OFFSET(Assumptions!$B$64,0,$C$1),0)</f>
        <v>0</v>
      </c>
      <c r="M439" s="171">
        <f ca="1">IF(M$6=OFFSET(Assumptions!$B$8,0,$C$1),OFFSET(Assumptions!$B$64,0,$C$1),0)</f>
        <v>0</v>
      </c>
      <c r="N439" s="171">
        <f ca="1">IF(N$6=OFFSET(Assumptions!$B$8,0,$C$1),OFFSET(Assumptions!$B$64,0,$C$1),0)</f>
        <v>0</v>
      </c>
      <c r="O439" s="171">
        <f ca="1">IF(O$6=OFFSET(Assumptions!$B$8,0,$C$1),OFFSET(Assumptions!$B$64,0,$C$1),0)</f>
        <v>0</v>
      </c>
      <c r="P439" s="171">
        <f ca="1">IF(P$6=OFFSET(Assumptions!$B$8,0,$C$1),OFFSET(Assumptions!$B$64,0,$C$1),0)</f>
        <v>0</v>
      </c>
      <c r="Q439" s="171">
        <f ca="1">IF(Q$6=OFFSET(Assumptions!$B$8,0,$C$1),OFFSET(Assumptions!$B$64,0,$C$1),0)</f>
        <v>0</v>
      </c>
      <c r="R439" s="171">
        <f ca="1">IF(R$6=OFFSET(Assumptions!$B$8,0,$C$1),OFFSET(Assumptions!$B$64,0,$C$1),0)</f>
        <v>0</v>
      </c>
      <c r="S439" s="171">
        <f ca="1">IF(S$6=OFFSET(Assumptions!$B$8,0,$C$1),OFFSET(Assumptions!$B$64,0,$C$1),0)</f>
        <v>0</v>
      </c>
      <c r="T439" s="171">
        <f ca="1">IF(T$6=OFFSET(Assumptions!$B$8,0,$C$1),OFFSET(Assumptions!$B$64,0,$C$1),0)</f>
        <v>0</v>
      </c>
    </row>
    <row r="440" spans="1:20">
      <c r="A440" s="167" t="s">
        <v>1053</v>
      </c>
      <c r="B440" s="4" t="str">
        <f>$B$39</f>
        <v>From Fiscal Forecasts</v>
      </c>
      <c r="D440" s="175">
        <f>'Fiscal Forecasts'!D$284</f>
        <v>0</v>
      </c>
      <c r="E440" s="175">
        <f>'Fiscal Forecasts'!E$284</f>
        <v>0</v>
      </c>
      <c r="F440" s="176">
        <f>'Fiscal Forecasts'!F$284 +IF($C$2="Yes",('Fiscal Forecast Adjuster'!C$29-'Fiscal Forecast Adjuster'!B$29)/1000,0)</f>
        <v>0</v>
      </c>
      <c r="G440" s="176">
        <f>'Fiscal Forecasts'!G$284 +IF($C$2="Yes",('Fiscal Forecast Adjuster'!D$29-'Fiscal Forecast Adjuster'!C$29)/1000,0)</f>
        <v>0</v>
      </c>
      <c r="H440" s="176">
        <f>'Fiscal Forecasts'!H$284 +IF($C$2="Yes",('Fiscal Forecast Adjuster'!E$29-'Fiscal Forecast Adjuster'!D$29)/1000,0)</f>
        <v>0.88500000000000001</v>
      </c>
      <c r="I440" s="176">
        <f>'Fiscal Forecasts'!I$284 +IF($C$2="Yes",('Fiscal Forecast Adjuster'!F$29-'Fiscal Forecast Adjuster'!E$29)/1000,0)</f>
        <v>1.77</v>
      </c>
      <c r="J440" s="176">
        <f>'Fiscal Forecasts'!J$284 +IF($C$2="Yes",('Fiscal Forecast Adjuster'!G$29-'Fiscal Forecast Adjuster'!F$29)/1000,0)</f>
        <v>2.2759999999999998</v>
      </c>
      <c r="K440" s="171">
        <f ca="1">IF(K$6=OFFSET(Assumptions!$B$8,0,$C$1),OFFSET(Assumptions!$B$65,0,$C$1),J$440*(1+OFFSET(Assumptions!$B$66,0,$C$1)))</f>
        <v>4</v>
      </c>
      <c r="L440" s="171">
        <f ca="1">IF(L$6=OFFSET(Assumptions!$B$8,0,$C$1),OFFSET(Assumptions!$B$65,0,$C$1),K$440*(1+OFFSET(Assumptions!$B$66,0,$C$1)))</f>
        <v>4.08</v>
      </c>
      <c r="M440" s="171">
        <f ca="1">IF(M$6=OFFSET(Assumptions!$B$8,0,$C$1),OFFSET(Assumptions!$B$65,0,$C$1),L$440*(1+OFFSET(Assumptions!$B$66,0,$C$1)))</f>
        <v>4.1616</v>
      </c>
      <c r="N440" s="171">
        <f ca="1">IF(N$6=OFFSET(Assumptions!$B$8,0,$C$1),OFFSET(Assumptions!$B$65,0,$C$1),M$440*(1+OFFSET(Assumptions!$B$66,0,$C$1)))</f>
        <v>4.2448319999999997</v>
      </c>
      <c r="O440" s="171">
        <f ca="1">IF(O$6=OFFSET(Assumptions!$B$8,0,$C$1),OFFSET(Assumptions!$B$65,0,$C$1),N$440*(1+OFFSET(Assumptions!$B$66,0,$C$1)))</f>
        <v>4.3297286399999999</v>
      </c>
      <c r="P440" s="171">
        <f ca="1">IF(P$6=OFFSET(Assumptions!$B$8,0,$C$1),OFFSET(Assumptions!$B$65,0,$C$1),O$440*(1+OFFSET(Assumptions!$B$66,0,$C$1)))</f>
        <v>4.4163232128000001</v>
      </c>
      <c r="Q440" s="171">
        <f ca="1">IF(Q$6=OFFSET(Assumptions!$B$8,0,$C$1),OFFSET(Assumptions!$B$65,0,$C$1),P$440*(1+OFFSET(Assumptions!$B$66,0,$C$1)))</f>
        <v>4.5046496770560003</v>
      </c>
      <c r="R440" s="171">
        <f ca="1">IF(R$6=OFFSET(Assumptions!$B$8,0,$C$1),OFFSET(Assumptions!$B$65,0,$C$1),Q$440*(1+OFFSET(Assumptions!$B$66,0,$C$1)))</f>
        <v>4.5947426705971202</v>
      </c>
      <c r="S440" s="171">
        <f ca="1">IF(S$6=OFFSET(Assumptions!$B$8,0,$C$1),OFFSET(Assumptions!$B$65,0,$C$1),R$440*(1+OFFSET(Assumptions!$B$66,0,$C$1)))</f>
        <v>4.686637524009063</v>
      </c>
      <c r="T440" s="171">
        <f ca="1">IF(T$6=OFFSET(Assumptions!$B$8,0,$C$1),OFFSET(Assumptions!$B$65,0,$C$1),S$440*(1+OFFSET(Assumptions!$B$66,0,$C$1)))</f>
        <v>4.7803702744892442</v>
      </c>
    </row>
    <row r="441" spans="1:20" ht="15">
      <c r="A441" s="168" t="s">
        <v>536</v>
      </c>
      <c r="B441" s="4"/>
      <c r="D441" s="138">
        <f t="shared" ref="D441:T441" si="205">SUM(D$439:D$440)</f>
        <v>0</v>
      </c>
      <c r="E441" s="138">
        <f t="shared" si="205"/>
        <v>0</v>
      </c>
      <c r="F441" s="137">
        <f t="shared" si="205"/>
        <v>0</v>
      </c>
      <c r="G441" s="137">
        <f t="shared" si="205"/>
        <v>2.0329999999999999</v>
      </c>
      <c r="H441" s="137">
        <f t="shared" si="205"/>
        <v>2.8949999999999996</v>
      </c>
      <c r="I441" s="137">
        <f t="shared" si="205"/>
        <v>3.3529999999999998</v>
      </c>
      <c r="J441" s="137">
        <f t="shared" si="205"/>
        <v>3.6599999999999997</v>
      </c>
      <c r="K441" s="140">
        <f t="shared" ca="1" si="205"/>
        <v>4.5309999999999997</v>
      </c>
      <c r="L441" s="140">
        <f t="shared" ca="1" si="205"/>
        <v>4.08</v>
      </c>
      <c r="M441" s="140">
        <f t="shared" ca="1" si="205"/>
        <v>4.1616</v>
      </c>
      <c r="N441" s="140">
        <f t="shared" ca="1" si="205"/>
        <v>4.2448319999999997</v>
      </c>
      <c r="O441" s="140">
        <f t="shared" ca="1" si="205"/>
        <v>4.3297286399999999</v>
      </c>
      <c r="P441" s="140">
        <f t="shared" ca="1" si="205"/>
        <v>4.4163232128000001</v>
      </c>
      <c r="Q441" s="140">
        <f t="shared" ca="1" si="205"/>
        <v>4.5046496770560003</v>
      </c>
      <c r="R441" s="140">
        <f t="shared" ca="1" si="205"/>
        <v>4.5947426705971202</v>
      </c>
      <c r="S441" s="140">
        <f t="shared" ca="1" si="205"/>
        <v>4.686637524009063</v>
      </c>
      <c r="T441" s="140">
        <f t="shared" ca="1" si="205"/>
        <v>4.7803702744892442</v>
      </c>
    </row>
    <row r="442" spans="1:20" ht="15">
      <c r="A442" s="168" t="s">
        <v>729</v>
      </c>
      <c r="B442" s="4" t="str">
        <f>$B$39</f>
        <v>From Fiscal Forecasts</v>
      </c>
      <c r="D442" s="142">
        <f>'Fiscal Forecasts'!D$127</f>
        <v>0</v>
      </c>
      <c r="E442" s="142">
        <f>'Fiscal Forecasts'!E$127</f>
        <v>0</v>
      </c>
      <c r="F442" s="141">
        <f>'Fiscal Forecasts'!F$127 +IF($C$2="Yes",'Fiscal Forecast Adjuster'!C$29/1000,0)</f>
        <v>0</v>
      </c>
      <c r="G442" s="141">
        <f>'Fiscal Forecasts'!G$127 +IF($C$2="Yes",'Fiscal Forecast Adjuster'!D$29/1000,0)</f>
        <v>2.0329999999999999</v>
      </c>
      <c r="H442" s="141">
        <f>'Fiscal Forecasts'!H$127 +IF($C$2="Yes",'Fiscal Forecast Adjuster'!E$29/1000,0)</f>
        <v>4.9279999999999999</v>
      </c>
      <c r="I442" s="141">
        <f>'Fiscal Forecasts'!I$127 +IF($C$2="Yes",'Fiscal Forecast Adjuster'!F$29/1000,0)</f>
        <v>8.2810000000000006</v>
      </c>
      <c r="J442" s="141">
        <f>'Fiscal Forecasts'!J$127 +IF($C$2="Yes",'Fiscal Forecast Adjuster'!G$29/1000,0)</f>
        <v>11.941000000000001</v>
      </c>
      <c r="K442" s="134">
        <f ca="1">SUM($D$441:K$441)</f>
        <v>16.471999999999998</v>
      </c>
      <c r="L442" s="134">
        <f ca="1">SUM($D$441:L$441)</f>
        <v>20.552</v>
      </c>
      <c r="M442" s="134">
        <f ca="1">SUM($D$441:M$441)</f>
        <v>24.7136</v>
      </c>
      <c r="N442" s="134">
        <f ca="1">SUM($D$441:N$441)</f>
        <v>28.958431999999998</v>
      </c>
      <c r="O442" s="134">
        <f ca="1">SUM($D$441:O$441)</f>
        <v>33.288160640000001</v>
      </c>
      <c r="P442" s="134">
        <f ca="1">SUM($D$441:P$441)</f>
        <v>37.704483852800003</v>
      </c>
      <c r="Q442" s="134">
        <f ca="1">SUM($D$441:Q$441)</f>
        <v>42.209133529856004</v>
      </c>
      <c r="R442" s="134">
        <f ca="1">SUM($D$441:R$441)</f>
        <v>46.803876200453125</v>
      </c>
      <c r="S442" s="134">
        <f ca="1">SUM($D$441:S$441)</f>
        <v>51.49051372446219</v>
      </c>
      <c r="T442" s="134">
        <f ca="1">SUM($D$441:T$441)</f>
        <v>56.270883998951433</v>
      </c>
    </row>
    <row r="443" spans="1:20" ht="15">
      <c r="A443" s="168" t="s">
        <v>730</v>
      </c>
      <c r="B443" s="4" t="str">
        <f>$B$39</f>
        <v>From Fiscal Forecasts</v>
      </c>
      <c r="D443" s="142">
        <f>'Fiscal Forecasts'!D$128</f>
        <v>0</v>
      </c>
      <c r="E443" s="142">
        <f>'Fiscal Forecasts'!E$128</f>
        <v>0</v>
      </c>
      <c r="F443" s="141">
        <f>'Fiscal Forecasts'!F$128</f>
        <v>-0.8</v>
      </c>
      <c r="G443" s="141">
        <f>'Fiscal Forecasts'!G$128</f>
        <v>-3.2250000000000001</v>
      </c>
      <c r="H443" s="141">
        <f>'Fiscal Forecasts'!H$128</f>
        <v>-4.625</v>
      </c>
      <c r="I443" s="141">
        <f>'Fiscal Forecasts'!I$128</f>
        <v>-5.625</v>
      </c>
      <c r="J443" s="141">
        <f>'Fiscal Forecasts'!J$128</f>
        <v>-6.4749999999999996</v>
      </c>
      <c r="K443" s="134">
        <f ca="1">J$443*(1+OFFSET(Assumptions!$B$66,0,$C$1))</f>
        <v>-6.6044999999999998</v>
      </c>
      <c r="L443" s="134">
        <f ca="1">K$443*(1+OFFSET(Assumptions!$B$66,0,$C$1))</f>
        <v>-6.7365899999999996</v>
      </c>
      <c r="M443" s="134">
        <f ca="1">L$443*(1+OFFSET(Assumptions!$B$66,0,$C$1))</f>
        <v>-6.8713217999999996</v>
      </c>
      <c r="N443" s="134">
        <f ca="1">M$443*(1+OFFSET(Assumptions!$B$66,0,$C$1))</f>
        <v>-7.0087482359999997</v>
      </c>
      <c r="O443" s="134">
        <f ca="1">N$443*(1+OFFSET(Assumptions!$B$66,0,$C$1))</f>
        <v>-7.1489232007199996</v>
      </c>
      <c r="P443" s="134">
        <f ca="1">O$443*(1+OFFSET(Assumptions!$B$66,0,$C$1))</f>
        <v>-7.2919016647344002</v>
      </c>
      <c r="Q443" s="134">
        <f ca="1">P$443*(1+OFFSET(Assumptions!$B$66,0,$C$1))</f>
        <v>-7.4377396980290884</v>
      </c>
      <c r="R443" s="134">
        <f ca="1">Q$443*(1+OFFSET(Assumptions!$B$66,0,$C$1))</f>
        <v>-7.5864944919896704</v>
      </c>
      <c r="S443" s="134">
        <f ca="1">R$443*(1+OFFSET(Assumptions!$B$66,0,$C$1))</f>
        <v>-7.7382243818294638</v>
      </c>
      <c r="T443" s="134">
        <f ca="1">S$443*(1+OFFSET(Assumptions!$B$66,0,$C$1))</f>
        <v>-7.8929888694660528</v>
      </c>
    </row>
    <row r="444" spans="1:20" ht="15">
      <c r="B444" s="4"/>
      <c r="D444" s="142"/>
      <c r="E444" s="142"/>
      <c r="F444" s="142"/>
      <c r="G444" s="142"/>
      <c r="H444" s="134"/>
      <c r="I444" s="134"/>
      <c r="J444" s="134"/>
      <c r="K444" s="134"/>
      <c r="L444" s="134"/>
      <c r="M444" s="134"/>
      <c r="N444" s="134"/>
      <c r="O444" s="134"/>
      <c r="P444" s="134"/>
      <c r="Q444" s="134"/>
      <c r="R444" s="134"/>
      <c r="S444" s="134"/>
      <c r="T444" s="134"/>
    </row>
    <row r="445" spans="1:20" ht="15">
      <c r="A445" s="18" t="s">
        <v>211</v>
      </c>
      <c r="B445" s="4"/>
      <c r="D445" s="141"/>
      <c r="E445" s="141"/>
      <c r="F445" s="141"/>
      <c r="G445" s="141"/>
      <c r="H445" s="134"/>
      <c r="I445" s="134"/>
      <c r="J445" s="134"/>
      <c r="K445" s="134"/>
      <c r="L445" s="134"/>
      <c r="M445" s="134"/>
      <c r="N445" s="134"/>
      <c r="O445" s="134"/>
      <c r="P445" s="134"/>
      <c r="Q445" s="134"/>
      <c r="R445" s="134"/>
      <c r="S445" s="134"/>
      <c r="T445" s="134"/>
    </row>
    <row r="446" spans="1:20" ht="15">
      <c r="A446" s="168" t="s">
        <v>539</v>
      </c>
      <c r="B446" s="4" t="str">
        <f>$B$39</f>
        <v>From Fiscal Forecasts</v>
      </c>
      <c r="D446" s="142">
        <f>'Fiscal Forecasts'!D$130</f>
        <v>6.8129999999999997</v>
      </c>
      <c r="E446" s="142">
        <f>'Fiscal Forecasts'!E$130</f>
        <v>8.0220000000000002</v>
      </c>
      <c r="F446" s="141">
        <f>'Fiscal Forecasts'!F$130</f>
        <v>8.4190000000000005</v>
      </c>
      <c r="G446" s="141">
        <f>'Fiscal Forecasts'!G$130</f>
        <v>8.5030000000000001</v>
      </c>
      <c r="H446" s="141">
        <f>'Fiscal Forecasts'!H$130</f>
        <v>8.5879999999999992</v>
      </c>
      <c r="I446" s="141">
        <f>'Fiscal Forecasts'!I$130</f>
        <v>8.6739999999999995</v>
      </c>
      <c r="J446" s="141">
        <f>'Fiscal Forecasts'!J$130</f>
        <v>8.7609999999999992</v>
      </c>
      <c r="K446" s="134">
        <f ca="1">(J$446/J$13+ IF(K$2&gt;0,K$2*IF(K$6=OFFSET(Assumptions!$B$8,0,$C$1),SUMPRODUCT(OFFSET(J$446,0,0,1,-OFFSET(Assumptions!$B$86,0,$C$1)),OFFSET(J$15,0,0,1,-OFFSET(Assumptions!$B$86,0,$C$1)))/OFFSET(Assumptions!$B$86,0,$C$1)-J$446/J$13,(J$446/J$13-I$446/I$13)/J$2),0))*K$13</f>
        <v>9.2913877608203066</v>
      </c>
      <c r="L446" s="134">
        <f ca="1">(K$446/K$13+ IF(L$2&gt;0,L$2*IF(L$6=OFFSET(Assumptions!$B$8,0,$C$1),SUMPRODUCT(OFFSET(K$446,0,0,1,-OFFSET(Assumptions!$B$86,0,$C$1)),OFFSET(K$15,0,0,1,-OFFSET(Assumptions!$B$86,0,$C$1)))/OFFSET(Assumptions!$B$86,0,$C$1)-K$446/K$13,(K$446/K$13-J$446/J$13)/K$2),0))*L$13</f>
        <v>9.804423919816216</v>
      </c>
      <c r="M446" s="134">
        <f ca="1">(L$446/L$13+ IF(M$2&gt;0,M$2*IF(M$6=OFFSET(Assumptions!$B$8,0,$C$1),SUMPRODUCT(OFFSET(L$446,0,0,1,-OFFSET(Assumptions!$B$86,0,$C$1)),OFFSET(L$15,0,0,1,-OFFSET(Assumptions!$B$86,0,$C$1)))/OFFSET(Assumptions!$B$86,0,$C$1)-L$446/L$13,(L$446/L$13-K$446/K$13)/L$2),0))*M$13</f>
        <v>10.30124182446642</v>
      </c>
      <c r="N446" s="134">
        <f ca="1">(M$446/M$13+ IF(N$2&gt;0,N$2*IF(N$6=OFFSET(Assumptions!$B$8,0,$C$1),SUMPRODUCT(OFFSET(M$446,0,0,1,-OFFSET(Assumptions!$B$86,0,$C$1)),OFFSET(M$15,0,0,1,-OFFSET(Assumptions!$B$86,0,$C$1)))/OFFSET(Assumptions!$B$86,0,$C$1)-M$446/M$13,(M$446/M$13-L$446/L$13)/M$2),0))*N$13</f>
        <v>10.793203402145888</v>
      </c>
      <c r="O446" s="134">
        <f ca="1">(N$446/N$13+ IF(O$2&gt;0,O$2*IF(O$6=OFFSET(Assumptions!$B$8,0,$C$1),SUMPRODUCT(OFFSET(N$446,0,0,1,-OFFSET(Assumptions!$B$86,0,$C$1)),OFFSET(N$15,0,0,1,-OFFSET(Assumptions!$B$86,0,$C$1)))/OFFSET(Assumptions!$B$86,0,$C$1)-N$446/N$13,(N$446/N$13-M$446/M$13)/N$2),0))*O$13</f>
        <v>11.266753379567319</v>
      </c>
      <c r="P446" s="134">
        <f ca="1">(O$446/O$13+ IF(P$2&gt;0,P$2*IF(P$6=OFFSET(Assumptions!$B$8,0,$C$1),SUMPRODUCT(OFFSET(O$446,0,0,1,-OFFSET(Assumptions!$B$86,0,$C$1)),OFFSET(O$15,0,0,1,-OFFSET(Assumptions!$B$86,0,$C$1)))/OFFSET(Assumptions!$B$86,0,$C$1)-O$446/O$13,(O$446/O$13-N$446/N$13)/O$2),0))*P$13</f>
        <v>11.718055737667456</v>
      </c>
      <c r="Q446" s="134">
        <f ca="1">(P$446/P$13+ IF(Q$2&gt;0,Q$2*IF(Q$6=OFFSET(Assumptions!$B$8,0,$C$1),SUMPRODUCT(OFFSET(P$446,0,0,1,-OFFSET(Assumptions!$B$86,0,$C$1)),OFFSET(P$15,0,0,1,-OFFSET(Assumptions!$B$86,0,$C$1)))/OFFSET(Assumptions!$B$86,0,$C$1)-P$446/P$13,(P$446/P$13-O$446/O$13)/P$2),0))*Q$13</f>
        <v>12.178643402210801</v>
      </c>
      <c r="R446" s="134">
        <f ca="1">(Q$446/Q$13+ IF(R$2&gt;0,R$2*IF(R$6=OFFSET(Assumptions!$B$8,0,$C$1),SUMPRODUCT(OFFSET(Q$446,0,0,1,-OFFSET(Assumptions!$B$86,0,$C$1)),OFFSET(Q$15,0,0,1,-OFFSET(Assumptions!$B$86,0,$C$1)))/OFFSET(Assumptions!$B$86,0,$C$1)-Q$446/Q$13,(Q$446/Q$13-P$446/P$13)/Q$2),0))*R$13</f>
        <v>12.6472757980985</v>
      </c>
      <c r="S446" s="134">
        <f ca="1">(R$446/R$13+ IF(S$2&gt;0,S$2*IF(S$6=OFFSET(Assumptions!$B$8,0,$C$1),SUMPRODUCT(OFFSET(R$446,0,0,1,-OFFSET(Assumptions!$B$86,0,$C$1)),OFFSET(R$15,0,0,1,-OFFSET(Assumptions!$B$86,0,$C$1)))/OFFSET(Assumptions!$B$86,0,$C$1)-R$446/R$13,(R$446/R$13-Q$446/Q$13)/R$2),0))*S$13</f>
        <v>13.123579050948045</v>
      </c>
      <c r="T446" s="134">
        <f ca="1">(S$446/S$13+ IF(T$2&gt;0,T$2*IF(T$6=OFFSET(Assumptions!$B$8,0,$C$1),SUMPRODUCT(OFFSET(S$446,0,0,1,-OFFSET(Assumptions!$B$86,0,$C$1)),OFFSET(S$15,0,0,1,-OFFSET(Assumptions!$B$86,0,$C$1)))/OFFSET(Assumptions!$B$86,0,$C$1)-S$446/S$13,(S$446/S$13-R$446/R$13)/S$2),0))*T$13</f>
        <v>13.614003841687614</v>
      </c>
    </row>
    <row r="447" spans="1:20" ht="15">
      <c r="A447" s="168"/>
      <c r="B447" s="4"/>
    </row>
    <row r="448" spans="1:20">
      <c r="A448" s="18" t="s">
        <v>212</v>
      </c>
      <c r="B448" s="4"/>
    </row>
    <row r="449" spans="1:20">
      <c r="A449" s="167" t="s">
        <v>540</v>
      </c>
      <c r="B449" s="4"/>
      <c r="D449" s="175">
        <f t="shared" ref="D449:J449" si="206">D$385-D$71</f>
        <v>1.0880000000000001</v>
      </c>
      <c r="E449" s="175">
        <f t="shared" si="206"/>
        <v>1.5510000000000002</v>
      </c>
      <c r="F449" s="176">
        <f t="shared" si="206"/>
        <v>4.8070000000000004</v>
      </c>
      <c r="G449" s="176">
        <f t="shared" si="206"/>
        <v>2.6839999999999997</v>
      </c>
      <c r="H449" s="176">
        <f t="shared" si="206"/>
        <v>2.4790000000000001</v>
      </c>
      <c r="I449" s="176">
        <f t="shared" si="206"/>
        <v>2.3970000000000002</v>
      </c>
      <c r="J449" s="176">
        <f t="shared" si="206"/>
        <v>2.3449999999999998</v>
      </c>
      <c r="K449" s="171">
        <f ca="1">(J$449/J$385+MIN(ABS(OFFSET(Assumptions!$B$79,0,$C$1)-J$449/J$385),OFFSET(Assumptions!$B$73,0,$C$1))*SIGN(OFFSET(Assumptions!$B$79,0,$C$1)-J$449/J$385))*K$385</f>
        <v>2.4071455128597496</v>
      </c>
      <c r="L449" s="171">
        <f ca="1">(K$449/K$385+MIN(ABS(OFFSET(Assumptions!$B$79,0,$C$1)-K$449/K$385),OFFSET(Assumptions!$B$73,0,$C$1))*SIGN(OFFSET(Assumptions!$B$79,0,$C$1)-K$449/K$385))*L$385</f>
        <v>2.4632893071263426</v>
      </c>
      <c r="M449" s="171">
        <f ca="1">(L$449/L$385+MIN(ABS(OFFSET(Assumptions!$B$79,0,$C$1)-L$449/L$385),OFFSET(Assumptions!$B$73,0,$C$1))*SIGN(OFFSET(Assumptions!$B$79,0,$C$1)-L$449/L$385))*M$385</f>
        <v>2.6428035451126792</v>
      </c>
      <c r="N449" s="171">
        <f ca="1">(M$449/M$385+MIN(ABS(OFFSET(Assumptions!$B$79,0,$C$1)-M$449/M$385),OFFSET(Assumptions!$B$73,0,$C$1))*SIGN(OFFSET(Assumptions!$B$79,0,$C$1)-M$449/M$385))*N$385</f>
        <v>2.8263245840422373</v>
      </c>
      <c r="O449" s="171">
        <f ca="1">(N$449/N$385+MIN(ABS(OFFSET(Assumptions!$B$79,0,$C$1)-N$449/N$385),OFFSET(Assumptions!$B$73,0,$C$1))*SIGN(OFFSET(Assumptions!$B$79,0,$C$1)-N$449/N$385))*O$385</f>
        <v>3.0149019215472666</v>
      </c>
      <c r="P449" s="171">
        <f ca="1">(O$449/O$385+MIN(ABS(OFFSET(Assumptions!$B$79,0,$C$1)-O$449/O$385),OFFSET(Assumptions!$B$73,0,$C$1))*SIGN(OFFSET(Assumptions!$B$79,0,$C$1)-O$449/O$385))*P$385</f>
        <v>3.2093610737299798</v>
      </c>
      <c r="Q449" s="171">
        <f ca="1">(P$449/P$385+MIN(ABS(OFFSET(Assumptions!$B$79,0,$C$1)-P$449/P$385),OFFSET(Assumptions!$B$73,0,$C$1))*SIGN(OFFSET(Assumptions!$B$79,0,$C$1)-P$449/P$385))*Q$385</f>
        <v>3.409786585073789</v>
      </c>
      <c r="R449" s="171">
        <f ca="1">(Q$449/Q$385+MIN(ABS(OFFSET(Assumptions!$B$79,0,$C$1)-Q$449/Q$385),OFFSET(Assumptions!$B$73,0,$C$1))*SIGN(OFFSET(Assumptions!$B$79,0,$C$1)-Q$449/Q$385))*R$385</f>
        <v>3.6155659063949317</v>
      </c>
      <c r="S449" s="171">
        <f ca="1">(R$449/R$385+MIN(ABS(OFFSET(Assumptions!$B$79,0,$C$1)-R$449/R$385),OFFSET(Assumptions!$B$73,0,$C$1))*SIGN(OFFSET(Assumptions!$B$79,0,$C$1)-R$449/R$385))*S$385</f>
        <v>3.8260766496551128</v>
      </c>
      <c r="T449" s="171">
        <f ca="1">(S$449/S$385+MIN(ABS(OFFSET(Assumptions!$B$79,0,$C$1)-S$449/S$385),OFFSET(Assumptions!$B$73,0,$C$1))*SIGN(OFFSET(Assumptions!$B$79,0,$C$1)-S$449/S$385))*T$385</f>
        <v>4.0420527389773495</v>
      </c>
    </row>
    <row r="450" spans="1:20">
      <c r="A450" s="167" t="s">
        <v>348</v>
      </c>
      <c r="B450" s="4" t="str">
        <f>$B$39</f>
        <v>From Fiscal Forecasts</v>
      </c>
      <c r="D450" s="175">
        <f>'Fiscal Forecasts'!D$357</f>
        <v>6.2930000000000001</v>
      </c>
      <c r="E450" s="175">
        <f>'Fiscal Forecasts'!E$357</f>
        <v>5.0430000000000001</v>
      </c>
      <c r="F450" s="176">
        <f>'Fiscal Forecasts'!F$357</f>
        <v>5.125</v>
      </c>
      <c r="G450" s="176">
        <f>'Fiscal Forecasts'!G$357</f>
        <v>5.1669999999999998</v>
      </c>
      <c r="H450" s="176">
        <f>'Fiscal Forecasts'!H$357</f>
        <v>5.2149999999999999</v>
      </c>
      <c r="I450" s="176">
        <f>'Fiscal Forecasts'!I$357</f>
        <v>5.2590000000000003</v>
      </c>
      <c r="J450" s="176">
        <f>'Fiscal Forecasts'!J$357</f>
        <v>5.2990000000000004</v>
      </c>
      <c r="K450" s="171">
        <f t="shared" ref="K450:T450" ca="1" si="207">J$450*K$351/J$351</f>
        <v>5.5681116132437678</v>
      </c>
      <c r="L450" s="171">
        <f t="shared" ca="1" si="207"/>
        <v>5.81524727007303</v>
      </c>
      <c r="M450" s="171">
        <f t="shared" ca="1" si="207"/>
        <v>6.059209424067646</v>
      </c>
      <c r="N450" s="171">
        <f t="shared" ca="1" si="207"/>
        <v>6.3229025950582827</v>
      </c>
      <c r="O450" s="171">
        <f t="shared" ca="1" si="207"/>
        <v>6.5813294683637897</v>
      </c>
      <c r="P450" s="171">
        <f t="shared" ca="1" si="207"/>
        <v>6.8449519520060607</v>
      </c>
      <c r="Q450" s="171">
        <f t="shared" ca="1" si="207"/>
        <v>7.1139983283047821</v>
      </c>
      <c r="R450" s="171">
        <f t="shared" ca="1" si="207"/>
        <v>7.3877439312287798</v>
      </c>
      <c r="S450" s="171">
        <f t="shared" ca="1" si="207"/>
        <v>7.6659703668531858</v>
      </c>
      <c r="T450" s="171">
        <f t="shared" ca="1" si="207"/>
        <v>7.9524457176995025</v>
      </c>
    </row>
    <row r="451" spans="1:20">
      <c r="A451" s="167" t="s">
        <v>541</v>
      </c>
      <c r="B451" s="4" t="str">
        <f>$B$39</f>
        <v>From Fiscal Forecasts</v>
      </c>
      <c r="D451" s="175">
        <f>'Fiscal Forecasts'!D$184-SUM(D$449:D$450)</f>
        <v>3.0849999999999991</v>
      </c>
      <c r="E451" s="175">
        <f>'Fiscal Forecasts'!E$184-SUM(E$449:E$450)</f>
        <v>4.2559999999999993</v>
      </c>
      <c r="F451" s="176">
        <f>'Fiscal Forecasts'!F$184-SUM(F$449:F$450)</f>
        <v>0.95099999999999874</v>
      </c>
      <c r="G451" s="176">
        <f>'Fiscal Forecasts'!G$184-SUM(G$449:G$450)</f>
        <v>2.4920000000000009</v>
      </c>
      <c r="H451" s="176">
        <f>'Fiscal Forecasts'!H$184-SUM(H$449:H$450)</f>
        <v>2.6090000000000009</v>
      </c>
      <c r="I451" s="176">
        <f>'Fiscal Forecasts'!I$184-SUM(I$449:I$450)</f>
        <v>3.0589999999999993</v>
      </c>
      <c r="J451" s="176">
        <f>'Fiscal Forecasts'!J$184-SUM(J$449:J$450)</f>
        <v>2.423</v>
      </c>
      <c r="K451" s="171">
        <f t="shared" ref="K451:T451" ca="1" si="208">J$451*(1+K$23)*(1+K$30)</f>
        <v>2.502735125109393</v>
      </c>
      <c r="L451" s="171">
        <f t="shared" ca="1" si="208"/>
        <v>2.5825282469205941</v>
      </c>
      <c r="M451" s="171">
        <f t="shared" ca="1" si="208"/>
        <v>2.6621941167311522</v>
      </c>
      <c r="N451" s="171">
        <f t="shared" ca="1" si="208"/>
        <v>2.7426066448014894</v>
      </c>
      <c r="O451" s="171">
        <f t="shared" ca="1" si="208"/>
        <v>2.8237656939948645</v>
      </c>
      <c r="P451" s="171">
        <f t="shared" ca="1" si="208"/>
        <v>2.9056459584694432</v>
      </c>
      <c r="Q451" s="171">
        <f t="shared" ca="1" si="208"/>
        <v>2.9881060111780364</v>
      </c>
      <c r="R451" s="171">
        <f t="shared" ca="1" si="208"/>
        <v>3.0711474246351926</v>
      </c>
      <c r="S451" s="171">
        <f t="shared" ca="1" si="208"/>
        <v>3.1548267995815249</v>
      </c>
      <c r="T451" s="171">
        <f t="shared" ca="1" si="208"/>
        <v>3.2401721844496834</v>
      </c>
    </row>
    <row r="452" spans="1:20" ht="15">
      <c r="A452" s="168" t="s">
        <v>542</v>
      </c>
      <c r="B452" s="4"/>
      <c r="D452" s="138">
        <f t="shared" ref="D452:T452" si="209">SUM(D$449:D$451)</f>
        <v>10.465999999999999</v>
      </c>
      <c r="E452" s="138">
        <f t="shared" si="209"/>
        <v>10.85</v>
      </c>
      <c r="F452" s="137">
        <f t="shared" si="209"/>
        <v>10.882999999999999</v>
      </c>
      <c r="G452" s="137">
        <f t="shared" si="209"/>
        <v>10.343</v>
      </c>
      <c r="H452" s="137">
        <f t="shared" si="209"/>
        <v>10.303000000000001</v>
      </c>
      <c r="I452" s="137">
        <f t="shared" si="209"/>
        <v>10.715</v>
      </c>
      <c r="J452" s="137">
        <f t="shared" si="209"/>
        <v>10.067</v>
      </c>
      <c r="K452" s="140">
        <f t="shared" ca="1" si="209"/>
        <v>10.47799225121291</v>
      </c>
      <c r="L452" s="140">
        <f t="shared" ca="1" si="209"/>
        <v>10.861064824119966</v>
      </c>
      <c r="M452" s="140">
        <f t="shared" ca="1" si="209"/>
        <v>11.364207085911477</v>
      </c>
      <c r="N452" s="140">
        <f t="shared" ca="1" si="209"/>
        <v>11.89183382390201</v>
      </c>
      <c r="O452" s="140">
        <f t="shared" ca="1" si="209"/>
        <v>12.419997083905921</v>
      </c>
      <c r="P452" s="140">
        <f t="shared" ca="1" si="209"/>
        <v>12.959958984205482</v>
      </c>
      <c r="Q452" s="140">
        <f t="shared" ca="1" si="209"/>
        <v>13.511890924556607</v>
      </c>
      <c r="R452" s="140">
        <f t="shared" ca="1" si="209"/>
        <v>14.074457262258903</v>
      </c>
      <c r="S452" s="140">
        <f t="shared" ca="1" si="209"/>
        <v>14.646873816089823</v>
      </c>
      <c r="T452" s="140">
        <f t="shared" ca="1" si="209"/>
        <v>15.234670641126534</v>
      </c>
    </row>
    <row r="453" spans="1:20" ht="15">
      <c r="A453" s="168" t="s">
        <v>543</v>
      </c>
      <c r="B453" s="4" t="str">
        <f>$B$39</f>
        <v>From Fiscal Forecasts</v>
      </c>
      <c r="D453" s="142">
        <f>'Fiscal Forecasts'!D$131</f>
        <v>16.742000000000001</v>
      </c>
      <c r="E453" s="142">
        <f>'Fiscal Forecasts'!E$131</f>
        <v>16.971</v>
      </c>
      <c r="F453" s="141">
        <f>'Fiscal Forecasts'!F$131</f>
        <v>16.004999999999999</v>
      </c>
      <c r="G453" s="141">
        <f>'Fiscal Forecasts'!G$131</f>
        <v>15.401999999999999</v>
      </c>
      <c r="H453" s="141">
        <f>'Fiscal Forecasts'!H$131</f>
        <v>15.359</v>
      </c>
      <c r="I453" s="141">
        <f>'Fiscal Forecasts'!I$131</f>
        <v>15.843</v>
      </c>
      <c r="J453" s="141">
        <f>'Fiscal Forecasts'!J$131</f>
        <v>15.311999999999999</v>
      </c>
      <c r="K453" s="134">
        <f t="shared" ref="K453:T453" ca="1" si="210">K$452+(J$453-J$452)*(1+K$23)*(1+K$30)</f>
        <v>15.895592635529363</v>
      </c>
      <c r="L453" s="134">
        <f t="shared" ca="1" si="210"/>
        <v>16.45139113658324</v>
      </c>
      <c r="M453" s="134">
        <f t="shared" ca="1" si="210"/>
        <v>17.126983867692282</v>
      </c>
      <c r="N453" s="134">
        <f t="shared" ca="1" si="210"/>
        <v>17.82867734514997</v>
      </c>
      <c r="O453" s="134">
        <f t="shared" ca="1" si="210"/>
        <v>18.532523317914613</v>
      </c>
      <c r="P453" s="134">
        <f t="shared" ca="1" si="210"/>
        <v>19.249729125423901</v>
      </c>
      <c r="Q453" s="134">
        <f t="shared" ca="1" si="210"/>
        <v>19.980160024279595</v>
      </c>
      <c r="R453" s="134">
        <f t="shared" ca="1" si="210"/>
        <v>20.722483775759351</v>
      </c>
      <c r="S453" s="134">
        <f t="shared" ca="1" si="210"/>
        <v>21.476038720673024</v>
      </c>
      <c r="T453" s="134">
        <f t="shared" ca="1" si="210"/>
        <v>22.248580301645969</v>
      </c>
    </row>
    <row r="454" spans="1:20" ht="15">
      <c r="A454" s="168"/>
      <c r="B454" s="4"/>
      <c r="D454" s="152"/>
      <c r="E454" s="152"/>
      <c r="F454" s="152"/>
      <c r="G454" s="152"/>
      <c r="H454" s="152"/>
      <c r="I454" s="152"/>
      <c r="J454" s="152"/>
      <c r="K454" s="152"/>
      <c r="L454" s="152"/>
      <c r="M454" s="152"/>
      <c r="N454" s="152"/>
      <c r="O454" s="152"/>
      <c r="P454" s="152"/>
      <c r="Q454" s="152"/>
      <c r="R454" s="152"/>
      <c r="S454" s="152"/>
      <c r="T454" s="152"/>
    </row>
    <row r="455" spans="1:20" ht="15">
      <c r="A455" s="18" t="s">
        <v>213</v>
      </c>
      <c r="B455" s="4"/>
      <c r="D455" s="142"/>
      <c r="E455" s="142"/>
      <c r="F455" s="134"/>
      <c r="G455" s="134"/>
      <c r="H455" s="134"/>
      <c r="I455" s="134"/>
      <c r="J455" s="134"/>
      <c r="K455" s="134"/>
      <c r="L455" s="134"/>
      <c r="M455" s="134"/>
      <c r="N455" s="134"/>
      <c r="O455" s="134"/>
      <c r="P455" s="134"/>
      <c r="Q455" s="134"/>
      <c r="R455" s="134"/>
      <c r="S455" s="134"/>
      <c r="T455" s="134"/>
    </row>
    <row r="456" spans="1:20" ht="15">
      <c r="A456" s="168" t="s">
        <v>544</v>
      </c>
      <c r="B456" s="4" t="str">
        <f>$B$39</f>
        <v>From Fiscal Forecasts</v>
      </c>
      <c r="D456" s="142">
        <f>'Fiscal Forecasts'!D$185</f>
        <v>0.44900000000000001</v>
      </c>
      <c r="E456" s="142">
        <f>'Fiscal Forecasts'!E$185</f>
        <v>0.39800000000000002</v>
      </c>
      <c r="F456" s="141">
        <f>'Fiscal Forecasts'!F$185</f>
        <v>0.38200000000000001</v>
      </c>
      <c r="G456" s="141">
        <f>'Fiscal Forecasts'!G$185</f>
        <v>0.37</v>
      </c>
      <c r="H456" s="141">
        <f>'Fiscal Forecasts'!H$185</f>
        <v>0.36299999999999999</v>
      </c>
      <c r="I456" s="141">
        <f>'Fiscal Forecasts'!I$185</f>
        <v>0.36</v>
      </c>
      <c r="J456" s="141">
        <f>'Fiscal Forecasts'!J$185</f>
        <v>0.45400000000000001</v>
      </c>
      <c r="K456" s="134">
        <f t="shared" ref="K456:T456" ca="1" si="211">SUM(J$456,K$410-J$410,K$414-J$414)</f>
        <v>0.54900425348362258</v>
      </c>
      <c r="L456" s="134">
        <f t="shared" ca="1" si="211"/>
        <v>0.64407760992973806</v>
      </c>
      <c r="M456" s="134">
        <f t="shared" ca="1" si="211"/>
        <v>0.73899934585342031</v>
      </c>
      <c r="N456" s="134">
        <f t="shared" ca="1" si="211"/>
        <v>0.83481072370693377</v>
      </c>
      <c r="O456" s="134">
        <f t="shared" ca="1" si="211"/>
        <v>0.93151158009210677</v>
      </c>
      <c r="P456" s="134">
        <f t="shared" ca="1" si="211"/>
        <v>1.0290717631453914</v>
      </c>
      <c r="Q456" s="134">
        <f t="shared" ca="1" si="211"/>
        <v>1.1273227628027209</v>
      </c>
      <c r="R456" s="134">
        <f t="shared" ca="1" si="211"/>
        <v>1.2262664527122586</v>
      </c>
      <c r="S456" s="134">
        <f t="shared" ca="1" si="211"/>
        <v>1.3259702725513263</v>
      </c>
      <c r="T456" s="134">
        <f t="shared" ca="1" si="211"/>
        <v>1.4276591401181331</v>
      </c>
    </row>
    <row r="457" spans="1:20" ht="15">
      <c r="A457" s="168" t="s">
        <v>545</v>
      </c>
      <c r="B457" s="4" t="str">
        <f>$B$39</f>
        <v>From Fiscal Forecasts</v>
      </c>
      <c r="D457" s="142">
        <f>'Fiscal Forecasts'!D$132</f>
        <v>2.5230000000000001</v>
      </c>
      <c r="E457" s="142">
        <f>'Fiscal Forecasts'!E$132</f>
        <v>2.59</v>
      </c>
      <c r="F457" s="141">
        <f>'Fiscal Forecasts'!F$132</f>
        <v>2.331</v>
      </c>
      <c r="G457" s="141">
        <f>'Fiscal Forecasts'!G$132</f>
        <v>2.67</v>
      </c>
      <c r="H457" s="141">
        <f>'Fiscal Forecasts'!H$132</f>
        <v>2.8130000000000002</v>
      </c>
      <c r="I457" s="141">
        <f>'Fiscal Forecasts'!I$132</f>
        <v>2.9409999999999998</v>
      </c>
      <c r="J457" s="141">
        <f>'Fiscal Forecasts'!J$132</f>
        <v>3.194</v>
      </c>
      <c r="K457" s="134">
        <f t="shared" ref="K457:T457" ca="1" si="212">SUM(J$457,K$411-J$411,K$415-J$415)</f>
        <v>3.4109598348519308</v>
      </c>
      <c r="L457" s="134">
        <f t="shared" ca="1" si="212"/>
        <v>3.6280774791363921</v>
      </c>
      <c r="M457" s="134">
        <f t="shared" ca="1" si="212"/>
        <v>3.844848869834292</v>
      </c>
      <c r="N457" s="134">
        <f t="shared" ca="1" si="212"/>
        <v>4.0636519228956756</v>
      </c>
      <c r="O457" s="134">
        <f t="shared" ca="1" si="212"/>
        <v>4.2844862651705089</v>
      </c>
      <c r="P457" s="134">
        <f t="shared" ca="1" si="212"/>
        <v>4.5072830392856131</v>
      </c>
      <c r="Q457" s="134">
        <f t="shared" ca="1" si="212"/>
        <v>4.7316574212533213</v>
      </c>
      <c r="R457" s="134">
        <f t="shared" ca="1" si="212"/>
        <v>4.9576136898967507</v>
      </c>
      <c r="S457" s="134">
        <f t="shared" ca="1" si="212"/>
        <v>5.1853058562282266</v>
      </c>
      <c r="T457" s="134">
        <f t="shared" ca="1" si="212"/>
        <v>5.4175312472458774</v>
      </c>
    </row>
    <row r="458" spans="1:20" ht="15">
      <c r="A458" s="168"/>
      <c r="B458" s="4"/>
      <c r="D458" s="149"/>
      <c r="E458" s="149"/>
      <c r="F458" s="149"/>
      <c r="G458" s="149"/>
      <c r="H458" s="149"/>
      <c r="I458" s="149"/>
      <c r="J458" s="149"/>
      <c r="K458" s="149"/>
      <c r="L458" s="149"/>
      <c r="M458" s="149"/>
      <c r="N458" s="149"/>
      <c r="O458" s="149"/>
      <c r="P458" s="149"/>
      <c r="Q458" s="149"/>
      <c r="R458" s="149"/>
      <c r="S458" s="149"/>
      <c r="T458" s="149"/>
    </row>
    <row r="459" spans="1:20" ht="15">
      <c r="A459" s="18" t="s">
        <v>215</v>
      </c>
      <c r="B459" s="4"/>
      <c r="D459" s="141"/>
      <c r="E459" s="141"/>
      <c r="F459" s="141"/>
      <c r="G459" s="141"/>
      <c r="H459" s="134"/>
      <c r="I459" s="134"/>
      <c r="J459" s="134"/>
      <c r="K459" s="134"/>
      <c r="L459" s="134"/>
      <c r="M459" s="134"/>
      <c r="N459" s="134"/>
      <c r="O459" s="134"/>
      <c r="P459" s="134"/>
      <c r="Q459" s="134"/>
      <c r="R459" s="134"/>
      <c r="S459" s="134"/>
      <c r="T459" s="134"/>
    </row>
    <row r="460" spans="1:20" ht="15">
      <c r="A460" s="168" t="s">
        <v>549</v>
      </c>
      <c r="B460" s="4" t="str">
        <f>$B$39</f>
        <v>From Fiscal Forecasts</v>
      </c>
      <c r="D460" s="175">
        <f>'Fiscal Forecasts'!D$186</f>
        <v>4.0000000000000001E-3</v>
      </c>
      <c r="E460" s="175">
        <f>'Fiscal Forecasts'!E$186</f>
        <v>5.0000000000000001E-3</v>
      </c>
      <c r="F460" s="176">
        <f>'Fiscal Forecasts'!F$186</f>
        <v>4.0000000000000001E-3</v>
      </c>
      <c r="G460" s="176">
        <f>'Fiscal Forecasts'!G$186</f>
        <v>4.0000000000000001E-3</v>
      </c>
      <c r="H460" s="176">
        <f>'Fiscal Forecasts'!H$186</f>
        <v>4.0000000000000001E-3</v>
      </c>
      <c r="I460" s="176">
        <f>'Fiscal Forecasts'!I$186</f>
        <v>4.0000000000000001E-3</v>
      </c>
      <c r="J460" s="176">
        <f>'Fiscal Forecasts'!J$186</f>
        <v>4.0000000000000001E-3</v>
      </c>
      <c r="K460" s="171">
        <f t="shared" ref="K460:T460" ca="1" si="213">J$460*(1+K$23)*(1+K$30)</f>
        <v>4.1316304170192211E-3</v>
      </c>
      <c r="L460" s="171">
        <f t="shared" ca="1" si="213"/>
        <v>4.2633565776650341E-3</v>
      </c>
      <c r="M460" s="171">
        <f t="shared" ca="1" si="213"/>
        <v>4.3948726648471367E-3</v>
      </c>
      <c r="N460" s="171">
        <f t="shared" ca="1" si="213"/>
        <v>4.5276213698745198E-3</v>
      </c>
      <c r="O460" s="171">
        <f t="shared" ca="1" si="213"/>
        <v>4.6616024663555349E-3</v>
      </c>
      <c r="P460" s="171">
        <f t="shared" ca="1" si="213"/>
        <v>4.7967741782409309E-3</v>
      </c>
      <c r="Q460" s="171">
        <f t="shared" ca="1" si="213"/>
        <v>4.9329030312472762E-3</v>
      </c>
      <c r="R460" s="171">
        <f t="shared" ca="1" si="213"/>
        <v>5.0699916213540136E-3</v>
      </c>
      <c r="S460" s="171">
        <f t="shared" ca="1" si="213"/>
        <v>5.2081333876706987E-3</v>
      </c>
      <c r="T460" s="171">
        <f t="shared" ca="1" si="213"/>
        <v>5.3490254799004279E-3</v>
      </c>
    </row>
    <row r="461" spans="1:20">
      <c r="A461" s="167" t="s">
        <v>546</v>
      </c>
      <c r="B461" s="4" t="str">
        <f>$B$39</f>
        <v>From Fiscal Forecasts</v>
      </c>
      <c r="D461" s="175">
        <f>'Fiscal Forecasts'!D$365</f>
        <v>56.610999999999997</v>
      </c>
      <c r="E461" s="175">
        <f>'Fiscal Forecasts'!E$365</f>
        <v>64.945999999999998</v>
      </c>
      <c r="F461" s="176">
        <f>'Fiscal Forecasts'!F$365</f>
        <v>57.607999999999997</v>
      </c>
      <c r="G461" s="176">
        <f>'Fiscal Forecasts'!G$365</f>
        <v>59.328000000000003</v>
      </c>
      <c r="H461" s="176">
        <f>'Fiscal Forecasts'!H$365</f>
        <v>61.225999999999999</v>
      </c>
      <c r="I461" s="176">
        <f>'Fiscal Forecasts'!I$365</f>
        <v>63.256999999999998</v>
      </c>
      <c r="J461" s="176">
        <f>'Fiscal Forecasts'!J$365</f>
        <v>65.478999999999999</v>
      </c>
      <c r="K461" s="171">
        <f>J$461*Exogenous!V$29/Exogenous!U$29</f>
        <v>67.578922515778274</v>
      </c>
      <c r="L461" s="171">
        <f>K$461*Exogenous!W$29/Exogenous!V$29</f>
        <v>69.799417293475813</v>
      </c>
      <c r="M461" s="171">
        <f>L$461*Exogenous!X$29/Exogenous!W$29</f>
        <v>72.143055761294519</v>
      </c>
      <c r="N461" s="171">
        <f>M$461*Exogenous!Y$29/Exogenous!X$29</f>
        <v>74.617453283958582</v>
      </c>
      <c r="O461" s="171">
        <f>N$461*Exogenous!Z$29/Exogenous!Y$29</f>
        <v>77.248269052410308</v>
      </c>
      <c r="P461" s="171">
        <f>O$461*Exogenous!AA$29/Exogenous!Z$29</f>
        <v>80.036595233576904</v>
      </c>
      <c r="Q461" s="171">
        <f>P$461*Exogenous!AB$29/Exogenous!AA$29</f>
        <v>82.986370596336201</v>
      </c>
      <c r="R461" s="171">
        <f>Q$461*Exogenous!AC$29/Exogenous!AB$29</f>
        <v>86.096865367926398</v>
      </c>
      <c r="S461" s="171">
        <f>R$461*Exogenous!AD$29/Exogenous!AC$29</f>
        <v>89.370996514690972</v>
      </c>
      <c r="T461" s="171">
        <f>S$461*Exogenous!AE$29/Exogenous!AD$29</f>
        <v>92.820170173751421</v>
      </c>
    </row>
    <row r="462" spans="1:20">
      <c r="A462" s="167" t="s">
        <v>547</v>
      </c>
      <c r="B462" s="4" t="str">
        <f>$B$39</f>
        <v>From Fiscal Forecasts</v>
      </c>
      <c r="D462" s="175">
        <f>SUM('Fiscal Forecasts'!D$366:D$367)-D$460</f>
        <v>1.601</v>
      </c>
      <c r="E462" s="175">
        <f>SUM('Fiscal Forecasts'!E$366:E$367)-E$460</f>
        <v>1.7390000000000001</v>
      </c>
      <c r="F462" s="176">
        <f>SUM('Fiscal Forecasts'!F$366:F$367)-F$460</f>
        <v>0.91700000000000004</v>
      </c>
      <c r="G462" s="176">
        <f>SUM('Fiscal Forecasts'!G$366:G$367)-G$460</f>
        <v>0.64100000000000001</v>
      </c>
      <c r="H462" s="176">
        <f>SUM('Fiscal Forecasts'!H$366:H$367)-H$460</f>
        <v>0.47100000000000003</v>
      </c>
      <c r="I462" s="176">
        <f>SUM('Fiscal Forecasts'!I$366:I$367)-I$460</f>
        <v>0.371</v>
      </c>
      <c r="J462" s="176">
        <f>SUM('Fiscal Forecasts'!J$366:J$367)-J$460</f>
        <v>0.33199999999999996</v>
      </c>
      <c r="K462" s="171">
        <f ca="1">(J$462/J$13+ IF(K$2&gt;0,K$2*IF(K$6=OFFSET(Assumptions!$B$8,0,$C$1),SUMPRODUCT(OFFSET(J$462,0,0,1,-OFFSET(Assumptions!$B$86,0,$C$1)),OFFSET(J$15,0,0,1,-OFFSET(Assumptions!$B$86,0,$C$1)))/OFFSET(Assumptions!$B$86,0,$C$1)-J$462/J$13,(J$462/J$13-I$462/I$13)/J$2),0))*K$13</f>
        <v>0.37611336886018049</v>
      </c>
      <c r="L462" s="171">
        <f ca="1">(K$462/K$13+ IF(L$2&gt;0,L$2*IF(L$6=OFFSET(Assumptions!$B$8,0,$C$1),SUMPRODUCT(OFFSET(K$462,0,0,1,-OFFSET(Assumptions!$B$86,0,$C$1)),OFFSET(K$15,0,0,1,-OFFSET(Assumptions!$B$86,0,$C$1)))/OFFSET(Assumptions!$B$86,0,$C$1)-K$462/K$13,(K$462/K$13-J$462/J$13)/K$2),0))*L$13</f>
        <v>0.41661159441942724</v>
      </c>
      <c r="M462" s="171">
        <f ca="1">(L$462/L$13+ IF(M$2&gt;0,M$2*IF(M$6=OFFSET(Assumptions!$B$8,0,$C$1),SUMPRODUCT(OFFSET(L$462,0,0,1,-OFFSET(Assumptions!$B$86,0,$C$1)),OFFSET(L$15,0,0,1,-OFFSET(Assumptions!$B$86,0,$C$1)))/OFFSET(Assumptions!$B$86,0,$C$1)-L$462/L$13,(L$462/L$13-K$462/K$13)/L$2),0))*M$13</f>
        <v>0.45295013819033408</v>
      </c>
      <c r="N462" s="171">
        <f ca="1">(M$462/M$13+ IF(N$2&gt;0,N$2*IF(N$6=OFFSET(Assumptions!$B$8,0,$C$1),SUMPRODUCT(OFFSET(M$462,0,0,1,-OFFSET(Assumptions!$B$86,0,$C$1)),OFFSET(M$15,0,0,1,-OFFSET(Assumptions!$B$86,0,$C$1)))/OFFSET(Assumptions!$B$86,0,$C$1)-M$462/M$13,(M$462/M$13-L$462/L$13)/M$2),0))*N$13</f>
        <v>0.48506295822626877</v>
      </c>
      <c r="O462" s="171">
        <f ca="1">(N$462/N$13+ IF(O$2&gt;0,O$2*IF(O$6=OFFSET(Assumptions!$B$8,0,$C$1),SUMPRODUCT(OFFSET(N$462,0,0,1,-OFFSET(Assumptions!$B$86,0,$C$1)),OFFSET(N$15,0,0,1,-OFFSET(Assumptions!$B$86,0,$C$1)))/OFFSET(Assumptions!$B$86,0,$C$1)-N$462/N$13,(N$462/N$13-M$462/M$13)/N$2),0))*O$13</f>
        <v>0.51176761008584837</v>
      </c>
      <c r="P462" s="171">
        <f ca="1">(O$462/O$13+ IF(P$2&gt;0,P$2*IF(P$6=OFFSET(Assumptions!$B$8,0,$C$1),SUMPRODUCT(OFFSET(O$462,0,0,1,-OFFSET(Assumptions!$B$86,0,$C$1)),OFFSET(O$15,0,0,1,-OFFSET(Assumptions!$B$86,0,$C$1)))/OFFSET(Assumptions!$B$86,0,$C$1)-O$462/O$13,(O$462/O$13-N$462/N$13)/O$2),0))*P$13</f>
        <v>0.53226703183141277</v>
      </c>
      <c r="Q462" s="171">
        <f ca="1">(P$462/P$13+ IF(Q$2&gt;0,Q$2*IF(Q$6=OFFSET(Assumptions!$B$8,0,$C$1),SUMPRODUCT(OFFSET(P$462,0,0,1,-OFFSET(Assumptions!$B$86,0,$C$1)),OFFSET(P$15,0,0,1,-OFFSET(Assumptions!$B$86,0,$C$1)))/OFFSET(Assumptions!$B$86,0,$C$1)-P$462/P$13,(P$462/P$13-O$462/O$13)/P$2),0))*Q$13</f>
        <v>0.55318821829723597</v>
      </c>
      <c r="R462" s="171">
        <f ca="1">(Q$462/Q$13+ IF(R$2&gt;0,R$2*IF(R$6=OFFSET(Assumptions!$B$8,0,$C$1),SUMPRODUCT(OFFSET(Q$462,0,0,1,-OFFSET(Assumptions!$B$86,0,$C$1)),OFFSET(Q$15,0,0,1,-OFFSET(Assumptions!$B$86,0,$C$1)))/OFFSET(Assumptions!$B$86,0,$C$1)-Q$462/Q$13,(Q$462/Q$13-P$462/P$13)/Q$2),0))*R$13</f>
        <v>0.57447481907498921</v>
      </c>
      <c r="S462" s="171">
        <f ca="1">(R$462/R$13+ IF(S$2&gt;0,S$2*IF(S$6=OFFSET(Assumptions!$B$8,0,$C$1),SUMPRODUCT(OFFSET(R$462,0,0,1,-OFFSET(Assumptions!$B$86,0,$C$1)),OFFSET(R$15,0,0,1,-OFFSET(Assumptions!$B$86,0,$C$1)))/OFFSET(Assumptions!$B$86,0,$C$1)-R$462/R$13,(R$462/R$13-Q$462/Q$13)/R$2),0))*S$13</f>
        <v>0.59610985173923381</v>
      </c>
      <c r="T462" s="171">
        <f ca="1">(S$462/S$13+ IF(T$2&gt;0,T$2*IF(T$6=OFFSET(Assumptions!$B$8,0,$C$1),SUMPRODUCT(OFFSET(S$462,0,0,1,-OFFSET(Assumptions!$B$86,0,$C$1)),OFFSET(S$15,0,0,1,-OFFSET(Assumptions!$B$86,0,$C$1)))/OFFSET(Assumptions!$B$86,0,$C$1)-S$462/S$13,(S$462/S$13-R$462/R$13)/S$2),0))*T$13</f>
        <v>0.61838632435101648</v>
      </c>
    </row>
    <row r="463" spans="1:20" ht="15">
      <c r="A463" s="168" t="s">
        <v>548</v>
      </c>
      <c r="B463" s="4"/>
      <c r="D463" s="138">
        <f t="shared" ref="D463:T463" si="214">SUM(D$460:D$462)</f>
        <v>58.215999999999994</v>
      </c>
      <c r="E463" s="138">
        <f t="shared" si="214"/>
        <v>66.69</v>
      </c>
      <c r="F463" s="137">
        <f t="shared" si="214"/>
        <v>58.528999999999996</v>
      </c>
      <c r="G463" s="137">
        <f t="shared" si="214"/>
        <v>59.972999999999999</v>
      </c>
      <c r="H463" s="137">
        <f t="shared" si="214"/>
        <v>61.700999999999993</v>
      </c>
      <c r="I463" s="137">
        <f t="shared" si="214"/>
        <v>63.631999999999998</v>
      </c>
      <c r="J463" s="137">
        <f t="shared" si="214"/>
        <v>65.814999999999998</v>
      </c>
      <c r="K463" s="140">
        <f t="shared" ca="1" si="214"/>
        <v>67.959167515055469</v>
      </c>
      <c r="L463" s="140">
        <f t="shared" ca="1" si="214"/>
        <v>70.220292244472901</v>
      </c>
      <c r="M463" s="140">
        <f t="shared" ca="1" si="214"/>
        <v>72.600400772149698</v>
      </c>
      <c r="N463" s="140">
        <f t="shared" ca="1" si="214"/>
        <v>75.107043863554722</v>
      </c>
      <c r="O463" s="140">
        <f t="shared" ca="1" si="214"/>
        <v>77.764698264962519</v>
      </c>
      <c r="P463" s="140">
        <f t="shared" ca="1" si="214"/>
        <v>80.573659039586559</v>
      </c>
      <c r="Q463" s="140">
        <f t="shared" ca="1" si="214"/>
        <v>83.544491717664684</v>
      </c>
      <c r="R463" s="140">
        <f t="shared" ca="1" si="214"/>
        <v>86.676410178622746</v>
      </c>
      <c r="S463" s="140">
        <f t="shared" ca="1" si="214"/>
        <v>89.97231449981787</v>
      </c>
      <c r="T463" s="140">
        <f t="shared" ca="1" si="214"/>
        <v>93.443905523582345</v>
      </c>
    </row>
    <row r="464" spans="1:20" ht="15">
      <c r="A464" s="168"/>
      <c r="B464" s="4"/>
      <c r="D464" s="46"/>
      <c r="E464" s="46"/>
      <c r="F464" s="145"/>
      <c r="G464" s="145"/>
      <c r="H464" s="145"/>
      <c r="I464" s="145"/>
      <c r="J464" s="145"/>
      <c r="K464" s="146"/>
      <c r="L464" s="146"/>
      <c r="M464" s="146"/>
      <c r="N464" s="146"/>
      <c r="O464" s="146"/>
      <c r="P464" s="146"/>
      <c r="Q464" s="146"/>
      <c r="R464" s="146"/>
      <c r="S464" s="146"/>
      <c r="T464" s="146"/>
    </row>
    <row r="465" spans="1:20" ht="15">
      <c r="A465" s="18" t="s">
        <v>550</v>
      </c>
      <c r="B465" s="4"/>
      <c r="D465" s="46"/>
      <c r="E465" s="46"/>
      <c r="F465" s="145"/>
      <c r="G465" s="145"/>
      <c r="H465" s="145"/>
      <c r="I465" s="145"/>
      <c r="J465" s="145"/>
      <c r="K465" s="146"/>
      <c r="L465" s="146"/>
      <c r="M465" s="146"/>
      <c r="N465" s="146"/>
      <c r="O465" s="146"/>
      <c r="P465" s="146"/>
      <c r="Q465" s="146"/>
      <c r="R465" s="146"/>
      <c r="S465" s="146"/>
      <c r="T465" s="146"/>
    </row>
    <row r="466" spans="1:20" ht="15">
      <c r="A466" s="168" t="s">
        <v>551</v>
      </c>
      <c r="B466" s="4" t="str">
        <f>$B$39</f>
        <v>From Fiscal Forecasts</v>
      </c>
      <c r="D466" s="175">
        <f>'Fiscal Forecasts'!D$187</f>
        <v>13.164999999999999</v>
      </c>
      <c r="E466" s="175">
        <f>'Fiscal Forecasts'!E$187</f>
        <v>13.976000000000001</v>
      </c>
      <c r="F466" s="176">
        <f>'Fiscal Forecasts'!F$187</f>
        <v>12.718999999999999</v>
      </c>
      <c r="G466" s="176">
        <f>'Fiscal Forecasts'!G$187</f>
        <v>11.853</v>
      </c>
      <c r="H466" s="176">
        <f>'Fiscal Forecasts'!H$187</f>
        <v>10.99</v>
      </c>
      <c r="I466" s="176">
        <f>'Fiscal Forecasts'!I$187</f>
        <v>10.148999999999999</v>
      </c>
      <c r="J466" s="176">
        <f>'Fiscal Forecasts'!J$187</f>
        <v>9.34</v>
      </c>
      <c r="K466" s="171">
        <f>J$466*(Exogenous!V$34-Exogenous!V$33)/(Exogenous!U$34-Exogenous!U$33)</f>
        <v>9.0059279639819909</v>
      </c>
      <c r="L466" s="171">
        <f>K$466*(Exogenous!W$34-Exogenous!W$33)/(Exogenous!V$34-Exogenous!V$33)</f>
        <v>8.6788644322161073</v>
      </c>
      <c r="M466" s="171">
        <f>L$466*(Exogenous!X$34-Exogenous!X$33)/(Exogenous!W$34-Exogenous!W$33)</f>
        <v>8.3553051525762889</v>
      </c>
      <c r="N466" s="171">
        <f>M$466*(Exogenous!Y$34-Exogenous!Y$33)/(Exogenous!X$34-Exogenous!X$33)</f>
        <v>8.0235692846423206</v>
      </c>
      <c r="O466" s="171">
        <f>N$466*(Exogenous!Z$34-Exogenous!Z$33)/(Exogenous!Y$34-Exogenous!Y$33)</f>
        <v>7.6859929964982499</v>
      </c>
      <c r="P466" s="171">
        <f>O$466*(Exogenous!AA$34-Exogenous!AA$33)/(Exogenous!Z$34-Exogenous!Z$33)</f>
        <v>7.3414082041020512</v>
      </c>
      <c r="Q466" s="171">
        <f>P$466*(Exogenous!AB$34-Exogenous!AB$33)/(Exogenous!AA$34-Exogenous!AA$33)</f>
        <v>6.9933191595797908</v>
      </c>
      <c r="R466" s="171">
        <f>Q$466*(Exogenous!AC$34-Exogenous!AC$33)/(Exogenous!AB$34-Exogenous!AB$33)</f>
        <v>6.6382216108054033</v>
      </c>
      <c r="S466" s="171">
        <f>R$466*(Exogenous!AD$34-Exogenous!AD$33)/(Exogenous!AC$34-Exogenous!AC$33)</f>
        <v>6.2807878939469743</v>
      </c>
      <c r="T466" s="171">
        <f>S$466*(Exogenous!AE$34-Exogenous!AE$33)/(Exogenous!AD$34-Exogenous!AD$33)</f>
        <v>5.9245222611305657</v>
      </c>
    </row>
    <row r="467" spans="1:20">
      <c r="A467" s="167" t="s">
        <v>552</v>
      </c>
      <c r="B467" s="4" t="str">
        <f>$B$39</f>
        <v>From Fiscal Forecasts</v>
      </c>
      <c r="D467" s="175">
        <f>'Fiscal Forecasts'!D$135-D$466</f>
        <v>1.4000000000001123E-2</v>
      </c>
      <c r="E467" s="175">
        <f>'Fiscal Forecasts'!E$135-E$466</f>
        <v>6.9999999999996732E-3</v>
      </c>
      <c r="F467" s="176">
        <f>'Fiscal Forecasts'!F$135-F$466</f>
        <v>6.0000000000002274E-3</v>
      </c>
      <c r="G467" s="176">
        <f>'Fiscal Forecasts'!G$135-G$466</f>
        <v>6.0000000000002274E-3</v>
      </c>
      <c r="H467" s="176">
        <f>'Fiscal Forecasts'!H$135-H$466</f>
        <v>6.9999999999996732E-3</v>
      </c>
      <c r="I467" s="176">
        <f>'Fiscal Forecasts'!I$135-I$466</f>
        <v>6.0000000000002274E-3</v>
      </c>
      <c r="J467" s="176">
        <f>'Fiscal Forecasts'!J$135-J$466</f>
        <v>6.0000000000002274E-3</v>
      </c>
      <c r="K467" s="171">
        <f ca="1">IF(K$6=OFFSET(Assumptions!$B$8,0,$C$1),0,J$467)</f>
        <v>0</v>
      </c>
      <c r="L467" s="171">
        <f ca="1">IF(L$6=OFFSET(Assumptions!$B$8,0,$C$1),0,K$467)</f>
        <v>0</v>
      </c>
      <c r="M467" s="171">
        <f ca="1">IF(M$6=OFFSET(Assumptions!$B$8,0,$C$1),0,L$467)</f>
        <v>0</v>
      </c>
      <c r="N467" s="171">
        <f ca="1">IF(N$6=OFFSET(Assumptions!$B$8,0,$C$1),0,M$467)</f>
        <v>0</v>
      </c>
      <c r="O467" s="171">
        <f ca="1">IF(O$6=OFFSET(Assumptions!$B$8,0,$C$1),0,N$467)</f>
        <v>0</v>
      </c>
      <c r="P467" s="171">
        <f ca="1">IF(P$6=OFFSET(Assumptions!$B$8,0,$C$1),0,O$467)</f>
        <v>0</v>
      </c>
      <c r="Q467" s="171">
        <f ca="1">IF(Q$6=OFFSET(Assumptions!$B$8,0,$C$1),0,P$467)</f>
        <v>0</v>
      </c>
      <c r="R467" s="171">
        <f ca="1">IF(R$6=OFFSET(Assumptions!$B$8,0,$C$1),0,Q$467)</f>
        <v>0</v>
      </c>
      <c r="S467" s="171">
        <f ca="1">IF(S$6=OFFSET(Assumptions!$B$8,0,$C$1),0,R$467)</f>
        <v>0</v>
      </c>
      <c r="T467" s="171">
        <f ca="1">IF(T$6=OFFSET(Assumptions!$B$8,0,$C$1),0,S$467)</f>
        <v>0</v>
      </c>
    </row>
    <row r="468" spans="1:20" ht="15">
      <c r="A468" s="168" t="s">
        <v>553</v>
      </c>
      <c r="B468" s="4"/>
      <c r="D468" s="138">
        <f t="shared" ref="D468:T468" si="215">SUM(D$466:D$467)</f>
        <v>13.179</v>
      </c>
      <c r="E468" s="138">
        <f t="shared" si="215"/>
        <v>13.983000000000001</v>
      </c>
      <c r="F468" s="137">
        <f t="shared" si="215"/>
        <v>12.725</v>
      </c>
      <c r="G468" s="137">
        <f t="shared" si="215"/>
        <v>11.859</v>
      </c>
      <c r="H468" s="137">
        <f t="shared" si="215"/>
        <v>10.997</v>
      </c>
      <c r="I468" s="137">
        <f t="shared" si="215"/>
        <v>10.154999999999999</v>
      </c>
      <c r="J468" s="137">
        <f t="shared" si="215"/>
        <v>9.3460000000000001</v>
      </c>
      <c r="K468" s="140">
        <f t="shared" ca="1" si="215"/>
        <v>9.0059279639819909</v>
      </c>
      <c r="L468" s="140">
        <f t="shared" ca="1" si="215"/>
        <v>8.6788644322161073</v>
      </c>
      <c r="M468" s="140">
        <f t="shared" ca="1" si="215"/>
        <v>8.3553051525762889</v>
      </c>
      <c r="N468" s="140">
        <f t="shared" ca="1" si="215"/>
        <v>8.0235692846423206</v>
      </c>
      <c r="O468" s="140">
        <f t="shared" ca="1" si="215"/>
        <v>7.6859929964982499</v>
      </c>
      <c r="P468" s="140">
        <f t="shared" ca="1" si="215"/>
        <v>7.3414082041020512</v>
      </c>
      <c r="Q468" s="140">
        <f t="shared" ca="1" si="215"/>
        <v>6.9933191595797908</v>
      </c>
      <c r="R468" s="140">
        <f t="shared" ca="1" si="215"/>
        <v>6.6382216108054033</v>
      </c>
      <c r="S468" s="140">
        <f t="shared" ca="1" si="215"/>
        <v>6.2807878939469743</v>
      </c>
      <c r="T468" s="140">
        <f t="shared" ca="1" si="215"/>
        <v>5.9245222611305657</v>
      </c>
    </row>
    <row r="469" spans="1:20" ht="15">
      <c r="A469" s="168"/>
      <c r="B469" s="4"/>
      <c r="D469" s="46"/>
      <c r="E469" s="46"/>
      <c r="F469" s="145"/>
      <c r="G469" s="145"/>
      <c r="H469" s="145"/>
      <c r="I469" s="145"/>
      <c r="J469" s="145"/>
      <c r="K469" s="146"/>
      <c r="L469" s="146"/>
      <c r="M469" s="146"/>
      <c r="N469" s="146"/>
      <c r="O469" s="146"/>
      <c r="P469" s="146"/>
      <c r="Q469" s="146"/>
      <c r="R469" s="146"/>
      <c r="S469" s="146"/>
      <c r="T469" s="146"/>
    </row>
    <row r="470" spans="1:20">
      <c r="A470" s="18" t="s">
        <v>217</v>
      </c>
      <c r="B470" s="4"/>
      <c r="K470" s="171"/>
    </row>
    <row r="471" spans="1:20">
      <c r="A471" s="167" t="s">
        <v>1158</v>
      </c>
      <c r="B471" s="4" t="str">
        <f>$B$39</f>
        <v>From Fiscal Forecasts</v>
      </c>
      <c r="D471" s="175">
        <f>'Fiscal Forecasts'!D$360</f>
        <v>2.8839999999999999</v>
      </c>
      <c r="E471" s="175">
        <f>'Fiscal Forecasts'!E$360</f>
        <v>3.8039999999999998</v>
      </c>
      <c r="F471" s="176">
        <f>'Fiscal Forecasts'!F$360</f>
        <v>5.2549999999999999</v>
      </c>
      <c r="G471" s="176">
        <f>'Fiscal Forecasts'!G$360</f>
        <v>5.3390000000000004</v>
      </c>
      <c r="H471" s="176">
        <f>'Fiscal Forecasts'!H$360</f>
        <v>5.3529999999999998</v>
      </c>
      <c r="I471" s="176">
        <f>'Fiscal Forecasts'!I$360</f>
        <v>5.125</v>
      </c>
      <c r="J471" s="176">
        <f>'Fiscal Forecasts'!J$360</f>
        <v>4.7229999999999999</v>
      </c>
      <c r="K471" s="171">
        <f t="shared" ref="K471:T471" ca="1" si="216">MAX(J$471-K$138+K$144+K$313,0)</f>
        <v>4.3877540349514561</v>
      </c>
      <c r="L471" s="171">
        <f t="shared" ca="1" si="216"/>
        <v>4.1178070146104293</v>
      </c>
      <c r="M471" s="171">
        <f t="shared" ca="1" si="216"/>
        <v>3.9117962369910537</v>
      </c>
      <c r="N471" s="171">
        <f t="shared" ca="1" si="216"/>
        <v>3.7696137232851936</v>
      </c>
      <c r="O471" s="171">
        <f t="shared" ca="1" si="216"/>
        <v>3.6911770691818004</v>
      </c>
      <c r="P471" s="171">
        <f t="shared" ca="1" si="216"/>
        <v>3.6764294016753922</v>
      </c>
      <c r="Q471" s="171">
        <f t="shared" ca="1" si="216"/>
        <v>3.6764294016753922</v>
      </c>
      <c r="R471" s="171">
        <f t="shared" ca="1" si="216"/>
        <v>3.6764294016753922</v>
      </c>
      <c r="S471" s="171">
        <f t="shared" ca="1" si="216"/>
        <v>3.6764294016753922</v>
      </c>
      <c r="T471" s="171">
        <f t="shared" ca="1" si="216"/>
        <v>3.6764294016753922</v>
      </c>
    </row>
    <row r="472" spans="1:20">
      <c r="A472" s="167" t="s">
        <v>1159</v>
      </c>
      <c r="B472" s="4" t="str">
        <f>$B$39</f>
        <v>From Fiscal Forecasts</v>
      </c>
      <c r="D472" s="175">
        <f>'Fiscal Forecasts'!D$188-D$471</f>
        <v>7.5890000000000004</v>
      </c>
      <c r="E472" s="175">
        <f>'Fiscal Forecasts'!E$188-E$471</f>
        <v>9.3089999999999993</v>
      </c>
      <c r="F472" s="176">
        <f>'Fiscal Forecasts'!F$188-F$471</f>
        <v>8.6550000000000011</v>
      </c>
      <c r="G472" s="176">
        <f>'Fiscal Forecasts'!G$188-G$471</f>
        <v>7.8629999999999995</v>
      </c>
      <c r="H472" s="176">
        <f>'Fiscal Forecasts'!H$188-H$471</f>
        <v>8.0850000000000009</v>
      </c>
      <c r="I472" s="176">
        <f>'Fiscal Forecasts'!I$188-I$471</f>
        <v>8.0190000000000001</v>
      </c>
      <c r="J472" s="176">
        <f>'Fiscal Forecasts'!J$188-J$471</f>
        <v>7.9059999999999997</v>
      </c>
      <c r="K472" s="171">
        <f t="shared" ref="K472:T472" ca="1" si="217">J$472*(1+K$23)*(1+K$30)</f>
        <v>8.1661675192384902</v>
      </c>
      <c r="L472" s="171">
        <f t="shared" ca="1" si="217"/>
        <v>8.4265242757549395</v>
      </c>
      <c r="M472" s="171">
        <f t="shared" ca="1" si="217"/>
        <v>8.6864658220703657</v>
      </c>
      <c r="N472" s="171">
        <f t="shared" ca="1" si="217"/>
        <v>8.9488436375569886</v>
      </c>
      <c r="O472" s="171">
        <f t="shared" ca="1" si="217"/>
        <v>9.213657274751716</v>
      </c>
      <c r="P472" s="171">
        <f t="shared" ca="1" si="217"/>
        <v>9.4808241632932013</v>
      </c>
      <c r="Q472" s="171">
        <f t="shared" ca="1" si="217"/>
        <v>9.7498828412602432</v>
      </c>
      <c r="R472" s="171">
        <f t="shared" ca="1" si="217"/>
        <v>10.02083843960621</v>
      </c>
      <c r="S472" s="171">
        <f t="shared" ca="1" si="217"/>
        <v>10.293875640731139</v>
      </c>
      <c r="T472" s="171">
        <f t="shared" ca="1" si="217"/>
        <v>10.572348861023197</v>
      </c>
    </row>
    <row r="473" spans="1:20" ht="15">
      <c r="A473" s="168" t="s">
        <v>554</v>
      </c>
      <c r="B473" s="4"/>
      <c r="D473" s="138">
        <f t="shared" ref="D473:T473" si="218">SUM(D$471:D$472)</f>
        <v>10.473000000000001</v>
      </c>
      <c r="E473" s="138">
        <f t="shared" si="218"/>
        <v>13.113</v>
      </c>
      <c r="F473" s="137">
        <f t="shared" si="218"/>
        <v>13.91</v>
      </c>
      <c r="G473" s="137">
        <f t="shared" si="218"/>
        <v>13.202</v>
      </c>
      <c r="H473" s="137">
        <f t="shared" si="218"/>
        <v>13.438000000000001</v>
      </c>
      <c r="I473" s="137">
        <f t="shared" si="218"/>
        <v>13.144</v>
      </c>
      <c r="J473" s="137">
        <f t="shared" si="218"/>
        <v>12.629</v>
      </c>
      <c r="K473" s="140">
        <f t="shared" ca="1" si="218"/>
        <v>12.553921554189946</v>
      </c>
      <c r="L473" s="140">
        <f t="shared" ca="1" si="218"/>
        <v>12.544331290365369</v>
      </c>
      <c r="M473" s="140">
        <f t="shared" ca="1" si="218"/>
        <v>12.598262059061419</v>
      </c>
      <c r="N473" s="140">
        <f t="shared" ca="1" si="218"/>
        <v>12.718457360842182</v>
      </c>
      <c r="O473" s="140">
        <f t="shared" ca="1" si="218"/>
        <v>12.904834343933516</v>
      </c>
      <c r="P473" s="140">
        <f t="shared" ca="1" si="218"/>
        <v>13.157253564968594</v>
      </c>
      <c r="Q473" s="140">
        <f t="shared" ca="1" si="218"/>
        <v>13.426312242935635</v>
      </c>
      <c r="R473" s="140">
        <f t="shared" ca="1" si="218"/>
        <v>13.697267841281603</v>
      </c>
      <c r="S473" s="140">
        <f t="shared" ca="1" si="218"/>
        <v>13.970305042406531</v>
      </c>
      <c r="T473" s="140">
        <f t="shared" ca="1" si="218"/>
        <v>14.24877826269859</v>
      </c>
    </row>
    <row r="474" spans="1:20" ht="15">
      <c r="A474" s="168" t="s">
        <v>555</v>
      </c>
      <c r="B474" s="4" t="str">
        <f>$B$39</f>
        <v>From Fiscal Forecasts</v>
      </c>
      <c r="D474" s="46">
        <f>'Fiscal Forecasts'!D$136</f>
        <v>13.592000000000001</v>
      </c>
      <c r="E474" s="46">
        <f>'Fiscal Forecasts'!E$136</f>
        <v>16.484000000000002</v>
      </c>
      <c r="F474" s="141">
        <f>'Fiscal Forecasts'!F$136</f>
        <v>18.452999999999999</v>
      </c>
      <c r="G474" s="141">
        <f>'Fiscal Forecasts'!G$136</f>
        <v>18.411000000000001</v>
      </c>
      <c r="H474" s="141">
        <f>'Fiscal Forecasts'!H$136</f>
        <v>18.321999999999999</v>
      </c>
      <c r="I474" s="141">
        <f>'Fiscal Forecasts'!I$136</f>
        <v>18.23</v>
      </c>
      <c r="J474" s="141">
        <f>'Fiscal Forecasts'!J$136</f>
        <v>17.898</v>
      </c>
      <c r="K474" s="134">
        <f t="shared" ref="K474:T474" ca="1" si="219">K$473+(J$474-J$473)*(1+K$23)*(1+K$30)</f>
        <v>17.996311721008514</v>
      </c>
      <c r="L474" s="134">
        <f t="shared" ca="1" si="219"/>
        <v>18.160237742294633</v>
      </c>
      <c r="M474" s="134">
        <f t="shared" ca="1" si="219"/>
        <v>18.387408076831306</v>
      </c>
      <c r="N474" s="134">
        <f t="shared" ca="1" si="219"/>
        <v>18.68246661030939</v>
      </c>
      <c r="O474" s="134">
        <f t="shared" ca="1" si="219"/>
        <v>19.045330192740341</v>
      </c>
      <c r="P474" s="134">
        <f t="shared" ca="1" si="219"/>
        <v>19.475804351256457</v>
      </c>
      <c r="Q474" s="134">
        <f t="shared" ca="1" si="219"/>
        <v>19.924178760846107</v>
      </c>
      <c r="R474" s="134">
        <f t="shared" ca="1" si="219"/>
        <v>20.375714304510176</v>
      </c>
      <c r="S474" s="134">
        <f t="shared" ca="1" si="219"/>
        <v>20.830718747315757</v>
      </c>
      <c r="T474" s="134">
        <f t="shared" ca="1" si="219"/>
        <v>21.294782076097427</v>
      </c>
    </row>
    <row r="476" spans="1:20">
      <c r="A476" s="18" t="s">
        <v>495</v>
      </c>
    </row>
    <row r="477" spans="1:20">
      <c r="A477" s="167" t="s">
        <v>351</v>
      </c>
      <c r="B477" s="4" t="str">
        <f t="shared" ref="B477:B483" si="220">$B$39</f>
        <v>From Fiscal Forecasts</v>
      </c>
      <c r="D477" s="175">
        <f>'Fiscal Forecasts'!D$371</f>
        <v>83.715999999999994</v>
      </c>
      <c r="E477" s="175">
        <f>'Fiscal Forecasts'!E$371</f>
        <v>84.31</v>
      </c>
      <c r="F477" s="176">
        <f>'Fiscal Forecasts'!F$371 +IF($C$2="Yes",SUM('Fiscal Forecast Adjuster'!C$8:C$12)/1000,0) +IF($C$3="Yes",'NZSF Adjuster'!Q$22-Exogenous!Q$8,0)</f>
        <v>90.495000000000005</v>
      </c>
      <c r="G477" s="176">
        <f>'Fiscal Forecasts'!G$371 +IF($C$2="Yes",SUM('Fiscal Forecast Adjuster'!D$8:D$12)/1000,0) +IF($C$3="Yes",'NZSF Adjuster'!R$22-Exogenous!R$8,0)</f>
        <v>95.986000000000004</v>
      </c>
      <c r="H477" s="176">
        <f>'Fiscal Forecasts'!H$371 +IF($C$2="Yes",SUM('Fiscal Forecast Adjuster'!E$8:E$12)/1000,0) +IF($C$3="Yes",'NZSF Adjuster'!S$22-Exogenous!S$8,0)</f>
        <v>101.23699999999999</v>
      </c>
      <c r="I477" s="176">
        <f>'Fiscal Forecasts'!I$371 +IF($C$2="Yes",SUM('Fiscal Forecast Adjuster'!F$8:F$12)/1000,0) +IF($C$3="Yes",'NZSF Adjuster'!T$22-Exogenous!T$8,0)</f>
        <v>107.334</v>
      </c>
      <c r="J477" s="176">
        <f>'Fiscal Forecasts'!J$371 +IF($C$2="Yes",SUM('Fiscal Forecast Adjuster'!G$8:G$12)/1000,0) +IF($C$3="Yes",'NZSF Adjuster'!U$22-Exogenous!U$8,0)</f>
        <v>113.404</v>
      </c>
      <c r="K477" s="171">
        <f t="shared" ref="K477:T477" ca="1" si="221">SUM(K$135,K$376,K$450-J$450)-SUM(K$351-J$351,K$273)</f>
        <v>119.05007985263471</v>
      </c>
      <c r="L477" s="171">
        <f t="shared" ca="1" si="221"/>
        <v>124.44636726487049</v>
      </c>
      <c r="M477" s="171">
        <f t="shared" ca="1" si="221"/>
        <v>129.74302579001196</v>
      </c>
      <c r="N477" s="171">
        <f t="shared" ca="1" si="221"/>
        <v>135.41875182179535</v>
      </c>
      <c r="O477" s="171">
        <f t="shared" ca="1" si="221"/>
        <v>141.03113324572507</v>
      </c>
      <c r="P477" s="171">
        <f t="shared" ca="1" si="221"/>
        <v>146.73824072316651</v>
      </c>
      <c r="Q477" s="171">
        <f t="shared" ca="1" si="221"/>
        <v>152.56384084150011</v>
      </c>
      <c r="R477" s="171">
        <f t="shared" ca="1" si="221"/>
        <v>158.49414349020265</v>
      </c>
      <c r="S477" s="171">
        <f t="shared" ca="1" si="221"/>
        <v>164.52319387295623</v>
      </c>
      <c r="T477" s="171">
        <f t="shared" ca="1" si="221"/>
        <v>170.72366928063238</v>
      </c>
    </row>
    <row r="478" spans="1:20">
      <c r="A478" s="167" t="s">
        <v>163</v>
      </c>
      <c r="B478" s="4" t="str">
        <f t="shared" si="220"/>
        <v>From Fiscal Forecasts</v>
      </c>
      <c r="D478" s="175">
        <f>'Fiscal Forecasts'!D$372</f>
        <v>1.359</v>
      </c>
      <c r="E478" s="175">
        <f>'Fiscal Forecasts'!E$372</f>
        <v>1.226</v>
      </c>
      <c r="F478" s="176">
        <f>'Fiscal Forecasts'!F$372</f>
        <v>2.2189999999999999</v>
      </c>
      <c r="G478" s="176">
        <f>'Fiscal Forecasts'!G$372</f>
        <v>1.6120000000000001</v>
      </c>
      <c r="H478" s="176">
        <f>'Fiscal Forecasts'!H$372</f>
        <v>1.7629999999999999</v>
      </c>
      <c r="I478" s="176">
        <f>'Fiscal Forecasts'!I$372</f>
        <v>1.9219999999999999</v>
      </c>
      <c r="J478" s="176">
        <f>'Fiscal Forecasts'!J$372</f>
        <v>1.9219999999999999</v>
      </c>
      <c r="K478" s="171">
        <f ca="1">SUM(K$139,K$144)</f>
        <v>1.9825011955495562</v>
      </c>
      <c r="L478" s="171">
        <f t="shared" ref="L478:T478" ca="1" si="222">SUM(L$139,L$144)</f>
        <v>2.053401463145613</v>
      </c>
      <c r="M478" s="171">
        <f t="shared" ca="1" si="222"/>
        <v>2.1249715544444618</v>
      </c>
      <c r="N478" s="171">
        <f t="shared" ca="1" si="222"/>
        <v>2.1995754415288955</v>
      </c>
      <c r="O478" s="171">
        <f t="shared" ca="1" si="222"/>
        <v>2.2757739049290966</v>
      </c>
      <c r="P478" s="171">
        <f t="shared" ca="1" si="222"/>
        <v>2.3535647311304571</v>
      </c>
      <c r="Q478" s="171">
        <f t="shared" ca="1" si="222"/>
        <v>2.4329484043638043</v>
      </c>
      <c r="R478" s="171">
        <f t="shared" ca="1" si="222"/>
        <v>2.5137530630447946</v>
      </c>
      <c r="S478" s="171">
        <f t="shared" ca="1" si="222"/>
        <v>2.5959307447834754</v>
      </c>
      <c r="T478" s="171">
        <f t="shared" ca="1" si="222"/>
        <v>2.6804083604898934</v>
      </c>
    </row>
    <row r="479" spans="1:20">
      <c r="A479" s="167" t="s">
        <v>352</v>
      </c>
      <c r="B479" s="4" t="str">
        <f t="shared" si="220"/>
        <v>From Fiscal Forecasts</v>
      </c>
      <c r="D479" s="175">
        <f>'Fiscal Forecasts'!D$374</f>
        <v>3.2</v>
      </c>
      <c r="E479" s="175">
        <f>'Fiscal Forecasts'!E$374</f>
        <v>3.2429999999999999</v>
      </c>
      <c r="F479" s="176">
        <f>'Fiscal Forecasts'!F$374</f>
        <v>2.8620000000000001</v>
      </c>
      <c r="G479" s="176">
        <f>'Fiscal Forecasts'!G$374</f>
        <v>2.8340000000000001</v>
      </c>
      <c r="H479" s="176">
        <f>'Fiscal Forecasts'!H$374</f>
        <v>3.1440000000000001</v>
      </c>
      <c r="I479" s="176">
        <f>'Fiscal Forecasts'!I$374</f>
        <v>3.0489999999999999</v>
      </c>
      <c r="J479" s="176">
        <f>'Fiscal Forecasts'!J$374</f>
        <v>3.157</v>
      </c>
      <c r="K479" s="171">
        <f t="shared" ref="K479:T479" ca="1" si="223">SUM(K$147,K$162,K$170)</f>
        <v>3.0879302332494167</v>
      </c>
      <c r="L479" s="171">
        <f t="shared" ca="1" si="223"/>
        <v>3.280255997577938</v>
      </c>
      <c r="M479" s="171">
        <f t="shared" ca="1" si="223"/>
        <v>3.4791293090215847</v>
      </c>
      <c r="N479" s="171">
        <f t="shared" ca="1" si="223"/>
        <v>3.6887864459209432</v>
      </c>
      <c r="O479" s="171">
        <f t="shared" ca="1" si="223"/>
        <v>3.9059560855332842</v>
      </c>
      <c r="P479" s="171">
        <f t="shared" ca="1" si="223"/>
        <v>4.1297151811075308</v>
      </c>
      <c r="Q479" s="171">
        <f t="shared" ca="1" si="223"/>
        <v>4.3607943717314228</v>
      </c>
      <c r="R479" s="171">
        <f t="shared" ca="1" si="223"/>
        <v>4.6000854814513641</v>
      </c>
      <c r="S479" s="171">
        <f t="shared" ca="1" si="223"/>
        <v>4.8475627197166258</v>
      </c>
      <c r="T479" s="171">
        <f t="shared" ca="1" si="223"/>
        <v>5.1054867907615611</v>
      </c>
    </row>
    <row r="480" spans="1:20">
      <c r="A480" s="167" t="s">
        <v>959</v>
      </c>
      <c r="B480" s="4" t="str">
        <f t="shared" si="220"/>
        <v>From Fiscal Forecasts</v>
      </c>
      <c r="D480" s="175">
        <f>'Fiscal Forecasts'!D$373</f>
        <v>0.71199999999999997</v>
      </c>
      <c r="E480" s="175">
        <f>'Fiscal Forecasts'!E$373</f>
        <v>0.42799999999999999</v>
      </c>
      <c r="F480" s="176">
        <f>'Fiscal Forecasts'!F$373</f>
        <v>0.22700000000000001</v>
      </c>
      <c r="G480" s="176">
        <f>'Fiscal Forecasts'!G$373</f>
        <v>0.217</v>
      </c>
      <c r="H480" s="176">
        <f>'Fiscal Forecasts'!H$373</f>
        <v>0.26100000000000001</v>
      </c>
      <c r="I480" s="176">
        <f>'Fiscal Forecasts'!I$373</f>
        <v>0.31900000000000001</v>
      </c>
      <c r="J480" s="176">
        <f>'Fiscal Forecasts'!J$373</f>
        <v>0.38100000000000001</v>
      </c>
      <c r="K480" s="171">
        <f t="shared" ref="K480:T480" ca="1" si="224">SUM(K$153,K$332)</f>
        <v>0.17241233495456249</v>
      </c>
      <c r="L480" s="171">
        <f t="shared" ca="1" si="224"/>
        <v>0.19503819993163457</v>
      </c>
      <c r="M480" s="171">
        <f t="shared" ca="1" si="224"/>
        <v>0.21906720775424662</v>
      </c>
      <c r="N480" s="171">
        <f t="shared" ca="1" si="224"/>
        <v>0.24438359362547943</v>
      </c>
      <c r="O480" s="171">
        <f t="shared" ca="1" si="224"/>
        <v>0.27049008262840474</v>
      </c>
      <c r="P480" s="171">
        <f t="shared" ca="1" si="224"/>
        <v>0.29683230660941062</v>
      </c>
      <c r="Q480" s="171">
        <f t="shared" ca="1" si="224"/>
        <v>0.32382442366019826</v>
      </c>
      <c r="R480" s="171">
        <f t="shared" ca="1" si="224"/>
        <v>0.35221871596130633</v>
      </c>
      <c r="S480" s="171">
        <f t="shared" ca="1" si="224"/>
        <v>0.38202933211335099</v>
      </c>
      <c r="T480" s="171">
        <f t="shared" ca="1" si="224"/>
        <v>0.413416852583949</v>
      </c>
    </row>
    <row r="481" spans="1:20">
      <c r="A481" s="167" t="s">
        <v>500</v>
      </c>
      <c r="B481" s="4" t="str">
        <f t="shared" si="220"/>
        <v>From Fiscal Forecasts</v>
      </c>
      <c r="D481" s="175">
        <f>'Fiscal Forecasts'!D$375</f>
        <v>28.91</v>
      </c>
      <c r="E481" s="175">
        <f>'Fiscal Forecasts'!E$375</f>
        <v>43.915999999999997</v>
      </c>
      <c r="F481" s="176">
        <f>'Fiscal Forecasts'!F$375 +IF($C$2="Yes",SUM('Fiscal Forecast Adjuster'!C$15:C$22)/1000,0)</f>
        <v>37.021000000000001</v>
      </c>
      <c r="G481" s="176">
        <f>'Fiscal Forecasts'!G$375 +IF($C$2="Yes",SUM('Fiscal Forecast Adjuster'!D$15:D$22)/1000,0)</f>
        <v>38.491999999999997</v>
      </c>
      <c r="H481" s="176">
        <f>'Fiscal Forecasts'!H$375 +IF($C$2="Yes",SUM('Fiscal Forecast Adjuster'!E$15:E$22)/1000,0)</f>
        <v>40.042000000000002</v>
      </c>
      <c r="I481" s="176">
        <f>'Fiscal Forecasts'!I$375 +IF($C$2="Yes",SUM('Fiscal Forecast Adjuster'!F$15:F$22)/1000,0)</f>
        <v>41.084000000000003</v>
      </c>
      <c r="J481" s="176">
        <f>'Fiscal Forecasts'!J$375 +IF($C$2="Yes",SUM('Fiscal Forecast Adjuster'!G$15:G$22)/1000,0)</f>
        <v>43.191000000000003</v>
      </c>
      <c r="K481" s="171">
        <f t="shared" ref="K481:T481" ca="1" si="225">K$187</f>
        <v>42.175333230244597</v>
      </c>
      <c r="L481" s="171">
        <f t="shared" ca="1" si="225"/>
        <v>44.330846203359151</v>
      </c>
      <c r="M481" s="171">
        <f t="shared" ca="1" si="225"/>
        <v>46.642671488490933</v>
      </c>
      <c r="N481" s="171">
        <f t="shared" ca="1" si="225"/>
        <v>48.969856019680442</v>
      </c>
      <c r="O481" s="171">
        <f t="shared" ca="1" si="225"/>
        <v>50.907964033873846</v>
      </c>
      <c r="P481" s="171">
        <f t="shared" ca="1" si="225"/>
        <v>53.267414745211589</v>
      </c>
      <c r="Q481" s="171">
        <f t="shared" ca="1" si="225"/>
        <v>55.689250032708017</v>
      </c>
      <c r="R481" s="171">
        <f t="shared" ca="1" si="225"/>
        <v>58.194547289277729</v>
      </c>
      <c r="S481" s="171">
        <f t="shared" ca="1" si="225"/>
        <v>60.781270845664963</v>
      </c>
      <c r="T481" s="171">
        <f t="shared" ca="1" si="225"/>
        <v>63.42724092894592</v>
      </c>
    </row>
    <row r="482" spans="1:20">
      <c r="A482" s="167" t="s">
        <v>501</v>
      </c>
      <c r="B482" s="4" t="str">
        <f t="shared" si="220"/>
        <v>From Fiscal Forecasts</v>
      </c>
      <c r="D482" s="175">
        <f>'Fiscal Forecasts'!D$376</f>
        <v>50.591000000000001</v>
      </c>
      <c r="E482" s="175">
        <f>'Fiscal Forecasts'!E$376</f>
        <v>56.582999999999998</v>
      </c>
      <c r="F482" s="176">
        <f>'Fiscal Forecasts'!F$376 +IF($C$2="Yes",'Fiscal Forecast Adjuster'!C$24/1000,0)</f>
        <v>67.980999999999995</v>
      </c>
      <c r="G482" s="176">
        <f>'Fiscal Forecasts'!G$376 +IF($C$2="Yes",'Fiscal Forecast Adjuster'!D$24/1000,0)</f>
        <v>70.364000000000004</v>
      </c>
      <c r="H482" s="176">
        <f>'Fiscal Forecasts'!H$376 +IF($C$2="Yes",'Fiscal Forecast Adjuster'!E$24/1000,0)</f>
        <v>64.959000000000003</v>
      </c>
      <c r="I482" s="176">
        <f>'Fiscal Forecasts'!I$376 +IF($C$2="Yes",'Fiscal Forecast Adjuster'!F$24/1000,0)</f>
        <v>63.097999999999999</v>
      </c>
      <c r="J482" s="176">
        <f>'Fiscal Forecasts'!J$376 +IF($C$2="Yes",'Fiscal Forecast Adjuster'!G$24/1000,0)</f>
        <v>62.253</v>
      </c>
      <c r="K482" s="171">
        <f t="shared" ref="K482:T482" ca="1" si="226">SUM(K$205,K$222,K$237)-SUM(K$218,K$263,K$271,K$273,K$313,K$460-J$460,K$466-J$466)</f>
        <v>63.780104123581523</v>
      </c>
      <c r="L482" s="171">
        <f t="shared" ca="1" si="226"/>
        <v>63.591245772699011</v>
      </c>
      <c r="M482" s="171">
        <f t="shared" ca="1" si="226"/>
        <v>63.465565959030315</v>
      </c>
      <c r="N482" s="171">
        <f t="shared" ca="1" si="226"/>
        <v>63.495231543939092</v>
      </c>
      <c r="O482" s="171">
        <f t="shared" ca="1" si="226"/>
        <v>63.52598290777248</v>
      </c>
      <c r="P482" s="171">
        <f t="shared" ca="1" si="226"/>
        <v>63.561176718574927</v>
      </c>
      <c r="Q482" s="171">
        <f t="shared" ca="1" si="226"/>
        <v>63.593567143711866</v>
      </c>
      <c r="R482" s="171">
        <f t="shared" ca="1" si="226"/>
        <v>63.629682717398495</v>
      </c>
      <c r="S482" s="171">
        <f t="shared" ca="1" si="226"/>
        <v>63.661166053420416</v>
      </c>
      <c r="T482" s="171">
        <f t="shared" ca="1" si="226"/>
        <v>63.691225721543731</v>
      </c>
    </row>
    <row r="483" spans="1:20">
      <c r="A483" s="167" t="s">
        <v>502</v>
      </c>
      <c r="B483" s="4" t="str">
        <f t="shared" si="220"/>
        <v>From Fiscal Forecasts</v>
      </c>
      <c r="D483" s="175">
        <f>'Fiscal Forecasts'!D$377</f>
        <v>3.45</v>
      </c>
      <c r="E483" s="175">
        <f>'Fiscal Forecasts'!E$377</f>
        <v>3.016</v>
      </c>
      <c r="F483" s="176">
        <f>'Fiscal Forecasts'!F$377 +IF($C$2="Yes",'Fiscal Forecast Adjuster'!C$35/1000,0) +IF($C$3="Yes",'NZSF Adjuster'!Q$9,0)</f>
        <v>2.7229999999999999</v>
      </c>
      <c r="G483" s="176">
        <f>'Fiscal Forecasts'!G$377 +IF($C$2="Yes",'Fiscal Forecast Adjuster'!D$35/1000,0) +IF($C$3="Yes",'NZSF Adjuster'!R$9,0)</f>
        <v>2.0819999999999999</v>
      </c>
      <c r="H483" s="176">
        <f>'Fiscal Forecasts'!H$377 +IF($C$2="Yes",'Fiscal Forecast Adjuster'!E$35/1000,0) +IF($C$3="Yes",'NZSF Adjuster'!S$9,0)</f>
        <v>2.2130000000000001</v>
      </c>
      <c r="I483" s="176">
        <f>'Fiscal Forecasts'!I$377 +IF($C$2="Yes",'Fiscal Forecast Adjuster'!F$35/1000,0) +IF($C$3="Yes",'NZSF Adjuster'!T$9,0)</f>
        <v>2.3639999999999999</v>
      </c>
      <c r="J483" s="176">
        <f>'Fiscal Forecasts'!J$377 +IF($C$2="Yes",'Fiscal Forecast Adjuster'!G$35/1000,0) +IF($C$3="Yes",'NZSF Adjuster'!U$9,0)</f>
        <v>2.802</v>
      </c>
      <c r="K483" s="171">
        <f t="shared" ref="K483:T483" ca="1" si="227">(2*J$70-SUM(K$477,K$478,K$479,K$480,K$491,K$497)+SUM(K$481,K$482,K$484,K$496,K$345-J$345))/(2/K$234-1)</f>
        <v>3.29805967588281</v>
      </c>
      <c r="L483" s="171">
        <f t="shared" ca="1" si="227"/>
        <v>3.8118503867428295</v>
      </c>
      <c r="M483" s="171">
        <f t="shared" ca="1" si="227"/>
        <v>4.4013778073470151</v>
      </c>
      <c r="N483" s="171">
        <f t="shared" ca="1" si="227"/>
        <v>4.9946167196865696</v>
      </c>
      <c r="O483" s="171">
        <f t="shared" ca="1" si="227"/>
        <v>5.5761222405222064</v>
      </c>
      <c r="P483" s="171">
        <f t="shared" ca="1" si="227"/>
        <v>6.1385120924504912</v>
      </c>
      <c r="Q483" s="171">
        <f t="shared" ca="1" si="227"/>
        <v>6.6804282161624027</v>
      </c>
      <c r="R483" s="171">
        <f t="shared" ca="1" si="227"/>
        <v>7.1959175680621152</v>
      </c>
      <c r="S483" s="171">
        <f t="shared" ca="1" si="227"/>
        <v>7.676843550007165</v>
      </c>
      <c r="T483" s="171">
        <f t="shared" ca="1" si="227"/>
        <v>8.1136166480158849</v>
      </c>
    </row>
    <row r="484" spans="1:20">
      <c r="A484" s="167" t="s">
        <v>591</v>
      </c>
      <c r="D484" s="175">
        <f t="shared" ref="D484:T484" si="228">SUM(D$245,D$248)</f>
        <v>0</v>
      </c>
      <c r="E484" s="175">
        <f t="shared" si="228"/>
        <v>0</v>
      </c>
      <c r="F484" s="176">
        <f t="shared" si="228"/>
        <v>-1.5249999999999999</v>
      </c>
      <c r="G484" s="176">
        <f t="shared" si="228"/>
        <v>1.4460000000000002</v>
      </c>
      <c r="H484" s="176">
        <f t="shared" si="228"/>
        <v>4.4509999999999996</v>
      </c>
      <c r="I484" s="176">
        <f t="shared" si="228"/>
        <v>7.1840000000000002</v>
      </c>
      <c r="J484" s="176">
        <f t="shared" si="228"/>
        <v>9.8580000000000005</v>
      </c>
      <c r="K484" s="171">
        <f t="shared" ca="1" si="228"/>
        <v>10.702</v>
      </c>
      <c r="L484" s="171">
        <f t="shared" ca="1" si="228"/>
        <v>12.72772</v>
      </c>
      <c r="M484" s="171">
        <f t="shared" ca="1" si="228"/>
        <v>14.793954400000001</v>
      </c>
      <c r="N484" s="171">
        <f t="shared" ca="1" si="228"/>
        <v>16.901513487999999</v>
      </c>
      <c r="O484" s="171">
        <f t="shared" ca="1" si="228"/>
        <v>19.051223757759999</v>
      </c>
      <c r="P484" s="171">
        <f t="shared" ca="1" si="228"/>
        <v>21.243928232915202</v>
      </c>
      <c r="Q484" s="171">
        <f t="shared" ca="1" si="228"/>
        <v>23.480486797573505</v>
      </c>
      <c r="R484" s="171">
        <f t="shared" ca="1" si="228"/>
        <v>25.761776533524976</v>
      </c>
      <c r="S484" s="171">
        <f t="shared" ca="1" si="228"/>
        <v>28.088692064195477</v>
      </c>
      <c r="T484" s="171">
        <f t="shared" ca="1" si="228"/>
        <v>30.462145905479389</v>
      </c>
    </row>
    <row r="485" spans="1:20" ht="15">
      <c r="A485" s="168" t="s">
        <v>496</v>
      </c>
      <c r="D485" s="138">
        <f t="shared" ref="D485:T485" si="229">SUM(D$477:D$480)-SUM(D$481:D$484)</f>
        <v>6.0359999999999872</v>
      </c>
      <c r="E485" s="138">
        <f t="shared" si="229"/>
        <v>-14.308000000000007</v>
      </c>
      <c r="F485" s="137">
        <f t="shared" si="229"/>
        <v>-10.396999999999991</v>
      </c>
      <c r="G485" s="137">
        <f t="shared" si="229"/>
        <v>-11.734999999999985</v>
      </c>
      <c r="H485" s="137">
        <f t="shared" si="229"/>
        <v>-5.2599999999999909</v>
      </c>
      <c r="I485" s="137">
        <f t="shared" si="229"/>
        <v>-1.1059999999999945</v>
      </c>
      <c r="J485" s="137">
        <f t="shared" si="229"/>
        <v>0.75999999999997669</v>
      </c>
      <c r="K485" s="140">
        <f t="shared" ca="1" si="229"/>
        <v>4.337426586679328</v>
      </c>
      <c r="L485" s="140">
        <f t="shared" ca="1" si="229"/>
        <v>5.5134005627246836</v>
      </c>
      <c r="M485" s="140">
        <f t="shared" ca="1" si="229"/>
        <v>6.262624206363995</v>
      </c>
      <c r="N485" s="140">
        <f t="shared" ca="1" si="229"/>
        <v>7.1902795315645847</v>
      </c>
      <c r="O485" s="140">
        <f t="shared" ca="1" si="229"/>
        <v>8.4220603788873518</v>
      </c>
      <c r="P485" s="140">
        <f t="shared" ca="1" si="229"/>
        <v>9.3073211528617037</v>
      </c>
      <c r="Q485" s="140">
        <f t="shared" ca="1" si="229"/>
        <v>10.237675851099738</v>
      </c>
      <c r="R485" s="140">
        <f t="shared" ca="1" si="229"/>
        <v>11.178276642396781</v>
      </c>
      <c r="S485" s="140">
        <f t="shared" ca="1" si="229"/>
        <v>12.14074415628167</v>
      </c>
      <c r="T485" s="140">
        <f t="shared" ca="1" si="229"/>
        <v>13.228752080482877</v>
      </c>
    </row>
    <row r="486" spans="1:20">
      <c r="A486" s="167" t="s">
        <v>600</v>
      </c>
      <c r="B486" s="4" t="str">
        <f>$B$39</f>
        <v>From Fiscal Forecasts</v>
      </c>
      <c r="D486" s="175">
        <f>-'Fiscal Forecasts'!D$379</f>
        <v>3.0019999999999998</v>
      </c>
      <c r="E486" s="175">
        <f>-'Fiscal Forecasts'!E$379</f>
        <v>2.9550000000000001</v>
      </c>
      <c r="F486" s="176">
        <f>-'Fiscal Forecasts'!F$379</f>
        <v>3.536</v>
      </c>
      <c r="G486" s="176">
        <f>-'Fiscal Forecasts'!G$379</f>
        <v>4.6120000000000001</v>
      </c>
      <c r="H486" s="176">
        <f>-'Fiscal Forecasts'!H$379</f>
        <v>3.7909999999999999</v>
      </c>
      <c r="I486" s="176">
        <f>-'Fiscal Forecasts'!I$379</f>
        <v>3.2869999999999999</v>
      </c>
      <c r="J486" s="176">
        <f>-'Fiscal Forecasts'!J$379</f>
        <v>2.5329999999999999</v>
      </c>
      <c r="K486" s="171">
        <f t="shared" ref="K486:T486" ca="1" si="230">SUM(K$418-J$418,K$212,K$433-J$433,K$218)</f>
        <v>2.2681275819757323</v>
      </c>
      <c r="L486" s="171">
        <f t="shared" ca="1" si="230"/>
        <v>2.4205177520766408</v>
      </c>
      <c r="M486" s="171">
        <f t="shared" ca="1" si="230"/>
        <v>2.5571624386802125</v>
      </c>
      <c r="N486" s="171">
        <f t="shared" ca="1" si="230"/>
        <v>2.6968576983011308</v>
      </c>
      <c r="O486" s="171">
        <f t="shared" ca="1" si="230"/>
        <v>2.8329931538271986</v>
      </c>
      <c r="P486" s="171">
        <f t="shared" ca="1" si="230"/>
        <v>2.9675102041532098</v>
      </c>
      <c r="Q486" s="171">
        <f t="shared" ca="1" si="230"/>
        <v>3.1192418685384049</v>
      </c>
      <c r="R486" s="171">
        <f t="shared" ca="1" si="230"/>
        <v>3.2736160994596344</v>
      </c>
      <c r="S486" s="171">
        <f t="shared" ca="1" si="230"/>
        <v>3.4308722647075345</v>
      </c>
      <c r="T486" s="171">
        <f t="shared" ca="1" si="230"/>
        <v>3.592978790459501</v>
      </c>
    </row>
    <row r="487" spans="1:20">
      <c r="A487" s="167" t="s">
        <v>610</v>
      </c>
      <c r="B487" s="4" t="str">
        <f>$B$39</f>
        <v>From Fiscal Forecasts</v>
      </c>
      <c r="D487" s="175">
        <f>-'Fiscal Forecasts'!D$380</f>
        <v>8.5999999999999993E-2</v>
      </c>
      <c r="E487" s="175">
        <f>-'Fiscal Forecasts'!E$380</f>
        <v>1.798</v>
      </c>
      <c r="F487" s="176">
        <f>-'Fiscal Forecasts'!F$380</f>
        <v>5.7469999999999999</v>
      </c>
      <c r="G487" s="176">
        <f>-'Fiscal Forecasts'!G$380</f>
        <v>14.175000000000001</v>
      </c>
      <c r="H487" s="176">
        <f>-'Fiscal Forecasts'!H$380</f>
        <v>9.5950000000000006</v>
      </c>
      <c r="I487" s="176">
        <f>-'Fiscal Forecasts'!I$380</f>
        <v>-6.484</v>
      </c>
      <c r="J487" s="176">
        <f>-'Fiscal Forecasts'!J$380</f>
        <v>-12.897</v>
      </c>
      <c r="K487" s="171">
        <f ca="1">SUM(K$392-J$392,-(K$151-K$263),K$393-J$393,K$394-J$394)</f>
        <v>-8.7061946567898936</v>
      </c>
      <c r="L487" s="171">
        <f t="shared" ref="L487:T487" ca="1" si="231">SUM(L$392-K$392,-(L$151-L$263),L$393-K$393,L$394-K$394)</f>
        <v>0.64858398757289337</v>
      </c>
      <c r="M487" s="171">
        <f t="shared" ca="1" si="231"/>
        <v>0.67146947020652759</v>
      </c>
      <c r="N487" s="171">
        <f t="shared" ca="1" si="231"/>
        <v>0.69748090166181997</v>
      </c>
      <c r="O487" s="171">
        <f t="shared" ca="1" si="231"/>
        <v>0.71616643155833004</v>
      </c>
      <c r="P487" s="171">
        <f t="shared" ca="1" si="231"/>
        <v>0.7209486062510585</v>
      </c>
      <c r="Q487" s="171">
        <f t="shared" ca="1" si="231"/>
        <v>0.75735863423791472</v>
      </c>
      <c r="R487" s="171">
        <f t="shared" ca="1" si="231"/>
        <v>0.78604584860029225</v>
      </c>
      <c r="S487" s="171">
        <f t="shared" ca="1" si="231"/>
        <v>0.80851522730099434</v>
      </c>
      <c r="T487" s="171">
        <f t="shared" ca="1" si="231"/>
        <v>0.82974305647063296</v>
      </c>
    </row>
    <row r="488" spans="1:20">
      <c r="A488" s="167" t="s">
        <v>611</v>
      </c>
      <c r="B488" s="4" t="str">
        <f>$B$39</f>
        <v>From Fiscal Forecasts</v>
      </c>
      <c r="D488" s="175">
        <f>-'Fiscal Forecasts'!D$381</f>
        <v>2.6579999999999999</v>
      </c>
      <c r="E488" s="175">
        <f>-'Fiscal Forecasts'!E$381</f>
        <v>3.1709999999999998</v>
      </c>
      <c r="F488" s="176">
        <f>-'Fiscal Forecasts'!F$381</f>
        <v>4.2770000000000001</v>
      </c>
      <c r="G488" s="176">
        <f>-'Fiscal Forecasts'!G$381</f>
        <v>6.6820000000000004</v>
      </c>
      <c r="H488" s="176">
        <f>-'Fiscal Forecasts'!H$381</f>
        <v>4.1619999999999999</v>
      </c>
      <c r="I488" s="176">
        <f>-'Fiscal Forecasts'!I$381</f>
        <v>4.1070000000000002</v>
      </c>
      <c r="J488" s="176">
        <f>-'Fiscal Forecasts'!J$381</f>
        <v>3.1320000000000001</v>
      </c>
      <c r="K488" s="171">
        <f t="shared" ref="K488:T488" ca="1" si="232">SUM(K$429-J$429,-K$340)</f>
        <v>0.60178727116334729</v>
      </c>
      <c r="L488" s="171">
        <f t="shared" ca="1" si="232"/>
        <v>0.59763209103981252</v>
      </c>
      <c r="M488" s="171">
        <f t="shared" ca="1" si="232"/>
        <v>0.60036692223624211</v>
      </c>
      <c r="N488" s="171">
        <f t="shared" ca="1" si="232"/>
        <v>0.625359533378265</v>
      </c>
      <c r="O488" s="171">
        <f t="shared" ca="1" si="232"/>
        <v>0.65089345428832746</v>
      </c>
      <c r="P488" s="171">
        <f t="shared" ca="1" si="232"/>
        <v>0.67696571671354444</v>
      </c>
      <c r="Q488" s="171">
        <f t="shared" ca="1" si="232"/>
        <v>0.70357440209764555</v>
      </c>
      <c r="R488" s="171">
        <f t="shared" ca="1" si="232"/>
        <v>0.7306478409734708</v>
      </c>
      <c r="S488" s="171">
        <f t="shared" ca="1" si="232"/>
        <v>0.75816443418285806</v>
      </c>
      <c r="T488" s="171">
        <f t="shared" ca="1" si="232"/>
        <v>0.78649684506991868</v>
      </c>
    </row>
    <row r="489" spans="1:20">
      <c r="A489" s="167" t="s">
        <v>503</v>
      </c>
      <c r="D489" s="175">
        <f t="shared" ref="D489:T489" si="233">D$380</f>
        <v>1</v>
      </c>
      <c r="E489" s="175">
        <f t="shared" si="233"/>
        <v>1.46</v>
      </c>
      <c r="F489" s="176">
        <f t="shared" si="233"/>
        <v>2.12</v>
      </c>
      <c r="G489" s="176">
        <f t="shared" si="233"/>
        <v>2.42</v>
      </c>
      <c r="H489" s="176">
        <f t="shared" si="233"/>
        <v>1.351</v>
      </c>
      <c r="I489" s="176">
        <f t="shared" si="233"/>
        <v>1.63</v>
      </c>
      <c r="J489" s="176">
        <f t="shared" si="233"/>
        <v>1.8979999999999999</v>
      </c>
      <c r="K489" s="171">
        <f t="shared" si="233"/>
        <v>1.6879782431057286</v>
      </c>
      <c r="L489" s="171">
        <f t="shared" si="233"/>
        <v>1.4327527342206707</v>
      </c>
      <c r="M489" s="171">
        <f t="shared" si="233"/>
        <v>1.1647696793195053</v>
      </c>
      <c r="N489" s="171">
        <f t="shared" si="233"/>
        <v>0.9340167943912725</v>
      </c>
      <c r="O489" s="171">
        <f t="shared" si="233"/>
        <v>0.7315037003943381</v>
      </c>
      <c r="P489" s="171">
        <f t="shared" si="233"/>
        <v>0.54727674926238734</v>
      </c>
      <c r="Q489" s="171">
        <f t="shared" si="233"/>
        <v>0.35386359603993611</v>
      </c>
      <c r="R489" s="171">
        <f t="shared" si="233"/>
        <v>0.12684560172290915</v>
      </c>
      <c r="S489" s="171">
        <f t="shared" si="233"/>
        <v>-0.13285652283220983</v>
      </c>
      <c r="T489" s="171">
        <f t="shared" si="233"/>
        <v>-0.37678819574019329</v>
      </c>
    </row>
    <row r="490" spans="1:20">
      <c r="A490" s="167" t="s">
        <v>590</v>
      </c>
      <c r="D490" s="175">
        <f>SUM(D$442-C$442,D$443-C$443)</f>
        <v>0</v>
      </c>
      <c r="E490" s="175">
        <f t="shared" ref="E490:T490" si="234">SUM(E$442-D$442,E$443-D$443)</f>
        <v>0</v>
      </c>
      <c r="F490" s="176">
        <f t="shared" si="234"/>
        <v>-0.8</v>
      </c>
      <c r="G490" s="176">
        <f t="shared" si="234"/>
        <v>-0.3919999999999999</v>
      </c>
      <c r="H490" s="176">
        <f t="shared" si="234"/>
        <v>1.4950000000000001</v>
      </c>
      <c r="I490" s="176">
        <f t="shared" si="234"/>
        <v>2.3530000000000006</v>
      </c>
      <c r="J490" s="176">
        <f t="shared" si="234"/>
        <v>2.8100000000000005</v>
      </c>
      <c r="K490" s="171">
        <f t="shared" ca="1" si="234"/>
        <v>4.4014999999999969</v>
      </c>
      <c r="L490" s="171">
        <f t="shared" ca="1" si="234"/>
        <v>3.947910000000002</v>
      </c>
      <c r="M490" s="171">
        <f t="shared" ca="1" si="234"/>
        <v>4.0268682</v>
      </c>
      <c r="N490" s="171">
        <f t="shared" ca="1" si="234"/>
        <v>4.1074055639999987</v>
      </c>
      <c r="O490" s="171">
        <f t="shared" ca="1" si="234"/>
        <v>4.1895536752800027</v>
      </c>
      <c r="P490" s="171">
        <f t="shared" ca="1" si="234"/>
        <v>4.2733447487856013</v>
      </c>
      <c r="Q490" s="171">
        <f t="shared" ca="1" si="234"/>
        <v>4.3588116437613129</v>
      </c>
      <c r="R490" s="171">
        <f t="shared" ca="1" si="234"/>
        <v>4.445987876636539</v>
      </c>
      <c r="S490" s="171">
        <f t="shared" ca="1" si="234"/>
        <v>4.5349076341692713</v>
      </c>
      <c r="T490" s="171">
        <f t="shared" ca="1" si="234"/>
        <v>4.6256057868526543</v>
      </c>
    </row>
    <row r="491" spans="1:20" ht="15">
      <c r="A491" s="168" t="s">
        <v>497</v>
      </c>
      <c r="D491" s="138">
        <f t="shared" ref="D491:T491" si="235">-SUM(D$486:D$490)</f>
        <v>-6.7459999999999996</v>
      </c>
      <c r="E491" s="138">
        <f t="shared" si="235"/>
        <v>-9.3840000000000003</v>
      </c>
      <c r="F491" s="137">
        <f t="shared" si="235"/>
        <v>-14.879999999999999</v>
      </c>
      <c r="G491" s="137">
        <f t="shared" si="235"/>
        <v>-27.497000000000003</v>
      </c>
      <c r="H491" s="137">
        <f t="shared" si="235"/>
        <v>-20.394000000000002</v>
      </c>
      <c r="I491" s="137">
        <f t="shared" si="235"/>
        <v>-4.8930000000000007</v>
      </c>
      <c r="J491" s="137">
        <f t="shared" si="235"/>
        <v>2.5240000000000009</v>
      </c>
      <c r="K491" s="140">
        <f t="shared" ca="1" si="235"/>
        <v>-0.25319843945491183</v>
      </c>
      <c r="L491" s="140">
        <f t="shared" ca="1" si="235"/>
        <v>-9.0473965649100201</v>
      </c>
      <c r="M491" s="140">
        <f t="shared" ca="1" si="235"/>
        <v>-9.0206367104424885</v>
      </c>
      <c r="N491" s="140">
        <f t="shared" ca="1" si="235"/>
        <v>-9.0611204917324866</v>
      </c>
      <c r="O491" s="140">
        <f t="shared" ca="1" si="235"/>
        <v>-9.1211104153481983</v>
      </c>
      <c r="P491" s="140">
        <f t="shared" ca="1" si="235"/>
        <v>-9.1860460251658012</v>
      </c>
      <c r="Q491" s="140">
        <f t="shared" ca="1" si="235"/>
        <v>-9.2928501446752136</v>
      </c>
      <c r="R491" s="140">
        <f t="shared" ca="1" si="235"/>
        <v>-9.3631432673928465</v>
      </c>
      <c r="S491" s="140">
        <f t="shared" ca="1" si="235"/>
        <v>-9.3996030375284487</v>
      </c>
      <c r="T491" s="140">
        <f t="shared" ca="1" si="235"/>
        <v>-9.4580362831125129</v>
      </c>
    </row>
    <row r="492" spans="1:20" ht="15">
      <c r="A492" s="168" t="s">
        <v>498</v>
      </c>
      <c r="D492" s="35">
        <f t="shared" ref="D492:T492" si="236">SUM(D$485,D$491)</f>
        <v>-0.7100000000000124</v>
      </c>
      <c r="E492" s="35">
        <f t="shared" si="236"/>
        <v>-23.692000000000007</v>
      </c>
      <c r="F492" s="139">
        <f t="shared" si="236"/>
        <v>-25.27699999999999</v>
      </c>
      <c r="G492" s="139">
        <f t="shared" si="236"/>
        <v>-39.231999999999985</v>
      </c>
      <c r="H492" s="139">
        <f t="shared" si="236"/>
        <v>-25.653999999999993</v>
      </c>
      <c r="I492" s="139">
        <f t="shared" si="236"/>
        <v>-5.9989999999999952</v>
      </c>
      <c r="J492" s="139">
        <f t="shared" si="236"/>
        <v>3.2839999999999776</v>
      </c>
      <c r="K492" s="136">
        <f t="shared" ca="1" si="236"/>
        <v>4.0842281472244162</v>
      </c>
      <c r="L492" s="136">
        <f t="shared" ca="1" si="236"/>
        <v>-3.5339960021853365</v>
      </c>
      <c r="M492" s="136">
        <f t="shared" ca="1" si="236"/>
        <v>-2.7580125040784935</v>
      </c>
      <c r="N492" s="136">
        <f t="shared" ca="1" si="236"/>
        <v>-1.8708409601679019</v>
      </c>
      <c r="O492" s="136">
        <f t="shared" ca="1" si="236"/>
        <v>-0.69905003646084651</v>
      </c>
      <c r="P492" s="136">
        <f t="shared" ca="1" si="236"/>
        <v>0.12127512769590254</v>
      </c>
      <c r="Q492" s="136">
        <f t="shared" ca="1" si="236"/>
        <v>0.94482570642452401</v>
      </c>
      <c r="R492" s="136">
        <f t="shared" ca="1" si="236"/>
        <v>1.8151333750039349</v>
      </c>
      <c r="S492" s="136">
        <f t="shared" ca="1" si="236"/>
        <v>2.7411411187532213</v>
      </c>
      <c r="T492" s="136">
        <f t="shared" ca="1" si="236"/>
        <v>3.7707157973703644</v>
      </c>
    </row>
    <row r="493" spans="1:20" ht="15">
      <c r="A493" s="168" t="s">
        <v>1162</v>
      </c>
      <c r="B493" s="4" t="str">
        <f>$B$60</f>
        <v>Projected Years only</v>
      </c>
      <c r="K493" s="170" t="str">
        <f t="shared" ref="K493:T493" ca="1" si="237">IF(ROUND(SUM(K$492,K$78-J$78,K$497),3)=0,"OK","ERROR")</f>
        <v>OK</v>
      </c>
      <c r="L493" s="170" t="str">
        <f t="shared" ca="1" si="237"/>
        <v>OK</v>
      </c>
      <c r="M493" s="170" t="str">
        <f t="shared" ca="1" si="237"/>
        <v>OK</v>
      </c>
      <c r="N493" s="170" t="str">
        <f t="shared" ca="1" si="237"/>
        <v>OK</v>
      </c>
      <c r="O493" s="170" t="str">
        <f t="shared" ca="1" si="237"/>
        <v>OK</v>
      </c>
      <c r="P493" s="170" t="str">
        <f t="shared" ca="1" si="237"/>
        <v>OK</v>
      </c>
      <c r="Q493" s="170" t="str">
        <f t="shared" ca="1" si="237"/>
        <v>OK</v>
      </c>
      <c r="R493" s="170" t="str">
        <f t="shared" ca="1" si="237"/>
        <v>OK</v>
      </c>
      <c r="S493" s="170" t="str">
        <f t="shared" ca="1" si="237"/>
        <v>OK</v>
      </c>
      <c r="T493" s="170" t="str">
        <f t="shared" ca="1" si="237"/>
        <v>OK</v>
      </c>
    </row>
    <row r="494" spans="1:20" ht="15">
      <c r="A494" s="168"/>
      <c r="B494" s="4"/>
    </row>
    <row r="495" spans="1:20" ht="15">
      <c r="A495" s="168" t="s">
        <v>356</v>
      </c>
      <c r="B495" s="4" t="str">
        <f>$B$39</f>
        <v>From Fiscal Forecasts</v>
      </c>
      <c r="D495" s="142">
        <f>'Fiscal Forecasts'!D$385</f>
        <v>-4.9580000000000002</v>
      </c>
      <c r="E495" s="142">
        <f>'Fiscal Forecasts'!E$385</f>
        <v>33.061999999999998</v>
      </c>
      <c r="F495" s="141">
        <f>'Fiscal Forecasts'!F$385 +IF($C$2="Yes",'Fiscal Forecast Adjuster'!C$37/1000,0) +IF($C$3="Yes",'NZSF Adjuster'!Q$10,0)</f>
        <v>5.3689999999999998</v>
      </c>
      <c r="G495" s="141">
        <f>'Fiscal Forecasts'!G$385 +IF($C$2="Yes",'Fiscal Forecast Adjuster'!D$37/1000,0) +IF($C$3="Yes",'NZSF Adjuster'!R$10,0)</f>
        <v>40.652000000000001</v>
      </c>
      <c r="H495" s="141">
        <f>'Fiscal Forecasts'!H$385 +IF($C$2="Yes",'Fiscal Forecast Adjuster'!E$37/1000,0) +IF($C$3="Yes",'NZSF Adjuster'!S$10,0)</f>
        <v>15.315</v>
      </c>
      <c r="I495" s="141">
        <f>'Fiscal Forecasts'!I$385 +IF($C$2="Yes",'Fiscal Forecast Adjuster'!F$37/1000,0) +IF($C$3="Yes",'NZSF Adjuster'!T$10,0)</f>
        <v>4.4459999999999997</v>
      </c>
      <c r="J495" s="141">
        <f>'Fiscal Forecasts'!J$385 +IF($C$2="Yes",'Fiscal Forecast Adjuster'!G$37/1000,0) +IF($C$3="Yes",'NZSF Adjuster'!U$10,0)</f>
        <v>-4.548</v>
      </c>
      <c r="K495" s="134">
        <f t="shared" ref="K495:T495" ca="1" si="238">-SUM(K$485,K$491,K$499)</f>
        <v>-3.3137348803864235</v>
      </c>
      <c r="L495" s="134">
        <f t="shared" ca="1" si="238"/>
        <v>4.2659382650587609</v>
      </c>
      <c r="M495" s="134">
        <f t="shared" ca="1" si="238"/>
        <v>3.4491254574247976</v>
      </c>
      <c r="N495" s="134">
        <f t="shared" ca="1" si="238"/>
        <v>2.5314183751940638</v>
      </c>
      <c r="O495" s="134">
        <f t="shared" ca="1" si="238"/>
        <v>1.3090621189812364</v>
      </c>
      <c r="P495" s="134">
        <f t="shared" ca="1" si="238"/>
        <v>0.4296621916154848</v>
      </c>
      <c r="Q495" s="134">
        <f t="shared" ca="1" si="238"/>
        <v>-0.38255314423440545</v>
      </c>
      <c r="R495" s="134">
        <f t="shared" ca="1" si="238"/>
        <v>-1.243040029381409</v>
      </c>
      <c r="S495" s="134">
        <f t="shared" ca="1" si="238"/>
        <v>-2.1596834051066232</v>
      </c>
      <c r="T495" s="134">
        <f t="shared" ca="1" si="238"/>
        <v>-3.1720189045126572</v>
      </c>
    </row>
    <row r="496" spans="1:20">
      <c r="A496" s="167" t="s">
        <v>624</v>
      </c>
      <c r="B496" s="4" t="str">
        <f>$B$39</f>
        <v>From Fiscal Forecasts</v>
      </c>
      <c r="D496" s="175">
        <f>-'Fiscal Forecasts'!D$386</f>
        <v>-5.1630000000000003</v>
      </c>
      <c r="E496" s="175">
        <f>-'Fiscal Forecasts'!E$386</f>
        <v>14.911</v>
      </c>
      <c r="F496" s="176">
        <f>-'Fiscal Forecasts'!F$386</f>
        <v>-12.401</v>
      </c>
      <c r="G496" s="176">
        <f>-'Fiscal Forecasts'!G$386</f>
        <v>1.581</v>
      </c>
      <c r="H496" s="176">
        <f>-'Fiscal Forecasts'!H$386</f>
        <v>-10.26</v>
      </c>
      <c r="I496" s="176">
        <f>-'Fiscal Forecasts'!I$386</f>
        <v>-1.47</v>
      </c>
      <c r="J496" s="176">
        <f>-'Fiscal Forecasts'!J$386</f>
        <v>-1.1719999999999999</v>
      </c>
      <c r="K496" s="171">
        <f t="shared" ref="K496:T496" ca="1" si="239">SUM(K$358-J$358,K$367-J$367)</f>
        <v>0.84428581382076029</v>
      </c>
      <c r="L496" s="171">
        <f t="shared" ca="1" si="239"/>
        <v>0.8275789510401923</v>
      </c>
      <c r="M496" s="171">
        <f t="shared" ca="1" si="239"/>
        <v>0.8158860719996941</v>
      </c>
      <c r="N496" s="171">
        <f t="shared" ca="1" si="239"/>
        <v>0.82735973760658243</v>
      </c>
      <c r="O496" s="171">
        <f t="shared" ca="1" si="239"/>
        <v>0.81753224655569401</v>
      </c>
      <c r="P496" s="171">
        <f t="shared" ca="1" si="239"/>
        <v>0.80400042535717375</v>
      </c>
      <c r="Q496" s="171">
        <f t="shared" ca="1" si="239"/>
        <v>0.82054230730377231</v>
      </c>
      <c r="R496" s="171">
        <f t="shared" ca="1" si="239"/>
        <v>0.83487409021306469</v>
      </c>
      <c r="S496" s="171">
        <f t="shared" ca="1" si="239"/>
        <v>0.84853981154042923</v>
      </c>
      <c r="T496" s="171">
        <f t="shared" ca="1" si="239"/>
        <v>0.87369749633089455</v>
      </c>
    </row>
    <row r="497" spans="1:20">
      <c r="A497" s="167" t="s">
        <v>175</v>
      </c>
      <c r="B497" s="4"/>
      <c r="D497" s="175">
        <f t="shared" ref="D497:J497" si="240">D$101</f>
        <v>0.437</v>
      </c>
      <c r="E497" s="175">
        <f t="shared" si="240"/>
        <v>1.2090000000000001</v>
      </c>
      <c r="F497" s="176">
        <f t="shared" si="240"/>
        <v>0.39700000000000002</v>
      </c>
      <c r="G497" s="176">
        <f t="shared" si="240"/>
        <v>8.4000000000000005E-2</v>
      </c>
      <c r="H497" s="176">
        <f t="shared" si="240"/>
        <v>8.5000000000000006E-2</v>
      </c>
      <c r="I497" s="176">
        <f t="shared" si="240"/>
        <v>8.5999999999999993E-2</v>
      </c>
      <c r="J497" s="176">
        <f t="shared" si="240"/>
        <v>8.6999999999999994E-2</v>
      </c>
      <c r="K497" s="171">
        <f t="shared" ref="K497:T497" ca="1" si="241">K$446-J$446</f>
        <v>0.53038776082030736</v>
      </c>
      <c r="L497" s="171">
        <f t="shared" ca="1" si="241"/>
        <v>0.51303615899590937</v>
      </c>
      <c r="M497" s="171">
        <f t="shared" ca="1" si="241"/>
        <v>0.4968179046502037</v>
      </c>
      <c r="N497" s="171">
        <f t="shared" ca="1" si="241"/>
        <v>0.49196157767946858</v>
      </c>
      <c r="O497" s="171">
        <f t="shared" ca="1" si="241"/>
        <v>0.47354997742143112</v>
      </c>
      <c r="P497" s="171">
        <f t="shared" ca="1" si="241"/>
        <v>0.4513023581001363</v>
      </c>
      <c r="Q497" s="171">
        <f t="shared" ca="1" si="241"/>
        <v>0.4605876645433451</v>
      </c>
      <c r="R497" s="171">
        <f t="shared" ca="1" si="241"/>
        <v>0.468632395887699</v>
      </c>
      <c r="S497" s="171">
        <f t="shared" ca="1" si="241"/>
        <v>0.47630325284954544</v>
      </c>
      <c r="T497" s="171">
        <f t="shared" ca="1" si="241"/>
        <v>0.49042479073956891</v>
      </c>
    </row>
    <row r="498" spans="1:20">
      <c r="A498" s="167" t="s">
        <v>999</v>
      </c>
      <c r="B498" s="4" t="str">
        <f>$B$39</f>
        <v>From Fiscal Forecasts</v>
      </c>
      <c r="D498" s="175">
        <f>-'Fiscal Forecasts'!D$387</f>
        <v>-6.8000000000000005E-2</v>
      </c>
      <c r="E498" s="175">
        <f>-'Fiscal Forecasts'!E$387</f>
        <v>-4.3319999999999999</v>
      </c>
      <c r="F498" s="176">
        <f>-'Fiscal Forecasts'!F$387</f>
        <v>-7.11</v>
      </c>
      <c r="G498" s="176">
        <f>-'Fiscal Forecasts'!G$387</f>
        <v>-7.6999999999999999E-2</v>
      </c>
      <c r="H498" s="176">
        <f>-'Fiscal Forecasts'!H$387</f>
        <v>6.0000000000000001E-3</v>
      </c>
      <c r="I498" s="176">
        <f>-'Fiscal Forecasts'!I$387</f>
        <v>3.0000000000000001E-3</v>
      </c>
      <c r="J498" s="176">
        <f>-'Fiscal Forecasts'!J$387</f>
        <v>-5.0000000000000001E-3</v>
      </c>
      <c r="K498" s="171">
        <f t="shared" ref="K498:T498" ca="1" si="242">K$345-J$345</f>
        <v>0.45659521383753976</v>
      </c>
      <c r="L498" s="171">
        <f t="shared" ca="1" si="242"/>
        <v>0.41739947082914153</v>
      </c>
      <c r="M498" s="171">
        <f t="shared" ca="1" si="242"/>
        <v>0.37204478599681368</v>
      </c>
      <c r="N498" s="171">
        <f t="shared" ca="1" si="242"/>
        <v>0.32517925509904799</v>
      </c>
      <c r="O498" s="171">
        <f t="shared" ca="1" si="242"/>
        <v>0.26602981338612697</v>
      </c>
      <c r="P498" s="171">
        <f t="shared" ca="1" si="242"/>
        <v>0.19823925205434989</v>
      </c>
      <c r="Q498" s="171">
        <f t="shared" ca="1" si="242"/>
        <v>0.20231791942969135</v>
      </c>
      <c r="R498" s="171">
        <f t="shared" ca="1" si="242"/>
        <v>0.20585165129716021</v>
      </c>
      <c r="S498" s="171">
        <f t="shared" ca="1" si="242"/>
        <v>0.20922115495571436</v>
      </c>
      <c r="T498" s="171">
        <f t="shared" ca="1" si="242"/>
        <v>0.21542418726638157</v>
      </c>
    </row>
    <row r="499" spans="1:20" ht="15">
      <c r="A499" s="168" t="s">
        <v>499</v>
      </c>
      <c r="D499" s="138">
        <f t="shared" ref="D499:T499" si="243">SUM(-D$496,D$497,-D$498)</f>
        <v>5.6680000000000001</v>
      </c>
      <c r="E499" s="138">
        <f t="shared" si="243"/>
        <v>-9.370000000000001</v>
      </c>
      <c r="F499" s="137">
        <f t="shared" si="243"/>
        <v>19.908000000000001</v>
      </c>
      <c r="G499" s="137">
        <f t="shared" si="243"/>
        <v>-1.42</v>
      </c>
      <c r="H499" s="137">
        <f t="shared" si="243"/>
        <v>10.339</v>
      </c>
      <c r="I499" s="137">
        <f t="shared" si="243"/>
        <v>1.5530000000000002</v>
      </c>
      <c r="J499" s="137">
        <f t="shared" si="243"/>
        <v>1.2639999999999998</v>
      </c>
      <c r="K499" s="140">
        <f t="shared" ca="1" si="243"/>
        <v>-0.77049326683799269</v>
      </c>
      <c r="L499" s="140">
        <f t="shared" ca="1" si="243"/>
        <v>-0.73194226287342445</v>
      </c>
      <c r="M499" s="140">
        <f t="shared" ca="1" si="243"/>
        <v>-0.69111295334630407</v>
      </c>
      <c r="N499" s="140">
        <f t="shared" ca="1" si="243"/>
        <v>-0.66057741502616185</v>
      </c>
      <c r="O499" s="140">
        <f t="shared" ca="1" si="243"/>
        <v>-0.61001208252038985</v>
      </c>
      <c r="P499" s="140">
        <f t="shared" ca="1" si="243"/>
        <v>-0.55093731931138734</v>
      </c>
      <c r="Q499" s="140">
        <f t="shared" ca="1" si="243"/>
        <v>-0.56227256219011856</v>
      </c>
      <c r="R499" s="140">
        <f t="shared" ca="1" si="243"/>
        <v>-0.5720933456225259</v>
      </c>
      <c r="S499" s="140">
        <f t="shared" ca="1" si="243"/>
        <v>-0.58145771364659815</v>
      </c>
      <c r="T499" s="140">
        <f t="shared" ca="1" si="243"/>
        <v>-0.59869689285770722</v>
      </c>
    </row>
    <row r="500" spans="1:20" ht="15">
      <c r="A500" s="168" t="s">
        <v>584</v>
      </c>
      <c r="D500" s="170" t="str">
        <f t="shared" ref="D500:T500" si="244">IF(ROUND(SUM(D$492,D$495,D$499),3)=0,"OK","ERROR")</f>
        <v>OK</v>
      </c>
      <c r="E500" s="170" t="str">
        <f t="shared" si="244"/>
        <v>OK</v>
      </c>
      <c r="F500" s="170" t="str">
        <f t="shared" si="244"/>
        <v>OK</v>
      </c>
      <c r="G500" s="170" t="str">
        <f t="shared" si="244"/>
        <v>OK</v>
      </c>
      <c r="H500" s="170" t="str">
        <f t="shared" si="244"/>
        <v>OK</v>
      </c>
      <c r="I500" s="170" t="str">
        <f t="shared" si="244"/>
        <v>OK</v>
      </c>
      <c r="J500" s="170" t="str">
        <f t="shared" si="244"/>
        <v>OK</v>
      </c>
      <c r="K500" s="170" t="str">
        <f t="shared" ca="1" si="244"/>
        <v>OK</v>
      </c>
      <c r="L500" s="170" t="str">
        <f t="shared" ca="1" si="244"/>
        <v>OK</v>
      </c>
      <c r="M500" s="170" t="str">
        <f t="shared" ca="1" si="244"/>
        <v>OK</v>
      </c>
      <c r="N500" s="170" t="str">
        <f t="shared" ca="1" si="244"/>
        <v>OK</v>
      </c>
      <c r="O500" s="170" t="str">
        <f t="shared" ca="1" si="244"/>
        <v>OK</v>
      </c>
      <c r="P500" s="170" t="str">
        <f t="shared" ca="1" si="244"/>
        <v>OK</v>
      </c>
      <c r="Q500" s="170" t="str">
        <f t="shared" ca="1" si="244"/>
        <v>OK</v>
      </c>
      <c r="R500" s="170" t="str">
        <f t="shared" ca="1" si="244"/>
        <v>OK</v>
      </c>
      <c r="S500" s="170" t="str">
        <f t="shared" ca="1" si="244"/>
        <v>OK</v>
      </c>
      <c r="T500" s="170" t="str">
        <f t="shared" ca="1" si="244"/>
        <v>OK</v>
      </c>
    </row>
    <row r="501" spans="1:20" ht="15">
      <c r="D501" s="148"/>
      <c r="E501" s="148"/>
      <c r="F501" s="148"/>
      <c r="G501" s="148"/>
      <c r="H501" s="148"/>
      <c r="I501" s="148"/>
      <c r="J501" s="148"/>
      <c r="K501" s="148"/>
      <c r="L501" s="148"/>
      <c r="M501" s="148"/>
      <c r="N501" s="148"/>
      <c r="O501" s="148"/>
      <c r="P501" s="148"/>
      <c r="Q501" s="148"/>
      <c r="R501" s="148"/>
      <c r="S501" s="148"/>
      <c r="T501" s="148"/>
    </row>
    <row r="502" spans="1:20">
      <c r="A502" s="18" t="s">
        <v>585</v>
      </c>
      <c r="B502" s="4" t="str">
        <f>$B$60</f>
        <v>Projected Years only</v>
      </c>
    </row>
    <row r="503" spans="1:20">
      <c r="A503" s="167" t="s">
        <v>586</v>
      </c>
      <c r="K503" s="171">
        <f t="shared" ref="K503:T503" ca="1" si="245">SUM(K$477-K$376,K$478,K$479,K$480+K$375)-SUM(K$481,K$482+K$377,K$483,K$484)</f>
        <v>3.8569865732119553</v>
      </c>
      <c r="L503" s="171">
        <f t="shared" ca="1" si="245"/>
        <v>4.9945700734377851</v>
      </c>
      <c r="M503" s="171">
        <f t="shared" ca="1" si="245"/>
        <v>5.7047726640034</v>
      </c>
      <c r="N503" s="171">
        <f t="shared" ca="1" si="245"/>
        <v>6.592676480316868</v>
      </c>
      <c r="O503" s="171">
        <f t="shared" ca="1" si="245"/>
        <v>7.783723095186815</v>
      </c>
      <c r="P503" s="171">
        <f t="shared" ca="1" si="245"/>
        <v>8.627059113025723</v>
      </c>
      <c r="Q503" s="171">
        <f t="shared" ca="1" si="245"/>
        <v>9.5141912374628816</v>
      </c>
      <c r="R503" s="171">
        <f t="shared" ca="1" si="245"/>
        <v>10.410322416262176</v>
      </c>
      <c r="S503" s="171">
        <f t="shared" ca="1" si="245"/>
        <v>11.327208540262291</v>
      </c>
      <c r="T503" s="171">
        <f t="shared" ca="1" si="245"/>
        <v>12.368524877440393</v>
      </c>
    </row>
    <row r="504" spans="1:20">
      <c r="A504" s="167" t="s">
        <v>587</v>
      </c>
      <c r="K504" s="171">
        <f t="shared" ref="K504:T504" ca="1" si="246">-SUM(K$486,K$487,K$391-J$391,K$488,K$490,K$496,K$357-J$357,K$366-J$366,K$388-J$388,-K$331)</f>
        <v>-0.44744057057461717</v>
      </c>
      <c r="L504" s="171">
        <f t="shared" ca="1" si="246"/>
        <v>-9.2329074152023924</v>
      </c>
      <c r="M504" s="171">
        <f t="shared" ca="1" si="246"/>
        <v>-9.3421423456553185</v>
      </c>
      <c r="N504" s="171">
        <f t="shared" ca="1" si="246"/>
        <v>-9.3557649739985997</v>
      </c>
      <c r="O504" s="171">
        <f t="shared" ca="1" si="246"/>
        <v>-9.366980936821232</v>
      </c>
      <c r="P504" s="171">
        <f t="shared" ca="1" si="246"/>
        <v>-9.3785396109230206</v>
      </c>
      <c r="Q504" s="171">
        <f t="shared" ca="1" si="246"/>
        <v>-9.4607725727100949</v>
      </c>
      <c r="R504" s="171">
        <f t="shared" ca="1" si="246"/>
        <v>-9.5028208200812685</v>
      </c>
      <c r="S504" s="171">
        <f t="shared" ca="1" si="246"/>
        <v>-9.5090378172736187</v>
      </c>
      <c r="T504" s="171">
        <f t="shared" ca="1" si="246"/>
        <v>-9.5478695508398541</v>
      </c>
    </row>
    <row r="505" spans="1:20">
      <c r="A505" s="167" t="s">
        <v>175</v>
      </c>
      <c r="K505" s="171">
        <f t="shared" ref="K505:T505" ca="1" si="247">K$497</f>
        <v>0.53038776082030736</v>
      </c>
      <c r="L505" s="171">
        <f t="shared" ca="1" si="247"/>
        <v>0.51303615899590937</v>
      </c>
      <c r="M505" s="171">
        <f t="shared" ca="1" si="247"/>
        <v>0.4968179046502037</v>
      </c>
      <c r="N505" s="171">
        <f t="shared" ca="1" si="247"/>
        <v>0.49196157767946858</v>
      </c>
      <c r="O505" s="171">
        <f t="shared" ca="1" si="247"/>
        <v>0.47354997742143112</v>
      </c>
      <c r="P505" s="171">
        <f t="shared" ca="1" si="247"/>
        <v>0.4513023581001363</v>
      </c>
      <c r="Q505" s="171">
        <f t="shared" ca="1" si="247"/>
        <v>0.4605876645433451</v>
      </c>
      <c r="R505" s="171">
        <f t="shared" ca="1" si="247"/>
        <v>0.468632395887699</v>
      </c>
      <c r="S505" s="171">
        <f t="shared" ca="1" si="247"/>
        <v>0.47630325284954544</v>
      </c>
      <c r="T505" s="171">
        <f t="shared" ca="1" si="247"/>
        <v>0.49042479073956891</v>
      </c>
    </row>
    <row r="506" spans="1:20">
      <c r="A506" s="167" t="s">
        <v>598</v>
      </c>
      <c r="K506" s="171">
        <f t="shared" ref="K506:T506" ca="1" si="248">SUM(K$498,K$344-J$344,-K$503,-K$504,-K$505)</f>
        <v>-3.2947116234032472</v>
      </c>
      <c r="L506" s="171">
        <f t="shared" ca="1" si="248"/>
        <v>4.3358489687651058</v>
      </c>
      <c r="M506" s="171">
        <f t="shared" ca="1" si="248"/>
        <v>3.7183968144042936</v>
      </c>
      <c r="N506" s="171">
        <f t="shared" ca="1" si="248"/>
        <v>2.806699933588412</v>
      </c>
      <c r="O506" s="171">
        <f t="shared" ca="1" si="248"/>
        <v>1.5919281252388089</v>
      </c>
      <c r="P506" s="171">
        <f t="shared" ca="1" si="248"/>
        <v>0.72135091988954692</v>
      </c>
      <c r="Q506" s="171">
        <f t="shared" ca="1" si="248"/>
        <v>-8.1914877218709492E-2</v>
      </c>
      <c r="R506" s="171">
        <f t="shared" ca="1" si="248"/>
        <v>-0.93437104739971666</v>
      </c>
      <c r="S506" s="171">
        <f t="shared" ca="1" si="248"/>
        <v>-1.8439172902163588</v>
      </c>
      <c r="T506" s="171">
        <f t="shared" ca="1" si="248"/>
        <v>-2.848054770529302</v>
      </c>
    </row>
    <row r="507" spans="1:20" ht="15">
      <c r="A507" s="168" t="s">
        <v>588</v>
      </c>
      <c r="K507" s="140">
        <f t="shared" ref="K507:T507" ca="1" si="249">SUM(K$503:K$506)</f>
        <v>0.64522214005439826</v>
      </c>
      <c r="L507" s="140">
        <f t="shared" ca="1" si="249"/>
        <v>0.61054778599640791</v>
      </c>
      <c r="M507" s="140">
        <f t="shared" ca="1" si="249"/>
        <v>0.57784503740257875</v>
      </c>
      <c r="N507" s="140">
        <f t="shared" ca="1" si="249"/>
        <v>0.53557301758614884</v>
      </c>
      <c r="O507" s="140">
        <f t="shared" ca="1" si="249"/>
        <v>0.48222026102582305</v>
      </c>
      <c r="P507" s="140">
        <f t="shared" ca="1" si="249"/>
        <v>0.42117278009238568</v>
      </c>
      <c r="Q507" s="140">
        <f t="shared" ca="1" si="249"/>
        <v>0.43209145207742239</v>
      </c>
      <c r="R507" s="140">
        <f t="shared" ca="1" si="249"/>
        <v>0.44176294466888955</v>
      </c>
      <c r="S507" s="140">
        <f t="shared" ca="1" si="249"/>
        <v>0.45055668562185858</v>
      </c>
      <c r="T507" s="140">
        <f t="shared" ca="1" si="249"/>
        <v>0.46302534681080587</v>
      </c>
    </row>
    <row r="508" spans="1:20">
      <c r="A508" s="18" t="s">
        <v>316</v>
      </c>
    </row>
    <row r="509" spans="1:20" ht="15">
      <c r="A509" s="168" t="s">
        <v>313</v>
      </c>
      <c r="K509" s="136">
        <f t="shared" ref="K509:T509" ca="1" si="250">K$503</f>
        <v>3.8569865732119553</v>
      </c>
      <c r="L509" s="136">
        <f t="shared" ca="1" si="250"/>
        <v>4.9945700734377851</v>
      </c>
      <c r="M509" s="136">
        <f t="shared" ca="1" si="250"/>
        <v>5.7047726640034</v>
      </c>
      <c r="N509" s="136">
        <f t="shared" ca="1" si="250"/>
        <v>6.592676480316868</v>
      </c>
      <c r="O509" s="136">
        <f t="shared" ca="1" si="250"/>
        <v>7.783723095186815</v>
      </c>
      <c r="P509" s="136">
        <f t="shared" ca="1" si="250"/>
        <v>8.627059113025723</v>
      </c>
      <c r="Q509" s="136">
        <f t="shared" ca="1" si="250"/>
        <v>9.5141912374628816</v>
      </c>
      <c r="R509" s="136">
        <f t="shared" ca="1" si="250"/>
        <v>10.410322416262176</v>
      </c>
      <c r="S509" s="136">
        <f t="shared" ca="1" si="250"/>
        <v>11.327208540262291</v>
      </c>
      <c r="T509" s="136">
        <f t="shared" ca="1" si="250"/>
        <v>12.368524877440393</v>
      </c>
    </row>
    <row r="510" spans="1:20" ht="15">
      <c r="A510" s="168" t="s">
        <v>143</v>
      </c>
      <c r="K510" s="140">
        <f t="shared" ref="K510:T510" ca="1" si="251">K$333</f>
        <v>5.1029537206181974</v>
      </c>
      <c r="L510" s="140">
        <f t="shared" ca="1" si="251"/>
        <v>5.5068406812592565</v>
      </c>
      <c r="M510" s="140">
        <f t="shared" ca="1" si="251"/>
        <v>5.9173384775573812</v>
      </c>
      <c r="N510" s="140">
        <f t="shared" ca="1" si="251"/>
        <v>6.3356483783900988</v>
      </c>
      <c r="O510" s="140">
        <f t="shared" ca="1" si="251"/>
        <v>6.7642851850203574</v>
      </c>
      <c r="P510" s="140">
        <f t="shared" ca="1" si="251"/>
        <v>7.2054104464261792</v>
      </c>
      <c r="Q510" s="140">
        <f t="shared" ca="1" si="251"/>
        <v>7.6601401682311208</v>
      </c>
      <c r="R510" s="140">
        <f t="shared" ca="1" si="251"/>
        <v>8.1279325145314623</v>
      </c>
      <c r="S510" s="140">
        <f t="shared" ca="1" si="251"/>
        <v>8.6073760589285566</v>
      </c>
      <c r="T510" s="140">
        <f t="shared" ca="1" si="251"/>
        <v>9.098524522367688</v>
      </c>
    </row>
    <row r="511" spans="1:20">
      <c r="A511" s="167" t="s">
        <v>593</v>
      </c>
      <c r="K511" s="171">
        <f t="shared" ref="K511:T511" ca="1" si="252">SUM(K$212,K$218)</f>
        <v>2.1162287164015439</v>
      </c>
      <c r="L511" s="171">
        <f t="shared" ca="1" si="252"/>
        <v>2.2764304970439944</v>
      </c>
      <c r="M511" s="171">
        <f t="shared" ca="1" si="252"/>
        <v>2.421398147462722</v>
      </c>
      <c r="N511" s="171">
        <f t="shared" ca="1" si="252"/>
        <v>2.5674854451139271</v>
      </c>
      <c r="O511" s="171">
        <f t="shared" ca="1" si="252"/>
        <v>2.7139670693101281</v>
      </c>
      <c r="P511" s="171">
        <f t="shared" ca="1" si="252"/>
        <v>2.8605544213696996</v>
      </c>
      <c r="Q511" s="171">
        <f t="shared" ca="1" si="252"/>
        <v>3.0100855273018006</v>
      </c>
      <c r="R511" s="171">
        <f t="shared" ca="1" si="252"/>
        <v>3.1625532081623562</v>
      </c>
      <c r="S511" s="171">
        <f t="shared" ca="1" si="252"/>
        <v>3.3179914291955868</v>
      </c>
      <c r="T511" s="171">
        <f t="shared" ca="1" si="252"/>
        <v>3.4767512404621854</v>
      </c>
    </row>
    <row r="512" spans="1:20">
      <c r="A512" s="167" t="s">
        <v>596</v>
      </c>
      <c r="K512" s="171">
        <f t="shared" ref="K512:T512" si="253">K$263</f>
        <v>0.61699999999999999</v>
      </c>
      <c r="L512" s="171">
        <f t="shared" si="253"/>
        <v>0.65100000000000002</v>
      </c>
      <c r="M512" s="171">
        <f t="shared" si="253"/>
        <v>0.68600000000000005</v>
      </c>
      <c r="N512" s="171">
        <f t="shared" si="253"/>
        <v>0.72</v>
      </c>
      <c r="O512" s="171">
        <f t="shared" si="253"/>
        <v>0.753</v>
      </c>
      <c r="P512" s="171">
        <f t="shared" si="253"/>
        <v>0.78400000000000003</v>
      </c>
      <c r="Q512" s="171">
        <f t="shared" si="253"/>
        <v>0.81299999999999994</v>
      </c>
      <c r="R512" s="171">
        <f t="shared" si="253"/>
        <v>0.84</v>
      </c>
      <c r="S512" s="171">
        <f t="shared" si="253"/>
        <v>0.86499999999999999</v>
      </c>
      <c r="T512" s="171">
        <f t="shared" si="253"/>
        <v>0.88800000000000001</v>
      </c>
    </row>
    <row r="513" spans="1:20">
      <c r="A513" s="167" t="s">
        <v>606</v>
      </c>
      <c r="K513" s="171">
        <f t="shared" ref="K513:T513" ca="1" si="254">K$460-J$460</f>
        <v>1.3163041701922101E-4</v>
      </c>
      <c r="L513" s="171">
        <f t="shared" ca="1" si="254"/>
        <v>1.3172616064581304E-4</v>
      </c>
      <c r="M513" s="171">
        <f t="shared" ca="1" si="254"/>
        <v>1.3151608718210261E-4</v>
      </c>
      <c r="N513" s="171">
        <f t="shared" ca="1" si="254"/>
        <v>1.3274870502738307E-4</v>
      </c>
      <c r="O513" s="171">
        <f t="shared" ca="1" si="254"/>
        <v>1.3398109648101505E-4</v>
      </c>
      <c r="P513" s="171">
        <f t="shared" ca="1" si="254"/>
        <v>1.3517171188539602E-4</v>
      </c>
      <c r="Q513" s="171">
        <f t="shared" ca="1" si="254"/>
        <v>1.3612885300634536E-4</v>
      </c>
      <c r="R513" s="171">
        <f t="shared" ca="1" si="254"/>
        <v>1.370885901067374E-4</v>
      </c>
      <c r="S513" s="171">
        <f t="shared" ca="1" si="254"/>
        <v>1.3814176631668507E-4</v>
      </c>
      <c r="T513" s="171">
        <f t="shared" ca="1" si="254"/>
        <v>1.4089209222972916E-4</v>
      </c>
    </row>
    <row r="514" spans="1:20">
      <c r="A514" s="167" t="s">
        <v>607</v>
      </c>
      <c r="K514" s="171">
        <f t="shared" ref="K514:T514" ca="1" si="255">-K$340</f>
        <v>-1.9558560620821199E-2</v>
      </c>
      <c r="L514" s="171">
        <f t="shared" ca="1" si="255"/>
        <v>-2.0393489066080864E-2</v>
      </c>
      <c r="M514" s="171">
        <f t="shared" ca="1" si="255"/>
        <v>-2.1237781568279695E-2</v>
      </c>
      <c r="N514" s="171">
        <f t="shared" ca="1" si="255"/>
        <v>-2.212188693217651E-2</v>
      </c>
      <c r="O514" s="171">
        <f t="shared" ca="1" si="255"/>
        <v>-2.3025140950318906E-2</v>
      </c>
      <c r="P514" s="171">
        <f t="shared" ca="1" si="255"/>
        <v>-2.3947438621741441E-2</v>
      </c>
      <c r="Q514" s="171">
        <f t="shared" ca="1" si="255"/>
        <v>-2.4888712078150056E-2</v>
      </c>
      <c r="R514" s="171">
        <f t="shared" ca="1" si="255"/>
        <v>-2.5846426035816737E-2</v>
      </c>
      <c r="S514" s="171">
        <f t="shared" ca="1" si="255"/>
        <v>-2.6819816431655628E-2</v>
      </c>
      <c r="T514" s="171">
        <f t="shared" ca="1" si="255"/>
        <v>-2.7822066108371537E-2</v>
      </c>
    </row>
    <row r="515" spans="1:20" ht="15">
      <c r="A515" s="168" t="s">
        <v>597</v>
      </c>
      <c r="K515" s="140">
        <f t="shared" ref="K515:T515" ca="1" si="256">-SUM(K$511:K$514)</f>
        <v>-2.7138017861977417</v>
      </c>
      <c r="L515" s="140">
        <f t="shared" ca="1" si="256"/>
        <v>-2.9071687341385597</v>
      </c>
      <c r="M515" s="140">
        <f t="shared" ca="1" si="256"/>
        <v>-3.0862918819816243</v>
      </c>
      <c r="N515" s="140">
        <f t="shared" ca="1" si="256"/>
        <v>-3.2654963068867784</v>
      </c>
      <c r="O515" s="140">
        <f t="shared" ca="1" si="256"/>
        <v>-3.4440759094562901</v>
      </c>
      <c r="P515" s="140">
        <f t="shared" ca="1" si="256"/>
        <v>-3.6207421544598435</v>
      </c>
      <c r="Q515" s="140">
        <f t="shared" ca="1" si="256"/>
        <v>-3.7983329440766567</v>
      </c>
      <c r="R515" s="140">
        <f t="shared" ca="1" si="256"/>
        <v>-3.976843870716646</v>
      </c>
      <c r="S515" s="140">
        <f t="shared" ca="1" si="256"/>
        <v>-4.1563097545302483</v>
      </c>
      <c r="T515" s="140">
        <f t="shared" ca="1" si="256"/>
        <v>-4.3370700664460431</v>
      </c>
    </row>
    <row r="516" spans="1:20">
      <c r="A516" s="167" t="s">
        <v>187</v>
      </c>
      <c r="K516" s="171">
        <f t="shared" ref="K516:T516" ca="1" si="257">K$353-J$353</f>
        <v>1.1604259116083071</v>
      </c>
      <c r="L516" s="171">
        <f t="shared" ca="1" si="257"/>
        <v>1.0927414482936939</v>
      </c>
      <c r="M516" s="171">
        <f t="shared" ca="1" si="257"/>
        <v>1.2066262484889165</v>
      </c>
      <c r="N516" s="171">
        <f t="shared" ca="1" si="257"/>
        <v>1.2694195391959333</v>
      </c>
      <c r="O516" s="171">
        <f t="shared" ca="1" si="257"/>
        <v>1.2628173383054992</v>
      </c>
      <c r="P516" s="171">
        <f t="shared" ca="1" si="257"/>
        <v>1.2864152593844764</v>
      </c>
      <c r="Q516" s="171">
        <f t="shared" ca="1" si="257"/>
        <v>1.3101381535629066</v>
      </c>
      <c r="R516" s="171">
        <f t="shared" ca="1" si="257"/>
        <v>1.3312130359859466</v>
      </c>
      <c r="S516" s="171">
        <f t="shared" ca="1" si="257"/>
        <v>1.3512913622035398</v>
      </c>
      <c r="T516" s="171">
        <f t="shared" ca="1" si="257"/>
        <v>1.3871048311474965</v>
      </c>
    </row>
    <row r="517" spans="1:20">
      <c r="A517" s="167" t="s">
        <v>188</v>
      </c>
      <c r="K517" s="171">
        <f t="shared" ref="K517:T517" ca="1" si="258">K$151-K$332</f>
        <v>0.15490348712912463</v>
      </c>
      <c r="L517" s="171">
        <f t="shared" ca="1" si="258"/>
        <v>0.1734597480762769</v>
      </c>
      <c r="M517" s="171">
        <f t="shared" ca="1" si="258"/>
        <v>0.19096617071003849</v>
      </c>
      <c r="N517" s="171">
        <f t="shared" ca="1" si="258"/>
        <v>0.20726069737913699</v>
      </c>
      <c r="O517" s="171">
        <f t="shared" ca="1" si="258"/>
        <v>0.22145330917976536</v>
      </c>
      <c r="P517" s="171">
        <f t="shared" ca="1" si="258"/>
        <v>0.23454456495848519</v>
      </c>
      <c r="Q517" s="171">
        <f t="shared" ca="1" si="258"/>
        <v>0.2475348259306682</v>
      </c>
      <c r="R517" s="171">
        <f t="shared" ca="1" si="258"/>
        <v>0.2594375856350436</v>
      </c>
      <c r="S517" s="171">
        <f t="shared" ca="1" si="258"/>
        <v>0.27125691064401369</v>
      </c>
      <c r="T517" s="171">
        <f t="shared" ca="1" si="258"/>
        <v>0.28192263792350369</v>
      </c>
    </row>
    <row r="518" spans="1:20">
      <c r="A518" s="167" t="s">
        <v>189</v>
      </c>
      <c r="K518" s="171">
        <f t="shared" ref="K518:T518" ca="1" si="259">K$410-J$410</f>
        <v>4.9196868360933843E-2</v>
      </c>
      <c r="L518" s="171">
        <f t="shared" ca="1" si="259"/>
        <v>4.9232652541372657E-2</v>
      </c>
      <c r="M518" s="171">
        <f t="shared" ca="1" si="259"/>
        <v>4.9154137584310753E-2</v>
      </c>
      <c r="N518" s="171">
        <f t="shared" ca="1" si="259"/>
        <v>4.9614828503984354E-2</v>
      </c>
      <c r="O518" s="171">
        <f t="shared" ca="1" si="259"/>
        <v>5.0075434809779606E-2</v>
      </c>
      <c r="P518" s="171">
        <f t="shared" ca="1" si="259"/>
        <v>5.0520427317166661E-2</v>
      </c>
      <c r="Q518" s="171">
        <f t="shared" ca="1" si="259"/>
        <v>5.0878158811121343E-2</v>
      </c>
      <c r="R518" s="171">
        <f t="shared" ca="1" si="259"/>
        <v>5.1236860552393182E-2</v>
      </c>
      <c r="S518" s="171">
        <f t="shared" ca="1" si="259"/>
        <v>5.1630485160861106E-2</v>
      </c>
      <c r="T518" s="171">
        <f t="shared" ca="1" si="259"/>
        <v>5.2658419470861251E-2</v>
      </c>
    </row>
    <row r="519" spans="1:20">
      <c r="A519" s="167" t="s">
        <v>190</v>
      </c>
      <c r="K519" s="171">
        <f t="shared" ref="K519:T519" ca="1" si="260">K$414-J$414</f>
        <v>4.5807385122688782E-2</v>
      </c>
      <c r="L519" s="171">
        <f t="shared" ca="1" si="260"/>
        <v>4.5840703904742819E-2</v>
      </c>
      <c r="M519" s="171">
        <f t="shared" ca="1" si="260"/>
        <v>4.5767598339371496E-2</v>
      </c>
      <c r="N519" s="171">
        <f t="shared" ca="1" si="260"/>
        <v>4.6196549349529104E-2</v>
      </c>
      <c r="O519" s="171">
        <f t="shared" ca="1" si="260"/>
        <v>4.66254215753934E-2</v>
      </c>
      <c r="P519" s="171">
        <f t="shared" ca="1" si="260"/>
        <v>4.7039755736117961E-2</v>
      </c>
      <c r="Q519" s="171">
        <f t="shared" ca="1" si="260"/>
        <v>4.7372840846208186E-2</v>
      </c>
      <c r="R519" s="171">
        <f t="shared" ca="1" si="260"/>
        <v>4.7706829357144542E-2</v>
      </c>
      <c r="S519" s="171">
        <f t="shared" ca="1" si="260"/>
        <v>4.8073334678206514E-2</v>
      </c>
      <c r="T519" s="171">
        <f t="shared" ca="1" si="260"/>
        <v>4.9030448095945589E-2</v>
      </c>
    </row>
    <row r="520" spans="1:20">
      <c r="A520" s="167" t="s">
        <v>608</v>
      </c>
      <c r="K520" s="171">
        <f t="shared" ref="K520:T520" ca="1" si="261">K$456-J$456</f>
        <v>9.5004253483622569E-2</v>
      </c>
      <c r="L520" s="171">
        <f t="shared" ca="1" si="261"/>
        <v>9.5073356446115476E-2</v>
      </c>
      <c r="M520" s="171">
        <f t="shared" ca="1" si="261"/>
        <v>9.4921735923682249E-2</v>
      </c>
      <c r="N520" s="171">
        <f t="shared" ca="1" si="261"/>
        <v>9.5811377853513457E-2</v>
      </c>
      <c r="O520" s="171">
        <f t="shared" ca="1" si="261"/>
        <v>9.6700856385173006E-2</v>
      </c>
      <c r="P520" s="171">
        <f t="shared" ca="1" si="261"/>
        <v>9.7560183053284621E-2</v>
      </c>
      <c r="Q520" s="171">
        <f t="shared" ca="1" si="261"/>
        <v>9.825099965732953E-2</v>
      </c>
      <c r="R520" s="171">
        <f t="shared" ca="1" si="261"/>
        <v>9.8943689909537724E-2</v>
      </c>
      <c r="S520" s="171">
        <f t="shared" ca="1" si="261"/>
        <v>9.970381983906762E-2</v>
      </c>
      <c r="T520" s="171">
        <f t="shared" ca="1" si="261"/>
        <v>0.10168886756680684</v>
      </c>
    </row>
    <row r="521" spans="1:20">
      <c r="A521" s="167" t="s">
        <v>609</v>
      </c>
      <c r="K521" s="171">
        <f t="shared" ref="K521:T521" ca="1" si="262">SUM(K$452-J$452,K$473-J$473)</f>
        <v>0.33591380540285698</v>
      </c>
      <c r="L521" s="171">
        <f t="shared" ca="1" si="262"/>
        <v>0.37348230908247793</v>
      </c>
      <c r="M521" s="171">
        <f t="shared" ca="1" si="262"/>
        <v>0.55707303048756174</v>
      </c>
      <c r="N521" s="171">
        <f t="shared" ca="1" si="262"/>
        <v>0.64782203977129527</v>
      </c>
      <c r="O521" s="171">
        <f t="shared" ca="1" si="262"/>
        <v>0.71454024309524478</v>
      </c>
      <c r="P521" s="171">
        <f t="shared" ca="1" si="262"/>
        <v>0.792381121334639</v>
      </c>
      <c r="Q521" s="171">
        <f t="shared" ca="1" si="262"/>
        <v>0.82099061831816655</v>
      </c>
      <c r="R521" s="171">
        <f t="shared" ca="1" si="262"/>
        <v>0.83352193604826397</v>
      </c>
      <c r="S521" s="171">
        <f t="shared" ca="1" si="262"/>
        <v>0.84545375495584807</v>
      </c>
      <c r="T521" s="171">
        <f t="shared" ca="1" si="262"/>
        <v>0.86627004532877017</v>
      </c>
    </row>
    <row r="522" spans="1:20">
      <c r="A522" s="167" t="s">
        <v>605</v>
      </c>
      <c r="K522" s="171">
        <f t="shared" ref="K522:T522" si="263">K$466-J$466</f>
        <v>-0.33407203601800894</v>
      </c>
      <c r="L522" s="171">
        <f t="shared" si="263"/>
        <v>-0.32706353176588365</v>
      </c>
      <c r="M522" s="171">
        <f t="shared" si="263"/>
        <v>-0.32355927963981834</v>
      </c>
      <c r="N522" s="171">
        <f t="shared" si="263"/>
        <v>-0.33173586793396836</v>
      </c>
      <c r="O522" s="171">
        <f t="shared" si="263"/>
        <v>-0.3375762881440707</v>
      </c>
      <c r="P522" s="171">
        <f t="shared" si="263"/>
        <v>-0.34458479239619866</v>
      </c>
      <c r="Q522" s="171">
        <f t="shared" si="263"/>
        <v>-0.34808904452226042</v>
      </c>
      <c r="R522" s="171">
        <f t="shared" si="263"/>
        <v>-0.35509754877438748</v>
      </c>
      <c r="S522" s="171">
        <f t="shared" si="263"/>
        <v>-0.35743371685842895</v>
      </c>
      <c r="T522" s="171">
        <f t="shared" si="263"/>
        <v>-0.35626563281640866</v>
      </c>
    </row>
    <row r="523" spans="1:20" ht="15">
      <c r="A523" s="168" t="s">
        <v>193</v>
      </c>
      <c r="K523" s="140">
        <f ca="1">SUM(K$516:K$519)-SUM(K$520:K$522)</f>
        <v>1.3134876293525837</v>
      </c>
      <c r="L523" s="140">
        <f t="shared" ref="L523:T523" ca="1" si="264">SUM(L$516:L$519)-SUM(L$520:L$522)</f>
        <v>1.2197824190533766</v>
      </c>
      <c r="M523" s="140">
        <f t="shared" ca="1" si="264"/>
        <v>1.1640786683512117</v>
      </c>
      <c r="N523" s="140">
        <f t="shared" ca="1" si="264"/>
        <v>1.1605940647377433</v>
      </c>
      <c r="O523" s="140">
        <f t="shared" ca="1" si="264"/>
        <v>1.1073066925340904</v>
      </c>
      <c r="P523" s="140">
        <f t="shared" ca="1" si="264"/>
        <v>1.0731634954045213</v>
      </c>
      <c r="Q523" s="140">
        <f t="shared" ca="1" si="264"/>
        <v>1.0847714056976687</v>
      </c>
      <c r="R523" s="140">
        <f t="shared" ca="1" si="264"/>
        <v>1.1122262343471139</v>
      </c>
      <c r="S523" s="140">
        <f t="shared" ca="1" si="264"/>
        <v>1.1345282347501344</v>
      </c>
      <c r="T523" s="140">
        <f t="shared" ca="1" si="264"/>
        <v>1.1590230565586386</v>
      </c>
    </row>
    <row r="524" spans="1:20" ht="15">
      <c r="A524" s="168" t="s">
        <v>953</v>
      </c>
      <c r="K524" s="136">
        <f t="shared" ref="K524:T524" ca="1" si="265">SUM(K$509,K$510,K$515,K$523)</f>
        <v>7.5596261369849946</v>
      </c>
      <c r="L524" s="136">
        <f t="shared" ca="1" si="265"/>
        <v>8.8140244396118579</v>
      </c>
      <c r="M524" s="136">
        <f t="shared" ca="1" si="265"/>
        <v>9.699897927930369</v>
      </c>
      <c r="N524" s="136">
        <f t="shared" ca="1" si="265"/>
        <v>10.823422616557933</v>
      </c>
      <c r="O524" s="136">
        <f t="shared" ca="1" si="265"/>
        <v>12.211239063284973</v>
      </c>
      <c r="P524" s="136">
        <f t="shared" ca="1" si="265"/>
        <v>13.284890900396579</v>
      </c>
      <c r="Q524" s="136">
        <f t="shared" ca="1" si="265"/>
        <v>14.460769867315014</v>
      </c>
      <c r="R524" s="136">
        <f t="shared" ca="1" si="265"/>
        <v>15.673637294424106</v>
      </c>
      <c r="S524" s="136">
        <f t="shared" ca="1" si="265"/>
        <v>16.912803079410736</v>
      </c>
      <c r="T524" s="136">
        <f t="shared" ca="1" si="265"/>
        <v>18.289002389920679</v>
      </c>
    </row>
    <row r="525" spans="1:20" ht="15">
      <c r="A525" s="26" t="s">
        <v>589</v>
      </c>
      <c r="B525" s="4" t="str">
        <f>$B$60</f>
        <v>Projected Years only</v>
      </c>
      <c r="K525" s="170" t="str">
        <f t="shared" ref="K525:T525" ca="1" si="266">IF(ROUND(SUM(K$47,-K$524),3)=0,"OK","ERROR")</f>
        <v>OK</v>
      </c>
      <c r="L525" s="170" t="str">
        <f t="shared" ca="1" si="266"/>
        <v>OK</v>
      </c>
      <c r="M525" s="170" t="str">
        <f t="shared" ca="1" si="266"/>
        <v>OK</v>
      </c>
      <c r="N525" s="170" t="str">
        <f t="shared" ca="1" si="266"/>
        <v>OK</v>
      </c>
      <c r="O525" s="170" t="str">
        <f t="shared" ca="1" si="266"/>
        <v>OK</v>
      </c>
      <c r="P525" s="170" t="str">
        <f t="shared" ca="1" si="266"/>
        <v>OK</v>
      </c>
      <c r="Q525" s="170" t="str">
        <f t="shared" ca="1" si="266"/>
        <v>OK</v>
      </c>
      <c r="R525" s="170" t="str">
        <f t="shared" ca="1" si="266"/>
        <v>OK</v>
      </c>
      <c r="S525" s="170" t="str">
        <f t="shared" ca="1" si="266"/>
        <v>OK</v>
      </c>
      <c r="T525" s="170" t="str">
        <f t="shared" ca="1" si="266"/>
        <v>OK</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4017" r:id="rId4" name="Drop Down 1">
              <controlPr defaultSize="0" autoLine="0" autoPict="0">
                <anchor moveWithCells="1">
                  <from>
                    <xdr:col>0</xdr:col>
                    <xdr:colOff>47625</xdr:colOff>
                    <xdr:row>6</xdr:row>
                    <xdr:rowOff>0</xdr:rowOff>
                  </from>
                  <to>
                    <xdr:col>0</xdr:col>
                    <xdr:colOff>5629275</xdr:colOff>
                    <xdr:row>7</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63"/>
  <sheetViews>
    <sheetView workbookViewId="0">
      <pane ySplit="3" topLeftCell="A4" activePane="bottomLeft" state="frozen"/>
      <selection pane="bottomLeft" activeCell="E10" sqref="E10"/>
    </sheetView>
  </sheetViews>
  <sheetFormatPr defaultColWidth="8.7109375" defaultRowHeight="12.75"/>
  <cols>
    <col min="1" max="2" width="8.7109375" style="28"/>
    <col min="3" max="3" width="5.7109375" style="28" customWidth="1"/>
    <col min="4" max="7" width="8.7109375" style="28"/>
    <col min="8" max="8" width="5.7109375" style="28" customWidth="1"/>
    <col min="9" max="12" width="8.7109375" style="28"/>
    <col min="13" max="13" width="5.7109375" style="28" customWidth="1"/>
    <col min="14" max="207" width="8.7109375" style="28"/>
    <col min="208" max="208" width="5.7109375" style="28" customWidth="1"/>
    <col min="209" max="212" width="8.7109375" style="28"/>
    <col min="213" max="213" width="5.7109375" style="28" customWidth="1"/>
    <col min="214" max="217" width="8.7109375" style="28"/>
    <col min="218" max="218" width="5.7109375" style="28" customWidth="1"/>
    <col min="219" max="16384" width="8.7109375" style="28"/>
  </cols>
  <sheetData>
    <row r="1" spans="1:14" ht="15.75">
      <c r="A1" s="59" t="s">
        <v>1003</v>
      </c>
    </row>
    <row r="2" spans="1:14">
      <c r="A2" s="67"/>
    </row>
    <row r="3" spans="1:14">
      <c r="A3" s="68" t="s">
        <v>788</v>
      </c>
      <c r="D3" s="68" t="s">
        <v>685</v>
      </c>
      <c r="I3" s="68" t="s">
        <v>684</v>
      </c>
      <c r="N3" s="68" t="s">
        <v>683</v>
      </c>
    </row>
    <row r="4" spans="1:14">
      <c r="A4" s="68"/>
    </row>
    <row r="5" spans="1:14">
      <c r="A5" s="67" t="s">
        <v>641</v>
      </c>
      <c r="D5" s="28" t="s">
        <v>682</v>
      </c>
      <c r="I5" s="28" t="s">
        <v>681</v>
      </c>
      <c r="N5" s="28" t="s">
        <v>642</v>
      </c>
    </row>
    <row r="6" spans="1:14">
      <c r="D6" s="28" t="s">
        <v>680</v>
      </c>
      <c r="I6" s="28" t="s">
        <v>779</v>
      </c>
    </row>
    <row r="7" spans="1:14">
      <c r="D7" s="28" t="s">
        <v>679</v>
      </c>
      <c r="I7" s="28" t="s">
        <v>780</v>
      </c>
    </row>
    <row r="8" spans="1:14">
      <c r="D8" s="28" t="s">
        <v>678</v>
      </c>
      <c r="I8" s="28" t="s">
        <v>1197</v>
      </c>
    </row>
    <row r="9" spans="1:14">
      <c r="I9" s="28" t="s">
        <v>1198</v>
      </c>
    </row>
    <row r="10" spans="1:14">
      <c r="I10" s="28" t="s">
        <v>1200</v>
      </c>
    </row>
    <row r="11" spans="1:14">
      <c r="I11" s="132" t="s">
        <v>1199</v>
      </c>
    </row>
    <row r="13" spans="1:14">
      <c r="A13" s="67" t="s">
        <v>677</v>
      </c>
      <c r="D13" s="28" t="s">
        <v>922</v>
      </c>
      <c r="I13" s="28" t="s">
        <v>657</v>
      </c>
      <c r="N13" s="28" t="s">
        <v>642</v>
      </c>
    </row>
    <row r="14" spans="1:14">
      <c r="D14" s="28" t="s">
        <v>676</v>
      </c>
      <c r="I14" s="28" t="s">
        <v>656</v>
      </c>
    </row>
    <row r="15" spans="1:14">
      <c r="D15" s="28" t="s">
        <v>675</v>
      </c>
    </row>
    <row r="17" spans="1:14">
      <c r="A17" s="67" t="s">
        <v>674</v>
      </c>
      <c r="D17" s="28" t="s">
        <v>785</v>
      </c>
      <c r="I17" s="28" t="s">
        <v>657</v>
      </c>
      <c r="N17" s="28" t="s">
        <v>642</v>
      </c>
    </row>
    <row r="18" spans="1:14">
      <c r="D18" s="28" t="s">
        <v>784</v>
      </c>
      <c r="I18" s="28" t="s">
        <v>656</v>
      </c>
    </row>
    <row r="19" spans="1:14">
      <c r="D19" s="28" t="s">
        <v>783</v>
      </c>
    </row>
    <row r="20" spans="1:14">
      <c r="D20" s="28" t="s">
        <v>789</v>
      </c>
    </row>
    <row r="21" spans="1:14">
      <c r="D21" s="28" t="s">
        <v>790</v>
      </c>
    </row>
    <row r="22" spans="1:14">
      <c r="D22" s="28" t="s">
        <v>791</v>
      </c>
    </row>
    <row r="23" spans="1:14" s="124" customFormat="1"/>
    <row r="24" spans="1:14" s="124" customFormat="1">
      <c r="A24" s="106" t="s">
        <v>1084</v>
      </c>
      <c r="D24" s="124" t="s">
        <v>782</v>
      </c>
      <c r="I24" s="124" t="s">
        <v>1061</v>
      </c>
      <c r="N24" s="124" t="s">
        <v>642</v>
      </c>
    </row>
    <row r="25" spans="1:14" s="124" customFormat="1">
      <c r="D25" s="124" t="s">
        <v>1056</v>
      </c>
      <c r="I25" s="124" t="s">
        <v>1062</v>
      </c>
    </row>
    <row r="26" spans="1:14" s="124" customFormat="1">
      <c r="D26" s="124" t="s">
        <v>1057</v>
      </c>
      <c r="I26" s="124" t="s">
        <v>1064</v>
      </c>
    </row>
    <row r="27" spans="1:14" s="124" customFormat="1">
      <c r="D27" s="124" t="s">
        <v>1058</v>
      </c>
      <c r="I27" s="124" t="s">
        <v>1063</v>
      </c>
    </row>
    <row r="28" spans="1:14" s="124" customFormat="1">
      <c r="D28" s="124" t="s">
        <v>1059</v>
      </c>
      <c r="I28" s="124" t="s">
        <v>1065</v>
      </c>
    </row>
    <row r="29" spans="1:14" s="124" customFormat="1">
      <c r="D29" s="124" t="s">
        <v>1060</v>
      </c>
      <c r="I29" s="124" t="s">
        <v>1066</v>
      </c>
    </row>
    <row r="30" spans="1:14" s="124" customFormat="1">
      <c r="D30" s="28" t="s">
        <v>1075</v>
      </c>
    </row>
    <row r="31" spans="1:14" s="124" customFormat="1">
      <c r="D31" s="28" t="s">
        <v>786</v>
      </c>
    </row>
    <row r="32" spans="1:14" s="124" customFormat="1">
      <c r="D32" s="28" t="s">
        <v>787</v>
      </c>
    </row>
    <row r="33" spans="1:19" s="124" customFormat="1">
      <c r="D33" s="28" t="s">
        <v>1183</v>
      </c>
    </row>
    <row r="34" spans="1:19">
      <c r="S34" s="124"/>
    </row>
    <row r="35" spans="1:19">
      <c r="A35" s="67" t="s">
        <v>1054</v>
      </c>
      <c r="D35" s="28" t="s">
        <v>1067</v>
      </c>
      <c r="I35" s="28" t="s">
        <v>673</v>
      </c>
      <c r="N35" s="106" t="s">
        <v>1084</v>
      </c>
      <c r="S35" s="124"/>
    </row>
    <row r="36" spans="1:19">
      <c r="D36" s="28" t="s">
        <v>1068</v>
      </c>
      <c r="I36" s="28" t="s">
        <v>672</v>
      </c>
      <c r="N36" s="106" t="s">
        <v>842</v>
      </c>
      <c r="S36" s="124"/>
    </row>
    <row r="37" spans="1:19">
      <c r="D37" s="28" t="s">
        <v>1069</v>
      </c>
      <c r="I37" s="28" t="s">
        <v>781</v>
      </c>
      <c r="S37" s="124"/>
    </row>
    <row r="38" spans="1:19">
      <c r="D38" s="28" t="s">
        <v>1070</v>
      </c>
      <c r="I38" s="28" t="s">
        <v>671</v>
      </c>
      <c r="S38" s="124"/>
    </row>
    <row r="39" spans="1:19">
      <c r="D39" s="28" t="s">
        <v>1071</v>
      </c>
      <c r="I39" s="28" t="s">
        <v>670</v>
      </c>
      <c r="S39" s="124"/>
    </row>
    <row r="40" spans="1:19">
      <c r="D40" s="28" t="s">
        <v>1072</v>
      </c>
      <c r="I40" s="28" t="s">
        <v>669</v>
      </c>
    </row>
    <row r="41" spans="1:19">
      <c r="D41" s="28" t="s">
        <v>1073</v>
      </c>
      <c r="I41" s="28" t="s">
        <v>668</v>
      </c>
    </row>
    <row r="42" spans="1:19">
      <c r="I42" s="28" t="s">
        <v>1085</v>
      </c>
    </row>
    <row r="43" spans="1:19" s="124" customFormat="1">
      <c r="I43" s="124" t="s">
        <v>1086</v>
      </c>
    </row>
    <row r="44" spans="1:19" s="124" customFormat="1">
      <c r="I44" s="124" t="s">
        <v>1087</v>
      </c>
    </row>
    <row r="46" spans="1:19">
      <c r="A46" s="67" t="s">
        <v>1055</v>
      </c>
      <c r="D46" s="124" t="s">
        <v>1067</v>
      </c>
      <c r="I46" s="28" t="s">
        <v>667</v>
      </c>
      <c r="N46" s="106" t="s">
        <v>1084</v>
      </c>
    </row>
    <row r="47" spans="1:19">
      <c r="D47" s="124" t="s">
        <v>1074</v>
      </c>
      <c r="I47" s="28" t="s">
        <v>666</v>
      </c>
      <c r="N47" s="106" t="s">
        <v>1054</v>
      </c>
    </row>
    <row r="48" spans="1:19">
      <c r="D48" s="124" t="s">
        <v>1069</v>
      </c>
      <c r="I48" s="28" t="s">
        <v>665</v>
      </c>
      <c r="N48" s="106" t="s">
        <v>842</v>
      </c>
    </row>
    <row r="49" spans="1:14">
      <c r="D49" s="124" t="s">
        <v>1070</v>
      </c>
      <c r="I49" s="28" t="s">
        <v>664</v>
      </c>
    </row>
    <row r="50" spans="1:14" s="124" customFormat="1">
      <c r="D50" s="124" t="s">
        <v>1076</v>
      </c>
      <c r="I50" s="28" t="s">
        <v>663</v>
      </c>
    </row>
    <row r="51" spans="1:14" s="124" customFormat="1">
      <c r="D51" s="124" t="s">
        <v>1077</v>
      </c>
    </row>
    <row r="52" spans="1:14" s="124" customFormat="1">
      <c r="D52" s="124" t="s">
        <v>1078</v>
      </c>
    </row>
    <row r="53" spans="1:14" s="124" customFormat="1">
      <c r="D53" s="124" t="s">
        <v>1079</v>
      </c>
    </row>
    <row r="54" spans="1:14">
      <c r="D54" s="28" t="s">
        <v>1080</v>
      </c>
    </row>
    <row r="55" spans="1:14">
      <c r="D55" s="28" t="s">
        <v>1081</v>
      </c>
      <c r="N55" s="67"/>
    </row>
    <row r="57" spans="1:14">
      <c r="A57" s="67" t="s">
        <v>640</v>
      </c>
      <c r="D57" s="28" t="s">
        <v>662</v>
      </c>
      <c r="I57" s="28" t="s">
        <v>648</v>
      </c>
      <c r="N57" s="28" t="s">
        <v>642</v>
      </c>
    </row>
    <row r="58" spans="1:14">
      <c r="D58" s="28" t="s">
        <v>661</v>
      </c>
      <c r="I58" s="28" t="s">
        <v>660</v>
      </c>
    </row>
    <row r="59" spans="1:14">
      <c r="D59" s="28" t="s">
        <v>792</v>
      </c>
      <c r="I59" s="28" t="s">
        <v>793</v>
      </c>
    </row>
    <row r="60" spans="1:14">
      <c r="D60" s="28" t="s">
        <v>794</v>
      </c>
      <c r="I60" s="28" t="s">
        <v>795</v>
      </c>
    </row>
    <row r="61" spans="1:14">
      <c r="D61" s="28" t="s">
        <v>659</v>
      </c>
      <c r="I61" s="28" t="s">
        <v>796</v>
      </c>
    </row>
    <row r="62" spans="1:14">
      <c r="D62" s="28" t="s">
        <v>658</v>
      </c>
      <c r="I62" s="28" t="s">
        <v>797</v>
      </c>
    </row>
    <row r="63" spans="1:14">
      <c r="D63" s="28" t="s">
        <v>798</v>
      </c>
      <c r="I63" s="28" t="s">
        <v>799</v>
      </c>
    </row>
    <row r="64" spans="1:14">
      <c r="D64" s="28" t="s">
        <v>846</v>
      </c>
    </row>
    <row r="65" spans="1:14">
      <c r="D65" s="28" t="s">
        <v>847</v>
      </c>
    </row>
    <row r="66" spans="1:14">
      <c r="D66" s="28" t="s">
        <v>848</v>
      </c>
    </row>
    <row r="67" spans="1:14">
      <c r="D67" s="28" t="s">
        <v>849</v>
      </c>
    </row>
    <row r="69" spans="1:14">
      <c r="A69" s="67" t="s">
        <v>1109</v>
      </c>
      <c r="D69" s="28" t="s">
        <v>800</v>
      </c>
      <c r="I69" s="28" t="s">
        <v>1184</v>
      </c>
      <c r="N69" s="28" t="s">
        <v>732</v>
      </c>
    </row>
    <row r="70" spans="1:14">
      <c r="D70" s="28" t="s">
        <v>801</v>
      </c>
      <c r="I70" s="28" t="s">
        <v>1112</v>
      </c>
      <c r="N70" s="28" t="s">
        <v>733</v>
      </c>
    </row>
    <row r="71" spans="1:14">
      <c r="D71" s="28" t="s">
        <v>1106</v>
      </c>
      <c r="I71" s="28" t="s">
        <v>894</v>
      </c>
      <c r="N71" s="67" t="s">
        <v>802</v>
      </c>
    </row>
    <row r="72" spans="1:14">
      <c r="D72" s="28" t="s">
        <v>1111</v>
      </c>
      <c r="I72" s="28" t="s">
        <v>803</v>
      </c>
      <c r="N72" s="28" t="s">
        <v>804</v>
      </c>
    </row>
    <row r="73" spans="1:14">
      <c r="D73" s="28" t="s">
        <v>1110</v>
      </c>
      <c r="I73" s="28" t="s">
        <v>1113</v>
      </c>
      <c r="N73" s="28" t="s">
        <v>805</v>
      </c>
    </row>
    <row r="74" spans="1:14" ht="15">
      <c r="D74" s="113" t="s">
        <v>1107</v>
      </c>
      <c r="F74" s="28" t="s">
        <v>731</v>
      </c>
      <c r="I74" s="28" t="s">
        <v>806</v>
      </c>
      <c r="N74" s="28" t="s">
        <v>807</v>
      </c>
    </row>
    <row r="75" spans="1:14">
      <c r="D75" s="28" t="s">
        <v>808</v>
      </c>
      <c r="I75" s="28" t="s">
        <v>1122</v>
      </c>
      <c r="N75" s="28" t="s">
        <v>809</v>
      </c>
    </row>
    <row r="76" spans="1:14">
      <c r="D76" s="28" t="s">
        <v>1108</v>
      </c>
      <c r="I76" s="28" t="s">
        <v>1114</v>
      </c>
      <c r="N76" s="28" t="s">
        <v>810</v>
      </c>
    </row>
    <row r="77" spans="1:14">
      <c r="D77" s="28" t="s">
        <v>811</v>
      </c>
      <c r="I77" s="28" t="s">
        <v>1115</v>
      </c>
      <c r="N77" s="28" t="s">
        <v>812</v>
      </c>
    </row>
    <row r="78" spans="1:14">
      <c r="I78" s="28" t="s">
        <v>1116</v>
      </c>
      <c r="N78" s="28" t="s">
        <v>813</v>
      </c>
    </row>
    <row r="79" spans="1:14">
      <c r="N79" s="28" t="s">
        <v>1120</v>
      </c>
    </row>
    <row r="80" spans="1:14">
      <c r="N80" s="28" t="s">
        <v>1123</v>
      </c>
    </row>
    <row r="81" spans="1:14">
      <c r="N81" s="28" t="s">
        <v>1117</v>
      </c>
    </row>
    <row r="82" spans="1:14">
      <c r="N82" s="28" t="s">
        <v>1118</v>
      </c>
    </row>
    <row r="83" spans="1:14">
      <c r="N83" s="28" t="s">
        <v>1119</v>
      </c>
    </row>
    <row r="84" spans="1:14">
      <c r="N84" s="28" t="s">
        <v>1124</v>
      </c>
    </row>
    <row r="86" spans="1:14">
      <c r="A86" s="67" t="s">
        <v>814</v>
      </c>
      <c r="D86" s="28" t="s">
        <v>815</v>
      </c>
      <c r="I86" s="28" t="s">
        <v>1185</v>
      </c>
      <c r="N86" s="28" t="s">
        <v>732</v>
      </c>
    </row>
    <row r="87" spans="1:14">
      <c r="D87" s="28" t="s">
        <v>816</v>
      </c>
      <c r="I87" s="28" t="s">
        <v>817</v>
      </c>
      <c r="N87" s="28" t="s">
        <v>733</v>
      </c>
    </row>
    <row r="88" spans="1:14">
      <c r="D88" s="28" t="s">
        <v>818</v>
      </c>
      <c r="I88" s="28" t="s">
        <v>895</v>
      </c>
      <c r="N88" s="67" t="s">
        <v>802</v>
      </c>
    </row>
    <row r="89" spans="1:14">
      <c r="D89" s="28" t="s">
        <v>819</v>
      </c>
      <c r="I89" s="28" t="s">
        <v>803</v>
      </c>
      <c r="N89" s="28" t="s">
        <v>804</v>
      </c>
    </row>
    <row r="90" spans="1:14">
      <c r="D90" s="28" t="s">
        <v>820</v>
      </c>
      <c r="I90" s="28" t="s">
        <v>821</v>
      </c>
      <c r="N90" s="28" t="s">
        <v>805</v>
      </c>
    </row>
    <row r="91" spans="1:14">
      <c r="D91" s="28" t="s">
        <v>822</v>
      </c>
      <c r="I91" s="97" t="s">
        <v>928</v>
      </c>
      <c r="N91" s="28" t="s">
        <v>807</v>
      </c>
    </row>
    <row r="92" spans="1:14">
      <c r="D92" s="28" t="s">
        <v>823</v>
      </c>
      <c r="I92" s="28" t="s">
        <v>824</v>
      </c>
      <c r="N92" s="28" t="s">
        <v>809</v>
      </c>
    </row>
    <row r="93" spans="1:14">
      <c r="D93" s="28" t="s">
        <v>825</v>
      </c>
      <c r="I93" s="28" t="s">
        <v>826</v>
      </c>
    </row>
    <row r="94" spans="1:14">
      <c r="D94" s="71" t="s">
        <v>827</v>
      </c>
      <c r="I94" s="28" t="s">
        <v>828</v>
      </c>
    </row>
    <row r="95" spans="1:14">
      <c r="D95" s="71" t="s">
        <v>829</v>
      </c>
      <c r="I95" s="67" t="s">
        <v>830</v>
      </c>
    </row>
    <row r="96" spans="1:14">
      <c r="I96" s="28" t="s">
        <v>831</v>
      </c>
    </row>
    <row r="97" spans="1:14">
      <c r="I97" s="28" t="s">
        <v>832</v>
      </c>
    </row>
    <row r="99" spans="1:14">
      <c r="A99" s="67" t="s">
        <v>833</v>
      </c>
      <c r="D99" s="28" t="s">
        <v>834</v>
      </c>
      <c r="I99" s="28" t="s">
        <v>657</v>
      </c>
      <c r="N99" s="28" t="s">
        <v>642</v>
      </c>
    </row>
    <row r="100" spans="1:14">
      <c r="D100" s="28" t="s">
        <v>835</v>
      </c>
      <c r="I100" s="28" t="s">
        <v>656</v>
      </c>
    </row>
    <row r="101" spans="1:14">
      <c r="D101" s="28" t="s">
        <v>836</v>
      </c>
    </row>
    <row r="102" spans="1:14">
      <c r="D102" s="28" t="s">
        <v>837</v>
      </c>
    </row>
    <row r="103" spans="1:14">
      <c r="D103" s="28" t="s">
        <v>838</v>
      </c>
    </row>
    <row r="104" spans="1:14">
      <c r="D104" s="28" t="s">
        <v>839</v>
      </c>
    </row>
    <row r="105" spans="1:14">
      <c r="D105" s="28" t="s">
        <v>840</v>
      </c>
    </row>
    <row r="106" spans="1:14">
      <c r="D106" s="28" t="s">
        <v>841</v>
      </c>
    </row>
    <row r="108" spans="1:14">
      <c r="A108" s="67" t="s">
        <v>842</v>
      </c>
      <c r="D108" s="28" t="s">
        <v>843</v>
      </c>
      <c r="I108" s="28" t="s">
        <v>655</v>
      </c>
      <c r="N108" s="28" t="s">
        <v>642</v>
      </c>
    </row>
    <row r="109" spans="1:14">
      <c r="D109" s="28" t="s">
        <v>844</v>
      </c>
      <c r="I109" s="28" t="s">
        <v>654</v>
      </c>
    </row>
    <row r="110" spans="1:14">
      <c r="D110" s="28" t="s">
        <v>845</v>
      </c>
      <c r="I110" s="28" t="s">
        <v>653</v>
      </c>
    </row>
    <row r="111" spans="1:14">
      <c r="D111" s="28" t="s">
        <v>1186</v>
      </c>
      <c r="I111" s="28" t="s">
        <v>1194</v>
      </c>
    </row>
    <row r="112" spans="1:14">
      <c r="D112" s="28" t="s">
        <v>1187</v>
      </c>
      <c r="I112" s="28" t="s">
        <v>1195</v>
      </c>
    </row>
    <row r="113" spans="1:14">
      <c r="D113" s="28" t="s">
        <v>1188</v>
      </c>
      <c r="I113" s="28" t="s">
        <v>1196</v>
      </c>
    </row>
    <row r="114" spans="1:14">
      <c r="D114" s="28" t="s">
        <v>1189</v>
      </c>
    </row>
    <row r="115" spans="1:14" s="124" customFormat="1">
      <c r="D115" s="124" t="s">
        <v>1190</v>
      </c>
    </row>
    <row r="116" spans="1:14" s="124" customFormat="1">
      <c r="D116" s="124" t="s">
        <v>1191</v>
      </c>
    </row>
    <row r="117" spans="1:14" s="124" customFormat="1">
      <c r="D117" s="124" t="s">
        <v>1192</v>
      </c>
    </row>
    <row r="118" spans="1:14" s="124" customFormat="1">
      <c r="D118" s="124" t="s">
        <v>1193</v>
      </c>
    </row>
    <row r="120" spans="1:14">
      <c r="A120" s="67" t="s">
        <v>850</v>
      </c>
      <c r="D120" s="28" t="s">
        <v>851</v>
      </c>
      <c r="I120" s="28" t="s">
        <v>652</v>
      </c>
      <c r="N120" s="28" t="s">
        <v>642</v>
      </c>
    </row>
    <row r="121" spans="1:14">
      <c r="D121" s="28" t="s">
        <v>852</v>
      </c>
      <c r="I121" s="28" t="s">
        <v>651</v>
      </c>
    </row>
    <row r="122" spans="1:14">
      <c r="D122" s="28" t="s">
        <v>853</v>
      </c>
      <c r="I122" s="28" t="s">
        <v>654</v>
      </c>
    </row>
    <row r="123" spans="1:14">
      <c r="D123" s="28" t="s">
        <v>854</v>
      </c>
      <c r="I123" s="28" t="s">
        <v>1201</v>
      </c>
    </row>
    <row r="124" spans="1:14">
      <c r="D124" s="28" t="s">
        <v>855</v>
      </c>
      <c r="I124" s="28" t="s">
        <v>1202</v>
      </c>
    </row>
    <row r="125" spans="1:14">
      <c r="D125" s="28" t="s">
        <v>856</v>
      </c>
      <c r="I125" s="28" t="s">
        <v>1204</v>
      </c>
    </row>
    <row r="126" spans="1:14">
      <c r="D126" s="28" t="s">
        <v>650</v>
      </c>
      <c r="I126" s="28" t="s">
        <v>1203</v>
      </c>
    </row>
    <row r="127" spans="1:14">
      <c r="D127" s="28" t="s">
        <v>926</v>
      </c>
    </row>
    <row r="128" spans="1:14">
      <c r="D128" s="28" t="s">
        <v>857</v>
      </c>
    </row>
    <row r="129" spans="1:14">
      <c r="D129" s="28" t="s">
        <v>649</v>
      </c>
    </row>
    <row r="131" spans="1:14">
      <c r="A131" s="67" t="s">
        <v>639</v>
      </c>
      <c r="D131" s="28" t="s">
        <v>647</v>
      </c>
      <c r="I131" s="28" t="s">
        <v>646</v>
      </c>
      <c r="N131" s="28" t="s">
        <v>642</v>
      </c>
    </row>
    <row r="132" spans="1:14">
      <c r="D132" s="28" t="s">
        <v>645</v>
      </c>
      <c r="I132" s="28" t="s">
        <v>1205</v>
      </c>
    </row>
    <row r="133" spans="1:14">
      <c r="D133" s="28" t="s">
        <v>858</v>
      </c>
      <c r="I133" s="28" t="s">
        <v>1206</v>
      </c>
    </row>
    <row r="134" spans="1:14">
      <c r="D134" s="28" t="s">
        <v>859</v>
      </c>
      <c r="I134" s="28" t="s">
        <v>1207</v>
      </c>
    </row>
    <row r="135" spans="1:14">
      <c r="D135" s="28" t="s">
        <v>860</v>
      </c>
      <c r="I135" s="28" t="s">
        <v>861</v>
      </c>
    </row>
    <row r="136" spans="1:14">
      <c r="D136" s="28" t="s">
        <v>862</v>
      </c>
      <c r="I136" s="28" t="s">
        <v>1208</v>
      </c>
    </row>
    <row r="137" spans="1:14">
      <c r="D137" s="28" t="s">
        <v>644</v>
      </c>
      <c r="I137" s="28" t="s">
        <v>1209</v>
      </c>
    </row>
    <row r="138" spans="1:14">
      <c r="D138" s="28" t="s">
        <v>863</v>
      </c>
      <c r="I138" s="133" t="s">
        <v>864</v>
      </c>
    </row>
    <row r="139" spans="1:14">
      <c r="D139" s="28" t="s">
        <v>865</v>
      </c>
      <c r="I139" s="28" t="s">
        <v>643</v>
      </c>
    </row>
    <row r="140" spans="1:14">
      <c r="D140" s="28" t="s">
        <v>866</v>
      </c>
      <c r="I140" s="28" t="s">
        <v>867</v>
      </c>
    </row>
    <row r="141" spans="1:14">
      <c r="D141" s="28" t="s">
        <v>868</v>
      </c>
      <c r="I141" s="28" t="s">
        <v>869</v>
      </c>
    </row>
    <row r="142" spans="1:14">
      <c r="D142" s="28" t="s">
        <v>870</v>
      </c>
      <c r="I142" s="28" t="s">
        <v>871</v>
      </c>
    </row>
    <row r="143" spans="1:14">
      <c r="D143" s="28" t="s">
        <v>872</v>
      </c>
      <c r="I143" s="28" t="s">
        <v>873</v>
      </c>
    </row>
    <row r="144" spans="1:14">
      <c r="D144" s="28" t="s">
        <v>874</v>
      </c>
      <c r="I144" s="28" t="s">
        <v>875</v>
      </c>
    </row>
    <row r="145" spans="1:14">
      <c r="D145" s="28" t="s">
        <v>876</v>
      </c>
      <c r="I145" s="28" t="s">
        <v>1210</v>
      </c>
    </row>
    <row r="146" spans="1:14">
      <c r="D146" s="67" t="s">
        <v>877</v>
      </c>
      <c r="I146" s="28" t="s">
        <v>1211</v>
      </c>
    </row>
    <row r="148" spans="1:14">
      <c r="A148" s="28" t="s">
        <v>878</v>
      </c>
      <c r="D148" s="28" t="s">
        <v>879</v>
      </c>
      <c r="I148" s="28" t="s">
        <v>642</v>
      </c>
      <c r="N148" s="67" t="s">
        <v>641</v>
      </c>
    </row>
    <row r="149" spans="1:14">
      <c r="A149" s="28" t="s">
        <v>880</v>
      </c>
      <c r="D149" s="28" t="s">
        <v>881</v>
      </c>
      <c r="N149" s="67" t="s">
        <v>1054</v>
      </c>
    </row>
    <row r="150" spans="1:14">
      <c r="A150" s="28" t="s">
        <v>882</v>
      </c>
      <c r="D150" s="28" t="s">
        <v>883</v>
      </c>
      <c r="N150" s="67" t="s">
        <v>1055</v>
      </c>
    </row>
    <row r="151" spans="1:14">
      <c r="A151" s="28" t="s">
        <v>884</v>
      </c>
      <c r="D151" s="28" t="s">
        <v>885</v>
      </c>
      <c r="N151" s="67" t="s">
        <v>640</v>
      </c>
    </row>
    <row r="152" spans="1:14">
      <c r="A152" s="28" t="s">
        <v>886</v>
      </c>
      <c r="D152" s="28" t="s">
        <v>887</v>
      </c>
      <c r="N152" s="106" t="s">
        <v>1121</v>
      </c>
    </row>
    <row r="153" spans="1:14">
      <c r="A153" s="28" t="s">
        <v>888</v>
      </c>
      <c r="N153" s="28" t="s">
        <v>889</v>
      </c>
    </row>
    <row r="154" spans="1:14">
      <c r="A154" s="132" t="s">
        <v>1089</v>
      </c>
      <c r="N154" s="67" t="s">
        <v>842</v>
      </c>
    </row>
    <row r="155" spans="1:14">
      <c r="A155" s="28" t="s">
        <v>890</v>
      </c>
      <c r="N155" s="67" t="s">
        <v>850</v>
      </c>
    </row>
    <row r="156" spans="1:14">
      <c r="A156" s="72" t="s">
        <v>639</v>
      </c>
      <c r="N156" s="67" t="s">
        <v>639</v>
      </c>
    </row>
    <row r="157" spans="1:14">
      <c r="A157" s="69" t="s">
        <v>891</v>
      </c>
    </row>
    <row r="158" spans="1:14">
      <c r="A158" s="28" t="s">
        <v>892</v>
      </c>
      <c r="N158" s="67"/>
    </row>
    <row r="159" spans="1:14">
      <c r="A159" s="28" t="s">
        <v>893</v>
      </c>
      <c r="N159" s="67"/>
    </row>
    <row r="160" spans="1:14">
      <c r="N160" s="67"/>
    </row>
    <row r="161" spans="14:14">
      <c r="N161" s="67"/>
    </row>
    <row r="162" spans="14:14">
      <c r="N162" s="67"/>
    </row>
    <row r="163" spans="14:14">
      <c r="N163" s="67"/>
    </row>
  </sheetData>
  <hyperlinks>
    <hyperlink ref="D74" r:id="rId1" xr:uid="{00000000-0004-0000-0100-000000000000}"/>
  </hyperlinks>
  <pageMargins left="0.70866141732283472" right="0.70866141732283472" top="0.74803149606299213" bottom="0.74803149606299213" header="0.31496062992125984" footer="0.31496062992125984"/>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52"/>
  <sheetViews>
    <sheetView workbookViewId="0">
      <selection activeCell="K13" sqref="K13"/>
    </sheetView>
  </sheetViews>
  <sheetFormatPr defaultColWidth="8.7109375" defaultRowHeight="12.75"/>
  <cols>
    <col min="1" max="2" width="8.7109375" style="28"/>
    <col min="3" max="3" width="15.140625" style="28" customWidth="1"/>
    <col min="4" max="16384" width="8.7109375" style="28"/>
  </cols>
  <sheetData>
    <row r="1" spans="1:12" ht="15.75">
      <c r="A1" s="59" t="s">
        <v>1245</v>
      </c>
    </row>
    <row r="2" spans="1:12">
      <c r="A2" s="67" t="s">
        <v>896</v>
      </c>
    </row>
    <row r="3" spans="1:12">
      <c r="A3" s="67" t="s">
        <v>897</v>
      </c>
    </row>
    <row r="5" spans="1:12">
      <c r="A5" s="68" t="s">
        <v>714</v>
      </c>
      <c r="E5" s="28" t="s">
        <v>1246</v>
      </c>
    </row>
    <row r="6" spans="1:12">
      <c r="A6" s="68"/>
    </row>
    <row r="7" spans="1:12">
      <c r="A7" s="28" t="s">
        <v>898</v>
      </c>
      <c r="C7" s="28" t="s">
        <v>690</v>
      </c>
      <c r="E7" s="28" t="s">
        <v>713</v>
      </c>
      <c r="J7" s="28" t="s">
        <v>899</v>
      </c>
    </row>
    <row r="8" spans="1:12">
      <c r="C8" s="28" t="s">
        <v>686</v>
      </c>
      <c r="J8" s="28" t="s">
        <v>1247</v>
      </c>
    </row>
    <row r="10" spans="1:12">
      <c r="A10" s="28" t="s">
        <v>900</v>
      </c>
      <c r="C10" s="28" t="s">
        <v>690</v>
      </c>
      <c r="E10" s="28" t="s">
        <v>689</v>
      </c>
      <c r="J10" s="28" t="s">
        <v>688</v>
      </c>
    </row>
    <row r="11" spans="1:12">
      <c r="C11" s="28" t="s">
        <v>686</v>
      </c>
      <c r="J11" s="184" t="s">
        <v>1247</v>
      </c>
    </row>
    <row r="13" spans="1:12" ht="15">
      <c r="A13" s="28" t="s">
        <v>901</v>
      </c>
      <c r="C13" s="28" t="s">
        <v>690</v>
      </c>
      <c r="E13" s="28" t="s">
        <v>902</v>
      </c>
      <c r="J13" s="28" t="s">
        <v>903</v>
      </c>
      <c r="K13" s="70" t="s">
        <v>712</v>
      </c>
    </row>
    <row r="14" spans="1:12" ht="15">
      <c r="A14" s="28" t="s">
        <v>709</v>
      </c>
      <c r="C14" s="28" t="s">
        <v>686</v>
      </c>
      <c r="E14" s="28" t="s">
        <v>904</v>
      </c>
      <c r="J14" s="184" t="s">
        <v>1247</v>
      </c>
      <c r="L14" s="70"/>
    </row>
    <row r="15" spans="1:12">
      <c r="A15" s="28" t="s">
        <v>708</v>
      </c>
      <c r="C15" s="28" t="s">
        <v>694</v>
      </c>
      <c r="E15" s="28" t="s">
        <v>1004</v>
      </c>
      <c r="J15" s="28" t="s">
        <v>1240</v>
      </c>
    </row>
    <row r="17" spans="1:14">
      <c r="A17" s="28" t="s">
        <v>711</v>
      </c>
      <c r="C17" s="28" t="s">
        <v>690</v>
      </c>
      <c r="E17" s="28" t="s">
        <v>902</v>
      </c>
      <c r="J17" s="28" t="s">
        <v>710</v>
      </c>
    </row>
    <row r="18" spans="1:14">
      <c r="A18" s="28" t="s">
        <v>709</v>
      </c>
      <c r="C18" s="28" t="s">
        <v>686</v>
      </c>
      <c r="E18" s="28" t="s">
        <v>905</v>
      </c>
      <c r="J18" s="184" t="s">
        <v>1247</v>
      </c>
    </row>
    <row r="19" spans="1:14">
      <c r="A19" s="28" t="s">
        <v>708</v>
      </c>
      <c r="C19" s="28" t="s">
        <v>694</v>
      </c>
      <c r="E19" s="28" t="s">
        <v>1004</v>
      </c>
      <c r="J19" s="28" t="s">
        <v>1241</v>
      </c>
    </row>
    <row r="21" spans="1:14">
      <c r="A21" s="28" t="s">
        <v>707</v>
      </c>
      <c r="C21" s="28" t="s">
        <v>690</v>
      </c>
      <c r="E21" s="28" t="s">
        <v>689</v>
      </c>
      <c r="J21" s="28" t="s">
        <v>688</v>
      </c>
    </row>
    <row r="22" spans="1:14">
      <c r="A22" s="28" t="s">
        <v>706</v>
      </c>
      <c r="C22" s="28" t="s">
        <v>686</v>
      </c>
      <c r="E22" s="28" t="s">
        <v>705</v>
      </c>
      <c r="J22" s="184" t="s">
        <v>1247</v>
      </c>
    </row>
    <row r="23" spans="1:14">
      <c r="E23" s="28" t="s">
        <v>906</v>
      </c>
    </row>
    <row r="24" spans="1:14">
      <c r="E24" s="28" t="s">
        <v>907</v>
      </c>
    </row>
    <row r="26" spans="1:14">
      <c r="A26" s="28" t="s">
        <v>704</v>
      </c>
      <c r="C26" s="28" t="s">
        <v>690</v>
      </c>
      <c r="E26" s="28" t="s">
        <v>689</v>
      </c>
      <c r="J26" s="28" t="s">
        <v>688</v>
      </c>
    </row>
    <row r="27" spans="1:14">
      <c r="A27" s="28" t="s">
        <v>696</v>
      </c>
      <c r="C27" s="28" t="s">
        <v>686</v>
      </c>
      <c r="E27" s="28" t="s">
        <v>1126</v>
      </c>
      <c r="J27" s="184" t="s">
        <v>1247</v>
      </c>
    </row>
    <row r="28" spans="1:14" ht="15">
      <c r="A28" s="28" t="s">
        <v>1125</v>
      </c>
      <c r="C28" s="28" t="s">
        <v>694</v>
      </c>
      <c r="E28" s="28" t="s">
        <v>703</v>
      </c>
      <c r="J28" s="28" t="s">
        <v>903</v>
      </c>
      <c r="K28" s="113" t="s">
        <v>702</v>
      </c>
      <c r="N28" s="184" t="s">
        <v>1247</v>
      </c>
    </row>
    <row r="30" spans="1:14">
      <c r="A30" s="28" t="s">
        <v>908</v>
      </c>
      <c r="C30" s="28" t="s">
        <v>690</v>
      </c>
      <c r="E30" s="28" t="s">
        <v>689</v>
      </c>
      <c r="J30" s="28" t="s">
        <v>688</v>
      </c>
    </row>
    <row r="31" spans="1:14">
      <c r="A31" s="28" t="s">
        <v>909</v>
      </c>
      <c r="C31" s="28" t="s">
        <v>686</v>
      </c>
      <c r="E31" s="28" t="s">
        <v>910</v>
      </c>
      <c r="J31" s="184" t="s">
        <v>1247</v>
      </c>
    </row>
    <row r="32" spans="1:14">
      <c r="A32" s="28" t="s">
        <v>911</v>
      </c>
      <c r="C32" s="28" t="s">
        <v>694</v>
      </c>
      <c r="E32" s="28" t="s">
        <v>701</v>
      </c>
      <c r="J32" s="28" t="s">
        <v>1248</v>
      </c>
    </row>
    <row r="34" spans="1:17">
      <c r="A34" s="28" t="s">
        <v>325</v>
      </c>
      <c r="C34" s="28" t="s">
        <v>690</v>
      </c>
      <c r="E34" s="28" t="s">
        <v>689</v>
      </c>
      <c r="J34" s="28" t="s">
        <v>688</v>
      </c>
    </row>
    <row r="35" spans="1:17">
      <c r="A35" s="28" t="s">
        <v>912</v>
      </c>
      <c r="C35" s="28" t="s">
        <v>686</v>
      </c>
      <c r="E35" s="28" t="s">
        <v>1127</v>
      </c>
      <c r="J35" s="184" t="s">
        <v>1247</v>
      </c>
      <c r="K35" s="94"/>
      <c r="L35" s="94"/>
      <c r="M35" s="94"/>
      <c r="N35" s="94"/>
      <c r="O35" s="94"/>
      <c r="P35" s="94"/>
    </row>
    <row r="36" spans="1:17" s="124" customFormat="1">
      <c r="E36" s="124" t="s">
        <v>1128</v>
      </c>
      <c r="K36" s="94"/>
      <c r="L36" s="94"/>
      <c r="M36" s="94"/>
      <c r="N36" s="94"/>
      <c r="O36" s="94"/>
      <c r="P36" s="94"/>
    </row>
    <row r="37" spans="1:17">
      <c r="C37" s="28" t="s">
        <v>694</v>
      </c>
      <c r="E37" s="28" t="s">
        <v>1129</v>
      </c>
      <c r="J37" s="184" t="s">
        <v>1247</v>
      </c>
      <c r="K37" s="94"/>
      <c r="L37" s="94"/>
      <c r="M37" s="94"/>
      <c r="N37" s="94"/>
      <c r="O37" s="94"/>
      <c r="P37" s="94"/>
      <c r="Q37" s="94"/>
    </row>
    <row r="38" spans="1:17">
      <c r="E38" s="124" t="s">
        <v>1130</v>
      </c>
    </row>
    <row r="39" spans="1:17" s="124" customFormat="1"/>
    <row r="40" spans="1:17">
      <c r="A40" s="28" t="s">
        <v>700</v>
      </c>
      <c r="C40" s="28" t="s">
        <v>690</v>
      </c>
      <c r="E40" s="28" t="s">
        <v>689</v>
      </c>
      <c r="J40" s="28" t="s">
        <v>688</v>
      </c>
    </row>
    <row r="41" spans="1:17">
      <c r="A41" s="28" t="s">
        <v>699</v>
      </c>
      <c r="C41" s="28" t="s">
        <v>686</v>
      </c>
      <c r="E41" s="28" t="s">
        <v>913</v>
      </c>
      <c r="J41" s="184" t="s">
        <v>1247</v>
      </c>
    </row>
    <row r="42" spans="1:17">
      <c r="A42" s="28" t="s">
        <v>698</v>
      </c>
      <c r="C42" s="28" t="s">
        <v>694</v>
      </c>
      <c r="E42" s="28" t="s">
        <v>1160</v>
      </c>
      <c r="J42" s="184" t="s">
        <v>1247</v>
      </c>
    </row>
    <row r="44" spans="1:17">
      <c r="A44" s="28" t="s">
        <v>697</v>
      </c>
      <c r="C44" s="28" t="s">
        <v>690</v>
      </c>
      <c r="E44" s="28" t="s">
        <v>689</v>
      </c>
      <c r="J44" s="28" t="s">
        <v>688</v>
      </c>
    </row>
    <row r="45" spans="1:17">
      <c r="A45" s="28" t="s">
        <v>696</v>
      </c>
      <c r="C45" s="28" t="s">
        <v>686</v>
      </c>
      <c r="E45" s="28" t="s">
        <v>914</v>
      </c>
      <c r="J45" s="184" t="s">
        <v>1247</v>
      </c>
    </row>
    <row r="46" spans="1:17">
      <c r="A46" s="28" t="s">
        <v>695</v>
      </c>
      <c r="C46" s="28" t="s">
        <v>694</v>
      </c>
      <c r="E46" s="28" t="s">
        <v>693</v>
      </c>
      <c r="J46" s="28" t="s">
        <v>692</v>
      </c>
    </row>
    <row r="48" spans="1:17">
      <c r="A48" s="28" t="s">
        <v>691</v>
      </c>
      <c r="C48" s="28" t="s">
        <v>690</v>
      </c>
      <c r="E48" s="28" t="s">
        <v>689</v>
      </c>
      <c r="J48" s="28" t="s">
        <v>688</v>
      </c>
    </row>
    <row r="49" spans="1:10">
      <c r="A49" s="28" t="s">
        <v>687</v>
      </c>
      <c r="C49" s="28" t="s">
        <v>686</v>
      </c>
      <c r="E49" s="28" t="s">
        <v>913</v>
      </c>
      <c r="J49" s="184" t="s">
        <v>1247</v>
      </c>
    </row>
    <row r="51" spans="1:10">
      <c r="A51" s="28" t="s">
        <v>915</v>
      </c>
      <c r="E51" s="28" t="s">
        <v>1131</v>
      </c>
    </row>
    <row r="52" spans="1:10">
      <c r="A52" s="28" t="s">
        <v>916</v>
      </c>
    </row>
  </sheetData>
  <phoneticPr fontId="107" type="noConversion"/>
  <hyperlinks>
    <hyperlink ref="K13" r:id="rId1" xr:uid="{00000000-0004-0000-0200-000000000000}"/>
    <hyperlink ref="K28" r:id="rId2" xr:uid="{00000000-0004-0000-0200-000001000000}"/>
  </hyperlinks>
  <pageMargins left="0.70866141732283472" right="0.70866141732283472" top="0.74803149606299213" bottom="0.74803149606299213" header="0.31496062992125984" footer="0.31496062992125984"/>
  <pageSetup paperSize="9" orientation="landscap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Q473"/>
  <sheetViews>
    <sheetView zoomScaleNormal="100" workbookViewId="0">
      <pane xSplit="1" ySplit="15" topLeftCell="B16" activePane="bottomRight" state="frozen"/>
      <selection pane="topRight" activeCell="B1" sqref="B1"/>
      <selection pane="bottomLeft" activeCell="A16" sqref="A16"/>
      <selection pane="bottomRight" activeCell="K3" sqref="K3"/>
    </sheetView>
  </sheetViews>
  <sheetFormatPr defaultRowHeight="12.75"/>
  <cols>
    <col min="1" max="1" width="30.7109375" style="28" customWidth="1"/>
    <col min="2" max="64" width="10.7109375" style="28" customWidth="1"/>
    <col min="65" max="69" width="10.7109375" style="184" customWidth="1"/>
    <col min="70" max="16384" width="9.140625" style="28"/>
  </cols>
  <sheetData>
    <row r="1" spans="1:69">
      <c r="A1" s="71" t="s">
        <v>1005</v>
      </c>
    </row>
    <row r="2" spans="1:69" s="105" customFormat="1">
      <c r="A2" s="108" t="s">
        <v>1011</v>
      </c>
      <c r="BM2" s="184"/>
      <c r="BN2" s="184"/>
      <c r="BO2" s="184"/>
      <c r="BP2" s="184"/>
      <c r="BQ2" s="184"/>
    </row>
    <row r="3" spans="1:69" ht="15">
      <c r="A3" s="28" t="s">
        <v>1006</v>
      </c>
      <c r="B3" s="100" t="s">
        <v>1007</v>
      </c>
      <c r="C3" s="98"/>
      <c r="D3" s="98"/>
      <c r="E3" s="98"/>
      <c r="F3" s="98"/>
      <c r="G3" s="98"/>
      <c r="H3" s="98"/>
      <c r="I3" s="99" t="s">
        <v>2</v>
      </c>
      <c r="K3" s="102" t="s">
        <v>1217</v>
      </c>
      <c r="L3" s="101"/>
      <c r="M3" s="101"/>
      <c r="N3" s="101"/>
      <c r="O3" s="101"/>
      <c r="P3" s="101"/>
      <c r="Q3" s="101"/>
    </row>
    <row r="4" spans="1:69" ht="15">
      <c r="A4" s="28" t="s">
        <v>1218</v>
      </c>
      <c r="B4" s="113" t="s">
        <v>1008</v>
      </c>
      <c r="C4" s="103"/>
      <c r="D4" s="103"/>
      <c r="E4" s="103"/>
      <c r="F4" s="107"/>
      <c r="G4" s="106"/>
      <c r="H4" s="103"/>
      <c r="I4" s="103"/>
    </row>
    <row r="5" spans="1:69">
      <c r="C5" s="105"/>
      <c r="D5" s="105"/>
      <c r="E5" s="105"/>
      <c r="F5" s="105"/>
      <c r="G5" s="105"/>
      <c r="H5" s="105"/>
      <c r="I5" s="105"/>
      <c r="J5" s="105"/>
      <c r="K5" s="105"/>
      <c r="L5" s="105"/>
      <c r="M5" s="105"/>
      <c r="N5" s="105"/>
      <c r="O5" s="105"/>
      <c r="P5" s="105"/>
      <c r="Q5" s="105"/>
      <c r="R5" s="105"/>
    </row>
    <row r="6" spans="1:69">
      <c r="A6" s="71" t="s">
        <v>4</v>
      </c>
      <c r="B6" s="73" t="s">
        <v>5</v>
      </c>
      <c r="C6" s="73" t="s">
        <v>6</v>
      </c>
      <c r="D6" s="73" t="s">
        <v>7</v>
      </c>
      <c r="E6" s="73" t="s">
        <v>8</v>
      </c>
      <c r="F6" s="73" t="s">
        <v>10</v>
      </c>
      <c r="G6" s="73" t="s">
        <v>9</v>
      </c>
      <c r="H6" s="73" t="s">
        <v>11</v>
      </c>
      <c r="I6" s="73" t="s">
        <v>12</v>
      </c>
      <c r="J6" s="73" t="s">
        <v>13</v>
      </c>
      <c r="K6" s="73" t="s">
        <v>14</v>
      </c>
      <c r="L6" s="73" t="s">
        <v>15</v>
      </c>
      <c r="M6" s="73" t="s">
        <v>16</v>
      </c>
      <c r="N6" s="73" t="s">
        <v>17</v>
      </c>
      <c r="O6" s="73" t="s">
        <v>18</v>
      </c>
      <c r="P6" s="73" t="s">
        <v>19</v>
      </c>
      <c r="Q6" s="73" t="s">
        <v>20</v>
      </c>
      <c r="R6" s="73" t="s">
        <v>21</v>
      </c>
      <c r="S6" s="73" t="s">
        <v>22</v>
      </c>
      <c r="T6" s="73" t="s">
        <v>23</v>
      </c>
      <c r="U6" s="73" t="s">
        <v>24</v>
      </c>
      <c r="V6" s="73" t="s">
        <v>25</v>
      </c>
      <c r="W6" s="73" t="s">
        <v>26</v>
      </c>
      <c r="X6" s="73" t="s">
        <v>27</v>
      </c>
      <c r="Y6" s="73" t="s">
        <v>28</v>
      </c>
      <c r="Z6" s="73" t="s">
        <v>29</v>
      </c>
      <c r="AA6" s="73" t="s">
        <v>30</v>
      </c>
      <c r="AB6" s="73" t="s">
        <v>31</v>
      </c>
      <c r="AC6" s="73" t="s">
        <v>32</v>
      </c>
      <c r="AD6" s="73" t="s">
        <v>33</v>
      </c>
      <c r="AE6" s="73" t="s">
        <v>34</v>
      </c>
      <c r="AF6" s="73" t="s">
        <v>35</v>
      </c>
      <c r="AG6" s="73" t="s">
        <v>36</v>
      </c>
      <c r="AH6" s="73" t="s">
        <v>37</v>
      </c>
      <c r="AI6" s="73" t="s">
        <v>38</v>
      </c>
      <c r="AJ6" s="73" t="s">
        <v>39</v>
      </c>
      <c r="AK6" s="73" t="s">
        <v>40</v>
      </c>
      <c r="AL6" s="73" t="s">
        <v>41</v>
      </c>
      <c r="AM6" s="73" t="s">
        <v>42</v>
      </c>
      <c r="AN6" s="73" t="s">
        <v>43</v>
      </c>
      <c r="AO6" s="73" t="s">
        <v>44</v>
      </c>
      <c r="AP6" s="73" t="s">
        <v>45</v>
      </c>
      <c r="AQ6" s="73" t="s">
        <v>46</v>
      </c>
      <c r="AR6" s="73" t="s">
        <v>47</v>
      </c>
      <c r="AS6" s="73" t="s">
        <v>48</v>
      </c>
      <c r="AT6" s="73" t="s">
        <v>49</v>
      </c>
      <c r="AU6" s="73" t="s">
        <v>50</v>
      </c>
      <c r="AV6" s="73" t="s">
        <v>51</v>
      </c>
      <c r="AW6" s="73" t="s">
        <v>52</v>
      </c>
      <c r="AX6" s="73" t="s">
        <v>53</v>
      </c>
      <c r="AY6" s="73" t="s">
        <v>54</v>
      </c>
      <c r="AZ6" s="73" t="s">
        <v>55</v>
      </c>
      <c r="BA6" s="73" t="s">
        <v>56</v>
      </c>
      <c r="BB6" s="73" t="s">
        <v>57</v>
      </c>
      <c r="BC6" s="73" t="s">
        <v>58</v>
      </c>
      <c r="BD6" s="73" t="s">
        <v>59</v>
      </c>
      <c r="BE6" s="73" t="s">
        <v>60</v>
      </c>
      <c r="BF6" s="73" t="s">
        <v>61</v>
      </c>
      <c r="BG6" s="73" t="s">
        <v>62</v>
      </c>
      <c r="BH6" s="73" t="s">
        <v>63</v>
      </c>
      <c r="BI6" s="73" t="s">
        <v>64</v>
      </c>
      <c r="BJ6" s="73" t="s">
        <v>65</v>
      </c>
      <c r="BK6" s="73" t="s">
        <v>66</v>
      </c>
      <c r="BL6" s="73" t="s">
        <v>67</v>
      </c>
      <c r="BM6" s="192" t="s">
        <v>1216</v>
      </c>
      <c r="BN6" s="192" t="s">
        <v>1215</v>
      </c>
      <c r="BO6" s="192" t="s">
        <v>1214</v>
      </c>
      <c r="BP6" s="192" t="s">
        <v>1213</v>
      </c>
      <c r="BQ6" s="192" t="s">
        <v>1212</v>
      </c>
    </row>
    <row r="7" spans="1:69">
      <c r="B7" s="71">
        <v>2006</v>
      </c>
      <c r="C7" s="71">
        <v>2007</v>
      </c>
      <c r="D7" s="71">
        <v>2008</v>
      </c>
      <c r="E7" s="71">
        <v>2009</v>
      </c>
      <c r="F7" s="71">
        <v>2010</v>
      </c>
      <c r="G7" s="71">
        <v>2011</v>
      </c>
      <c r="H7" s="71">
        <v>2012</v>
      </c>
      <c r="I7" s="71">
        <v>2013</v>
      </c>
      <c r="J7" s="71">
        <v>2014</v>
      </c>
      <c r="K7" s="71">
        <v>2015</v>
      </c>
      <c r="L7" s="71">
        <v>2016</v>
      </c>
      <c r="M7" s="71">
        <v>2017</v>
      </c>
      <c r="N7" s="71">
        <v>2018</v>
      </c>
      <c r="O7" s="71">
        <v>2019</v>
      </c>
      <c r="P7" s="71">
        <v>2020</v>
      </c>
      <c r="Q7" s="71">
        <v>2021</v>
      </c>
      <c r="R7" s="71">
        <v>2022</v>
      </c>
      <c r="S7" s="71">
        <v>2023</v>
      </c>
      <c r="T7" s="71">
        <v>2024</v>
      </c>
      <c r="U7" s="71">
        <v>2025</v>
      </c>
      <c r="V7" s="71">
        <v>2026</v>
      </c>
      <c r="W7" s="71">
        <v>2027</v>
      </c>
      <c r="X7" s="71">
        <v>2028</v>
      </c>
      <c r="Y7" s="71">
        <v>2029</v>
      </c>
      <c r="Z7" s="71">
        <v>2030</v>
      </c>
      <c r="AA7" s="71">
        <v>2031</v>
      </c>
      <c r="AB7" s="71">
        <v>2032</v>
      </c>
      <c r="AC7" s="71">
        <v>2033</v>
      </c>
      <c r="AD7" s="71">
        <v>2034</v>
      </c>
      <c r="AE7" s="71">
        <v>2035</v>
      </c>
      <c r="AF7" s="71">
        <v>2036</v>
      </c>
      <c r="AG7" s="71">
        <v>2037</v>
      </c>
      <c r="AH7" s="71">
        <v>2038</v>
      </c>
      <c r="AI7" s="71">
        <v>2039</v>
      </c>
      <c r="AJ7" s="71">
        <v>2040</v>
      </c>
      <c r="AK7" s="71">
        <v>2041</v>
      </c>
      <c r="AL7" s="71">
        <v>2042</v>
      </c>
      <c r="AM7" s="71">
        <v>2043</v>
      </c>
      <c r="AN7" s="71">
        <v>2044</v>
      </c>
      <c r="AO7" s="71">
        <v>2045</v>
      </c>
      <c r="AP7" s="71">
        <v>2046</v>
      </c>
      <c r="AQ7" s="71">
        <v>2047</v>
      </c>
      <c r="AR7" s="71">
        <v>2048</v>
      </c>
      <c r="AS7" s="71">
        <v>2049</v>
      </c>
      <c r="AT7" s="71">
        <v>2050</v>
      </c>
      <c r="AU7" s="71">
        <v>2051</v>
      </c>
      <c r="AV7" s="71">
        <v>2052</v>
      </c>
      <c r="AW7" s="71">
        <v>2053</v>
      </c>
      <c r="AX7" s="71">
        <v>2054</v>
      </c>
      <c r="AY7" s="71">
        <v>2055</v>
      </c>
      <c r="AZ7" s="71">
        <v>2056</v>
      </c>
      <c r="BA7" s="71">
        <v>2057</v>
      </c>
      <c r="BB7" s="71">
        <v>2058</v>
      </c>
      <c r="BC7" s="71">
        <v>2059</v>
      </c>
      <c r="BD7" s="71">
        <v>2060</v>
      </c>
      <c r="BE7" s="71">
        <v>2061</v>
      </c>
      <c r="BF7" s="71">
        <v>2062</v>
      </c>
      <c r="BG7" s="71">
        <v>2063</v>
      </c>
      <c r="BH7" s="71">
        <v>2064</v>
      </c>
      <c r="BI7" s="71">
        <v>2065</v>
      </c>
      <c r="BJ7" s="71">
        <v>2066</v>
      </c>
      <c r="BK7" s="71">
        <v>2067</v>
      </c>
      <c r="BL7" s="71">
        <v>2068</v>
      </c>
      <c r="BM7" s="191">
        <v>2069</v>
      </c>
      <c r="BN7" s="191">
        <v>2070</v>
      </c>
      <c r="BO7" s="191">
        <v>2071</v>
      </c>
      <c r="BP7" s="191">
        <v>2072</v>
      </c>
      <c r="BQ7" s="191">
        <v>2073</v>
      </c>
    </row>
    <row r="8" spans="1:69">
      <c r="A8" s="71" t="s">
        <v>68</v>
      </c>
      <c r="B8" s="77">
        <f t="shared" ref="B8:AG8" si="0">SUM(B$17:B$107,B$110:B$200)/1000000</f>
        <v>4.1846300000000003</v>
      </c>
      <c r="C8" s="77">
        <f t="shared" si="0"/>
        <v>4.2238600000000002</v>
      </c>
      <c r="D8" s="77">
        <f t="shared" si="0"/>
        <v>4.2597500000000004</v>
      </c>
      <c r="E8" s="77">
        <f t="shared" si="0"/>
        <v>4.3025900000000004</v>
      </c>
      <c r="F8" s="77">
        <f t="shared" si="0"/>
        <v>4.35067</v>
      </c>
      <c r="G8" s="77">
        <f t="shared" si="0"/>
        <v>4.3839699999999997</v>
      </c>
      <c r="H8" s="77">
        <f t="shared" si="0"/>
        <v>4.4079800000000002</v>
      </c>
      <c r="I8" s="77">
        <f t="shared" si="0"/>
        <v>4.4420999999999999</v>
      </c>
      <c r="J8" s="77">
        <f t="shared" si="0"/>
        <v>4.5161199999999999</v>
      </c>
      <c r="K8" s="77">
        <f t="shared" si="0"/>
        <v>4.6091300000000004</v>
      </c>
      <c r="L8" s="77">
        <f t="shared" si="0"/>
        <v>4.7137099999999998</v>
      </c>
      <c r="M8" s="77">
        <f t="shared" si="0"/>
        <v>4.8132700000000002</v>
      </c>
      <c r="N8" s="77">
        <f t="shared" si="0"/>
        <v>4.9005900000000002</v>
      </c>
      <c r="O8" s="77">
        <f t="shared" si="0"/>
        <v>4.97926</v>
      </c>
      <c r="P8" s="77">
        <f t="shared" si="0"/>
        <v>5.0933900000000003</v>
      </c>
      <c r="Q8" s="77">
        <f t="shared" si="0"/>
        <v>5.1286100000000001</v>
      </c>
      <c r="R8" s="77">
        <f t="shared" si="0"/>
        <v>5.1732199999999997</v>
      </c>
      <c r="S8" s="77">
        <f t="shared" si="0"/>
        <v>5.2223699999999997</v>
      </c>
      <c r="T8" s="77">
        <f t="shared" si="0"/>
        <v>5.2711699999999997</v>
      </c>
      <c r="U8" s="77">
        <f t="shared" si="0"/>
        <v>5.3194999999999997</v>
      </c>
      <c r="V8" s="77">
        <f t="shared" si="0"/>
        <v>5.3671199999999999</v>
      </c>
      <c r="W8" s="77">
        <f t="shared" si="0"/>
        <v>5.4142000000000001</v>
      </c>
      <c r="X8" s="77">
        <f t="shared" si="0"/>
        <v>5.4604900000000001</v>
      </c>
      <c r="Y8" s="77">
        <f t="shared" si="0"/>
        <v>5.5059100000000001</v>
      </c>
      <c r="Z8" s="77">
        <f t="shared" si="0"/>
        <v>5.5505199999999997</v>
      </c>
      <c r="AA8" s="77">
        <f t="shared" si="0"/>
        <v>5.5943300000000002</v>
      </c>
      <c r="AB8" s="77">
        <f t="shared" si="0"/>
        <v>5.63713</v>
      </c>
      <c r="AC8" s="77">
        <f t="shared" si="0"/>
        <v>5.6790000000000003</v>
      </c>
      <c r="AD8" s="77">
        <f t="shared" si="0"/>
        <v>5.7201199999999996</v>
      </c>
      <c r="AE8" s="77">
        <f t="shared" si="0"/>
        <v>5.7604199999999999</v>
      </c>
      <c r="AF8" s="77">
        <f t="shared" si="0"/>
        <v>5.7997800000000002</v>
      </c>
      <c r="AG8" s="77">
        <f t="shared" si="0"/>
        <v>5.8384499999999999</v>
      </c>
      <c r="AH8" s="77">
        <f t="shared" ref="AH8:BQ8" si="1">SUM(AH$17:AH$107,AH$110:AH$200)/1000000</f>
        <v>5.8763500000000004</v>
      </c>
      <c r="AI8" s="77">
        <f t="shared" si="1"/>
        <v>5.9136199999999999</v>
      </c>
      <c r="AJ8" s="77">
        <f t="shared" si="1"/>
        <v>5.9502800000000002</v>
      </c>
      <c r="AK8" s="77">
        <f t="shared" si="1"/>
        <v>5.9861899999999997</v>
      </c>
      <c r="AL8" s="77">
        <f t="shared" si="1"/>
        <v>6.0213799999999997</v>
      </c>
      <c r="AM8" s="77">
        <f t="shared" si="1"/>
        <v>6.0558399999999999</v>
      </c>
      <c r="AN8" s="77">
        <f t="shared" si="1"/>
        <v>6.0895299999999999</v>
      </c>
      <c r="AO8" s="77">
        <f t="shared" si="1"/>
        <v>6.12242</v>
      </c>
      <c r="AP8" s="77">
        <f t="shared" si="1"/>
        <v>6.1545300000000003</v>
      </c>
      <c r="AQ8" s="77">
        <f t="shared" si="1"/>
        <v>6.1856299999999997</v>
      </c>
      <c r="AR8" s="77">
        <f t="shared" si="1"/>
        <v>6.2157600000000004</v>
      </c>
      <c r="AS8" s="77">
        <f t="shared" si="1"/>
        <v>6.2450900000000003</v>
      </c>
      <c r="AT8" s="77">
        <f t="shared" si="1"/>
        <v>6.2734500000000004</v>
      </c>
      <c r="AU8" s="77">
        <f t="shared" si="1"/>
        <v>6.3008800000000003</v>
      </c>
      <c r="AV8" s="77">
        <f t="shared" si="1"/>
        <v>6.3275199999999998</v>
      </c>
      <c r="AW8" s="77">
        <f t="shared" si="1"/>
        <v>6.35344</v>
      </c>
      <c r="AX8" s="77">
        <f t="shared" si="1"/>
        <v>6.3784700000000001</v>
      </c>
      <c r="AY8" s="77">
        <f t="shared" si="1"/>
        <v>6.40306</v>
      </c>
      <c r="AZ8" s="77">
        <f t="shared" si="1"/>
        <v>6.4269299999999996</v>
      </c>
      <c r="BA8" s="77">
        <f t="shared" si="1"/>
        <v>6.4505400000000002</v>
      </c>
      <c r="BB8" s="77">
        <f t="shared" si="1"/>
        <v>6.4736500000000001</v>
      </c>
      <c r="BC8" s="77">
        <f t="shared" si="1"/>
        <v>6.4966499999999998</v>
      </c>
      <c r="BD8" s="77">
        <f t="shared" si="1"/>
        <v>6.5192899999999998</v>
      </c>
      <c r="BE8" s="77">
        <f t="shared" si="1"/>
        <v>6.5419600000000004</v>
      </c>
      <c r="BF8" s="77">
        <f t="shared" si="1"/>
        <v>6.5644999999999998</v>
      </c>
      <c r="BG8" s="77">
        <f t="shared" si="1"/>
        <v>6.58683</v>
      </c>
      <c r="BH8" s="77">
        <f t="shared" si="1"/>
        <v>6.6093000000000002</v>
      </c>
      <c r="BI8" s="77">
        <f t="shared" si="1"/>
        <v>6.6315999999999997</v>
      </c>
      <c r="BJ8" s="77">
        <f t="shared" si="1"/>
        <v>6.6539700000000002</v>
      </c>
      <c r="BK8" s="77">
        <f t="shared" si="1"/>
        <v>6.6762800000000002</v>
      </c>
      <c r="BL8" s="112">
        <f t="shared" si="1"/>
        <v>6.6985099999999997</v>
      </c>
      <c r="BM8" s="197">
        <f t="shared" si="1"/>
        <v>6.7205399999999997</v>
      </c>
      <c r="BN8" s="197">
        <f t="shared" si="1"/>
        <v>6.7423599999999997</v>
      </c>
      <c r="BO8" s="197">
        <f t="shared" si="1"/>
        <v>6.7638800000000003</v>
      </c>
      <c r="BP8" s="197">
        <f t="shared" si="1"/>
        <v>6.7850799999999998</v>
      </c>
      <c r="BQ8" s="197">
        <f t="shared" si="1"/>
        <v>6.8056599999999996</v>
      </c>
    </row>
    <row r="9" spans="1:69">
      <c r="A9" s="67" t="s">
        <v>69</v>
      </c>
      <c r="B9" s="74"/>
      <c r="C9" s="74">
        <f t="shared" ref="C9:BK9" si="2">C$8/B$8-1</f>
        <v>9.3747834336608271E-3</v>
      </c>
      <c r="D9" s="74">
        <f t="shared" si="2"/>
        <v>8.4969672290275966E-3</v>
      </c>
      <c r="E9" s="74">
        <f t="shared" si="2"/>
        <v>1.0056928223487249E-2</v>
      </c>
      <c r="F9" s="74">
        <f t="shared" si="2"/>
        <v>1.1174664562507708E-2</v>
      </c>
      <c r="G9" s="74">
        <f t="shared" si="2"/>
        <v>7.6539935228365774E-3</v>
      </c>
      <c r="H9" s="74">
        <f t="shared" si="2"/>
        <v>5.4767710545464698E-3</v>
      </c>
      <c r="I9" s="74">
        <f t="shared" si="2"/>
        <v>7.7405069895961631E-3</v>
      </c>
      <c r="J9" s="74">
        <f t="shared" si="2"/>
        <v>1.6663289885414656E-2</v>
      </c>
      <c r="K9" s="74">
        <f t="shared" si="2"/>
        <v>2.0595112618796874E-2</v>
      </c>
      <c r="L9" s="74">
        <f t="shared" si="2"/>
        <v>2.2689748390694042E-2</v>
      </c>
      <c r="M9" s="74">
        <f t="shared" si="2"/>
        <v>2.1121367245757749E-2</v>
      </c>
      <c r="N9" s="74">
        <f t="shared" si="2"/>
        <v>1.8141512942344784E-2</v>
      </c>
      <c r="O9" s="74">
        <f t="shared" si="2"/>
        <v>1.6053169108209309E-2</v>
      </c>
      <c r="P9" s="74">
        <f t="shared" si="2"/>
        <v>2.2921076625844083E-2</v>
      </c>
      <c r="Q9" s="74">
        <f t="shared" si="2"/>
        <v>6.9148445337976483E-3</v>
      </c>
      <c r="R9" s="74">
        <f t="shared" si="2"/>
        <v>8.698263272114648E-3</v>
      </c>
      <c r="S9" s="74">
        <f t="shared" si="2"/>
        <v>9.5008524671287287E-3</v>
      </c>
      <c r="T9" s="74">
        <f t="shared" si="2"/>
        <v>9.3444164239606664E-3</v>
      </c>
      <c r="U9" s="74">
        <f t="shared" si="2"/>
        <v>9.1687424234088155E-3</v>
      </c>
      <c r="V9" s="74">
        <f t="shared" si="2"/>
        <v>8.9519691700348236E-3</v>
      </c>
      <c r="W9" s="74">
        <f t="shared" si="2"/>
        <v>8.7719298245614308E-3</v>
      </c>
      <c r="X9" s="74">
        <f t="shared" si="2"/>
        <v>8.5497395737135218E-3</v>
      </c>
      <c r="Y9" s="74">
        <f t="shared" si="2"/>
        <v>8.3179348373496609E-3</v>
      </c>
      <c r="Z9" s="74">
        <f t="shared" si="2"/>
        <v>8.1022029056050382E-3</v>
      </c>
      <c r="AA9" s="74">
        <f t="shared" si="2"/>
        <v>7.8929541736632025E-3</v>
      </c>
      <c r="AB9" s="74">
        <f t="shared" si="2"/>
        <v>7.6506033787782091E-3</v>
      </c>
      <c r="AC9" s="74">
        <f t="shared" si="2"/>
        <v>7.427538481461271E-3</v>
      </c>
      <c r="AD9" s="74">
        <f t="shared" si="2"/>
        <v>7.2407113928507627E-3</v>
      </c>
      <c r="AE9" s="74">
        <f t="shared" si="2"/>
        <v>7.0453067418165816E-3</v>
      </c>
      <c r="AF9" s="74">
        <f t="shared" si="2"/>
        <v>6.8328351057735937E-3</v>
      </c>
      <c r="AG9" s="74">
        <f t="shared" si="2"/>
        <v>6.6674942842659402E-3</v>
      </c>
      <c r="AH9" s="74">
        <f t="shared" si="2"/>
        <v>6.4914489290823774E-3</v>
      </c>
      <c r="AI9" s="74">
        <f t="shared" si="2"/>
        <v>6.3423723910249752E-3</v>
      </c>
      <c r="AJ9" s="74">
        <f t="shared" si="2"/>
        <v>6.1992485144464204E-3</v>
      </c>
      <c r="AK9" s="74">
        <f t="shared" si="2"/>
        <v>6.0350101171708914E-3</v>
      </c>
      <c r="AL9" s="74">
        <f t="shared" si="2"/>
        <v>5.8785304175110742E-3</v>
      </c>
      <c r="AM9" s="74">
        <f t="shared" si="2"/>
        <v>5.7229405883700846E-3</v>
      </c>
      <c r="AN9" s="74">
        <f t="shared" si="2"/>
        <v>5.5632249200772144E-3</v>
      </c>
      <c r="AO9" s="74">
        <f t="shared" si="2"/>
        <v>5.4010736460778919E-3</v>
      </c>
      <c r="AP9" s="74">
        <f t="shared" si="2"/>
        <v>5.2446581580487539E-3</v>
      </c>
      <c r="AQ9" s="74">
        <f t="shared" si="2"/>
        <v>5.0531884644318126E-3</v>
      </c>
      <c r="AR9" s="74">
        <f t="shared" si="2"/>
        <v>4.8709670639854874E-3</v>
      </c>
      <c r="AS9" s="74">
        <f t="shared" si="2"/>
        <v>4.7186506557523877E-3</v>
      </c>
      <c r="AT9" s="74">
        <f t="shared" si="2"/>
        <v>4.5411675412203589E-3</v>
      </c>
      <c r="AU9" s="74">
        <f t="shared" si="2"/>
        <v>4.3723947748048886E-3</v>
      </c>
      <c r="AV9" s="74">
        <f t="shared" si="2"/>
        <v>4.227980853467983E-3</v>
      </c>
      <c r="AW9" s="74">
        <f t="shared" si="2"/>
        <v>4.0963916352694252E-3</v>
      </c>
      <c r="AX9" s="74">
        <f t="shared" si="2"/>
        <v>3.9395980760028593E-3</v>
      </c>
      <c r="AY9" s="74">
        <f t="shared" si="2"/>
        <v>3.8551564873707811E-3</v>
      </c>
      <c r="AZ9" s="74">
        <f t="shared" si="2"/>
        <v>3.7279050953762383E-3</v>
      </c>
      <c r="BA9" s="74">
        <f t="shared" si="2"/>
        <v>3.6736046603900174E-3</v>
      </c>
      <c r="BB9" s="74">
        <f t="shared" si="2"/>
        <v>3.5826457939955869E-3</v>
      </c>
      <c r="BC9" s="74">
        <f t="shared" si="2"/>
        <v>3.5528643037543439E-3</v>
      </c>
      <c r="BD9" s="74">
        <f t="shared" si="2"/>
        <v>3.4848729729937133E-3</v>
      </c>
      <c r="BE9" s="74">
        <f t="shared" si="2"/>
        <v>3.477372535966472E-3</v>
      </c>
      <c r="BF9" s="74">
        <f t="shared" si="2"/>
        <v>3.4454505989029993E-3</v>
      </c>
      <c r="BG9" s="74">
        <f t="shared" si="2"/>
        <v>3.4016299794348281E-3</v>
      </c>
      <c r="BH9" s="74">
        <f t="shared" si="2"/>
        <v>3.4113526537045136E-3</v>
      </c>
      <c r="BI9" s="74">
        <f t="shared" si="2"/>
        <v>3.3740335587730819E-3</v>
      </c>
      <c r="BJ9" s="74">
        <f t="shared" si="2"/>
        <v>3.3732432595452444E-3</v>
      </c>
      <c r="BK9" s="74">
        <f t="shared" si="2"/>
        <v>3.3528855705691196E-3</v>
      </c>
      <c r="BL9" s="125">
        <f t="shared" ref="BL9" si="3">BL$8/BK$8-1</f>
        <v>3.3296985746553709E-3</v>
      </c>
      <c r="BM9" s="193">
        <f t="shared" ref="BM9" si="4">BM$8/BL$8-1</f>
        <v>3.2887910893617534E-3</v>
      </c>
      <c r="BN9" s="193">
        <f t="shared" ref="BN9" si="5">BN$8/BM$8-1</f>
        <v>3.2467629089329986E-3</v>
      </c>
      <c r="BO9" s="193">
        <f t="shared" ref="BO9" si="6">BO$8/BN$8-1</f>
        <v>3.1917607484621691E-3</v>
      </c>
      <c r="BP9" s="193">
        <f t="shared" ref="BP9" si="7">BP$8/BO$8-1</f>
        <v>3.1342957001010419E-3</v>
      </c>
      <c r="BQ9" s="193">
        <f t="shared" ref="BQ9" si="8">BQ$8/BP$8-1</f>
        <v>3.0331256226896475E-3</v>
      </c>
    </row>
    <row r="10" spans="1:69" s="105" customFormat="1">
      <c r="A10" s="108" t="s">
        <v>1012</v>
      </c>
      <c r="B10" s="112">
        <f t="shared" ref="B10:AG10" si="9">SUM(B$32:B$107,B$125:B$200)/1000000</f>
        <v>3.2963200000000001</v>
      </c>
      <c r="C10" s="112">
        <f t="shared" si="9"/>
        <v>3.33256</v>
      </c>
      <c r="D10" s="112">
        <f t="shared" si="9"/>
        <v>3.3642400000000001</v>
      </c>
      <c r="E10" s="112">
        <f t="shared" si="9"/>
        <v>3.40143</v>
      </c>
      <c r="F10" s="112">
        <f t="shared" si="9"/>
        <v>3.4425300000000001</v>
      </c>
      <c r="G10" s="112">
        <f t="shared" si="9"/>
        <v>3.4732599999999998</v>
      </c>
      <c r="H10" s="112">
        <f t="shared" si="9"/>
        <v>3.49817</v>
      </c>
      <c r="I10" s="112">
        <f t="shared" si="9"/>
        <v>3.5333100000000002</v>
      </c>
      <c r="J10" s="112">
        <f t="shared" si="9"/>
        <v>3.60446</v>
      </c>
      <c r="K10" s="112">
        <f t="shared" si="9"/>
        <v>3.6928899999999998</v>
      </c>
      <c r="L10" s="112">
        <f t="shared" si="9"/>
        <v>3.7890000000000001</v>
      </c>
      <c r="M10" s="112">
        <f t="shared" si="9"/>
        <v>3.87642</v>
      </c>
      <c r="N10" s="112">
        <f t="shared" si="9"/>
        <v>3.9541200000000001</v>
      </c>
      <c r="O10" s="112">
        <f t="shared" si="9"/>
        <v>4.0232299999999999</v>
      </c>
      <c r="P10" s="112">
        <f t="shared" si="9"/>
        <v>4.1265499999999999</v>
      </c>
      <c r="Q10" s="112">
        <f t="shared" si="9"/>
        <v>4.1622700000000004</v>
      </c>
      <c r="R10" s="112">
        <f t="shared" si="9"/>
        <v>4.2087000000000003</v>
      </c>
      <c r="S10" s="112">
        <f t="shared" si="9"/>
        <v>4.2607600000000003</v>
      </c>
      <c r="T10" s="112">
        <f t="shared" si="9"/>
        <v>4.3148200000000001</v>
      </c>
      <c r="U10" s="112">
        <f t="shared" si="9"/>
        <v>4.36972</v>
      </c>
      <c r="V10" s="112">
        <f t="shared" si="9"/>
        <v>4.4233900000000004</v>
      </c>
      <c r="W10" s="112">
        <f t="shared" si="9"/>
        <v>4.4760999999999997</v>
      </c>
      <c r="X10" s="112">
        <f t="shared" si="9"/>
        <v>4.5275400000000001</v>
      </c>
      <c r="Y10" s="112">
        <f t="shared" si="9"/>
        <v>4.5766799999999996</v>
      </c>
      <c r="Z10" s="112">
        <f t="shared" si="9"/>
        <v>4.6248399999999998</v>
      </c>
      <c r="AA10" s="112">
        <f t="shared" si="9"/>
        <v>4.6715</v>
      </c>
      <c r="AB10" s="112">
        <f t="shared" si="9"/>
        <v>4.7170699999999997</v>
      </c>
      <c r="AC10" s="112">
        <f t="shared" si="9"/>
        <v>4.7601399999999998</v>
      </c>
      <c r="AD10" s="112">
        <f t="shared" si="9"/>
        <v>4.8018099999999997</v>
      </c>
      <c r="AE10" s="112">
        <f t="shared" si="9"/>
        <v>4.8420199999999998</v>
      </c>
      <c r="AF10" s="112">
        <f t="shared" si="9"/>
        <v>4.8803000000000001</v>
      </c>
      <c r="AG10" s="112">
        <f t="shared" si="9"/>
        <v>4.9175599999999999</v>
      </c>
      <c r="AH10" s="112">
        <f t="shared" ref="AH10:BQ10" si="10">SUM(AH$32:AH$107,AH$125:AH$200)/1000000</f>
        <v>4.9536600000000002</v>
      </c>
      <c r="AI10" s="112">
        <f t="shared" si="10"/>
        <v>4.9885599999999997</v>
      </c>
      <c r="AJ10" s="112">
        <f t="shared" si="10"/>
        <v>5.02278</v>
      </c>
      <c r="AK10" s="112">
        <f t="shared" si="10"/>
        <v>5.0561400000000001</v>
      </c>
      <c r="AL10" s="112">
        <f t="shared" si="10"/>
        <v>5.08866</v>
      </c>
      <c r="AM10" s="112">
        <f t="shared" si="10"/>
        <v>5.1203200000000004</v>
      </c>
      <c r="AN10" s="112">
        <f t="shared" si="10"/>
        <v>5.1510800000000003</v>
      </c>
      <c r="AO10" s="112">
        <f t="shared" si="10"/>
        <v>5.1810700000000001</v>
      </c>
      <c r="AP10" s="112">
        <f t="shared" si="10"/>
        <v>5.2103299999999999</v>
      </c>
      <c r="AQ10" s="112">
        <f t="shared" si="10"/>
        <v>5.2386699999999999</v>
      </c>
      <c r="AR10" s="112">
        <f t="shared" si="10"/>
        <v>5.2663099999999998</v>
      </c>
      <c r="AS10" s="112">
        <f t="shared" si="10"/>
        <v>5.2934299999999999</v>
      </c>
      <c r="AT10" s="112">
        <f t="shared" si="10"/>
        <v>5.3199300000000003</v>
      </c>
      <c r="AU10" s="112">
        <f t="shared" si="10"/>
        <v>5.3459599999999998</v>
      </c>
      <c r="AV10" s="112">
        <f t="shared" si="10"/>
        <v>5.3716299999999997</v>
      </c>
      <c r="AW10" s="112">
        <f t="shared" si="10"/>
        <v>5.3970799999999999</v>
      </c>
      <c r="AX10" s="112">
        <f t="shared" si="10"/>
        <v>5.4221899999999996</v>
      </c>
      <c r="AY10" s="112">
        <f t="shared" si="10"/>
        <v>5.4472800000000001</v>
      </c>
      <c r="AZ10" s="112">
        <f t="shared" si="10"/>
        <v>5.4721200000000003</v>
      </c>
      <c r="BA10" s="112">
        <f t="shared" si="10"/>
        <v>5.4969799999999998</v>
      </c>
      <c r="BB10" s="112">
        <f t="shared" si="10"/>
        <v>5.5216000000000003</v>
      </c>
      <c r="BC10" s="112">
        <f t="shared" si="10"/>
        <v>5.5462499999999997</v>
      </c>
      <c r="BD10" s="112">
        <f t="shared" si="10"/>
        <v>5.57057</v>
      </c>
      <c r="BE10" s="112">
        <f t="shared" si="10"/>
        <v>5.5948799999999999</v>
      </c>
      <c r="BF10" s="112">
        <f t="shared" si="10"/>
        <v>5.6189099999999996</v>
      </c>
      <c r="BG10" s="112">
        <f t="shared" si="10"/>
        <v>5.6425599999999996</v>
      </c>
      <c r="BH10" s="112">
        <f t="shared" si="10"/>
        <v>5.6660599999999999</v>
      </c>
      <c r="BI10" s="112">
        <f t="shared" si="10"/>
        <v>5.68912</v>
      </c>
      <c r="BJ10" s="112">
        <f t="shared" si="10"/>
        <v>5.7119099999999996</v>
      </c>
      <c r="BK10" s="112">
        <f t="shared" si="10"/>
        <v>5.7342599999999999</v>
      </c>
      <c r="BL10" s="112">
        <f t="shared" si="10"/>
        <v>5.7562800000000003</v>
      </c>
      <c r="BM10" s="197">
        <f t="shared" si="10"/>
        <v>5.7777700000000003</v>
      </c>
      <c r="BN10" s="197">
        <f t="shared" si="10"/>
        <v>5.7987500000000001</v>
      </c>
      <c r="BO10" s="197">
        <f t="shared" si="10"/>
        <v>5.81921</v>
      </c>
      <c r="BP10" s="197">
        <f t="shared" si="10"/>
        <v>5.8391200000000003</v>
      </c>
      <c r="BQ10" s="197">
        <f t="shared" si="10"/>
        <v>5.8582999999999998</v>
      </c>
    </row>
    <row r="11" spans="1:69" s="105" customFormat="1">
      <c r="A11" s="106" t="str">
        <f>$A$9</f>
        <v>Annual growth (%)</v>
      </c>
      <c r="B11" s="110"/>
      <c r="C11" s="110">
        <f>C$10/B$10-1</f>
        <v>1.0994078244830563E-2</v>
      </c>
      <c r="D11" s="110">
        <f t="shared" ref="D11:BK11" si="11">D$10/C$10-1</f>
        <v>9.5062054396619633E-3</v>
      </c>
      <c r="E11" s="110">
        <f t="shared" si="11"/>
        <v>1.1054502651415943E-2</v>
      </c>
      <c r="F11" s="110">
        <f t="shared" si="11"/>
        <v>1.2083153262010482E-2</v>
      </c>
      <c r="G11" s="110">
        <f t="shared" si="11"/>
        <v>8.9265743508406548E-3</v>
      </c>
      <c r="H11" s="110">
        <f t="shared" si="11"/>
        <v>7.1719364516333872E-3</v>
      </c>
      <c r="I11" s="110">
        <f t="shared" si="11"/>
        <v>1.0045252231881241E-2</v>
      </c>
      <c r="J11" s="110">
        <f t="shared" si="11"/>
        <v>2.013692543252632E-2</v>
      </c>
      <c r="K11" s="110">
        <f t="shared" si="11"/>
        <v>2.4533494615004647E-2</v>
      </c>
      <c r="L11" s="110">
        <f t="shared" si="11"/>
        <v>2.6025687198914849E-2</v>
      </c>
      <c r="M11" s="110">
        <f t="shared" si="11"/>
        <v>2.3072050673000666E-2</v>
      </c>
      <c r="N11" s="110">
        <f t="shared" si="11"/>
        <v>2.0044267649016456E-2</v>
      </c>
      <c r="O11" s="110">
        <f t="shared" si="11"/>
        <v>1.7477972342771597E-2</v>
      </c>
      <c r="P11" s="110">
        <f t="shared" si="11"/>
        <v>2.5680858414756313E-2</v>
      </c>
      <c r="Q11" s="110">
        <f t="shared" si="11"/>
        <v>8.6561413287129518E-3</v>
      </c>
      <c r="R11" s="110">
        <f t="shared" si="11"/>
        <v>1.115497072510907E-2</v>
      </c>
      <c r="S11" s="110">
        <f t="shared" si="11"/>
        <v>1.23696153206454E-2</v>
      </c>
      <c r="T11" s="110">
        <f t="shared" si="11"/>
        <v>1.2687877280109561E-2</v>
      </c>
      <c r="U11" s="110">
        <f t="shared" si="11"/>
        <v>1.2723589860063722E-2</v>
      </c>
      <c r="V11" s="110">
        <f t="shared" si="11"/>
        <v>1.2282251494375007E-2</v>
      </c>
      <c r="W11" s="110">
        <f t="shared" si="11"/>
        <v>1.191620001853777E-2</v>
      </c>
      <c r="X11" s="110">
        <f t="shared" si="11"/>
        <v>1.1492147181698442E-2</v>
      </c>
      <c r="Y11" s="110">
        <f t="shared" si="11"/>
        <v>1.0853576114181029E-2</v>
      </c>
      <c r="Z11" s="110">
        <f t="shared" si="11"/>
        <v>1.0522911805064039E-2</v>
      </c>
      <c r="AA11" s="110">
        <f t="shared" si="11"/>
        <v>1.0088997673433076E-2</v>
      </c>
      <c r="AB11" s="110">
        <f t="shared" si="11"/>
        <v>9.7548967141174447E-3</v>
      </c>
      <c r="AC11" s="110">
        <f t="shared" si="11"/>
        <v>9.1306679782152678E-3</v>
      </c>
      <c r="AD11" s="110">
        <f t="shared" si="11"/>
        <v>8.7539442117248178E-3</v>
      </c>
      <c r="AE11" s="110">
        <f t="shared" si="11"/>
        <v>8.3739256655304128E-3</v>
      </c>
      <c r="AF11" s="110">
        <f t="shared" si="11"/>
        <v>7.9057913845874683E-3</v>
      </c>
      <c r="AG11" s="110">
        <f t="shared" si="11"/>
        <v>7.6347765506219467E-3</v>
      </c>
      <c r="AH11" s="110">
        <f t="shared" si="11"/>
        <v>7.3410390518875435E-3</v>
      </c>
      <c r="AI11" s="110">
        <f t="shared" si="11"/>
        <v>7.0452958014881606E-3</v>
      </c>
      <c r="AJ11" s="110">
        <f t="shared" si="11"/>
        <v>6.8596949821191355E-3</v>
      </c>
      <c r="AK11" s="110">
        <f t="shared" si="11"/>
        <v>6.641740231505322E-3</v>
      </c>
      <c r="AL11" s="110">
        <f t="shared" si="11"/>
        <v>6.4317839300336299E-3</v>
      </c>
      <c r="AM11" s="110">
        <f t="shared" si="11"/>
        <v>6.2216772195431425E-3</v>
      </c>
      <c r="AN11" s="110">
        <f t="shared" si="11"/>
        <v>6.007437035185248E-3</v>
      </c>
      <c r="AO11" s="110">
        <f t="shared" si="11"/>
        <v>5.8220800298189879E-3</v>
      </c>
      <c r="AP11" s="110">
        <f t="shared" si="11"/>
        <v>5.6474820838166018E-3</v>
      </c>
      <c r="AQ11" s="110">
        <f t="shared" si="11"/>
        <v>5.4391948302698889E-3</v>
      </c>
      <c r="AR11" s="110">
        <f t="shared" si="11"/>
        <v>5.2761483353598315E-3</v>
      </c>
      <c r="AS11" s="110">
        <f t="shared" si="11"/>
        <v>5.1497158351863082E-3</v>
      </c>
      <c r="AT11" s="110">
        <f t="shared" si="11"/>
        <v>5.0062058060653669E-3</v>
      </c>
      <c r="AU11" s="110">
        <f t="shared" si="11"/>
        <v>4.8929215234034817E-3</v>
      </c>
      <c r="AV11" s="110">
        <f t="shared" si="11"/>
        <v>4.8017568406797384E-3</v>
      </c>
      <c r="AW11" s="110">
        <f t="shared" si="11"/>
        <v>4.7378542453595518E-3</v>
      </c>
      <c r="AX11" s="110">
        <f t="shared" si="11"/>
        <v>4.6525158048424942E-3</v>
      </c>
      <c r="AY11" s="110">
        <f t="shared" si="11"/>
        <v>4.6272815965504588E-3</v>
      </c>
      <c r="AZ11" s="110">
        <f t="shared" si="11"/>
        <v>4.560074018592708E-3</v>
      </c>
      <c r="BA11" s="110">
        <f t="shared" si="11"/>
        <v>4.5430290271410989E-3</v>
      </c>
      <c r="BB11" s="110">
        <f t="shared" si="11"/>
        <v>4.4788229173111649E-3</v>
      </c>
      <c r="BC11" s="110">
        <f t="shared" si="11"/>
        <v>4.4642857142855874E-3</v>
      </c>
      <c r="BD11" s="110">
        <f t="shared" si="11"/>
        <v>4.3849447825108356E-3</v>
      </c>
      <c r="BE11" s="110">
        <f t="shared" si="11"/>
        <v>4.3640058378227042E-3</v>
      </c>
      <c r="BF11" s="110">
        <f t="shared" si="11"/>
        <v>4.2949982841453682E-3</v>
      </c>
      <c r="BG11" s="110">
        <f t="shared" si="11"/>
        <v>4.2090013899493961E-3</v>
      </c>
      <c r="BH11" s="110">
        <f t="shared" si="11"/>
        <v>4.1647762717631487E-3</v>
      </c>
      <c r="BI11" s="110">
        <f t="shared" si="11"/>
        <v>4.0698474777887128E-3</v>
      </c>
      <c r="BJ11" s="110">
        <f t="shared" si="11"/>
        <v>4.005891948139606E-3</v>
      </c>
      <c r="BK11" s="110">
        <f t="shared" si="11"/>
        <v>3.9128767785208129E-3</v>
      </c>
      <c r="BL11" s="125">
        <f t="shared" ref="BL11" si="12">BL$10/BK$10-1</f>
        <v>3.8400770108086846E-3</v>
      </c>
      <c r="BM11" s="193">
        <f t="shared" ref="BM11" si="13">BM$10/BL$10-1</f>
        <v>3.733313876322919E-3</v>
      </c>
      <c r="BN11" s="193">
        <f t="shared" ref="BN11" si="14">BN$10/BM$10-1</f>
        <v>3.6311587342521268E-3</v>
      </c>
      <c r="BO11" s="193">
        <f t="shared" ref="BO11" si="15">BO$10/BN$10-1</f>
        <v>3.5283466264282026E-3</v>
      </c>
      <c r="BP11" s="193">
        <f t="shared" ref="BP11" si="16">BP$10/BO$10-1</f>
        <v>3.4214266197645227E-3</v>
      </c>
      <c r="BQ11" s="193">
        <f t="shared" ref="BQ11" si="17">BQ$10/BP$10-1</f>
        <v>3.2847415363959076E-3</v>
      </c>
    </row>
    <row r="12" spans="1:69" s="105" customFormat="1">
      <c r="A12" s="108" t="s">
        <v>1020</v>
      </c>
      <c r="B12" s="110"/>
      <c r="C12" s="110"/>
      <c r="D12" s="110"/>
      <c r="E12" s="110"/>
      <c r="F12" s="110"/>
      <c r="G12" s="110"/>
      <c r="H12" s="110"/>
      <c r="I12" s="110"/>
      <c r="J12" s="110"/>
      <c r="K12" s="110"/>
      <c r="L12" s="110"/>
      <c r="M12" s="112">
        <f>SUM(M$203:M$268,M$271:M$336)/1000000</f>
        <v>2.6638700369801787</v>
      </c>
      <c r="N12" s="112">
        <f>SUM(N$203:N$268,N$271:N$336)/1000000</f>
        <v>2.7263709591132601</v>
      </c>
      <c r="O12" s="112">
        <f t="shared" ref="O12:BQ12" si="18">SUM(O$203:O$268,O$271:O$336)/1000000</f>
        <v>2.7786493096071254</v>
      </c>
      <c r="P12" s="112">
        <f t="shared" si="18"/>
        <v>2.8542713270719031</v>
      </c>
      <c r="Q12" s="112">
        <f t="shared" si="18"/>
        <v>2.8762634082814604</v>
      </c>
      <c r="R12" s="112">
        <f t="shared" si="18"/>
        <v>2.9039081936355151</v>
      </c>
      <c r="S12" s="112">
        <f t="shared" si="18"/>
        <v>2.9340779597154087</v>
      </c>
      <c r="T12" s="112">
        <f t="shared" si="18"/>
        <v>2.9652096402436343</v>
      </c>
      <c r="U12" s="112">
        <f t="shared" si="18"/>
        <v>2.9960333394109906</v>
      </c>
      <c r="V12" s="112">
        <f t="shared" si="18"/>
        <v>3.0264279192275976</v>
      </c>
      <c r="W12" s="112">
        <f t="shared" si="18"/>
        <v>3.0562144841172429</v>
      </c>
      <c r="X12" s="112">
        <f t="shared" si="18"/>
        <v>3.0853086026476872</v>
      </c>
      <c r="Y12" s="112">
        <f t="shared" si="18"/>
        <v>3.1135456318929289</v>
      </c>
      <c r="Z12" s="112">
        <f t="shared" si="18"/>
        <v>3.1409350059025791</v>
      </c>
      <c r="AA12" s="112">
        <f t="shared" si="18"/>
        <v>3.167482136926028</v>
      </c>
      <c r="AB12" s="112">
        <f t="shared" si="18"/>
        <v>3.1932030110713727</v>
      </c>
      <c r="AC12" s="112">
        <f t="shared" si="18"/>
        <v>3.2178069054170781</v>
      </c>
      <c r="AD12" s="112">
        <f t="shared" si="18"/>
        <v>3.2412521218137438</v>
      </c>
      <c r="AE12" s="197">
        <f t="shared" si="18"/>
        <v>3.2639496958014567</v>
      </c>
      <c r="AF12" s="112">
        <f t="shared" si="18"/>
        <v>3.2852182048915357</v>
      </c>
      <c r="AG12" s="112">
        <f t="shared" si="18"/>
        <v>3.3057421006289531</v>
      </c>
      <c r="AH12" s="112">
        <f t="shared" si="18"/>
        <v>3.3255176582131449</v>
      </c>
      <c r="AI12" s="112">
        <f t="shared" si="18"/>
        <v>3.3445192393112344</v>
      </c>
      <c r="AJ12" s="112">
        <f t="shared" si="18"/>
        <v>3.3631447863045003</v>
      </c>
      <c r="AK12" s="112">
        <f t="shared" si="18"/>
        <v>3.3815650371298509</v>
      </c>
      <c r="AL12" s="112">
        <f t="shared" si="18"/>
        <v>3.3994328106865717</v>
      </c>
      <c r="AM12" s="112">
        <f t="shared" si="18"/>
        <v>3.4172651392953712</v>
      </c>
      <c r="AN12" s="112">
        <f t="shared" si="18"/>
        <v>3.4343950735802879</v>
      </c>
      <c r="AO12" s="112">
        <f t="shared" si="18"/>
        <v>3.4512762550037146</v>
      </c>
      <c r="AP12" s="112">
        <f t="shared" si="18"/>
        <v>3.4679655765517907</v>
      </c>
      <c r="AQ12" s="112">
        <f t="shared" si="18"/>
        <v>3.4839582501129041</v>
      </c>
      <c r="AR12" s="112">
        <f t="shared" si="18"/>
        <v>3.4990881787308576</v>
      </c>
      <c r="AS12" s="112">
        <f t="shared" si="18"/>
        <v>3.5135677402583365</v>
      </c>
      <c r="AT12" s="112">
        <f t="shared" si="18"/>
        <v>3.5272339723555604</v>
      </c>
      <c r="AU12" s="112">
        <f t="shared" si="18"/>
        <v>3.5401257996639068</v>
      </c>
      <c r="AV12" s="112">
        <f t="shared" si="18"/>
        <v>3.5519029310817412</v>
      </c>
      <c r="AW12" s="112">
        <f t="shared" si="18"/>
        <v>3.5627748093516085</v>
      </c>
      <c r="AX12" s="112">
        <f t="shared" si="18"/>
        <v>3.5727588816229812</v>
      </c>
      <c r="AY12" s="112">
        <f t="shared" si="18"/>
        <v>3.5819680356258035</v>
      </c>
      <c r="AZ12" s="112">
        <f t="shared" si="18"/>
        <v>3.5904284544544747</v>
      </c>
      <c r="BA12" s="112">
        <f t="shared" si="18"/>
        <v>3.5981546554338988</v>
      </c>
      <c r="BB12" s="112">
        <f t="shared" si="18"/>
        <v>3.6054363650397256</v>
      </c>
      <c r="BC12" s="112">
        <f t="shared" si="18"/>
        <v>3.6123525293530636</v>
      </c>
      <c r="BD12" s="112">
        <f t="shared" si="18"/>
        <v>3.6188601505805065</v>
      </c>
      <c r="BE12" s="112">
        <f t="shared" si="18"/>
        <v>3.6253325555573741</v>
      </c>
      <c r="BF12" s="112">
        <f t="shared" si="18"/>
        <v>3.6317390527560018</v>
      </c>
      <c r="BG12" s="112">
        <f t="shared" si="18"/>
        <v>3.6380591013472983</v>
      </c>
      <c r="BH12" s="112">
        <f t="shared" si="18"/>
        <v>3.6444982222208111</v>
      </c>
      <c r="BI12" s="112">
        <f t="shared" si="18"/>
        <v>3.6507576553942149</v>
      </c>
      <c r="BJ12" s="112">
        <f t="shared" si="18"/>
        <v>3.6571526229263323</v>
      </c>
      <c r="BK12" s="112">
        <f t="shared" si="18"/>
        <v>3.6634128645287394</v>
      </c>
      <c r="BL12" s="112">
        <f t="shared" si="18"/>
        <v>3.6695164449458928</v>
      </c>
      <c r="BM12" s="197">
        <f t="shared" si="18"/>
        <v>3.6751605496988202</v>
      </c>
      <c r="BN12" s="197">
        <f t="shared" si="18"/>
        <v>3.6806195078078887</v>
      </c>
      <c r="BO12" s="197">
        <f t="shared" si="18"/>
        <v>3.6853625719484935</v>
      </c>
      <c r="BP12" s="197">
        <f t="shared" si="18"/>
        <v>3.6896525818399208</v>
      </c>
      <c r="BQ12" s="197">
        <f t="shared" si="18"/>
        <v>3.693213460695564</v>
      </c>
    </row>
    <row r="13" spans="1:69" s="105" customFormat="1">
      <c r="A13" s="106" t="str">
        <f>$A$9</f>
        <v>Annual growth (%)</v>
      </c>
      <c r="B13" s="110"/>
      <c r="C13" s="110"/>
      <c r="D13" s="110"/>
      <c r="E13" s="110"/>
      <c r="F13" s="110"/>
      <c r="G13" s="110"/>
      <c r="H13" s="110"/>
      <c r="I13" s="110"/>
      <c r="J13" s="110"/>
      <c r="K13" s="110"/>
      <c r="L13" s="110"/>
      <c r="M13" s="110"/>
      <c r="N13" s="110">
        <f>N$12/M$12-1</f>
        <v>2.3462451720780653E-2</v>
      </c>
      <c r="O13" s="110">
        <f t="shared" ref="O13:BK13" si="19">O$12/N$12-1</f>
        <v>1.9175068718773502E-2</v>
      </c>
      <c r="P13" s="110">
        <f t="shared" si="19"/>
        <v>2.7215387419821546E-2</v>
      </c>
      <c r="Q13" s="110">
        <f t="shared" si="19"/>
        <v>7.7049721941180316E-3</v>
      </c>
      <c r="R13" s="110">
        <f t="shared" si="19"/>
        <v>9.6113538400059984E-3</v>
      </c>
      <c r="S13" s="110">
        <f t="shared" si="19"/>
        <v>1.0389366353253493E-2</v>
      </c>
      <c r="T13" s="110">
        <f t="shared" si="19"/>
        <v>1.0610379463552144E-2</v>
      </c>
      <c r="U13" s="110">
        <f t="shared" si="19"/>
        <v>1.0395116334784182E-2</v>
      </c>
      <c r="V13" s="110">
        <f t="shared" si="19"/>
        <v>1.0144940450690143E-2</v>
      </c>
      <c r="W13" s="110">
        <f t="shared" si="19"/>
        <v>9.8421524267617855E-3</v>
      </c>
      <c r="X13" s="110">
        <f t="shared" si="19"/>
        <v>9.5196586108869941E-3</v>
      </c>
      <c r="Y13" s="110">
        <f t="shared" si="19"/>
        <v>9.1520923453198844E-3</v>
      </c>
      <c r="Z13" s="110">
        <f t="shared" si="19"/>
        <v>8.796843614268246E-3</v>
      </c>
      <c r="AA13" s="110">
        <f t="shared" si="19"/>
        <v>8.4519835569856205E-3</v>
      </c>
      <c r="AB13" s="110">
        <f t="shared" si="19"/>
        <v>8.1202901969026353E-3</v>
      </c>
      <c r="AC13" s="110">
        <f t="shared" si="19"/>
        <v>7.7050830343075027E-3</v>
      </c>
      <c r="AD13" s="110">
        <f t="shared" si="19"/>
        <v>7.2860855501293287E-3</v>
      </c>
      <c r="AE13" s="110">
        <f t="shared" si="19"/>
        <v>7.0027178185114725E-3</v>
      </c>
      <c r="AF13" s="110">
        <f t="shared" si="19"/>
        <v>6.5161877701231941E-3</v>
      </c>
      <c r="AG13" s="110">
        <f t="shared" si="19"/>
        <v>6.2473462818568581E-3</v>
      </c>
      <c r="AH13" s="110">
        <f t="shared" si="19"/>
        <v>5.9821840247094027E-3</v>
      </c>
      <c r="AI13" s="110">
        <f t="shared" si="19"/>
        <v>5.7138716587958882E-3</v>
      </c>
      <c r="AJ13" s="110">
        <f t="shared" si="19"/>
        <v>5.5689758857841998E-3</v>
      </c>
      <c r="AK13" s="110">
        <f t="shared" si="19"/>
        <v>5.4770912332890997E-3</v>
      </c>
      <c r="AL13" s="110">
        <f t="shared" si="19"/>
        <v>5.2838769506222683E-3</v>
      </c>
      <c r="AM13" s="110">
        <f t="shared" si="19"/>
        <v>5.2456776179665709E-3</v>
      </c>
      <c r="AN13" s="110">
        <f t="shared" si="19"/>
        <v>5.0127612540034061E-3</v>
      </c>
      <c r="AO13" s="110">
        <f t="shared" si="19"/>
        <v>4.915328918704942E-3</v>
      </c>
      <c r="AP13" s="110">
        <f t="shared" si="19"/>
        <v>4.8356956427002551E-3</v>
      </c>
      <c r="AQ13" s="110">
        <f t="shared" si="19"/>
        <v>4.6115433409275042E-3</v>
      </c>
      <c r="AR13" s="110">
        <f t="shared" si="19"/>
        <v>4.3427410812006961E-3</v>
      </c>
      <c r="AS13" s="110">
        <f t="shared" si="19"/>
        <v>4.1380956374557076E-3</v>
      </c>
      <c r="AT13" s="110">
        <f t="shared" si="19"/>
        <v>3.8895598740382731E-3</v>
      </c>
      <c r="AU13" s="110">
        <f t="shared" si="19"/>
        <v>3.6549396522558286E-3</v>
      </c>
      <c r="AV13" s="110">
        <f t="shared" si="19"/>
        <v>3.326755060216291E-3</v>
      </c>
      <c r="AW13" s="110">
        <f t="shared" si="19"/>
        <v>3.0608601870085739E-3</v>
      </c>
      <c r="AX13" s="110">
        <f t="shared" si="19"/>
        <v>2.8023304322144504E-3</v>
      </c>
      <c r="AY13" s="110">
        <f t="shared" si="19"/>
        <v>2.5776029975577153E-3</v>
      </c>
      <c r="AZ13" s="110">
        <f t="shared" si="19"/>
        <v>2.3619470482496574E-3</v>
      </c>
      <c r="BA13" s="110">
        <f t="shared" si="19"/>
        <v>2.1518882989683963E-3</v>
      </c>
      <c r="BB13" s="110">
        <f t="shared" si="19"/>
        <v>2.0237344703430971E-3</v>
      </c>
      <c r="BC13" s="110">
        <f t="shared" si="19"/>
        <v>1.9182599866138794E-3</v>
      </c>
      <c r="BD13" s="110">
        <f t="shared" si="19"/>
        <v>1.8014911818720059E-3</v>
      </c>
      <c r="BE13" s="110">
        <f t="shared" si="19"/>
        <v>1.7885203372198788E-3</v>
      </c>
      <c r="BF13" s="110">
        <f t="shared" si="19"/>
        <v>1.7671474548748289E-3</v>
      </c>
      <c r="BG13" s="110">
        <f t="shared" si="19"/>
        <v>1.7402265139343509E-3</v>
      </c>
      <c r="BH13" s="110">
        <f t="shared" si="19"/>
        <v>1.7699330038722927E-3</v>
      </c>
      <c r="BI13" s="110">
        <f t="shared" si="19"/>
        <v>1.7175020515141082E-3</v>
      </c>
      <c r="BJ13" s="110">
        <f t="shared" si="19"/>
        <v>1.7516822905701002E-3</v>
      </c>
      <c r="BK13" s="110">
        <f t="shared" si="19"/>
        <v>1.7117802421375838E-3</v>
      </c>
      <c r="BL13" s="125">
        <f t="shared" ref="BL13" si="20">BL$12/BK$12-1</f>
        <v>1.6660913314607839E-3</v>
      </c>
      <c r="BM13" s="193">
        <f t="shared" ref="BM13" si="21">BM$12/BL$12-1</f>
        <v>1.5381058615233645E-3</v>
      </c>
      <c r="BN13" s="193">
        <f t="shared" ref="BN13" si="22">BN$12/BM$12-1</f>
        <v>1.4853658868088093E-3</v>
      </c>
      <c r="BO13" s="193">
        <f t="shared" ref="BO13" si="23">BO$12/BN$12-1</f>
        <v>1.2886591864611496E-3</v>
      </c>
      <c r="BP13" s="193">
        <f t="shared" ref="BP13" si="24">BP$12/BO$12-1</f>
        <v>1.1640672546253672E-3</v>
      </c>
      <c r="BQ13" s="193">
        <f t="shared" ref="BQ13" si="25">BQ$12/BP$12-1</f>
        <v>9.6509868521743591E-4</v>
      </c>
    </row>
    <row r="14" spans="1:69" s="105" customFormat="1">
      <c r="A14" s="108" t="s">
        <v>1013</v>
      </c>
      <c r="B14" s="110"/>
      <c r="C14" s="110"/>
      <c r="D14" s="110"/>
      <c r="E14" s="110"/>
      <c r="F14" s="110"/>
      <c r="G14" s="110"/>
      <c r="H14" s="110"/>
      <c r="I14" s="110"/>
      <c r="J14" s="110"/>
      <c r="K14" s="110"/>
      <c r="L14" s="110"/>
      <c r="M14" s="115">
        <f>M$12/M$10</f>
        <v>0.68719850712259734</v>
      </c>
      <c r="N14" s="115">
        <f>N$12/N$10</f>
        <v>0.68950131991777186</v>
      </c>
      <c r="O14" s="115">
        <f t="shared" ref="O14:BQ14" si="26">O$12/O$10</f>
        <v>0.69065136957298623</v>
      </c>
      <c r="P14" s="115">
        <f t="shared" si="26"/>
        <v>0.69168465838821858</v>
      </c>
      <c r="Q14" s="115">
        <f t="shared" si="26"/>
        <v>0.69103239537114602</v>
      </c>
      <c r="R14" s="115">
        <f t="shared" si="26"/>
        <v>0.68997747371765983</v>
      </c>
      <c r="S14" s="115">
        <f t="shared" si="26"/>
        <v>0.68862784097564955</v>
      </c>
      <c r="T14" s="115">
        <f t="shared" si="26"/>
        <v>0.68721514228719494</v>
      </c>
      <c r="U14" s="115">
        <f t="shared" si="26"/>
        <v>0.68563508403535933</v>
      </c>
      <c r="V14" s="115">
        <f t="shared" si="26"/>
        <v>0.6841874488181231</v>
      </c>
      <c r="W14" s="115">
        <f t="shared" si="26"/>
        <v>0.68278512189567775</v>
      </c>
      <c r="X14" s="115">
        <f t="shared" si="26"/>
        <v>0.68145363765923372</v>
      </c>
      <c r="Y14" s="115">
        <f t="shared" si="26"/>
        <v>0.68030660476435523</v>
      </c>
      <c r="Z14" s="115">
        <f t="shared" si="26"/>
        <v>0.67914457708862996</v>
      </c>
      <c r="AA14" s="115">
        <f t="shared" si="26"/>
        <v>0.67804391243198714</v>
      </c>
      <c r="AB14" s="115">
        <f t="shared" si="26"/>
        <v>0.67694628467912776</v>
      </c>
      <c r="AC14" s="115">
        <f t="shared" si="26"/>
        <v>0.67598997202121747</v>
      </c>
      <c r="AD14" s="115">
        <f t="shared" si="26"/>
        <v>0.67500632507611591</v>
      </c>
      <c r="AE14" s="115">
        <f t="shared" si="26"/>
        <v>0.6740884374293078</v>
      </c>
      <c r="AF14" s="115">
        <f t="shared" si="26"/>
        <v>0.67315906909237866</v>
      </c>
      <c r="AG14" s="115">
        <f t="shared" si="26"/>
        <v>0.67223218438187904</v>
      </c>
      <c r="AH14" s="115">
        <f t="shared" si="26"/>
        <v>0.67132537522016944</v>
      </c>
      <c r="AI14" s="115">
        <f t="shared" si="26"/>
        <v>0.67043780957054433</v>
      </c>
      <c r="AJ14" s="115">
        <f t="shared" si="26"/>
        <v>0.66957835826066447</v>
      </c>
      <c r="AK14" s="115">
        <f t="shared" si="26"/>
        <v>0.66880367971018417</v>
      </c>
      <c r="AL14" s="115">
        <f t="shared" si="26"/>
        <v>0.6680408615797816</v>
      </c>
      <c r="AM14" s="115">
        <f t="shared" si="26"/>
        <v>0.66739288546328568</v>
      </c>
      <c r="AN14" s="115">
        <f t="shared" si="26"/>
        <v>0.66673301008337815</v>
      </c>
      <c r="AO14" s="115">
        <f t="shared" si="26"/>
        <v>0.66613194861364822</v>
      </c>
      <c r="AP14" s="115">
        <f t="shared" si="26"/>
        <v>0.66559422849450822</v>
      </c>
      <c r="AQ14" s="115">
        <f t="shared" si="26"/>
        <v>0.66504632857440993</v>
      </c>
      <c r="AR14" s="115">
        <f t="shared" si="26"/>
        <v>0.66442882753405286</v>
      </c>
      <c r="AS14" s="115">
        <f t="shared" si="26"/>
        <v>0.6637601215579193</v>
      </c>
      <c r="AT14" s="115">
        <f t="shared" si="26"/>
        <v>0.66302262856006755</v>
      </c>
      <c r="AU14" s="115">
        <f t="shared" si="26"/>
        <v>0.66220581516956856</v>
      </c>
      <c r="AV14" s="115">
        <f t="shared" si="26"/>
        <v>0.66123372813871051</v>
      </c>
      <c r="AW14" s="115">
        <f t="shared" si="26"/>
        <v>0.66013007206704521</v>
      </c>
      <c r="AX14" s="115">
        <f t="shared" si="26"/>
        <v>0.65891436515927726</v>
      </c>
      <c r="AY14" s="115">
        <f t="shared" si="26"/>
        <v>0.65757002313554713</v>
      </c>
      <c r="AZ14" s="115">
        <f t="shared" si="26"/>
        <v>0.65613116204587518</v>
      </c>
      <c r="BA14" s="115">
        <f t="shared" si="26"/>
        <v>0.65456935543405637</v>
      </c>
      <c r="BB14" s="115">
        <f t="shared" si="26"/>
        <v>0.65296949526219306</v>
      </c>
      <c r="BC14" s="115">
        <f t="shared" si="26"/>
        <v>0.65131440691513431</v>
      </c>
      <c r="BD14" s="115">
        <f t="shared" si="26"/>
        <v>0.64963911243921291</v>
      </c>
      <c r="BE14" s="115">
        <f t="shared" si="26"/>
        <v>0.64797324617460506</v>
      </c>
      <c r="BF14" s="115">
        <f t="shared" si="26"/>
        <v>0.64634227150034473</v>
      </c>
      <c r="BG14" s="115">
        <f t="shared" si="26"/>
        <v>0.64475328598141601</v>
      </c>
      <c r="BH14" s="115">
        <f t="shared" si="26"/>
        <v>0.64321560700395186</v>
      </c>
      <c r="BI14" s="115">
        <f t="shared" si="26"/>
        <v>0.64170867469735482</v>
      </c>
      <c r="BJ14" s="115">
        <f t="shared" si="26"/>
        <v>0.64026790039169601</v>
      </c>
      <c r="BK14" s="115">
        <f t="shared" si="26"/>
        <v>0.63886410182460152</v>
      </c>
      <c r="BL14" s="115">
        <f t="shared" si="26"/>
        <v>0.63748053342538802</v>
      </c>
      <c r="BM14" s="201">
        <f t="shared" si="26"/>
        <v>0.63608633602563269</v>
      </c>
      <c r="BN14" s="201">
        <f t="shared" si="26"/>
        <v>0.6347263647868745</v>
      </c>
      <c r="BO14" s="201">
        <f t="shared" si="26"/>
        <v>0.63330977434196278</v>
      </c>
      <c r="BP14" s="201">
        <f t="shared" si="26"/>
        <v>0.63188504121167588</v>
      </c>
      <c r="BQ14" s="201">
        <f t="shared" si="26"/>
        <v>0.63042409243220121</v>
      </c>
    </row>
    <row r="15" spans="1:69" s="105" customFormat="1">
      <c r="A15" s="108" t="s">
        <v>918</v>
      </c>
      <c r="B15" s="110"/>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93"/>
      <c r="BN15" s="193"/>
      <c r="BO15" s="193"/>
      <c r="BP15" s="193"/>
      <c r="BQ15" s="193"/>
    </row>
    <row r="16" spans="1:69">
      <c r="A16" s="71" t="s">
        <v>1014</v>
      </c>
    </row>
    <row r="17" spans="1:69">
      <c r="A17" s="28">
        <v>0</v>
      </c>
      <c r="B17" s="111">
        <v>28910</v>
      </c>
      <c r="C17" s="111">
        <v>30230</v>
      </c>
      <c r="D17" s="111">
        <v>31360</v>
      </c>
      <c r="E17" s="111">
        <v>30830</v>
      </c>
      <c r="F17" s="111">
        <v>31510</v>
      </c>
      <c r="G17" s="111">
        <v>30670</v>
      </c>
      <c r="H17" s="111">
        <v>29880</v>
      </c>
      <c r="I17" s="111">
        <v>29370</v>
      </c>
      <c r="J17" s="111">
        <v>28390</v>
      </c>
      <c r="K17" s="111">
        <v>28520</v>
      </c>
      <c r="L17" s="111">
        <v>28790</v>
      </c>
      <c r="M17" s="111">
        <v>29450</v>
      </c>
      <c r="N17" s="111">
        <v>29000</v>
      </c>
      <c r="O17" s="111">
        <v>28900</v>
      </c>
      <c r="P17" s="111">
        <v>29140</v>
      </c>
      <c r="Q17" s="111">
        <v>28630</v>
      </c>
      <c r="R17" s="111">
        <v>28700</v>
      </c>
      <c r="S17" s="111">
        <v>28790</v>
      </c>
      <c r="T17" s="111">
        <v>28720</v>
      </c>
      <c r="U17" s="111">
        <v>28830</v>
      </c>
      <c r="V17" s="111">
        <v>28910</v>
      </c>
      <c r="W17" s="111">
        <v>28960</v>
      </c>
      <c r="X17" s="111">
        <v>29000</v>
      </c>
      <c r="Y17" s="111">
        <v>29020</v>
      </c>
      <c r="Z17" s="111">
        <v>29040</v>
      </c>
      <c r="AA17" s="111">
        <v>29070</v>
      </c>
      <c r="AB17" s="111">
        <v>29100</v>
      </c>
      <c r="AC17" s="111">
        <v>29140</v>
      </c>
      <c r="AD17" s="111">
        <v>29210</v>
      </c>
      <c r="AE17" s="111">
        <v>29290</v>
      </c>
      <c r="AF17" s="111">
        <v>29400</v>
      </c>
      <c r="AG17" s="111">
        <v>29530</v>
      </c>
      <c r="AH17" s="111">
        <v>29680</v>
      </c>
      <c r="AI17" s="111">
        <v>29840</v>
      </c>
      <c r="AJ17" s="111">
        <v>30000</v>
      </c>
      <c r="AK17" s="111">
        <v>30140</v>
      </c>
      <c r="AL17" s="111">
        <v>30260</v>
      </c>
      <c r="AM17" s="111">
        <v>30350</v>
      </c>
      <c r="AN17" s="111">
        <v>30420</v>
      </c>
      <c r="AO17" s="111">
        <v>30450</v>
      </c>
      <c r="AP17" s="111">
        <v>30440</v>
      </c>
      <c r="AQ17" s="111">
        <v>30410</v>
      </c>
      <c r="AR17" s="111">
        <v>30360</v>
      </c>
      <c r="AS17" s="111">
        <v>30280</v>
      </c>
      <c r="AT17" s="111">
        <v>30190</v>
      </c>
      <c r="AU17" s="111">
        <v>30080</v>
      </c>
      <c r="AV17" s="111">
        <v>29980</v>
      </c>
      <c r="AW17" s="111">
        <v>29890</v>
      </c>
      <c r="AX17" s="111">
        <v>29800</v>
      </c>
      <c r="AY17" s="111">
        <v>29730</v>
      </c>
      <c r="AZ17" s="111">
        <v>29670</v>
      </c>
      <c r="BA17" s="111">
        <v>29640</v>
      </c>
      <c r="BB17" s="111">
        <v>29610</v>
      </c>
      <c r="BC17" s="111">
        <v>29610</v>
      </c>
      <c r="BD17" s="111">
        <v>29620</v>
      </c>
      <c r="BE17" s="111">
        <v>29640</v>
      </c>
      <c r="BF17" s="111">
        <v>29670</v>
      </c>
      <c r="BG17" s="111">
        <v>29710</v>
      </c>
      <c r="BH17" s="111">
        <v>29760</v>
      </c>
      <c r="BI17" s="111">
        <v>29810</v>
      </c>
      <c r="BJ17" s="111">
        <v>29870</v>
      </c>
      <c r="BK17" s="111">
        <v>29940</v>
      </c>
      <c r="BL17" s="111">
        <v>30000</v>
      </c>
      <c r="BM17" s="195">
        <v>30060</v>
      </c>
      <c r="BN17" s="195">
        <v>30130</v>
      </c>
      <c r="BO17" s="195">
        <v>30190</v>
      </c>
      <c r="BP17" s="195">
        <v>30250</v>
      </c>
      <c r="BQ17" s="195">
        <v>30300</v>
      </c>
    </row>
    <row r="18" spans="1:69">
      <c r="A18" s="28">
        <v>1</v>
      </c>
      <c r="B18" s="111">
        <v>27990</v>
      </c>
      <c r="C18" s="111">
        <v>28850</v>
      </c>
      <c r="D18" s="111">
        <v>30110</v>
      </c>
      <c r="E18" s="111">
        <v>31260</v>
      </c>
      <c r="F18" s="111">
        <v>30820</v>
      </c>
      <c r="G18" s="111">
        <v>31460</v>
      </c>
      <c r="H18" s="111">
        <v>30640</v>
      </c>
      <c r="I18" s="111">
        <v>29950</v>
      </c>
      <c r="J18" s="111">
        <v>29510</v>
      </c>
      <c r="K18" s="111">
        <v>28690</v>
      </c>
      <c r="L18" s="111">
        <v>28900</v>
      </c>
      <c r="M18" s="111">
        <v>29040</v>
      </c>
      <c r="N18" s="111">
        <v>29620</v>
      </c>
      <c r="O18" s="111">
        <v>29150</v>
      </c>
      <c r="P18" s="111">
        <v>29080</v>
      </c>
      <c r="Q18" s="111">
        <v>29240</v>
      </c>
      <c r="R18" s="111">
        <v>28770</v>
      </c>
      <c r="S18" s="111">
        <v>28860</v>
      </c>
      <c r="T18" s="111">
        <v>28800</v>
      </c>
      <c r="U18" s="111">
        <v>28730</v>
      </c>
      <c r="V18" s="111">
        <v>28840</v>
      </c>
      <c r="W18" s="111">
        <v>28920</v>
      </c>
      <c r="X18" s="111">
        <v>28970</v>
      </c>
      <c r="Y18" s="111">
        <v>29000</v>
      </c>
      <c r="Z18" s="111">
        <v>29030</v>
      </c>
      <c r="AA18" s="111">
        <v>29050</v>
      </c>
      <c r="AB18" s="111">
        <v>29080</v>
      </c>
      <c r="AC18" s="111">
        <v>29110</v>
      </c>
      <c r="AD18" s="111">
        <v>29150</v>
      </c>
      <c r="AE18" s="111">
        <v>29220</v>
      </c>
      <c r="AF18" s="111">
        <v>29300</v>
      </c>
      <c r="AG18" s="111">
        <v>29410</v>
      </c>
      <c r="AH18" s="111">
        <v>29540</v>
      </c>
      <c r="AI18" s="111">
        <v>29690</v>
      </c>
      <c r="AJ18" s="111">
        <v>29850</v>
      </c>
      <c r="AK18" s="111">
        <v>30010</v>
      </c>
      <c r="AL18" s="111">
        <v>30150</v>
      </c>
      <c r="AM18" s="111">
        <v>30270</v>
      </c>
      <c r="AN18" s="111">
        <v>30370</v>
      </c>
      <c r="AO18" s="111">
        <v>30430</v>
      </c>
      <c r="AP18" s="111">
        <v>30460</v>
      </c>
      <c r="AQ18" s="111">
        <v>30460</v>
      </c>
      <c r="AR18" s="111">
        <v>30430</v>
      </c>
      <c r="AS18" s="111">
        <v>30370</v>
      </c>
      <c r="AT18" s="111">
        <v>30290</v>
      </c>
      <c r="AU18" s="111">
        <v>30200</v>
      </c>
      <c r="AV18" s="111">
        <v>30100</v>
      </c>
      <c r="AW18" s="111">
        <v>30000</v>
      </c>
      <c r="AX18" s="111">
        <v>29900</v>
      </c>
      <c r="AY18" s="111">
        <v>29820</v>
      </c>
      <c r="AZ18" s="111">
        <v>29740</v>
      </c>
      <c r="BA18" s="111">
        <v>29690</v>
      </c>
      <c r="BB18" s="111">
        <v>29650</v>
      </c>
      <c r="BC18" s="111">
        <v>29630</v>
      </c>
      <c r="BD18" s="111">
        <v>29620</v>
      </c>
      <c r="BE18" s="111">
        <v>29630</v>
      </c>
      <c r="BF18" s="111">
        <v>29650</v>
      </c>
      <c r="BG18" s="111">
        <v>29690</v>
      </c>
      <c r="BH18" s="111">
        <v>29730</v>
      </c>
      <c r="BI18" s="111">
        <v>29780</v>
      </c>
      <c r="BJ18" s="111">
        <v>29830</v>
      </c>
      <c r="BK18" s="111">
        <v>29890</v>
      </c>
      <c r="BL18" s="111">
        <v>29950</v>
      </c>
      <c r="BM18" s="195">
        <v>30020</v>
      </c>
      <c r="BN18" s="195">
        <v>30080</v>
      </c>
      <c r="BO18" s="195">
        <v>30140</v>
      </c>
      <c r="BP18" s="195">
        <v>30210</v>
      </c>
      <c r="BQ18" s="195">
        <v>30260</v>
      </c>
    </row>
    <row r="19" spans="1:69">
      <c r="A19" s="28">
        <v>2</v>
      </c>
      <c r="B19" s="111">
        <v>28180</v>
      </c>
      <c r="C19" s="111">
        <v>28100</v>
      </c>
      <c r="D19" s="111">
        <v>28870</v>
      </c>
      <c r="E19" s="111">
        <v>30220</v>
      </c>
      <c r="F19" s="111">
        <v>31340</v>
      </c>
      <c r="G19" s="111">
        <v>30770</v>
      </c>
      <c r="H19" s="111">
        <v>31310</v>
      </c>
      <c r="I19" s="111">
        <v>30580</v>
      </c>
      <c r="J19" s="111">
        <v>30150</v>
      </c>
      <c r="K19" s="111">
        <v>29900</v>
      </c>
      <c r="L19" s="111">
        <v>29070</v>
      </c>
      <c r="M19" s="111">
        <v>29470</v>
      </c>
      <c r="N19" s="111">
        <v>29470</v>
      </c>
      <c r="O19" s="111">
        <v>30030</v>
      </c>
      <c r="P19" s="111">
        <v>29640</v>
      </c>
      <c r="Q19" s="111">
        <v>29230</v>
      </c>
      <c r="R19" s="111">
        <v>29440</v>
      </c>
      <c r="S19" s="111">
        <v>28990</v>
      </c>
      <c r="T19" s="111">
        <v>28960</v>
      </c>
      <c r="U19" s="111">
        <v>28900</v>
      </c>
      <c r="V19" s="111">
        <v>28830</v>
      </c>
      <c r="W19" s="111">
        <v>28940</v>
      </c>
      <c r="X19" s="111">
        <v>29020</v>
      </c>
      <c r="Y19" s="111">
        <v>29070</v>
      </c>
      <c r="Z19" s="111">
        <v>29110</v>
      </c>
      <c r="AA19" s="111">
        <v>29130</v>
      </c>
      <c r="AB19" s="111">
        <v>29150</v>
      </c>
      <c r="AC19" s="111">
        <v>29180</v>
      </c>
      <c r="AD19" s="111">
        <v>29210</v>
      </c>
      <c r="AE19" s="111">
        <v>29260</v>
      </c>
      <c r="AF19" s="111">
        <v>29320</v>
      </c>
      <c r="AG19" s="111">
        <v>29400</v>
      </c>
      <c r="AH19" s="111">
        <v>29510</v>
      </c>
      <c r="AI19" s="111">
        <v>29650</v>
      </c>
      <c r="AJ19" s="111">
        <v>29790</v>
      </c>
      <c r="AK19" s="111">
        <v>29950</v>
      </c>
      <c r="AL19" s="111">
        <v>30110</v>
      </c>
      <c r="AM19" s="111">
        <v>30250</v>
      </c>
      <c r="AN19" s="111">
        <v>30380</v>
      </c>
      <c r="AO19" s="111">
        <v>30470</v>
      </c>
      <c r="AP19" s="111">
        <v>30530</v>
      </c>
      <c r="AQ19" s="111">
        <v>30560</v>
      </c>
      <c r="AR19" s="111">
        <v>30560</v>
      </c>
      <c r="AS19" s="111">
        <v>30530</v>
      </c>
      <c r="AT19" s="111">
        <v>30470</v>
      </c>
      <c r="AU19" s="111">
        <v>30400</v>
      </c>
      <c r="AV19" s="111">
        <v>30300</v>
      </c>
      <c r="AW19" s="111">
        <v>30200</v>
      </c>
      <c r="AX19" s="111">
        <v>30100</v>
      </c>
      <c r="AY19" s="111">
        <v>30010</v>
      </c>
      <c r="AZ19" s="111">
        <v>29920</v>
      </c>
      <c r="BA19" s="111">
        <v>29850</v>
      </c>
      <c r="BB19" s="111">
        <v>29790</v>
      </c>
      <c r="BC19" s="111">
        <v>29760</v>
      </c>
      <c r="BD19" s="111">
        <v>29730</v>
      </c>
      <c r="BE19" s="111">
        <v>29730</v>
      </c>
      <c r="BF19" s="111">
        <v>29740</v>
      </c>
      <c r="BG19" s="111">
        <v>29760</v>
      </c>
      <c r="BH19" s="111">
        <v>29790</v>
      </c>
      <c r="BI19" s="111">
        <v>29830</v>
      </c>
      <c r="BJ19" s="111">
        <v>29880</v>
      </c>
      <c r="BK19" s="111">
        <v>29940</v>
      </c>
      <c r="BL19" s="111">
        <v>30000</v>
      </c>
      <c r="BM19" s="195">
        <v>30060</v>
      </c>
      <c r="BN19" s="195">
        <v>30120</v>
      </c>
      <c r="BO19" s="195">
        <v>30190</v>
      </c>
      <c r="BP19" s="195">
        <v>30250</v>
      </c>
      <c r="BQ19" s="195">
        <v>30310</v>
      </c>
    </row>
    <row r="20" spans="1:69">
      <c r="A20" s="28">
        <v>3</v>
      </c>
      <c r="B20" s="111">
        <v>27310</v>
      </c>
      <c r="C20" s="111">
        <v>28260</v>
      </c>
      <c r="D20" s="111">
        <v>28090</v>
      </c>
      <c r="E20" s="111">
        <v>28910</v>
      </c>
      <c r="F20" s="111">
        <v>30280</v>
      </c>
      <c r="G20" s="111">
        <v>31290</v>
      </c>
      <c r="H20" s="111">
        <v>30670</v>
      </c>
      <c r="I20" s="111">
        <v>31320</v>
      </c>
      <c r="J20" s="111">
        <v>30740</v>
      </c>
      <c r="K20" s="111">
        <v>30440</v>
      </c>
      <c r="L20" s="111">
        <v>30470</v>
      </c>
      <c r="M20" s="111">
        <v>29610</v>
      </c>
      <c r="N20" s="111">
        <v>30030</v>
      </c>
      <c r="O20" s="111">
        <v>29970</v>
      </c>
      <c r="P20" s="111">
        <v>30610</v>
      </c>
      <c r="Q20" s="111">
        <v>29800</v>
      </c>
      <c r="R20" s="111">
        <v>29440</v>
      </c>
      <c r="S20" s="111">
        <v>29670</v>
      </c>
      <c r="T20" s="111">
        <v>29110</v>
      </c>
      <c r="U20" s="111">
        <v>29070</v>
      </c>
      <c r="V20" s="111">
        <v>29010</v>
      </c>
      <c r="W20" s="111">
        <v>28940</v>
      </c>
      <c r="X20" s="111">
        <v>29060</v>
      </c>
      <c r="Y20" s="111">
        <v>29130</v>
      </c>
      <c r="Z20" s="111">
        <v>29190</v>
      </c>
      <c r="AA20" s="111">
        <v>29220</v>
      </c>
      <c r="AB20" s="111">
        <v>29250</v>
      </c>
      <c r="AC20" s="111">
        <v>29270</v>
      </c>
      <c r="AD20" s="111">
        <v>29290</v>
      </c>
      <c r="AE20" s="111">
        <v>29330</v>
      </c>
      <c r="AF20" s="111">
        <v>29370</v>
      </c>
      <c r="AG20" s="111">
        <v>29430</v>
      </c>
      <c r="AH20" s="111">
        <v>29520</v>
      </c>
      <c r="AI20" s="111">
        <v>29630</v>
      </c>
      <c r="AJ20" s="111">
        <v>29760</v>
      </c>
      <c r="AK20" s="111">
        <v>29910</v>
      </c>
      <c r="AL20" s="111">
        <v>30070</v>
      </c>
      <c r="AM20" s="111">
        <v>30230</v>
      </c>
      <c r="AN20" s="111">
        <v>30370</v>
      </c>
      <c r="AO20" s="111">
        <v>30490</v>
      </c>
      <c r="AP20" s="111">
        <v>30590</v>
      </c>
      <c r="AQ20" s="111">
        <v>30650</v>
      </c>
      <c r="AR20" s="111">
        <v>30680</v>
      </c>
      <c r="AS20" s="111">
        <v>30680</v>
      </c>
      <c r="AT20" s="111">
        <v>30650</v>
      </c>
      <c r="AU20" s="111">
        <v>30590</v>
      </c>
      <c r="AV20" s="111">
        <v>30510</v>
      </c>
      <c r="AW20" s="111">
        <v>30420</v>
      </c>
      <c r="AX20" s="111">
        <v>30320</v>
      </c>
      <c r="AY20" s="111">
        <v>30220</v>
      </c>
      <c r="AZ20" s="111">
        <v>30120</v>
      </c>
      <c r="BA20" s="111">
        <v>30040</v>
      </c>
      <c r="BB20" s="111">
        <v>29970</v>
      </c>
      <c r="BC20" s="111">
        <v>29910</v>
      </c>
      <c r="BD20" s="111">
        <v>29870</v>
      </c>
      <c r="BE20" s="111">
        <v>29850</v>
      </c>
      <c r="BF20" s="111">
        <v>29850</v>
      </c>
      <c r="BG20" s="111">
        <v>29860</v>
      </c>
      <c r="BH20" s="111">
        <v>29880</v>
      </c>
      <c r="BI20" s="111">
        <v>29910</v>
      </c>
      <c r="BJ20" s="111">
        <v>29950</v>
      </c>
      <c r="BK20" s="111">
        <v>30000</v>
      </c>
      <c r="BL20" s="111">
        <v>30050</v>
      </c>
      <c r="BM20" s="195">
        <v>30110</v>
      </c>
      <c r="BN20" s="195">
        <v>30180</v>
      </c>
      <c r="BO20" s="195">
        <v>30240</v>
      </c>
      <c r="BP20" s="195">
        <v>30300</v>
      </c>
      <c r="BQ20" s="195">
        <v>30370</v>
      </c>
    </row>
    <row r="21" spans="1:69">
      <c r="A21" s="28">
        <v>4</v>
      </c>
      <c r="B21" s="111">
        <v>27400</v>
      </c>
      <c r="C21" s="111">
        <v>27460</v>
      </c>
      <c r="D21" s="111">
        <v>28310</v>
      </c>
      <c r="E21" s="111">
        <v>28190</v>
      </c>
      <c r="F21" s="111">
        <v>29030</v>
      </c>
      <c r="G21" s="111">
        <v>30250</v>
      </c>
      <c r="H21" s="111">
        <v>31140</v>
      </c>
      <c r="I21" s="111">
        <v>30550</v>
      </c>
      <c r="J21" s="111">
        <v>31460</v>
      </c>
      <c r="K21" s="111">
        <v>31040</v>
      </c>
      <c r="L21" s="111">
        <v>30880</v>
      </c>
      <c r="M21" s="111">
        <v>30980</v>
      </c>
      <c r="N21" s="111">
        <v>30100</v>
      </c>
      <c r="O21" s="111">
        <v>30520</v>
      </c>
      <c r="P21" s="111">
        <v>30510</v>
      </c>
      <c r="Q21" s="111">
        <v>30760</v>
      </c>
      <c r="R21" s="111">
        <v>30000</v>
      </c>
      <c r="S21" s="111">
        <v>29660</v>
      </c>
      <c r="T21" s="111">
        <v>29810</v>
      </c>
      <c r="U21" s="111">
        <v>29250</v>
      </c>
      <c r="V21" s="111">
        <v>29210</v>
      </c>
      <c r="W21" s="111">
        <v>29150</v>
      </c>
      <c r="X21" s="111">
        <v>29080</v>
      </c>
      <c r="Y21" s="111">
        <v>29190</v>
      </c>
      <c r="Z21" s="111">
        <v>29270</v>
      </c>
      <c r="AA21" s="111">
        <v>29330</v>
      </c>
      <c r="AB21" s="111">
        <v>29360</v>
      </c>
      <c r="AC21" s="111">
        <v>29380</v>
      </c>
      <c r="AD21" s="111">
        <v>29410</v>
      </c>
      <c r="AE21" s="111">
        <v>29430</v>
      </c>
      <c r="AF21" s="111">
        <v>29470</v>
      </c>
      <c r="AG21" s="111">
        <v>29510</v>
      </c>
      <c r="AH21" s="111">
        <v>29570</v>
      </c>
      <c r="AI21" s="111">
        <v>29660</v>
      </c>
      <c r="AJ21" s="111">
        <v>29770</v>
      </c>
      <c r="AK21" s="111">
        <v>29900</v>
      </c>
      <c r="AL21" s="111">
        <v>30050</v>
      </c>
      <c r="AM21" s="111">
        <v>30210</v>
      </c>
      <c r="AN21" s="111">
        <v>30370</v>
      </c>
      <c r="AO21" s="111">
        <v>30510</v>
      </c>
      <c r="AP21" s="111">
        <v>30630</v>
      </c>
      <c r="AQ21" s="111">
        <v>30730</v>
      </c>
      <c r="AR21" s="111">
        <v>30790</v>
      </c>
      <c r="AS21" s="111">
        <v>30820</v>
      </c>
      <c r="AT21" s="111">
        <v>30820</v>
      </c>
      <c r="AU21" s="111">
        <v>30790</v>
      </c>
      <c r="AV21" s="111">
        <v>30730</v>
      </c>
      <c r="AW21" s="111">
        <v>30650</v>
      </c>
      <c r="AX21" s="111">
        <v>30560</v>
      </c>
      <c r="AY21" s="111">
        <v>30460</v>
      </c>
      <c r="AZ21" s="111">
        <v>30360</v>
      </c>
      <c r="BA21" s="111">
        <v>30260</v>
      </c>
      <c r="BB21" s="111">
        <v>30180</v>
      </c>
      <c r="BC21" s="111">
        <v>30110</v>
      </c>
      <c r="BD21" s="111">
        <v>30050</v>
      </c>
      <c r="BE21" s="111">
        <v>30010</v>
      </c>
      <c r="BF21" s="111">
        <v>29990</v>
      </c>
      <c r="BG21" s="111">
        <v>29990</v>
      </c>
      <c r="BH21" s="111">
        <v>30000</v>
      </c>
      <c r="BI21" s="111">
        <v>30020</v>
      </c>
      <c r="BJ21" s="111">
        <v>30050</v>
      </c>
      <c r="BK21" s="111">
        <v>30090</v>
      </c>
      <c r="BL21" s="111">
        <v>30140</v>
      </c>
      <c r="BM21" s="195">
        <v>30190</v>
      </c>
      <c r="BN21" s="195">
        <v>30250</v>
      </c>
      <c r="BO21" s="195">
        <v>30320</v>
      </c>
      <c r="BP21" s="195">
        <v>30380</v>
      </c>
      <c r="BQ21" s="195">
        <v>30440</v>
      </c>
    </row>
    <row r="22" spans="1:69">
      <c r="A22" s="28">
        <v>5</v>
      </c>
      <c r="B22" s="111">
        <v>28370</v>
      </c>
      <c r="C22" s="111">
        <v>27650</v>
      </c>
      <c r="D22" s="111">
        <v>27610</v>
      </c>
      <c r="E22" s="111">
        <v>28410</v>
      </c>
      <c r="F22" s="111">
        <v>28320</v>
      </c>
      <c r="G22" s="111">
        <v>29050</v>
      </c>
      <c r="H22" s="111">
        <v>30120</v>
      </c>
      <c r="I22" s="111">
        <v>31090</v>
      </c>
      <c r="J22" s="111">
        <v>30700</v>
      </c>
      <c r="K22" s="111">
        <v>31730</v>
      </c>
      <c r="L22" s="111">
        <v>31400</v>
      </c>
      <c r="M22" s="111">
        <v>31400</v>
      </c>
      <c r="N22" s="111">
        <v>31470</v>
      </c>
      <c r="O22" s="111">
        <v>30590</v>
      </c>
      <c r="P22" s="111">
        <v>31010</v>
      </c>
      <c r="Q22" s="111">
        <v>30650</v>
      </c>
      <c r="R22" s="111">
        <v>30950</v>
      </c>
      <c r="S22" s="111">
        <v>30220</v>
      </c>
      <c r="T22" s="111">
        <v>29790</v>
      </c>
      <c r="U22" s="111">
        <v>29940</v>
      </c>
      <c r="V22" s="111">
        <v>29370</v>
      </c>
      <c r="W22" s="111">
        <v>29340</v>
      </c>
      <c r="X22" s="111">
        <v>29280</v>
      </c>
      <c r="Y22" s="111">
        <v>29210</v>
      </c>
      <c r="Z22" s="111">
        <v>29320</v>
      </c>
      <c r="AA22" s="111">
        <v>29400</v>
      </c>
      <c r="AB22" s="111">
        <v>29450</v>
      </c>
      <c r="AC22" s="111">
        <v>29490</v>
      </c>
      <c r="AD22" s="111">
        <v>29510</v>
      </c>
      <c r="AE22" s="111">
        <v>29530</v>
      </c>
      <c r="AF22" s="111">
        <v>29560</v>
      </c>
      <c r="AG22" s="111">
        <v>29590</v>
      </c>
      <c r="AH22" s="111">
        <v>29640</v>
      </c>
      <c r="AI22" s="111">
        <v>29700</v>
      </c>
      <c r="AJ22" s="111">
        <v>29790</v>
      </c>
      <c r="AK22" s="111">
        <v>29900</v>
      </c>
      <c r="AL22" s="111">
        <v>30030</v>
      </c>
      <c r="AM22" s="111">
        <v>30180</v>
      </c>
      <c r="AN22" s="111">
        <v>30340</v>
      </c>
      <c r="AO22" s="111">
        <v>30500</v>
      </c>
      <c r="AP22" s="111">
        <v>30640</v>
      </c>
      <c r="AQ22" s="111">
        <v>30760</v>
      </c>
      <c r="AR22" s="111">
        <v>30850</v>
      </c>
      <c r="AS22" s="111">
        <v>30920</v>
      </c>
      <c r="AT22" s="111">
        <v>30950</v>
      </c>
      <c r="AU22" s="111">
        <v>30950</v>
      </c>
      <c r="AV22" s="111">
        <v>30920</v>
      </c>
      <c r="AW22" s="111">
        <v>30860</v>
      </c>
      <c r="AX22" s="111">
        <v>30780</v>
      </c>
      <c r="AY22" s="111">
        <v>30690</v>
      </c>
      <c r="AZ22" s="111">
        <v>30590</v>
      </c>
      <c r="BA22" s="111">
        <v>30490</v>
      </c>
      <c r="BB22" s="111">
        <v>30390</v>
      </c>
      <c r="BC22" s="111">
        <v>30310</v>
      </c>
      <c r="BD22" s="111">
        <v>30230</v>
      </c>
      <c r="BE22" s="111">
        <v>30180</v>
      </c>
      <c r="BF22" s="111">
        <v>30140</v>
      </c>
      <c r="BG22" s="111">
        <v>30120</v>
      </c>
      <c r="BH22" s="111">
        <v>30120</v>
      </c>
      <c r="BI22" s="111">
        <v>30120</v>
      </c>
      <c r="BJ22" s="111">
        <v>30150</v>
      </c>
      <c r="BK22" s="111">
        <v>30180</v>
      </c>
      <c r="BL22" s="111">
        <v>30220</v>
      </c>
      <c r="BM22" s="195">
        <v>30270</v>
      </c>
      <c r="BN22" s="195">
        <v>30320</v>
      </c>
      <c r="BO22" s="195">
        <v>30380</v>
      </c>
      <c r="BP22" s="195">
        <v>30450</v>
      </c>
      <c r="BQ22" s="195">
        <v>30510</v>
      </c>
    </row>
    <row r="23" spans="1:69">
      <c r="A23" s="28">
        <v>6</v>
      </c>
      <c r="B23" s="111">
        <v>28910</v>
      </c>
      <c r="C23" s="111">
        <v>28620</v>
      </c>
      <c r="D23" s="111">
        <v>27860</v>
      </c>
      <c r="E23" s="111">
        <v>27770</v>
      </c>
      <c r="F23" s="111">
        <v>28550</v>
      </c>
      <c r="G23" s="111">
        <v>28290</v>
      </c>
      <c r="H23" s="111">
        <v>28900</v>
      </c>
      <c r="I23" s="111">
        <v>30050</v>
      </c>
      <c r="J23" s="111">
        <v>31180</v>
      </c>
      <c r="K23" s="111">
        <v>30870</v>
      </c>
      <c r="L23" s="111">
        <v>31990</v>
      </c>
      <c r="M23" s="111">
        <v>31750</v>
      </c>
      <c r="N23" s="111">
        <v>31830</v>
      </c>
      <c r="O23" s="111">
        <v>31890</v>
      </c>
      <c r="P23" s="111">
        <v>31100</v>
      </c>
      <c r="Q23" s="111">
        <v>31150</v>
      </c>
      <c r="R23" s="111">
        <v>30840</v>
      </c>
      <c r="S23" s="111">
        <v>31160</v>
      </c>
      <c r="T23" s="111">
        <v>30330</v>
      </c>
      <c r="U23" s="111">
        <v>29910</v>
      </c>
      <c r="V23" s="111">
        <v>30060</v>
      </c>
      <c r="W23" s="111">
        <v>29490</v>
      </c>
      <c r="X23" s="111">
        <v>29460</v>
      </c>
      <c r="Y23" s="111">
        <v>29400</v>
      </c>
      <c r="Z23" s="111">
        <v>29330</v>
      </c>
      <c r="AA23" s="111">
        <v>29440</v>
      </c>
      <c r="AB23" s="111">
        <v>29520</v>
      </c>
      <c r="AC23" s="111">
        <v>29570</v>
      </c>
      <c r="AD23" s="111">
        <v>29610</v>
      </c>
      <c r="AE23" s="111">
        <v>29630</v>
      </c>
      <c r="AF23" s="111">
        <v>29650</v>
      </c>
      <c r="AG23" s="111">
        <v>29680</v>
      </c>
      <c r="AH23" s="111">
        <v>29710</v>
      </c>
      <c r="AI23" s="111">
        <v>29760</v>
      </c>
      <c r="AJ23" s="111">
        <v>29820</v>
      </c>
      <c r="AK23" s="111">
        <v>29910</v>
      </c>
      <c r="AL23" s="111">
        <v>30020</v>
      </c>
      <c r="AM23" s="111">
        <v>30150</v>
      </c>
      <c r="AN23" s="111">
        <v>30300</v>
      </c>
      <c r="AO23" s="111">
        <v>30460</v>
      </c>
      <c r="AP23" s="111">
        <v>30620</v>
      </c>
      <c r="AQ23" s="111">
        <v>30760</v>
      </c>
      <c r="AR23" s="111">
        <v>30880</v>
      </c>
      <c r="AS23" s="111">
        <v>30970</v>
      </c>
      <c r="AT23" s="111">
        <v>31040</v>
      </c>
      <c r="AU23" s="111">
        <v>31070</v>
      </c>
      <c r="AV23" s="111">
        <v>31070</v>
      </c>
      <c r="AW23" s="111">
        <v>31040</v>
      </c>
      <c r="AX23" s="111">
        <v>30980</v>
      </c>
      <c r="AY23" s="111">
        <v>30900</v>
      </c>
      <c r="AZ23" s="111">
        <v>30810</v>
      </c>
      <c r="BA23" s="111">
        <v>30710</v>
      </c>
      <c r="BB23" s="111">
        <v>30610</v>
      </c>
      <c r="BC23" s="111">
        <v>30510</v>
      </c>
      <c r="BD23" s="111">
        <v>30430</v>
      </c>
      <c r="BE23" s="111">
        <v>30360</v>
      </c>
      <c r="BF23" s="111">
        <v>30300</v>
      </c>
      <c r="BG23" s="111">
        <v>30260</v>
      </c>
      <c r="BH23" s="111">
        <v>30240</v>
      </c>
      <c r="BI23" s="111">
        <v>30240</v>
      </c>
      <c r="BJ23" s="111">
        <v>30250</v>
      </c>
      <c r="BK23" s="111">
        <v>30270</v>
      </c>
      <c r="BL23" s="111">
        <v>30300</v>
      </c>
      <c r="BM23" s="195">
        <v>30340</v>
      </c>
      <c r="BN23" s="195">
        <v>30390</v>
      </c>
      <c r="BO23" s="195">
        <v>30440</v>
      </c>
      <c r="BP23" s="195">
        <v>30500</v>
      </c>
      <c r="BQ23" s="195">
        <v>30570</v>
      </c>
    </row>
    <row r="24" spans="1:69">
      <c r="A24" s="28">
        <v>7</v>
      </c>
      <c r="B24" s="111">
        <v>27980</v>
      </c>
      <c r="C24" s="111">
        <v>29160</v>
      </c>
      <c r="D24" s="111">
        <v>28760</v>
      </c>
      <c r="E24" s="111">
        <v>27990</v>
      </c>
      <c r="F24" s="111">
        <v>27850</v>
      </c>
      <c r="G24" s="111">
        <v>28600</v>
      </c>
      <c r="H24" s="111">
        <v>28200</v>
      </c>
      <c r="I24" s="111">
        <v>28790</v>
      </c>
      <c r="J24" s="111">
        <v>30150</v>
      </c>
      <c r="K24" s="111">
        <v>31310</v>
      </c>
      <c r="L24" s="111">
        <v>31080</v>
      </c>
      <c r="M24" s="111">
        <v>32270</v>
      </c>
      <c r="N24" s="111">
        <v>32050</v>
      </c>
      <c r="O24" s="111">
        <v>32180</v>
      </c>
      <c r="P24" s="111">
        <v>32380</v>
      </c>
      <c r="Q24" s="111">
        <v>31240</v>
      </c>
      <c r="R24" s="111">
        <v>31340</v>
      </c>
      <c r="S24" s="111">
        <v>31040</v>
      </c>
      <c r="T24" s="111">
        <v>31280</v>
      </c>
      <c r="U24" s="111">
        <v>30460</v>
      </c>
      <c r="V24" s="111">
        <v>30030</v>
      </c>
      <c r="W24" s="111">
        <v>30180</v>
      </c>
      <c r="X24" s="111">
        <v>29620</v>
      </c>
      <c r="Y24" s="111">
        <v>29580</v>
      </c>
      <c r="Z24" s="111">
        <v>29520</v>
      </c>
      <c r="AA24" s="111">
        <v>29450</v>
      </c>
      <c r="AB24" s="111">
        <v>29570</v>
      </c>
      <c r="AC24" s="111">
        <v>29640</v>
      </c>
      <c r="AD24" s="111">
        <v>29700</v>
      </c>
      <c r="AE24" s="111">
        <v>29730</v>
      </c>
      <c r="AF24" s="111">
        <v>29760</v>
      </c>
      <c r="AG24" s="111">
        <v>29780</v>
      </c>
      <c r="AH24" s="111">
        <v>29810</v>
      </c>
      <c r="AI24" s="111">
        <v>29840</v>
      </c>
      <c r="AJ24" s="111">
        <v>29880</v>
      </c>
      <c r="AK24" s="111">
        <v>29950</v>
      </c>
      <c r="AL24" s="111">
        <v>30030</v>
      </c>
      <c r="AM24" s="111">
        <v>30140</v>
      </c>
      <c r="AN24" s="111">
        <v>30280</v>
      </c>
      <c r="AO24" s="111">
        <v>30420</v>
      </c>
      <c r="AP24" s="111">
        <v>30580</v>
      </c>
      <c r="AQ24" s="111">
        <v>30740</v>
      </c>
      <c r="AR24" s="111">
        <v>30880</v>
      </c>
      <c r="AS24" s="111">
        <v>31010</v>
      </c>
      <c r="AT24" s="111">
        <v>31100</v>
      </c>
      <c r="AU24" s="111">
        <v>31160</v>
      </c>
      <c r="AV24" s="111">
        <v>31190</v>
      </c>
      <c r="AW24" s="111">
        <v>31190</v>
      </c>
      <c r="AX24" s="111">
        <v>31160</v>
      </c>
      <c r="AY24" s="111">
        <v>31100</v>
      </c>
      <c r="AZ24" s="111">
        <v>31030</v>
      </c>
      <c r="BA24" s="111">
        <v>30930</v>
      </c>
      <c r="BB24" s="111">
        <v>30830</v>
      </c>
      <c r="BC24" s="111">
        <v>30730</v>
      </c>
      <c r="BD24" s="111">
        <v>30640</v>
      </c>
      <c r="BE24" s="111">
        <v>30550</v>
      </c>
      <c r="BF24" s="111">
        <v>30480</v>
      </c>
      <c r="BG24" s="111">
        <v>30430</v>
      </c>
      <c r="BH24" s="111">
        <v>30390</v>
      </c>
      <c r="BI24" s="111">
        <v>30370</v>
      </c>
      <c r="BJ24" s="111">
        <v>30360</v>
      </c>
      <c r="BK24" s="111">
        <v>30370</v>
      </c>
      <c r="BL24" s="111">
        <v>30390</v>
      </c>
      <c r="BM24" s="195">
        <v>30420</v>
      </c>
      <c r="BN24" s="195">
        <v>30470</v>
      </c>
      <c r="BO24" s="195">
        <v>30510</v>
      </c>
      <c r="BP24" s="195">
        <v>30570</v>
      </c>
      <c r="BQ24" s="195">
        <v>30630</v>
      </c>
    </row>
    <row r="25" spans="1:69">
      <c r="A25" s="28">
        <v>8</v>
      </c>
      <c r="B25" s="111">
        <v>28620</v>
      </c>
      <c r="C25" s="111">
        <v>28230</v>
      </c>
      <c r="D25" s="111">
        <v>29340</v>
      </c>
      <c r="E25" s="111">
        <v>28950</v>
      </c>
      <c r="F25" s="111">
        <v>28120</v>
      </c>
      <c r="G25" s="111">
        <v>27910</v>
      </c>
      <c r="H25" s="111">
        <v>28490</v>
      </c>
      <c r="I25" s="111">
        <v>28140</v>
      </c>
      <c r="J25" s="111">
        <v>28910</v>
      </c>
      <c r="K25" s="111">
        <v>30320</v>
      </c>
      <c r="L25" s="111">
        <v>31560</v>
      </c>
      <c r="M25" s="111">
        <v>31380</v>
      </c>
      <c r="N25" s="111">
        <v>32500</v>
      </c>
      <c r="O25" s="111">
        <v>32460</v>
      </c>
      <c r="P25" s="111">
        <v>32640</v>
      </c>
      <c r="Q25" s="111">
        <v>32510</v>
      </c>
      <c r="R25" s="111">
        <v>31420</v>
      </c>
      <c r="S25" s="111">
        <v>31540</v>
      </c>
      <c r="T25" s="111">
        <v>31170</v>
      </c>
      <c r="U25" s="111">
        <v>31410</v>
      </c>
      <c r="V25" s="111">
        <v>30580</v>
      </c>
      <c r="W25" s="111">
        <v>30160</v>
      </c>
      <c r="X25" s="111">
        <v>30310</v>
      </c>
      <c r="Y25" s="111">
        <v>29740</v>
      </c>
      <c r="Z25" s="111">
        <v>29700</v>
      </c>
      <c r="AA25" s="111">
        <v>29650</v>
      </c>
      <c r="AB25" s="111">
        <v>29570</v>
      </c>
      <c r="AC25" s="111">
        <v>29690</v>
      </c>
      <c r="AD25" s="111">
        <v>29770</v>
      </c>
      <c r="AE25" s="111">
        <v>29820</v>
      </c>
      <c r="AF25" s="111">
        <v>29860</v>
      </c>
      <c r="AG25" s="111">
        <v>29880</v>
      </c>
      <c r="AH25" s="111">
        <v>29900</v>
      </c>
      <c r="AI25" s="111">
        <v>29930</v>
      </c>
      <c r="AJ25" s="111">
        <v>29960</v>
      </c>
      <c r="AK25" s="111">
        <v>30010</v>
      </c>
      <c r="AL25" s="111">
        <v>30070</v>
      </c>
      <c r="AM25" s="111">
        <v>30160</v>
      </c>
      <c r="AN25" s="111">
        <v>30270</v>
      </c>
      <c r="AO25" s="111">
        <v>30400</v>
      </c>
      <c r="AP25" s="111">
        <v>30550</v>
      </c>
      <c r="AQ25" s="111">
        <v>30710</v>
      </c>
      <c r="AR25" s="111">
        <v>30870</v>
      </c>
      <c r="AS25" s="111">
        <v>31010</v>
      </c>
      <c r="AT25" s="111">
        <v>31130</v>
      </c>
      <c r="AU25" s="111">
        <v>31220</v>
      </c>
      <c r="AV25" s="111">
        <v>31290</v>
      </c>
      <c r="AW25" s="111">
        <v>31320</v>
      </c>
      <c r="AX25" s="111">
        <v>31320</v>
      </c>
      <c r="AY25" s="111">
        <v>31290</v>
      </c>
      <c r="AZ25" s="111">
        <v>31230</v>
      </c>
      <c r="BA25" s="111">
        <v>31150</v>
      </c>
      <c r="BB25" s="111">
        <v>31060</v>
      </c>
      <c r="BC25" s="111">
        <v>30960</v>
      </c>
      <c r="BD25" s="111">
        <v>30860</v>
      </c>
      <c r="BE25" s="111">
        <v>30760</v>
      </c>
      <c r="BF25" s="111">
        <v>30680</v>
      </c>
      <c r="BG25" s="111">
        <v>30610</v>
      </c>
      <c r="BH25" s="111">
        <v>30550</v>
      </c>
      <c r="BI25" s="111">
        <v>30510</v>
      </c>
      <c r="BJ25" s="111">
        <v>30490</v>
      </c>
      <c r="BK25" s="111">
        <v>30490</v>
      </c>
      <c r="BL25" s="111">
        <v>30500</v>
      </c>
      <c r="BM25" s="195">
        <v>30520</v>
      </c>
      <c r="BN25" s="195">
        <v>30550</v>
      </c>
      <c r="BO25" s="195">
        <v>30590</v>
      </c>
      <c r="BP25" s="195">
        <v>30640</v>
      </c>
      <c r="BQ25" s="195">
        <v>30690</v>
      </c>
    </row>
    <row r="26" spans="1:69">
      <c r="A26" s="28">
        <v>9</v>
      </c>
      <c r="B26" s="111">
        <v>28770</v>
      </c>
      <c r="C26" s="111">
        <v>28910</v>
      </c>
      <c r="D26" s="111">
        <v>28390</v>
      </c>
      <c r="E26" s="111">
        <v>29550</v>
      </c>
      <c r="F26" s="111">
        <v>29150</v>
      </c>
      <c r="G26" s="111">
        <v>28210</v>
      </c>
      <c r="H26" s="111">
        <v>27850</v>
      </c>
      <c r="I26" s="111">
        <v>28430</v>
      </c>
      <c r="J26" s="111">
        <v>28290</v>
      </c>
      <c r="K26" s="111">
        <v>29120</v>
      </c>
      <c r="L26" s="111">
        <v>30590</v>
      </c>
      <c r="M26" s="111">
        <v>31900</v>
      </c>
      <c r="N26" s="111">
        <v>31640</v>
      </c>
      <c r="O26" s="111">
        <v>32820</v>
      </c>
      <c r="P26" s="111">
        <v>32930</v>
      </c>
      <c r="Q26" s="111">
        <v>32770</v>
      </c>
      <c r="R26" s="111">
        <v>32690</v>
      </c>
      <c r="S26" s="111">
        <v>31620</v>
      </c>
      <c r="T26" s="111">
        <v>31680</v>
      </c>
      <c r="U26" s="111">
        <v>31310</v>
      </c>
      <c r="V26" s="111">
        <v>31540</v>
      </c>
      <c r="W26" s="111">
        <v>30720</v>
      </c>
      <c r="X26" s="111">
        <v>30300</v>
      </c>
      <c r="Y26" s="111">
        <v>30440</v>
      </c>
      <c r="Z26" s="111">
        <v>29880</v>
      </c>
      <c r="AA26" s="111">
        <v>29840</v>
      </c>
      <c r="AB26" s="111">
        <v>29790</v>
      </c>
      <c r="AC26" s="111">
        <v>29710</v>
      </c>
      <c r="AD26" s="111">
        <v>29830</v>
      </c>
      <c r="AE26" s="111">
        <v>29910</v>
      </c>
      <c r="AF26" s="111">
        <v>29960</v>
      </c>
      <c r="AG26" s="111">
        <v>30000</v>
      </c>
      <c r="AH26" s="111">
        <v>30020</v>
      </c>
      <c r="AI26" s="111">
        <v>30040</v>
      </c>
      <c r="AJ26" s="111">
        <v>30070</v>
      </c>
      <c r="AK26" s="111">
        <v>30100</v>
      </c>
      <c r="AL26" s="111">
        <v>30150</v>
      </c>
      <c r="AM26" s="111">
        <v>30210</v>
      </c>
      <c r="AN26" s="111">
        <v>30300</v>
      </c>
      <c r="AO26" s="111">
        <v>30410</v>
      </c>
      <c r="AP26" s="111">
        <v>30540</v>
      </c>
      <c r="AQ26" s="111">
        <v>30690</v>
      </c>
      <c r="AR26" s="111">
        <v>30850</v>
      </c>
      <c r="AS26" s="111">
        <v>31010</v>
      </c>
      <c r="AT26" s="111">
        <v>31150</v>
      </c>
      <c r="AU26" s="111">
        <v>31270</v>
      </c>
      <c r="AV26" s="111">
        <v>31360</v>
      </c>
      <c r="AW26" s="111">
        <v>31430</v>
      </c>
      <c r="AX26" s="111">
        <v>31460</v>
      </c>
      <c r="AY26" s="111">
        <v>31460</v>
      </c>
      <c r="AZ26" s="111">
        <v>31430</v>
      </c>
      <c r="BA26" s="111">
        <v>31370</v>
      </c>
      <c r="BB26" s="111">
        <v>31290</v>
      </c>
      <c r="BC26" s="111">
        <v>31200</v>
      </c>
      <c r="BD26" s="111">
        <v>31100</v>
      </c>
      <c r="BE26" s="111">
        <v>31000</v>
      </c>
      <c r="BF26" s="111">
        <v>30900</v>
      </c>
      <c r="BG26" s="111">
        <v>30820</v>
      </c>
      <c r="BH26" s="111">
        <v>30750</v>
      </c>
      <c r="BI26" s="111">
        <v>30690</v>
      </c>
      <c r="BJ26" s="111">
        <v>30650</v>
      </c>
      <c r="BK26" s="111">
        <v>30630</v>
      </c>
      <c r="BL26" s="111">
        <v>30630</v>
      </c>
      <c r="BM26" s="195">
        <v>30640</v>
      </c>
      <c r="BN26" s="195">
        <v>30660</v>
      </c>
      <c r="BO26" s="195">
        <v>30690</v>
      </c>
      <c r="BP26" s="195">
        <v>30730</v>
      </c>
      <c r="BQ26" s="195">
        <v>30780</v>
      </c>
    </row>
    <row r="27" spans="1:69">
      <c r="A27" s="28">
        <v>10</v>
      </c>
      <c r="B27" s="111">
        <v>29250</v>
      </c>
      <c r="C27" s="111">
        <v>28990</v>
      </c>
      <c r="D27" s="111">
        <v>29090</v>
      </c>
      <c r="E27" s="111">
        <v>28550</v>
      </c>
      <c r="F27" s="111">
        <v>29770</v>
      </c>
      <c r="G27" s="111">
        <v>29310</v>
      </c>
      <c r="H27" s="111">
        <v>28210</v>
      </c>
      <c r="I27" s="111">
        <v>27900</v>
      </c>
      <c r="J27" s="111">
        <v>28550</v>
      </c>
      <c r="K27" s="111">
        <v>28530</v>
      </c>
      <c r="L27" s="111">
        <v>29430</v>
      </c>
      <c r="M27" s="111">
        <v>30950</v>
      </c>
      <c r="N27" s="111">
        <v>32130</v>
      </c>
      <c r="O27" s="111">
        <v>31940</v>
      </c>
      <c r="P27" s="111">
        <v>33220</v>
      </c>
      <c r="Q27" s="111">
        <v>33060</v>
      </c>
      <c r="R27" s="111">
        <v>32950</v>
      </c>
      <c r="S27" s="111">
        <v>32900</v>
      </c>
      <c r="T27" s="111">
        <v>31780</v>
      </c>
      <c r="U27" s="111">
        <v>31830</v>
      </c>
      <c r="V27" s="111">
        <v>31460</v>
      </c>
      <c r="W27" s="111">
        <v>31700</v>
      </c>
      <c r="X27" s="111">
        <v>30880</v>
      </c>
      <c r="Y27" s="111">
        <v>30450</v>
      </c>
      <c r="Z27" s="111">
        <v>30600</v>
      </c>
      <c r="AA27" s="111">
        <v>30030</v>
      </c>
      <c r="AB27" s="111">
        <v>30000</v>
      </c>
      <c r="AC27" s="111">
        <v>29940</v>
      </c>
      <c r="AD27" s="111">
        <v>29870</v>
      </c>
      <c r="AE27" s="111">
        <v>29980</v>
      </c>
      <c r="AF27" s="111">
        <v>30060</v>
      </c>
      <c r="AG27" s="111">
        <v>30120</v>
      </c>
      <c r="AH27" s="111">
        <v>30150</v>
      </c>
      <c r="AI27" s="111">
        <v>30180</v>
      </c>
      <c r="AJ27" s="111">
        <v>30200</v>
      </c>
      <c r="AK27" s="111">
        <v>30220</v>
      </c>
      <c r="AL27" s="111">
        <v>30260</v>
      </c>
      <c r="AM27" s="111">
        <v>30300</v>
      </c>
      <c r="AN27" s="111">
        <v>30370</v>
      </c>
      <c r="AO27" s="111">
        <v>30450</v>
      </c>
      <c r="AP27" s="111">
        <v>30560</v>
      </c>
      <c r="AQ27" s="111">
        <v>30690</v>
      </c>
      <c r="AR27" s="111">
        <v>30840</v>
      </c>
      <c r="AS27" s="111">
        <v>31000</v>
      </c>
      <c r="AT27" s="111">
        <v>31160</v>
      </c>
      <c r="AU27" s="111">
        <v>31300</v>
      </c>
      <c r="AV27" s="111">
        <v>31430</v>
      </c>
      <c r="AW27" s="111">
        <v>31520</v>
      </c>
      <c r="AX27" s="111">
        <v>31580</v>
      </c>
      <c r="AY27" s="111">
        <v>31610</v>
      </c>
      <c r="AZ27" s="111">
        <v>31610</v>
      </c>
      <c r="BA27" s="111">
        <v>31580</v>
      </c>
      <c r="BB27" s="111">
        <v>31520</v>
      </c>
      <c r="BC27" s="111">
        <v>31450</v>
      </c>
      <c r="BD27" s="111">
        <v>31360</v>
      </c>
      <c r="BE27" s="111">
        <v>31260</v>
      </c>
      <c r="BF27" s="111">
        <v>31160</v>
      </c>
      <c r="BG27" s="111">
        <v>31060</v>
      </c>
      <c r="BH27" s="111">
        <v>30970</v>
      </c>
      <c r="BI27" s="111">
        <v>30900</v>
      </c>
      <c r="BJ27" s="111">
        <v>30850</v>
      </c>
      <c r="BK27" s="111">
        <v>30810</v>
      </c>
      <c r="BL27" s="111">
        <v>30790</v>
      </c>
      <c r="BM27" s="195">
        <v>30780</v>
      </c>
      <c r="BN27" s="195">
        <v>30790</v>
      </c>
      <c r="BO27" s="195">
        <v>30810</v>
      </c>
      <c r="BP27" s="195">
        <v>30850</v>
      </c>
      <c r="BQ27" s="195">
        <v>30890</v>
      </c>
    </row>
    <row r="28" spans="1:69">
      <c r="A28" s="28">
        <v>11</v>
      </c>
      <c r="B28" s="111">
        <v>29970</v>
      </c>
      <c r="C28" s="111">
        <v>29430</v>
      </c>
      <c r="D28" s="111">
        <v>29180</v>
      </c>
      <c r="E28" s="111">
        <v>29270</v>
      </c>
      <c r="F28" s="111">
        <v>28700</v>
      </c>
      <c r="G28" s="111">
        <v>29880</v>
      </c>
      <c r="H28" s="111">
        <v>29380</v>
      </c>
      <c r="I28" s="111">
        <v>28280</v>
      </c>
      <c r="J28" s="111">
        <v>28050</v>
      </c>
      <c r="K28" s="111">
        <v>28740</v>
      </c>
      <c r="L28" s="111">
        <v>28840</v>
      </c>
      <c r="M28" s="111">
        <v>29750</v>
      </c>
      <c r="N28" s="111">
        <v>31280</v>
      </c>
      <c r="O28" s="111">
        <v>32470</v>
      </c>
      <c r="P28" s="111">
        <v>32410</v>
      </c>
      <c r="Q28" s="111">
        <v>33350</v>
      </c>
      <c r="R28" s="111">
        <v>33230</v>
      </c>
      <c r="S28" s="111">
        <v>33160</v>
      </c>
      <c r="T28" s="111">
        <v>33060</v>
      </c>
      <c r="U28" s="111">
        <v>31940</v>
      </c>
      <c r="V28" s="111">
        <v>32000</v>
      </c>
      <c r="W28" s="111">
        <v>31630</v>
      </c>
      <c r="X28" s="111">
        <v>31860</v>
      </c>
      <c r="Y28" s="111">
        <v>31040</v>
      </c>
      <c r="Z28" s="111">
        <v>30620</v>
      </c>
      <c r="AA28" s="111">
        <v>30760</v>
      </c>
      <c r="AB28" s="111">
        <v>30200</v>
      </c>
      <c r="AC28" s="111">
        <v>30160</v>
      </c>
      <c r="AD28" s="111">
        <v>30110</v>
      </c>
      <c r="AE28" s="111">
        <v>30030</v>
      </c>
      <c r="AF28" s="111">
        <v>30150</v>
      </c>
      <c r="AG28" s="111">
        <v>30230</v>
      </c>
      <c r="AH28" s="111">
        <v>30280</v>
      </c>
      <c r="AI28" s="111">
        <v>30320</v>
      </c>
      <c r="AJ28" s="111">
        <v>30340</v>
      </c>
      <c r="AK28" s="111">
        <v>30360</v>
      </c>
      <c r="AL28" s="111">
        <v>30390</v>
      </c>
      <c r="AM28" s="111">
        <v>30420</v>
      </c>
      <c r="AN28" s="111">
        <v>30470</v>
      </c>
      <c r="AO28" s="111">
        <v>30530</v>
      </c>
      <c r="AP28" s="111">
        <v>30620</v>
      </c>
      <c r="AQ28" s="111">
        <v>30730</v>
      </c>
      <c r="AR28" s="111">
        <v>30860</v>
      </c>
      <c r="AS28" s="111">
        <v>31010</v>
      </c>
      <c r="AT28" s="111">
        <v>31170</v>
      </c>
      <c r="AU28" s="111">
        <v>31330</v>
      </c>
      <c r="AV28" s="111">
        <v>31470</v>
      </c>
      <c r="AW28" s="111">
        <v>31590</v>
      </c>
      <c r="AX28" s="111">
        <v>31690</v>
      </c>
      <c r="AY28" s="111">
        <v>31750</v>
      </c>
      <c r="AZ28" s="111">
        <v>31780</v>
      </c>
      <c r="BA28" s="111">
        <v>31780</v>
      </c>
      <c r="BB28" s="111">
        <v>31750</v>
      </c>
      <c r="BC28" s="111">
        <v>31690</v>
      </c>
      <c r="BD28" s="111">
        <v>31610</v>
      </c>
      <c r="BE28" s="111">
        <v>31520</v>
      </c>
      <c r="BF28" s="111">
        <v>31420</v>
      </c>
      <c r="BG28" s="111">
        <v>31320</v>
      </c>
      <c r="BH28" s="111">
        <v>31230</v>
      </c>
      <c r="BI28" s="111">
        <v>31140</v>
      </c>
      <c r="BJ28" s="111">
        <v>31070</v>
      </c>
      <c r="BK28" s="111">
        <v>31010</v>
      </c>
      <c r="BL28" s="111">
        <v>30980</v>
      </c>
      <c r="BM28" s="195">
        <v>30960</v>
      </c>
      <c r="BN28" s="195">
        <v>30950</v>
      </c>
      <c r="BO28" s="195">
        <v>30960</v>
      </c>
      <c r="BP28" s="195">
        <v>30980</v>
      </c>
      <c r="BQ28" s="195">
        <v>31010</v>
      </c>
    </row>
    <row r="29" spans="1:69">
      <c r="A29" s="28">
        <v>12</v>
      </c>
      <c r="B29" s="111">
        <v>29990</v>
      </c>
      <c r="C29" s="111">
        <v>30090</v>
      </c>
      <c r="D29" s="111">
        <v>29510</v>
      </c>
      <c r="E29" s="111">
        <v>29370</v>
      </c>
      <c r="F29" s="111">
        <v>29520</v>
      </c>
      <c r="G29" s="111">
        <v>28870</v>
      </c>
      <c r="H29" s="111">
        <v>29910</v>
      </c>
      <c r="I29" s="111">
        <v>29480</v>
      </c>
      <c r="J29" s="111">
        <v>28500</v>
      </c>
      <c r="K29" s="111">
        <v>28340</v>
      </c>
      <c r="L29" s="111">
        <v>29080</v>
      </c>
      <c r="M29" s="111">
        <v>29200</v>
      </c>
      <c r="N29" s="111">
        <v>30080</v>
      </c>
      <c r="O29" s="111">
        <v>31580</v>
      </c>
      <c r="P29" s="111">
        <v>32890</v>
      </c>
      <c r="Q29" s="111">
        <v>32520</v>
      </c>
      <c r="R29" s="111">
        <v>33520</v>
      </c>
      <c r="S29" s="111">
        <v>33430</v>
      </c>
      <c r="T29" s="111">
        <v>33330</v>
      </c>
      <c r="U29" s="111">
        <v>33230</v>
      </c>
      <c r="V29" s="111">
        <v>32110</v>
      </c>
      <c r="W29" s="111">
        <v>32170</v>
      </c>
      <c r="X29" s="111">
        <v>31800</v>
      </c>
      <c r="Y29" s="111">
        <v>32030</v>
      </c>
      <c r="Z29" s="111">
        <v>31210</v>
      </c>
      <c r="AA29" s="111">
        <v>30790</v>
      </c>
      <c r="AB29" s="111">
        <v>30940</v>
      </c>
      <c r="AC29" s="111">
        <v>30370</v>
      </c>
      <c r="AD29" s="111">
        <v>30340</v>
      </c>
      <c r="AE29" s="111">
        <v>30280</v>
      </c>
      <c r="AF29" s="111">
        <v>30210</v>
      </c>
      <c r="AG29" s="111">
        <v>30320</v>
      </c>
      <c r="AH29" s="111">
        <v>30400</v>
      </c>
      <c r="AI29" s="111">
        <v>30450</v>
      </c>
      <c r="AJ29" s="111">
        <v>30490</v>
      </c>
      <c r="AK29" s="111">
        <v>30510</v>
      </c>
      <c r="AL29" s="111">
        <v>30530</v>
      </c>
      <c r="AM29" s="111">
        <v>30560</v>
      </c>
      <c r="AN29" s="111">
        <v>30590</v>
      </c>
      <c r="AO29" s="111">
        <v>30640</v>
      </c>
      <c r="AP29" s="111">
        <v>30700</v>
      </c>
      <c r="AQ29" s="111">
        <v>30790</v>
      </c>
      <c r="AR29" s="111">
        <v>30900</v>
      </c>
      <c r="AS29" s="111">
        <v>31030</v>
      </c>
      <c r="AT29" s="111">
        <v>31180</v>
      </c>
      <c r="AU29" s="111">
        <v>31340</v>
      </c>
      <c r="AV29" s="111">
        <v>31500</v>
      </c>
      <c r="AW29" s="111">
        <v>31640</v>
      </c>
      <c r="AX29" s="111">
        <v>31760</v>
      </c>
      <c r="AY29" s="111">
        <v>31860</v>
      </c>
      <c r="AZ29" s="111">
        <v>31920</v>
      </c>
      <c r="BA29" s="111">
        <v>31950</v>
      </c>
      <c r="BB29" s="111">
        <v>31950</v>
      </c>
      <c r="BC29" s="111">
        <v>31920</v>
      </c>
      <c r="BD29" s="111">
        <v>31860</v>
      </c>
      <c r="BE29" s="111">
        <v>31790</v>
      </c>
      <c r="BF29" s="111">
        <v>31690</v>
      </c>
      <c r="BG29" s="111">
        <v>31590</v>
      </c>
      <c r="BH29" s="111">
        <v>31490</v>
      </c>
      <c r="BI29" s="111">
        <v>31400</v>
      </c>
      <c r="BJ29" s="111">
        <v>31310</v>
      </c>
      <c r="BK29" s="111">
        <v>31240</v>
      </c>
      <c r="BL29" s="111">
        <v>31190</v>
      </c>
      <c r="BM29" s="195">
        <v>31150</v>
      </c>
      <c r="BN29" s="195">
        <v>31130</v>
      </c>
      <c r="BO29" s="195">
        <v>31120</v>
      </c>
      <c r="BP29" s="195">
        <v>31130</v>
      </c>
      <c r="BQ29" s="195">
        <v>31150</v>
      </c>
    </row>
    <row r="30" spans="1:69">
      <c r="A30" s="28">
        <v>13</v>
      </c>
      <c r="B30" s="111">
        <v>30750</v>
      </c>
      <c r="C30" s="111">
        <v>30090</v>
      </c>
      <c r="D30" s="111">
        <v>30120</v>
      </c>
      <c r="E30" s="111">
        <v>29630</v>
      </c>
      <c r="F30" s="111">
        <v>29590</v>
      </c>
      <c r="G30" s="111">
        <v>29630</v>
      </c>
      <c r="H30" s="111">
        <v>28910</v>
      </c>
      <c r="I30" s="111">
        <v>29930</v>
      </c>
      <c r="J30" s="111">
        <v>29630</v>
      </c>
      <c r="K30" s="111">
        <v>28800</v>
      </c>
      <c r="L30" s="111">
        <v>28640</v>
      </c>
      <c r="M30" s="111">
        <v>29400</v>
      </c>
      <c r="N30" s="111">
        <v>29590</v>
      </c>
      <c r="O30" s="111">
        <v>30430</v>
      </c>
      <c r="P30" s="111">
        <v>31990</v>
      </c>
      <c r="Q30" s="111">
        <v>33000</v>
      </c>
      <c r="R30" s="111">
        <v>32690</v>
      </c>
      <c r="S30" s="111">
        <v>33710</v>
      </c>
      <c r="T30" s="111">
        <v>33630</v>
      </c>
      <c r="U30" s="111">
        <v>33520</v>
      </c>
      <c r="V30" s="111">
        <v>33420</v>
      </c>
      <c r="W30" s="111">
        <v>32300</v>
      </c>
      <c r="X30" s="111">
        <v>32360</v>
      </c>
      <c r="Y30" s="111">
        <v>31990</v>
      </c>
      <c r="Z30" s="111">
        <v>32230</v>
      </c>
      <c r="AA30" s="111">
        <v>31400</v>
      </c>
      <c r="AB30" s="111">
        <v>30980</v>
      </c>
      <c r="AC30" s="111">
        <v>31130</v>
      </c>
      <c r="AD30" s="111">
        <v>30560</v>
      </c>
      <c r="AE30" s="111">
        <v>30530</v>
      </c>
      <c r="AF30" s="111">
        <v>30470</v>
      </c>
      <c r="AG30" s="111">
        <v>30400</v>
      </c>
      <c r="AH30" s="111">
        <v>30510</v>
      </c>
      <c r="AI30" s="111">
        <v>30590</v>
      </c>
      <c r="AJ30" s="111">
        <v>30650</v>
      </c>
      <c r="AK30" s="111">
        <v>30680</v>
      </c>
      <c r="AL30" s="111">
        <v>30710</v>
      </c>
      <c r="AM30" s="111">
        <v>30730</v>
      </c>
      <c r="AN30" s="111">
        <v>30760</v>
      </c>
      <c r="AO30" s="111">
        <v>30790</v>
      </c>
      <c r="AP30" s="111">
        <v>30830</v>
      </c>
      <c r="AQ30" s="111">
        <v>30900</v>
      </c>
      <c r="AR30" s="111">
        <v>30980</v>
      </c>
      <c r="AS30" s="111">
        <v>31090</v>
      </c>
      <c r="AT30" s="111">
        <v>31230</v>
      </c>
      <c r="AU30" s="111">
        <v>31370</v>
      </c>
      <c r="AV30" s="111">
        <v>31530</v>
      </c>
      <c r="AW30" s="111">
        <v>31700</v>
      </c>
      <c r="AX30" s="111">
        <v>31840</v>
      </c>
      <c r="AY30" s="111">
        <v>31960</v>
      </c>
      <c r="AZ30" s="111">
        <v>32050</v>
      </c>
      <c r="BA30" s="111">
        <v>32120</v>
      </c>
      <c r="BB30" s="111">
        <v>32150</v>
      </c>
      <c r="BC30" s="111">
        <v>32140</v>
      </c>
      <c r="BD30" s="111">
        <v>32110</v>
      </c>
      <c r="BE30" s="111">
        <v>32060</v>
      </c>
      <c r="BF30" s="111">
        <v>31980</v>
      </c>
      <c r="BG30" s="111">
        <v>31890</v>
      </c>
      <c r="BH30" s="111">
        <v>31790</v>
      </c>
      <c r="BI30" s="111">
        <v>31690</v>
      </c>
      <c r="BJ30" s="111">
        <v>31590</v>
      </c>
      <c r="BK30" s="111">
        <v>31510</v>
      </c>
      <c r="BL30" s="111">
        <v>31440</v>
      </c>
      <c r="BM30" s="195">
        <v>31380</v>
      </c>
      <c r="BN30" s="195">
        <v>31340</v>
      </c>
      <c r="BO30" s="195">
        <v>31320</v>
      </c>
      <c r="BP30" s="195">
        <v>31320</v>
      </c>
      <c r="BQ30" s="195">
        <v>31330</v>
      </c>
    </row>
    <row r="31" spans="1:69">
      <c r="A31" s="28">
        <v>14</v>
      </c>
      <c r="B31" s="111">
        <v>30960</v>
      </c>
      <c r="C31" s="111">
        <v>30780</v>
      </c>
      <c r="D31" s="111">
        <v>30110</v>
      </c>
      <c r="E31" s="111">
        <v>30170</v>
      </c>
      <c r="F31" s="111">
        <v>29830</v>
      </c>
      <c r="G31" s="111">
        <v>29790</v>
      </c>
      <c r="H31" s="111">
        <v>29700</v>
      </c>
      <c r="I31" s="111">
        <v>29000</v>
      </c>
      <c r="J31" s="111">
        <v>30030</v>
      </c>
      <c r="K31" s="111">
        <v>29920</v>
      </c>
      <c r="L31" s="111">
        <v>29210</v>
      </c>
      <c r="M31" s="111">
        <v>29100</v>
      </c>
      <c r="N31" s="111">
        <v>29750</v>
      </c>
      <c r="O31" s="111">
        <v>29930</v>
      </c>
      <c r="P31" s="111">
        <v>30820</v>
      </c>
      <c r="Q31" s="111">
        <v>32070</v>
      </c>
      <c r="R31" s="111">
        <v>33140</v>
      </c>
      <c r="S31" s="111">
        <v>32850</v>
      </c>
      <c r="T31" s="111">
        <v>33880</v>
      </c>
      <c r="U31" s="111">
        <v>33800</v>
      </c>
      <c r="V31" s="111">
        <v>33690</v>
      </c>
      <c r="W31" s="111">
        <v>33600</v>
      </c>
      <c r="X31" s="111">
        <v>32480</v>
      </c>
      <c r="Y31" s="111">
        <v>32530</v>
      </c>
      <c r="Z31" s="111">
        <v>32160</v>
      </c>
      <c r="AA31" s="111">
        <v>32400</v>
      </c>
      <c r="AB31" s="111">
        <v>31580</v>
      </c>
      <c r="AC31" s="111">
        <v>31150</v>
      </c>
      <c r="AD31" s="111">
        <v>31300</v>
      </c>
      <c r="AE31" s="111">
        <v>30740</v>
      </c>
      <c r="AF31" s="111">
        <v>30700</v>
      </c>
      <c r="AG31" s="111">
        <v>30650</v>
      </c>
      <c r="AH31" s="111">
        <v>30570</v>
      </c>
      <c r="AI31" s="111">
        <v>30690</v>
      </c>
      <c r="AJ31" s="111">
        <v>30770</v>
      </c>
      <c r="AK31" s="111">
        <v>30820</v>
      </c>
      <c r="AL31" s="111">
        <v>30860</v>
      </c>
      <c r="AM31" s="111">
        <v>30880</v>
      </c>
      <c r="AN31" s="111">
        <v>30900</v>
      </c>
      <c r="AO31" s="111">
        <v>30930</v>
      </c>
      <c r="AP31" s="111">
        <v>30960</v>
      </c>
      <c r="AQ31" s="111">
        <v>31010</v>
      </c>
      <c r="AR31" s="111">
        <v>31070</v>
      </c>
      <c r="AS31" s="111">
        <v>31160</v>
      </c>
      <c r="AT31" s="111">
        <v>31270</v>
      </c>
      <c r="AU31" s="111">
        <v>31400</v>
      </c>
      <c r="AV31" s="111">
        <v>31550</v>
      </c>
      <c r="AW31" s="111">
        <v>31710</v>
      </c>
      <c r="AX31" s="111">
        <v>31870</v>
      </c>
      <c r="AY31" s="111">
        <v>32010</v>
      </c>
      <c r="AZ31" s="111">
        <v>32130</v>
      </c>
      <c r="BA31" s="111">
        <v>32230</v>
      </c>
      <c r="BB31" s="111">
        <v>32290</v>
      </c>
      <c r="BC31" s="111">
        <v>32320</v>
      </c>
      <c r="BD31" s="111">
        <v>32320</v>
      </c>
      <c r="BE31" s="111">
        <v>32290</v>
      </c>
      <c r="BF31" s="111">
        <v>32230</v>
      </c>
      <c r="BG31" s="111">
        <v>32160</v>
      </c>
      <c r="BH31" s="111">
        <v>32060</v>
      </c>
      <c r="BI31" s="111">
        <v>31960</v>
      </c>
      <c r="BJ31" s="111">
        <v>31860</v>
      </c>
      <c r="BK31" s="111">
        <v>31770</v>
      </c>
      <c r="BL31" s="111">
        <v>31680</v>
      </c>
      <c r="BM31" s="195">
        <v>31610</v>
      </c>
      <c r="BN31" s="195">
        <v>31560</v>
      </c>
      <c r="BO31" s="195">
        <v>31520</v>
      </c>
      <c r="BP31" s="195">
        <v>31500</v>
      </c>
      <c r="BQ31" s="195">
        <v>31490</v>
      </c>
    </row>
    <row r="32" spans="1:69">
      <c r="A32" s="28">
        <v>15</v>
      </c>
      <c r="B32" s="111">
        <v>32030</v>
      </c>
      <c r="C32" s="111">
        <v>31100</v>
      </c>
      <c r="D32" s="111">
        <v>30870</v>
      </c>
      <c r="E32" s="111">
        <v>30230</v>
      </c>
      <c r="F32" s="111">
        <v>30410</v>
      </c>
      <c r="G32" s="111">
        <v>29940</v>
      </c>
      <c r="H32" s="111">
        <v>30020</v>
      </c>
      <c r="I32" s="111">
        <v>29930</v>
      </c>
      <c r="J32" s="111">
        <v>29310</v>
      </c>
      <c r="K32" s="111">
        <v>30390</v>
      </c>
      <c r="L32" s="111">
        <v>30490</v>
      </c>
      <c r="M32" s="111">
        <v>29850</v>
      </c>
      <c r="N32" s="111">
        <v>29620</v>
      </c>
      <c r="O32" s="111">
        <v>30210</v>
      </c>
      <c r="P32" s="111">
        <v>30450</v>
      </c>
      <c r="Q32" s="111">
        <v>30910</v>
      </c>
      <c r="R32" s="111">
        <v>32230</v>
      </c>
      <c r="S32" s="111">
        <v>33340</v>
      </c>
      <c r="T32" s="111">
        <v>33170</v>
      </c>
      <c r="U32" s="111">
        <v>34200</v>
      </c>
      <c r="V32" s="111">
        <v>34110</v>
      </c>
      <c r="W32" s="111">
        <v>34010</v>
      </c>
      <c r="X32" s="111">
        <v>33910</v>
      </c>
      <c r="Y32" s="111">
        <v>32790</v>
      </c>
      <c r="Z32" s="111">
        <v>32850</v>
      </c>
      <c r="AA32" s="111">
        <v>32480</v>
      </c>
      <c r="AB32" s="111">
        <v>32720</v>
      </c>
      <c r="AC32" s="111">
        <v>31890</v>
      </c>
      <c r="AD32" s="111">
        <v>31470</v>
      </c>
      <c r="AE32" s="111">
        <v>31620</v>
      </c>
      <c r="AF32" s="111">
        <v>31050</v>
      </c>
      <c r="AG32" s="111">
        <v>31020</v>
      </c>
      <c r="AH32" s="111">
        <v>30960</v>
      </c>
      <c r="AI32" s="111">
        <v>30890</v>
      </c>
      <c r="AJ32" s="111">
        <v>31000</v>
      </c>
      <c r="AK32" s="111">
        <v>31080</v>
      </c>
      <c r="AL32" s="111">
        <v>31140</v>
      </c>
      <c r="AM32" s="111">
        <v>31170</v>
      </c>
      <c r="AN32" s="111">
        <v>31200</v>
      </c>
      <c r="AO32" s="111">
        <v>31220</v>
      </c>
      <c r="AP32" s="111">
        <v>31250</v>
      </c>
      <c r="AQ32" s="111">
        <v>31280</v>
      </c>
      <c r="AR32" s="111">
        <v>31330</v>
      </c>
      <c r="AS32" s="111">
        <v>31390</v>
      </c>
      <c r="AT32" s="111">
        <v>31470</v>
      </c>
      <c r="AU32" s="111">
        <v>31590</v>
      </c>
      <c r="AV32" s="111">
        <v>31720</v>
      </c>
      <c r="AW32" s="111">
        <v>31870</v>
      </c>
      <c r="AX32" s="111">
        <v>32030</v>
      </c>
      <c r="AY32" s="111">
        <v>32190</v>
      </c>
      <c r="AZ32" s="111">
        <v>32330</v>
      </c>
      <c r="BA32" s="111">
        <v>32450</v>
      </c>
      <c r="BB32" s="111">
        <v>32540</v>
      </c>
      <c r="BC32" s="111">
        <v>32610</v>
      </c>
      <c r="BD32" s="111">
        <v>32640</v>
      </c>
      <c r="BE32" s="111">
        <v>32640</v>
      </c>
      <c r="BF32" s="111">
        <v>32610</v>
      </c>
      <c r="BG32" s="111">
        <v>32550</v>
      </c>
      <c r="BH32" s="111">
        <v>32470</v>
      </c>
      <c r="BI32" s="111">
        <v>32380</v>
      </c>
      <c r="BJ32" s="111">
        <v>32280</v>
      </c>
      <c r="BK32" s="111">
        <v>32180</v>
      </c>
      <c r="BL32" s="111">
        <v>32090</v>
      </c>
      <c r="BM32" s="195">
        <v>32000</v>
      </c>
      <c r="BN32" s="195">
        <v>31930</v>
      </c>
      <c r="BO32" s="195">
        <v>31870</v>
      </c>
      <c r="BP32" s="195">
        <v>31840</v>
      </c>
      <c r="BQ32" s="195">
        <v>31820</v>
      </c>
    </row>
    <row r="33" spans="1:69">
      <c r="A33" s="28">
        <v>16</v>
      </c>
      <c r="B33" s="111">
        <v>31990</v>
      </c>
      <c r="C33" s="111">
        <v>32170</v>
      </c>
      <c r="D33" s="111">
        <v>31150</v>
      </c>
      <c r="E33" s="111">
        <v>31080</v>
      </c>
      <c r="F33" s="111">
        <v>30550</v>
      </c>
      <c r="G33" s="111">
        <v>30730</v>
      </c>
      <c r="H33" s="111">
        <v>30160</v>
      </c>
      <c r="I33" s="111">
        <v>30350</v>
      </c>
      <c r="J33" s="111">
        <v>30230</v>
      </c>
      <c r="K33" s="111">
        <v>29800</v>
      </c>
      <c r="L33" s="111">
        <v>30940</v>
      </c>
      <c r="M33" s="111">
        <v>31110</v>
      </c>
      <c r="N33" s="111">
        <v>30440</v>
      </c>
      <c r="O33" s="111">
        <v>30110</v>
      </c>
      <c r="P33" s="111">
        <v>30840</v>
      </c>
      <c r="Q33" s="111">
        <v>30520</v>
      </c>
      <c r="R33" s="111">
        <v>31070</v>
      </c>
      <c r="S33" s="111">
        <v>32450</v>
      </c>
      <c r="T33" s="111">
        <v>33740</v>
      </c>
      <c r="U33" s="111">
        <v>33570</v>
      </c>
      <c r="V33" s="111">
        <v>34590</v>
      </c>
      <c r="W33" s="111">
        <v>34510</v>
      </c>
      <c r="X33" s="111">
        <v>34400</v>
      </c>
      <c r="Y33" s="111">
        <v>34310</v>
      </c>
      <c r="Z33" s="111">
        <v>33190</v>
      </c>
      <c r="AA33" s="111">
        <v>33250</v>
      </c>
      <c r="AB33" s="111">
        <v>32880</v>
      </c>
      <c r="AC33" s="111">
        <v>33110</v>
      </c>
      <c r="AD33" s="111">
        <v>32290</v>
      </c>
      <c r="AE33" s="111">
        <v>31870</v>
      </c>
      <c r="AF33" s="111">
        <v>32020</v>
      </c>
      <c r="AG33" s="111">
        <v>31450</v>
      </c>
      <c r="AH33" s="111">
        <v>31420</v>
      </c>
      <c r="AI33" s="111">
        <v>31360</v>
      </c>
      <c r="AJ33" s="111">
        <v>31290</v>
      </c>
      <c r="AK33" s="111">
        <v>31400</v>
      </c>
      <c r="AL33" s="111">
        <v>31480</v>
      </c>
      <c r="AM33" s="111">
        <v>31540</v>
      </c>
      <c r="AN33" s="111">
        <v>31570</v>
      </c>
      <c r="AO33" s="111">
        <v>31600</v>
      </c>
      <c r="AP33" s="111">
        <v>31620</v>
      </c>
      <c r="AQ33" s="111">
        <v>31650</v>
      </c>
      <c r="AR33" s="111">
        <v>31680</v>
      </c>
      <c r="AS33" s="111">
        <v>31720</v>
      </c>
      <c r="AT33" s="111">
        <v>31790</v>
      </c>
      <c r="AU33" s="111">
        <v>31870</v>
      </c>
      <c r="AV33" s="111">
        <v>31990</v>
      </c>
      <c r="AW33" s="111">
        <v>32120</v>
      </c>
      <c r="AX33" s="111">
        <v>32270</v>
      </c>
      <c r="AY33" s="111">
        <v>32430</v>
      </c>
      <c r="AZ33" s="111">
        <v>32590</v>
      </c>
      <c r="BA33" s="111">
        <v>32730</v>
      </c>
      <c r="BB33" s="111">
        <v>32850</v>
      </c>
      <c r="BC33" s="111">
        <v>32940</v>
      </c>
      <c r="BD33" s="111">
        <v>33010</v>
      </c>
      <c r="BE33" s="111">
        <v>33040</v>
      </c>
      <c r="BF33" s="111">
        <v>33040</v>
      </c>
      <c r="BG33" s="111">
        <v>33010</v>
      </c>
      <c r="BH33" s="111">
        <v>32950</v>
      </c>
      <c r="BI33" s="111">
        <v>32870</v>
      </c>
      <c r="BJ33" s="111">
        <v>32780</v>
      </c>
      <c r="BK33" s="111">
        <v>32680</v>
      </c>
      <c r="BL33" s="111">
        <v>32580</v>
      </c>
      <c r="BM33" s="195">
        <v>32490</v>
      </c>
      <c r="BN33" s="195">
        <v>32400</v>
      </c>
      <c r="BO33" s="195">
        <v>32330</v>
      </c>
      <c r="BP33" s="195">
        <v>32280</v>
      </c>
      <c r="BQ33" s="195">
        <v>32240</v>
      </c>
    </row>
    <row r="34" spans="1:69">
      <c r="A34" s="28">
        <v>17</v>
      </c>
      <c r="B34" s="111">
        <v>30880</v>
      </c>
      <c r="C34" s="111">
        <v>32080</v>
      </c>
      <c r="D34" s="111">
        <v>32330</v>
      </c>
      <c r="E34" s="111">
        <v>31430</v>
      </c>
      <c r="F34" s="111">
        <v>31420</v>
      </c>
      <c r="G34" s="111">
        <v>30830</v>
      </c>
      <c r="H34" s="111">
        <v>30890</v>
      </c>
      <c r="I34" s="111">
        <v>30440</v>
      </c>
      <c r="J34" s="111">
        <v>30680</v>
      </c>
      <c r="K34" s="111">
        <v>30690</v>
      </c>
      <c r="L34" s="111">
        <v>30340</v>
      </c>
      <c r="M34" s="111">
        <v>31460</v>
      </c>
      <c r="N34" s="111">
        <v>31530</v>
      </c>
      <c r="O34" s="111">
        <v>30850</v>
      </c>
      <c r="P34" s="111">
        <v>30510</v>
      </c>
      <c r="Q34" s="111">
        <v>30910</v>
      </c>
      <c r="R34" s="111">
        <v>30720</v>
      </c>
      <c r="S34" s="111">
        <v>31340</v>
      </c>
      <c r="T34" s="111">
        <v>32880</v>
      </c>
      <c r="U34" s="111">
        <v>34170</v>
      </c>
      <c r="V34" s="111">
        <v>34000</v>
      </c>
      <c r="W34" s="111">
        <v>35030</v>
      </c>
      <c r="X34" s="111">
        <v>34950</v>
      </c>
      <c r="Y34" s="111">
        <v>34840</v>
      </c>
      <c r="Z34" s="111">
        <v>34740</v>
      </c>
      <c r="AA34" s="111">
        <v>33630</v>
      </c>
      <c r="AB34" s="111">
        <v>33680</v>
      </c>
      <c r="AC34" s="111">
        <v>33310</v>
      </c>
      <c r="AD34" s="111">
        <v>33550</v>
      </c>
      <c r="AE34" s="111">
        <v>32730</v>
      </c>
      <c r="AF34" s="111">
        <v>32310</v>
      </c>
      <c r="AG34" s="111">
        <v>32460</v>
      </c>
      <c r="AH34" s="111">
        <v>31890</v>
      </c>
      <c r="AI34" s="111">
        <v>31860</v>
      </c>
      <c r="AJ34" s="111">
        <v>31800</v>
      </c>
      <c r="AK34" s="111">
        <v>31730</v>
      </c>
      <c r="AL34" s="111">
        <v>31840</v>
      </c>
      <c r="AM34" s="111">
        <v>31920</v>
      </c>
      <c r="AN34" s="111">
        <v>31980</v>
      </c>
      <c r="AO34" s="111">
        <v>32010</v>
      </c>
      <c r="AP34" s="111">
        <v>32040</v>
      </c>
      <c r="AQ34" s="111">
        <v>32060</v>
      </c>
      <c r="AR34" s="111">
        <v>32080</v>
      </c>
      <c r="AS34" s="111">
        <v>32120</v>
      </c>
      <c r="AT34" s="111">
        <v>32160</v>
      </c>
      <c r="AU34" s="111">
        <v>32230</v>
      </c>
      <c r="AV34" s="111">
        <v>32310</v>
      </c>
      <c r="AW34" s="111">
        <v>32420</v>
      </c>
      <c r="AX34" s="111">
        <v>32560</v>
      </c>
      <c r="AY34" s="111">
        <v>32710</v>
      </c>
      <c r="AZ34" s="111">
        <v>32870</v>
      </c>
      <c r="BA34" s="111">
        <v>33030</v>
      </c>
      <c r="BB34" s="111">
        <v>33170</v>
      </c>
      <c r="BC34" s="111">
        <v>33290</v>
      </c>
      <c r="BD34" s="111">
        <v>33380</v>
      </c>
      <c r="BE34" s="111">
        <v>33450</v>
      </c>
      <c r="BF34" s="111">
        <v>33480</v>
      </c>
      <c r="BG34" s="111">
        <v>33480</v>
      </c>
      <c r="BH34" s="111">
        <v>33450</v>
      </c>
      <c r="BI34" s="111">
        <v>33390</v>
      </c>
      <c r="BJ34" s="111">
        <v>33310</v>
      </c>
      <c r="BK34" s="111">
        <v>33220</v>
      </c>
      <c r="BL34" s="111">
        <v>33120</v>
      </c>
      <c r="BM34" s="195">
        <v>33020</v>
      </c>
      <c r="BN34" s="195">
        <v>32930</v>
      </c>
      <c r="BO34" s="195">
        <v>32840</v>
      </c>
      <c r="BP34" s="195">
        <v>32770</v>
      </c>
      <c r="BQ34" s="195">
        <v>32720</v>
      </c>
    </row>
    <row r="35" spans="1:69">
      <c r="A35" s="28">
        <v>18</v>
      </c>
      <c r="B35" s="111">
        <v>30180</v>
      </c>
      <c r="C35" s="111">
        <v>30570</v>
      </c>
      <c r="D35" s="111">
        <v>31740</v>
      </c>
      <c r="E35" s="111">
        <v>32180</v>
      </c>
      <c r="F35" s="111">
        <v>31390</v>
      </c>
      <c r="G35" s="111">
        <v>31250</v>
      </c>
      <c r="H35" s="111">
        <v>30590</v>
      </c>
      <c r="I35" s="111">
        <v>30770</v>
      </c>
      <c r="J35" s="111">
        <v>30640</v>
      </c>
      <c r="K35" s="111">
        <v>30980</v>
      </c>
      <c r="L35" s="111">
        <v>30970</v>
      </c>
      <c r="M35" s="111">
        <v>30710</v>
      </c>
      <c r="N35" s="111">
        <v>31660</v>
      </c>
      <c r="O35" s="111">
        <v>31730</v>
      </c>
      <c r="P35" s="111">
        <v>31100</v>
      </c>
      <c r="Q35" s="111">
        <v>30580</v>
      </c>
      <c r="R35" s="111">
        <v>31160</v>
      </c>
      <c r="S35" s="111">
        <v>31060</v>
      </c>
      <c r="T35" s="111">
        <v>31870</v>
      </c>
      <c r="U35" s="111">
        <v>33420</v>
      </c>
      <c r="V35" s="111">
        <v>34710</v>
      </c>
      <c r="W35" s="111">
        <v>34540</v>
      </c>
      <c r="X35" s="111">
        <v>35560</v>
      </c>
      <c r="Y35" s="111">
        <v>35480</v>
      </c>
      <c r="Z35" s="111">
        <v>35370</v>
      </c>
      <c r="AA35" s="111">
        <v>35280</v>
      </c>
      <c r="AB35" s="111">
        <v>34160</v>
      </c>
      <c r="AC35" s="111">
        <v>34220</v>
      </c>
      <c r="AD35" s="111">
        <v>33850</v>
      </c>
      <c r="AE35" s="111">
        <v>34090</v>
      </c>
      <c r="AF35" s="111">
        <v>33260</v>
      </c>
      <c r="AG35" s="111">
        <v>32840</v>
      </c>
      <c r="AH35" s="111">
        <v>32990</v>
      </c>
      <c r="AI35" s="111">
        <v>32430</v>
      </c>
      <c r="AJ35" s="111">
        <v>32390</v>
      </c>
      <c r="AK35" s="111">
        <v>32330</v>
      </c>
      <c r="AL35" s="111">
        <v>32260</v>
      </c>
      <c r="AM35" s="111">
        <v>32380</v>
      </c>
      <c r="AN35" s="111">
        <v>32460</v>
      </c>
      <c r="AO35" s="111">
        <v>32510</v>
      </c>
      <c r="AP35" s="111">
        <v>32550</v>
      </c>
      <c r="AQ35" s="111">
        <v>32570</v>
      </c>
      <c r="AR35" s="111">
        <v>32590</v>
      </c>
      <c r="AS35" s="111">
        <v>32620</v>
      </c>
      <c r="AT35" s="111">
        <v>32660</v>
      </c>
      <c r="AU35" s="111">
        <v>32700</v>
      </c>
      <c r="AV35" s="111">
        <v>32760</v>
      </c>
      <c r="AW35" s="111">
        <v>32850</v>
      </c>
      <c r="AX35" s="111">
        <v>32960</v>
      </c>
      <c r="AY35" s="111">
        <v>33090</v>
      </c>
      <c r="AZ35" s="111">
        <v>33240</v>
      </c>
      <c r="BA35" s="111">
        <v>33400</v>
      </c>
      <c r="BB35" s="111">
        <v>33560</v>
      </c>
      <c r="BC35" s="111">
        <v>33700</v>
      </c>
      <c r="BD35" s="111">
        <v>33830</v>
      </c>
      <c r="BE35" s="111">
        <v>33920</v>
      </c>
      <c r="BF35" s="111">
        <v>33980</v>
      </c>
      <c r="BG35" s="111">
        <v>34020</v>
      </c>
      <c r="BH35" s="111">
        <v>34010</v>
      </c>
      <c r="BI35" s="111">
        <v>33980</v>
      </c>
      <c r="BJ35" s="111">
        <v>33930</v>
      </c>
      <c r="BK35" s="111">
        <v>33850</v>
      </c>
      <c r="BL35" s="111">
        <v>33760</v>
      </c>
      <c r="BM35" s="195">
        <v>33660</v>
      </c>
      <c r="BN35" s="195">
        <v>33560</v>
      </c>
      <c r="BO35" s="195">
        <v>33460</v>
      </c>
      <c r="BP35" s="195">
        <v>33380</v>
      </c>
      <c r="BQ35" s="195">
        <v>33310</v>
      </c>
    </row>
    <row r="36" spans="1:69">
      <c r="A36" s="28">
        <v>19</v>
      </c>
      <c r="B36" s="111">
        <v>29070</v>
      </c>
      <c r="C36" s="111">
        <v>30050</v>
      </c>
      <c r="D36" s="111">
        <v>30440</v>
      </c>
      <c r="E36" s="111">
        <v>31800</v>
      </c>
      <c r="F36" s="111">
        <v>32490</v>
      </c>
      <c r="G36" s="111">
        <v>31470</v>
      </c>
      <c r="H36" s="111">
        <v>31340</v>
      </c>
      <c r="I36" s="111">
        <v>30840</v>
      </c>
      <c r="J36" s="111">
        <v>31170</v>
      </c>
      <c r="K36" s="111">
        <v>31230</v>
      </c>
      <c r="L36" s="111">
        <v>31550</v>
      </c>
      <c r="M36" s="111">
        <v>31400</v>
      </c>
      <c r="N36" s="111">
        <v>31000</v>
      </c>
      <c r="O36" s="111">
        <v>31980</v>
      </c>
      <c r="P36" s="111">
        <v>31990</v>
      </c>
      <c r="Q36" s="111">
        <v>31180</v>
      </c>
      <c r="R36" s="111">
        <v>30870</v>
      </c>
      <c r="S36" s="111">
        <v>31550</v>
      </c>
      <c r="T36" s="111">
        <v>31690</v>
      </c>
      <c r="U36" s="111">
        <v>32500</v>
      </c>
      <c r="V36" s="111">
        <v>34050</v>
      </c>
      <c r="W36" s="111">
        <v>35330</v>
      </c>
      <c r="X36" s="111">
        <v>35170</v>
      </c>
      <c r="Y36" s="111">
        <v>36190</v>
      </c>
      <c r="Z36" s="111">
        <v>36110</v>
      </c>
      <c r="AA36" s="111">
        <v>36000</v>
      </c>
      <c r="AB36" s="111">
        <v>35910</v>
      </c>
      <c r="AC36" s="111">
        <v>34790</v>
      </c>
      <c r="AD36" s="111">
        <v>34850</v>
      </c>
      <c r="AE36" s="111">
        <v>34480</v>
      </c>
      <c r="AF36" s="111">
        <v>34720</v>
      </c>
      <c r="AG36" s="111">
        <v>33900</v>
      </c>
      <c r="AH36" s="111">
        <v>33470</v>
      </c>
      <c r="AI36" s="111">
        <v>33620</v>
      </c>
      <c r="AJ36" s="111">
        <v>33060</v>
      </c>
      <c r="AK36" s="111">
        <v>33020</v>
      </c>
      <c r="AL36" s="111">
        <v>32970</v>
      </c>
      <c r="AM36" s="111">
        <v>32900</v>
      </c>
      <c r="AN36" s="111">
        <v>33010</v>
      </c>
      <c r="AO36" s="111">
        <v>33090</v>
      </c>
      <c r="AP36" s="111">
        <v>33140</v>
      </c>
      <c r="AQ36" s="111">
        <v>33180</v>
      </c>
      <c r="AR36" s="111">
        <v>33200</v>
      </c>
      <c r="AS36" s="111">
        <v>33230</v>
      </c>
      <c r="AT36" s="111">
        <v>33250</v>
      </c>
      <c r="AU36" s="111">
        <v>33290</v>
      </c>
      <c r="AV36" s="111">
        <v>33330</v>
      </c>
      <c r="AW36" s="111">
        <v>33400</v>
      </c>
      <c r="AX36" s="111">
        <v>33480</v>
      </c>
      <c r="AY36" s="111">
        <v>33590</v>
      </c>
      <c r="AZ36" s="111">
        <v>33730</v>
      </c>
      <c r="BA36" s="111">
        <v>33880</v>
      </c>
      <c r="BB36" s="111">
        <v>34040</v>
      </c>
      <c r="BC36" s="111">
        <v>34200</v>
      </c>
      <c r="BD36" s="111">
        <v>34340</v>
      </c>
      <c r="BE36" s="111">
        <v>34460</v>
      </c>
      <c r="BF36" s="111">
        <v>34550</v>
      </c>
      <c r="BG36" s="111">
        <v>34620</v>
      </c>
      <c r="BH36" s="111">
        <v>34650</v>
      </c>
      <c r="BI36" s="111">
        <v>34650</v>
      </c>
      <c r="BJ36" s="111">
        <v>34620</v>
      </c>
      <c r="BK36" s="111">
        <v>34560</v>
      </c>
      <c r="BL36" s="111">
        <v>34490</v>
      </c>
      <c r="BM36" s="195">
        <v>34390</v>
      </c>
      <c r="BN36" s="195">
        <v>34290</v>
      </c>
      <c r="BO36" s="195">
        <v>34190</v>
      </c>
      <c r="BP36" s="195">
        <v>34100</v>
      </c>
      <c r="BQ36" s="195">
        <v>34010</v>
      </c>
    </row>
    <row r="37" spans="1:69">
      <c r="A37" s="28">
        <v>20</v>
      </c>
      <c r="B37" s="111">
        <v>29720</v>
      </c>
      <c r="C37" s="111">
        <v>29030</v>
      </c>
      <c r="D37" s="111">
        <v>30070</v>
      </c>
      <c r="E37" s="111">
        <v>30550</v>
      </c>
      <c r="F37" s="111">
        <v>32200</v>
      </c>
      <c r="G37" s="111">
        <v>32780</v>
      </c>
      <c r="H37" s="111">
        <v>31580</v>
      </c>
      <c r="I37" s="111">
        <v>31590</v>
      </c>
      <c r="J37" s="111">
        <v>31210</v>
      </c>
      <c r="K37" s="111">
        <v>31660</v>
      </c>
      <c r="L37" s="111">
        <v>31820</v>
      </c>
      <c r="M37" s="111">
        <v>31830</v>
      </c>
      <c r="N37" s="111">
        <v>31850</v>
      </c>
      <c r="O37" s="111">
        <v>31230</v>
      </c>
      <c r="P37" s="111">
        <v>32350</v>
      </c>
      <c r="Q37" s="111">
        <v>32030</v>
      </c>
      <c r="R37" s="111">
        <v>31390</v>
      </c>
      <c r="S37" s="111">
        <v>31160</v>
      </c>
      <c r="T37" s="111">
        <v>31980</v>
      </c>
      <c r="U37" s="111">
        <v>32120</v>
      </c>
      <c r="V37" s="111">
        <v>32930</v>
      </c>
      <c r="W37" s="111">
        <v>34470</v>
      </c>
      <c r="X37" s="111">
        <v>35760</v>
      </c>
      <c r="Y37" s="111">
        <v>35590</v>
      </c>
      <c r="Z37" s="111">
        <v>36620</v>
      </c>
      <c r="AA37" s="111">
        <v>36540</v>
      </c>
      <c r="AB37" s="111">
        <v>36430</v>
      </c>
      <c r="AC37" s="111">
        <v>36340</v>
      </c>
      <c r="AD37" s="111">
        <v>35220</v>
      </c>
      <c r="AE37" s="111">
        <v>35280</v>
      </c>
      <c r="AF37" s="111">
        <v>34910</v>
      </c>
      <c r="AG37" s="111">
        <v>35140</v>
      </c>
      <c r="AH37" s="111">
        <v>34320</v>
      </c>
      <c r="AI37" s="111">
        <v>33900</v>
      </c>
      <c r="AJ37" s="111">
        <v>34050</v>
      </c>
      <c r="AK37" s="111">
        <v>33490</v>
      </c>
      <c r="AL37" s="111">
        <v>33450</v>
      </c>
      <c r="AM37" s="111">
        <v>33400</v>
      </c>
      <c r="AN37" s="111">
        <v>33320</v>
      </c>
      <c r="AO37" s="111">
        <v>33440</v>
      </c>
      <c r="AP37" s="111">
        <v>33520</v>
      </c>
      <c r="AQ37" s="111">
        <v>33570</v>
      </c>
      <c r="AR37" s="111">
        <v>33610</v>
      </c>
      <c r="AS37" s="111">
        <v>33630</v>
      </c>
      <c r="AT37" s="111">
        <v>33660</v>
      </c>
      <c r="AU37" s="111">
        <v>33680</v>
      </c>
      <c r="AV37" s="111">
        <v>33720</v>
      </c>
      <c r="AW37" s="111">
        <v>33760</v>
      </c>
      <c r="AX37" s="111">
        <v>33830</v>
      </c>
      <c r="AY37" s="111">
        <v>33910</v>
      </c>
      <c r="AZ37" s="111">
        <v>34030</v>
      </c>
      <c r="BA37" s="111">
        <v>34160</v>
      </c>
      <c r="BB37" s="111">
        <v>34310</v>
      </c>
      <c r="BC37" s="111">
        <v>34470</v>
      </c>
      <c r="BD37" s="111">
        <v>34630</v>
      </c>
      <c r="BE37" s="111">
        <v>34770</v>
      </c>
      <c r="BF37" s="111">
        <v>34890</v>
      </c>
      <c r="BG37" s="111">
        <v>34990</v>
      </c>
      <c r="BH37" s="111">
        <v>35050</v>
      </c>
      <c r="BI37" s="111">
        <v>35080</v>
      </c>
      <c r="BJ37" s="111">
        <v>35080</v>
      </c>
      <c r="BK37" s="111">
        <v>35050</v>
      </c>
      <c r="BL37" s="111">
        <v>34990</v>
      </c>
      <c r="BM37" s="195">
        <v>34920</v>
      </c>
      <c r="BN37" s="195">
        <v>34830</v>
      </c>
      <c r="BO37" s="195">
        <v>34730</v>
      </c>
      <c r="BP37" s="195">
        <v>34630</v>
      </c>
      <c r="BQ37" s="195">
        <v>34530</v>
      </c>
    </row>
    <row r="38" spans="1:69">
      <c r="A38" s="28">
        <v>21</v>
      </c>
      <c r="B38" s="111">
        <v>29650</v>
      </c>
      <c r="C38" s="111">
        <v>29360</v>
      </c>
      <c r="D38" s="111">
        <v>28760</v>
      </c>
      <c r="E38" s="111">
        <v>29990</v>
      </c>
      <c r="F38" s="111">
        <v>30640</v>
      </c>
      <c r="G38" s="111">
        <v>32110</v>
      </c>
      <c r="H38" s="111">
        <v>32450</v>
      </c>
      <c r="I38" s="111">
        <v>31430</v>
      </c>
      <c r="J38" s="111">
        <v>31810</v>
      </c>
      <c r="K38" s="111">
        <v>31580</v>
      </c>
      <c r="L38" s="111">
        <v>32260</v>
      </c>
      <c r="M38" s="111">
        <v>32200</v>
      </c>
      <c r="N38" s="111">
        <v>32100</v>
      </c>
      <c r="O38" s="111">
        <v>32040</v>
      </c>
      <c r="P38" s="111">
        <v>31670</v>
      </c>
      <c r="Q38" s="111">
        <v>32320</v>
      </c>
      <c r="R38" s="111">
        <v>32090</v>
      </c>
      <c r="S38" s="111">
        <v>31490</v>
      </c>
      <c r="T38" s="111">
        <v>31150</v>
      </c>
      <c r="U38" s="111">
        <v>31960</v>
      </c>
      <c r="V38" s="111">
        <v>32100</v>
      </c>
      <c r="W38" s="111">
        <v>32910</v>
      </c>
      <c r="X38" s="111">
        <v>34460</v>
      </c>
      <c r="Y38" s="111">
        <v>35740</v>
      </c>
      <c r="Z38" s="111">
        <v>35580</v>
      </c>
      <c r="AA38" s="111">
        <v>36600</v>
      </c>
      <c r="AB38" s="111">
        <v>36520</v>
      </c>
      <c r="AC38" s="111">
        <v>36410</v>
      </c>
      <c r="AD38" s="111">
        <v>36320</v>
      </c>
      <c r="AE38" s="111">
        <v>35200</v>
      </c>
      <c r="AF38" s="111">
        <v>35260</v>
      </c>
      <c r="AG38" s="111">
        <v>34890</v>
      </c>
      <c r="AH38" s="111">
        <v>35130</v>
      </c>
      <c r="AI38" s="111">
        <v>34310</v>
      </c>
      <c r="AJ38" s="111">
        <v>33890</v>
      </c>
      <c r="AK38" s="111">
        <v>34040</v>
      </c>
      <c r="AL38" s="111">
        <v>33470</v>
      </c>
      <c r="AM38" s="111">
        <v>33440</v>
      </c>
      <c r="AN38" s="111">
        <v>33380</v>
      </c>
      <c r="AO38" s="111">
        <v>33310</v>
      </c>
      <c r="AP38" s="111">
        <v>33430</v>
      </c>
      <c r="AQ38" s="111">
        <v>33510</v>
      </c>
      <c r="AR38" s="111">
        <v>33560</v>
      </c>
      <c r="AS38" s="111">
        <v>33590</v>
      </c>
      <c r="AT38" s="111">
        <v>33620</v>
      </c>
      <c r="AU38" s="111">
        <v>33640</v>
      </c>
      <c r="AV38" s="111">
        <v>33670</v>
      </c>
      <c r="AW38" s="111">
        <v>33700</v>
      </c>
      <c r="AX38" s="111">
        <v>33750</v>
      </c>
      <c r="AY38" s="111">
        <v>33810</v>
      </c>
      <c r="AZ38" s="111">
        <v>33900</v>
      </c>
      <c r="BA38" s="111">
        <v>34010</v>
      </c>
      <c r="BB38" s="111">
        <v>34140</v>
      </c>
      <c r="BC38" s="111">
        <v>34290</v>
      </c>
      <c r="BD38" s="111">
        <v>34450</v>
      </c>
      <c r="BE38" s="111">
        <v>34610</v>
      </c>
      <c r="BF38" s="111">
        <v>34760</v>
      </c>
      <c r="BG38" s="111">
        <v>34880</v>
      </c>
      <c r="BH38" s="111">
        <v>34970</v>
      </c>
      <c r="BI38" s="111">
        <v>35040</v>
      </c>
      <c r="BJ38" s="111">
        <v>35070</v>
      </c>
      <c r="BK38" s="111">
        <v>35070</v>
      </c>
      <c r="BL38" s="111">
        <v>35040</v>
      </c>
      <c r="BM38" s="195">
        <v>34980</v>
      </c>
      <c r="BN38" s="195">
        <v>34900</v>
      </c>
      <c r="BO38" s="195">
        <v>34810</v>
      </c>
      <c r="BP38" s="195">
        <v>34710</v>
      </c>
      <c r="BQ38" s="195">
        <v>34610</v>
      </c>
    </row>
    <row r="39" spans="1:69">
      <c r="A39" s="28">
        <v>22</v>
      </c>
      <c r="B39" s="111">
        <v>29240</v>
      </c>
      <c r="C39" s="111">
        <v>29060</v>
      </c>
      <c r="D39" s="111">
        <v>28760</v>
      </c>
      <c r="E39" s="111">
        <v>28500</v>
      </c>
      <c r="F39" s="111">
        <v>29830</v>
      </c>
      <c r="G39" s="111">
        <v>30220</v>
      </c>
      <c r="H39" s="111">
        <v>31400</v>
      </c>
      <c r="I39" s="111">
        <v>32070</v>
      </c>
      <c r="J39" s="111">
        <v>31610</v>
      </c>
      <c r="K39" s="111">
        <v>32160</v>
      </c>
      <c r="L39" s="111">
        <v>32160</v>
      </c>
      <c r="M39" s="111">
        <v>32700</v>
      </c>
      <c r="N39" s="111">
        <v>32420</v>
      </c>
      <c r="O39" s="111">
        <v>32390</v>
      </c>
      <c r="P39" s="111">
        <v>32560</v>
      </c>
      <c r="Q39" s="111">
        <v>31630</v>
      </c>
      <c r="R39" s="111">
        <v>32350</v>
      </c>
      <c r="S39" s="111">
        <v>32150</v>
      </c>
      <c r="T39" s="111">
        <v>31200</v>
      </c>
      <c r="U39" s="111">
        <v>30850</v>
      </c>
      <c r="V39" s="111">
        <v>31660</v>
      </c>
      <c r="W39" s="111">
        <v>31810</v>
      </c>
      <c r="X39" s="111">
        <v>32620</v>
      </c>
      <c r="Y39" s="111">
        <v>34160</v>
      </c>
      <c r="Z39" s="111">
        <v>35450</v>
      </c>
      <c r="AA39" s="111">
        <v>35280</v>
      </c>
      <c r="AB39" s="111">
        <v>36310</v>
      </c>
      <c r="AC39" s="111">
        <v>36220</v>
      </c>
      <c r="AD39" s="111">
        <v>36120</v>
      </c>
      <c r="AE39" s="111">
        <v>36020</v>
      </c>
      <c r="AF39" s="111">
        <v>34910</v>
      </c>
      <c r="AG39" s="111">
        <v>34960</v>
      </c>
      <c r="AH39" s="111">
        <v>34600</v>
      </c>
      <c r="AI39" s="111">
        <v>34830</v>
      </c>
      <c r="AJ39" s="111">
        <v>34010</v>
      </c>
      <c r="AK39" s="111">
        <v>33590</v>
      </c>
      <c r="AL39" s="111">
        <v>33740</v>
      </c>
      <c r="AM39" s="111">
        <v>33180</v>
      </c>
      <c r="AN39" s="111">
        <v>33140</v>
      </c>
      <c r="AO39" s="111">
        <v>33090</v>
      </c>
      <c r="AP39" s="111">
        <v>33020</v>
      </c>
      <c r="AQ39" s="111">
        <v>33130</v>
      </c>
      <c r="AR39" s="111">
        <v>33210</v>
      </c>
      <c r="AS39" s="111">
        <v>33270</v>
      </c>
      <c r="AT39" s="111">
        <v>33300</v>
      </c>
      <c r="AU39" s="111">
        <v>33330</v>
      </c>
      <c r="AV39" s="111">
        <v>33350</v>
      </c>
      <c r="AW39" s="111">
        <v>33380</v>
      </c>
      <c r="AX39" s="111">
        <v>33410</v>
      </c>
      <c r="AY39" s="111">
        <v>33460</v>
      </c>
      <c r="AZ39" s="111">
        <v>33520</v>
      </c>
      <c r="BA39" s="111">
        <v>33610</v>
      </c>
      <c r="BB39" s="111">
        <v>33720</v>
      </c>
      <c r="BC39" s="111">
        <v>33850</v>
      </c>
      <c r="BD39" s="111">
        <v>34000</v>
      </c>
      <c r="BE39" s="111">
        <v>34160</v>
      </c>
      <c r="BF39" s="111">
        <v>34320</v>
      </c>
      <c r="BG39" s="111">
        <v>34460</v>
      </c>
      <c r="BH39" s="111">
        <v>34590</v>
      </c>
      <c r="BI39" s="111">
        <v>34680</v>
      </c>
      <c r="BJ39" s="111">
        <v>34740</v>
      </c>
      <c r="BK39" s="111">
        <v>34770</v>
      </c>
      <c r="BL39" s="111">
        <v>34770</v>
      </c>
      <c r="BM39" s="195">
        <v>34750</v>
      </c>
      <c r="BN39" s="195">
        <v>34690</v>
      </c>
      <c r="BO39" s="195">
        <v>34610</v>
      </c>
      <c r="BP39" s="195">
        <v>34520</v>
      </c>
      <c r="BQ39" s="195">
        <v>34420</v>
      </c>
    </row>
    <row r="40" spans="1:69">
      <c r="A40" s="28">
        <v>23</v>
      </c>
      <c r="B40" s="111">
        <v>28880</v>
      </c>
      <c r="C40" s="111">
        <v>28650</v>
      </c>
      <c r="D40" s="111">
        <v>28520</v>
      </c>
      <c r="E40" s="111">
        <v>28380</v>
      </c>
      <c r="F40" s="111">
        <v>28400</v>
      </c>
      <c r="G40" s="111">
        <v>29440</v>
      </c>
      <c r="H40" s="111">
        <v>29730</v>
      </c>
      <c r="I40" s="111">
        <v>31030</v>
      </c>
      <c r="J40" s="111">
        <v>32370</v>
      </c>
      <c r="K40" s="111">
        <v>32560</v>
      </c>
      <c r="L40" s="111">
        <v>33150</v>
      </c>
      <c r="M40" s="111">
        <v>33000</v>
      </c>
      <c r="N40" s="111">
        <v>33250</v>
      </c>
      <c r="O40" s="111">
        <v>32940</v>
      </c>
      <c r="P40" s="111">
        <v>33100</v>
      </c>
      <c r="Q40" s="111">
        <v>32540</v>
      </c>
      <c r="R40" s="111">
        <v>31720</v>
      </c>
      <c r="S40" s="111">
        <v>32510</v>
      </c>
      <c r="T40" s="111">
        <v>32120</v>
      </c>
      <c r="U40" s="111">
        <v>31170</v>
      </c>
      <c r="V40" s="111">
        <v>30820</v>
      </c>
      <c r="W40" s="111">
        <v>31640</v>
      </c>
      <c r="X40" s="111">
        <v>31780</v>
      </c>
      <c r="Y40" s="111">
        <v>32590</v>
      </c>
      <c r="Z40" s="111">
        <v>34130</v>
      </c>
      <c r="AA40" s="111">
        <v>35420</v>
      </c>
      <c r="AB40" s="111">
        <v>35250</v>
      </c>
      <c r="AC40" s="111">
        <v>36280</v>
      </c>
      <c r="AD40" s="111">
        <v>36190</v>
      </c>
      <c r="AE40" s="111">
        <v>36090</v>
      </c>
      <c r="AF40" s="111">
        <v>36000</v>
      </c>
      <c r="AG40" s="111">
        <v>34880</v>
      </c>
      <c r="AH40" s="111">
        <v>34940</v>
      </c>
      <c r="AI40" s="111">
        <v>34570</v>
      </c>
      <c r="AJ40" s="111">
        <v>34810</v>
      </c>
      <c r="AK40" s="111">
        <v>33990</v>
      </c>
      <c r="AL40" s="111">
        <v>33570</v>
      </c>
      <c r="AM40" s="111">
        <v>33710</v>
      </c>
      <c r="AN40" s="111">
        <v>33150</v>
      </c>
      <c r="AO40" s="111">
        <v>33120</v>
      </c>
      <c r="AP40" s="111">
        <v>33060</v>
      </c>
      <c r="AQ40" s="111">
        <v>32990</v>
      </c>
      <c r="AR40" s="111">
        <v>33110</v>
      </c>
      <c r="AS40" s="111">
        <v>33190</v>
      </c>
      <c r="AT40" s="111">
        <v>33240</v>
      </c>
      <c r="AU40" s="111">
        <v>33280</v>
      </c>
      <c r="AV40" s="111">
        <v>33300</v>
      </c>
      <c r="AW40" s="111">
        <v>33320</v>
      </c>
      <c r="AX40" s="111">
        <v>33350</v>
      </c>
      <c r="AY40" s="111">
        <v>33390</v>
      </c>
      <c r="AZ40" s="111">
        <v>33430</v>
      </c>
      <c r="BA40" s="111">
        <v>33500</v>
      </c>
      <c r="BB40" s="111">
        <v>33580</v>
      </c>
      <c r="BC40" s="111">
        <v>33690</v>
      </c>
      <c r="BD40" s="111">
        <v>33830</v>
      </c>
      <c r="BE40" s="111">
        <v>33980</v>
      </c>
      <c r="BF40" s="111">
        <v>34140</v>
      </c>
      <c r="BG40" s="111">
        <v>34300</v>
      </c>
      <c r="BH40" s="111">
        <v>34440</v>
      </c>
      <c r="BI40" s="111">
        <v>34560</v>
      </c>
      <c r="BJ40" s="111">
        <v>34660</v>
      </c>
      <c r="BK40" s="111">
        <v>34720</v>
      </c>
      <c r="BL40" s="111">
        <v>34750</v>
      </c>
      <c r="BM40" s="195">
        <v>34750</v>
      </c>
      <c r="BN40" s="195">
        <v>34720</v>
      </c>
      <c r="BO40" s="195">
        <v>34660</v>
      </c>
      <c r="BP40" s="195">
        <v>34590</v>
      </c>
      <c r="BQ40" s="195">
        <v>34500</v>
      </c>
    </row>
    <row r="41" spans="1:69">
      <c r="A41" s="28">
        <v>24</v>
      </c>
      <c r="B41" s="111">
        <v>27860</v>
      </c>
      <c r="C41" s="111">
        <v>28440</v>
      </c>
      <c r="D41" s="111">
        <v>28250</v>
      </c>
      <c r="E41" s="111">
        <v>28310</v>
      </c>
      <c r="F41" s="111">
        <v>28250</v>
      </c>
      <c r="G41" s="111">
        <v>28180</v>
      </c>
      <c r="H41" s="111">
        <v>29140</v>
      </c>
      <c r="I41" s="111">
        <v>29620</v>
      </c>
      <c r="J41" s="111">
        <v>31650</v>
      </c>
      <c r="K41" s="111">
        <v>33360</v>
      </c>
      <c r="L41" s="111">
        <v>33870</v>
      </c>
      <c r="M41" s="111">
        <v>34130</v>
      </c>
      <c r="N41" s="111">
        <v>33660</v>
      </c>
      <c r="O41" s="111">
        <v>33690</v>
      </c>
      <c r="P41" s="111">
        <v>33970</v>
      </c>
      <c r="Q41" s="111">
        <v>33060</v>
      </c>
      <c r="R41" s="111">
        <v>32650</v>
      </c>
      <c r="S41" s="111">
        <v>31920</v>
      </c>
      <c r="T41" s="111">
        <v>32690</v>
      </c>
      <c r="U41" s="111">
        <v>32310</v>
      </c>
      <c r="V41" s="111">
        <v>31350</v>
      </c>
      <c r="W41" s="111">
        <v>31010</v>
      </c>
      <c r="X41" s="111">
        <v>31820</v>
      </c>
      <c r="Y41" s="111">
        <v>31960</v>
      </c>
      <c r="Z41" s="111">
        <v>32780</v>
      </c>
      <c r="AA41" s="111">
        <v>34320</v>
      </c>
      <c r="AB41" s="111">
        <v>35600</v>
      </c>
      <c r="AC41" s="111">
        <v>35440</v>
      </c>
      <c r="AD41" s="111">
        <v>36460</v>
      </c>
      <c r="AE41" s="111">
        <v>36380</v>
      </c>
      <c r="AF41" s="111">
        <v>36280</v>
      </c>
      <c r="AG41" s="111">
        <v>36180</v>
      </c>
      <c r="AH41" s="111">
        <v>35070</v>
      </c>
      <c r="AI41" s="111">
        <v>35120</v>
      </c>
      <c r="AJ41" s="111">
        <v>34760</v>
      </c>
      <c r="AK41" s="111">
        <v>34990</v>
      </c>
      <c r="AL41" s="111">
        <v>34170</v>
      </c>
      <c r="AM41" s="111">
        <v>33750</v>
      </c>
      <c r="AN41" s="111">
        <v>33900</v>
      </c>
      <c r="AO41" s="111">
        <v>33340</v>
      </c>
      <c r="AP41" s="111">
        <v>33300</v>
      </c>
      <c r="AQ41" s="111">
        <v>33250</v>
      </c>
      <c r="AR41" s="111">
        <v>33180</v>
      </c>
      <c r="AS41" s="111">
        <v>33290</v>
      </c>
      <c r="AT41" s="111">
        <v>33370</v>
      </c>
      <c r="AU41" s="111">
        <v>33430</v>
      </c>
      <c r="AV41" s="111">
        <v>33460</v>
      </c>
      <c r="AW41" s="111">
        <v>33490</v>
      </c>
      <c r="AX41" s="111">
        <v>33510</v>
      </c>
      <c r="AY41" s="111">
        <v>33540</v>
      </c>
      <c r="AZ41" s="111">
        <v>33570</v>
      </c>
      <c r="BA41" s="111">
        <v>33620</v>
      </c>
      <c r="BB41" s="111">
        <v>33680</v>
      </c>
      <c r="BC41" s="111">
        <v>33770</v>
      </c>
      <c r="BD41" s="111">
        <v>33880</v>
      </c>
      <c r="BE41" s="111">
        <v>34010</v>
      </c>
      <c r="BF41" s="111">
        <v>34160</v>
      </c>
      <c r="BG41" s="111">
        <v>34320</v>
      </c>
      <c r="BH41" s="111">
        <v>34490</v>
      </c>
      <c r="BI41" s="111">
        <v>34630</v>
      </c>
      <c r="BJ41" s="111">
        <v>34750</v>
      </c>
      <c r="BK41" s="111">
        <v>34840</v>
      </c>
      <c r="BL41" s="111">
        <v>34910</v>
      </c>
      <c r="BM41" s="195">
        <v>34940</v>
      </c>
      <c r="BN41" s="195">
        <v>34940</v>
      </c>
      <c r="BO41" s="195">
        <v>34910</v>
      </c>
      <c r="BP41" s="195">
        <v>34850</v>
      </c>
      <c r="BQ41" s="195">
        <v>34780</v>
      </c>
    </row>
    <row r="42" spans="1:69">
      <c r="A42" s="28">
        <v>25</v>
      </c>
      <c r="B42" s="111">
        <v>27140</v>
      </c>
      <c r="C42" s="111">
        <v>27660</v>
      </c>
      <c r="D42" s="111">
        <v>28050</v>
      </c>
      <c r="E42" s="111">
        <v>28170</v>
      </c>
      <c r="F42" s="111">
        <v>28260</v>
      </c>
      <c r="G42" s="111">
        <v>28120</v>
      </c>
      <c r="H42" s="111">
        <v>28030</v>
      </c>
      <c r="I42" s="111">
        <v>29240</v>
      </c>
      <c r="J42" s="111">
        <v>30410</v>
      </c>
      <c r="K42" s="111">
        <v>32740</v>
      </c>
      <c r="L42" s="111">
        <v>34780</v>
      </c>
      <c r="M42" s="111">
        <v>35010</v>
      </c>
      <c r="N42" s="111">
        <v>34980</v>
      </c>
      <c r="O42" s="111">
        <v>34340</v>
      </c>
      <c r="P42" s="111">
        <v>34910</v>
      </c>
      <c r="Q42" s="111">
        <v>33950</v>
      </c>
      <c r="R42" s="111">
        <v>33220</v>
      </c>
      <c r="S42" s="111">
        <v>32900</v>
      </c>
      <c r="T42" s="111">
        <v>32310</v>
      </c>
      <c r="U42" s="111">
        <v>33080</v>
      </c>
      <c r="V42" s="111">
        <v>32700</v>
      </c>
      <c r="W42" s="111">
        <v>31740</v>
      </c>
      <c r="X42" s="111">
        <v>31400</v>
      </c>
      <c r="Y42" s="111">
        <v>32210</v>
      </c>
      <c r="Z42" s="111">
        <v>32350</v>
      </c>
      <c r="AA42" s="111">
        <v>33170</v>
      </c>
      <c r="AB42" s="111">
        <v>34710</v>
      </c>
      <c r="AC42" s="111">
        <v>35990</v>
      </c>
      <c r="AD42" s="111">
        <v>35830</v>
      </c>
      <c r="AE42" s="111">
        <v>36850</v>
      </c>
      <c r="AF42" s="111">
        <v>36770</v>
      </c>
      <c r="AG42" s="111">
        <v>36670</v>
      </c>
      <c r="AH42" s="111">
        <v>36570</v>
      </c>
      <c r="AI42" s="111">
        <v>35460</v>
      </c>
      <c r="AJ42" s="111">
        <v>35510</v>
      </c>
      <c r="AK42" s="111">
        <v>35150</v>
      </c>
      <c r="AL42" s="111">
        <v>35390</v>
      </c>
      <c r="AM42" s="111">
        <v>34570</v>
      </c>
      <c r="AN42" s="111">
        <v>34140</v>
      </c>
      <c r="AO42" s="111">
        <v>34290</v>
      </c>
      <c r="AP42" s="111">
        <v>33730</v>
      </c>
      <c r="AQ42" s="111">
        <v>33700</v>
      </c>
      <c r="AR42" s="111">
        <v>33640</v>
      </c>
      <c r="AS42" s="111">
        <v>33570</v>
      </c>
      <c r="AT42" s="111">
        <v>33690</v>
      </c>
      <c r="AU42" s="111">
        <v>33770</v>
      </c>
      <c r="AV42" s="111">
        <v>33820</v>
      </c>
      <c r="AW42" s="111">
        <v>33860</v>
      </c>
      <c r="AX42" s="111">
        <v>33880</v>
      </c>
      <c r="AY42" s="111">
        <v>33910</v>
      </c>
      <c r="AZ42" s="111">
        <v>33930</v>
      </c>
      <c r="BA42" s="111">
        <v>33970</v>
      </c>
      <c r="BB42" s="111">
        <v>34010</v>
      </c>
      <c r="BC42" s="111">
        <v>34080</v>
      </c>
      <c r="BD42" s="111">
        <v>34160</v>
      </c>
      <c r="BE42" s="111">
        <v>34280</v>
      </c>
      <c r="BF42" s="111">
        <v>34410</v>
      </c>
      <c r="BG42" s="111">
        <v>34560</v>
      </c>
      <c r="BH42" s="111">
        <v>34720</v>
      </c>
      <c r="BI42" s="111">
        <v>34880</v>
      </c>
      <c r="BJ42" s="111">
        <v>35020</v>
      </c>
      <c r="BK42" s="111">
        <v>35140</v>
      </c>
      <c r="BL42" s="111">
        <v>35240</v>
      </c>
      <c r="BM42" s="195">
        <v>35300</v>
      </c>
      <c r="BN42" s="195">
        <v>35330</v>
      </c>
      <c r="BO42" s="195">
        <v>35330</v>
      </c>
      <c r="BP42" s="195">
        <v>35300</v>
      </c>
      <c r="BQ42" s="195">
        <v>35250</v>
      </c>
    </row>
    <row r="43" spans="1:69">
      <c r="A43" s="28">
        <v>26</v>
      </c>
      <c r="B43" s="111">
        <v>26810</v>
      </c>
      <c r="C43" s="111">
        <v>27200</v>
      </c>
      <c r="D43" s="111">
        <v>27510</v>
      </c>
      <c r="E43" s="111">
        <v>28030</v>
      </c>
      <c r="F43" s="111">
        <v>28290</v>
      </c>
      <c r="G43" s="111">
        <v>28060</v>
      </c>
      <c r="H43" s="111">
        <v>27980</v>
      </c>
      <c r="I43" s="111">
        <v>28240</v>
      </c>
      <c r="J43" s="111">
        <v>30300</v>
      </c>
      <c r="K43" s="111">
        <v>31630</v>
      </c>
      <c r="L43" s="111">
        <v>34340</v>
      </c>
      <c r="M43" s="111">
        <v>36180</v>
      </c>
      <c r="N43" s="111">
        <v>36260</v>
      </c>
      <c r="O43" s="111">
        <v>35940</v>
      </c>
      <c r="P43" s="111">
        <v>35740</v>
      </c>
      <c r="Q43" s="111">
        <v>34920</v>
      </c>
      <c r="R43" s="111">
        <v>34160</v>
      </c>
      <c r="S43" s="111">
        <v>33530</v>
      </c>
      <c r="T43" s="111">
        <v>33480</v>
      </c>
      <c r="U43" s="111">
        <v>32890</v>
      </c>
      <c r="V43" s="111">
        <v>33660</v>
      </c>
      <c r="W43" s="111">
        <v>33280</v>
      </c>
      <c r="X43" s="111">
        <v>32330</v>
      </c>
      <c r="Y43" s="111">
        <v>31980</v>
      </c>
      <c r="Z43" s="111">
        <v>32800</v>
      </c>
      <c r="AA43" s="111">
        <v>32940</v>
      </c>
      <c r="AB43" s="111">
        <v>33750</v>
      </c>
      <c r="AC43" s="111">
        <v>35290</v>
      </c>
      <c r="AD43" s="111">
        <v>36580</v>
      </c>
      <c r="AE43" s="111">
        <v>36410</v>
      </c>
      <c r="AF43" s="111">
        <v>37430</v>
      </c>
      <c r="AG43" s="111">
        <v>37350</v>
      </c>
      <c r="AH43" s="111">
        <v>37250</v>
      </c>
      <c r="AI43" s="111">
        <v>37150</v>
      </c>
      <c r="AJ43" s="111">
        <v>36040</v>
      </c>
      <c r="AK43" s="111">
        <v>36100</v>
      </c>
      <c r="AL43" s="111">
        <v>35730</v>
      </c>
      <c r="AM43" s="111">
        <v>35970</v>
      </c>
      <c r="AN43" s="111">
        <v>35150</v>
      </c>
      <c r="AO43" s="111">
        <v>34730</v>
      </c>
      <c r="AP43" s="111">
        <v>34880</v>
      </c>
      <c r="AQ43" s="111">
        <v>34310</v>
      </c>
      <c r="AR43" s="111">
        <v>34280</v>
      </c>
      <c r="AS43" s="111">
        <v>34220</v>
      </c>
      <c r="AT43" s="111">
        <v>34150</v>
      </c>
      <c r="AU43" s="111">
        <v>34270</v>
      </c>
      <c r="AV43" s="111">
        <v>34350</v>
      </c>
      <c r="AW43" s="111">
        <v>34400</v>
      </c>
      <c r="AX43" s="111">
        <v>34440</v>
      </c>
      <c r="AY43" s="111">
        <v>34470</v>
      </c>
      <c r="AZ43" s="111">
        <v>34490</v>
      </c>
      <c r="BA43" s="111">
        <v>34520</v>
      </c>
      <c r="BB43" s="111">
        <v>34550</v>
      </c>
      <c r="BC43" s="111">
        <v>34600</v>
      </c>
      <c r="BD43" s="111">
        <v>34660</v>
      </c>
      <c r="BE43" s="111">
        <v>34750</v>
      </c>
      <c r="BF43" s="111">
        <v>34860</v>
      </c>
      <c r="BG43" s="111">
        <v>34990</v>
      </c>
      <c r="BH43" s="111">
        <v>35140</v>
      </c>
      <c r="BI43" s="111">
        <v>35300</v>
      </c>
      <c r="BJ43" s="111">
        <v>35460</v>
      </c>
      <c r="BK43" s="111">
        <v>35610</v>
      </c>
      <c r="BL43" s="111">
        <v>35730</v>
      </c>
      <c r="BM43" s="195">
        <v>35820</v>
      </c>
      <c r="BN43" s="195">
        <v>35890</v>
      </c>
      <c r="BO43" s="195">
        <v>35920</v>
      </c>
      <c r="BP43" s="195">
        <v>35920</v>
      </c>
      <c r="BQ43" s="195">
        <v>35890</v>
      </c>
    </row>
    <row r="44" spans="1:69">
      <c r="A44" s="28">
        <v>27</v>
      </c>
      <c r="B44" s="111">
        <v>26790</v>
      </c>
      <c r="C44" s="111">
        <v>26970</v>
      </c>
      <c r="D44" s="111">
        <v>27250</v>
      </c>
      <c r="E44" s="111">
        <v>27710</v>
      </c>
      <c r="F44" s="111">
        <v>28270</v>
      </c>
      <c r="G44" s="111">
        <v>28130</v>
      </c>
      <c r="H44" s="111">
        <v>28050</v>
      </c>
      <c r="I44" s="111">
        <v>28080</v>
      </c>
      <c r="J44" s="111">
        <v>29200</v>
      </c>
      <c r="K44" s="111">
        <v>31730</v>
      </c>
      <c r="L44" s="111">
        <v>33260</v>
      </c>
      <c r="M44" s="111">
        <v>35750</v>
      </c>
      <c r="N44" s="111">
        <v>37440</v>
      </c>
      <c r="O44" s="111">
        <v>37230</v>
      </c>
      <c r="P44" s="111">
        <v>37600</v>
      </c>
      <c r="Q44" s="111">
        <v>35780</v>
      </c>
      <c r="R44" s="111">
        <v>35160</v>
      </c>
      <c r="S44" s="111">
        <v>34490</v>
      </c>
      <c r="T44" s="111">
        <v>34110</v>
      </c>
      <c r="U44" s="111">
        <v>34060</v>
      </c>
      <c r="V44" s="111">
        <v>33470</v>
      </c>
      <c r="W44" s="111">
        <v>34250</v>
      </c>
      <c r="X44" s="111">
        <v>33860</v>
      </c>
      <c r="Y44" s="111">
        <v>32910</v>
      </c>
      <c r="Z44" s="111">
        <v>32570</v>
      </c>
      <c r="AA44" s="111">
        <v>33380</v>
      </c>
      <c r="AB44" s="111">
        <v>33520</v>
      </c>
      <c r="AC44" s="111">
        <v>34330</v>
      </c>
      <c r="AD44" s="111">
        <v>35870</v>
      </c>
      <c r="AE44" s="111">
        <v>37160</v>
      </c>
      <c r="AF44" s="111">
        <v>36990</v>
      </c>
      <c r="AG44" s="111">
        <v>38020</v>
      </c>
      <c r="AH44" s="111">
        <v>37940</v>
      </c>
      <c r="AI44" s="111">
        <v>37830</v>
      </c>
      <c r="AJ44" s="111">
        <v>37740</v>
      </c>
      <c r="AK44" s="111">
        <v>36620</v>
      </c>
      <c r="AL44" s="111">
        <v>36680</v>
      </c>
      <c r="AM44" s="111">
        <v>36310</v>
      </c>
      <c r="AN44" s="111">
        <v>36550</v>
      </c>
      <c r="AO44" s="111">
        <v>35730</v>
      </c>
      <c r="AP44" s="111">
        <v>35310</v>
      </c>
      <c r="AQ44" s="111">
        <v>35460</v>
      </c>
      <c r="AR44" s="111">
        <v>34900</v>
      </c>
      <c r="AS44" s="111">
        <v>34870</v>
      </c>
      <c r="AT44" s="111">
        <v>34810</v>
      </c>
      <c r="AU44" s="111">
        <v>34740</v>
      </c>
      <c r="AV44" s="111">
        <v>34860</v>
      </c>
      <c r="AW44" s="111">
        <v>34940</v>
      </c>
      <c r="AX44" s="111">
        <v>34990</v>
      </c>
      <c r="AY44" s="111">
        <v>35030</v>
      </c>
      <c r="AZ44" s="111">
        <v>35050</v>
      </c>
      <c r="BA44" s="111">
        <v>35080</v>
      </c>
      <c r="BB44" s="111">
        <v>35100</v>
      </c>
      <c r="BC44" s="111">
        <v>35140</v>
      </c>
      <c r="BD44" s="111">
        <v>35180</v>
      </c>
      <c r="BE44" s="111">
        <v>35250</v>
      </c>
      <c r="BF44" s="111">
        <v>35340</v>
      </c>
      <c r="BG44" s="111">
        <v>35450</v>
      </c>
      <c r="BH44" s="111">
        <v>35580</v>
      </c>
      <c r="BI44" s="111">
        <v>35730</v>
      </c>
      <c r="BJ44" s="111">
        <v>35890</v>
      </c>
      <c r="BK44" s="111">
        <v>36050</v>
      </c>
      <c r="BL44" s="111">
        <v>36190</v>
      </c>
      <c r="BM44" s="195">
        <v>36310</v>
      </c>
      <c r="BN44" s="195">
        <v>36410</v>
      </c>
      <c r="BO44" s="195">
        <v>36470</v>
      </c>
      <c r="BP44" s="195">
        <v>36510</v>
      </c>
      <c r="BQ44" s="195">
        <v>36510</v>
      </c>
    </row>
    <row r="45" spans="1:69">
      <c r="A45" s="28">
        <v>28</v>
      </c>
      <c r="B45" s="111">
        <v>26050</v>
      </c>
      <c r="C45" s="111">
        <v>27100</v>
      </c>
      <c r="D45" s="111">
        <v>27180</v>
      </c>
      <c r="E45" s="111">
        <v>27540</v>
      </c>
      <c r="F45" s="111">
        <v>27920</v>
      </c>
      <c r="G45" s="111">
        <v>28350</v>
      </c>
      <c r="H45" s="111">
        <v>28130</v>
      </c>
      <c r="I45" s="111">
        <v>28290</v>
      </c>
      <c r="J45" s="111">
        <v>28990</v>
      </c>
      <c r="K45" s="111">
        <v>30510</v>
      </c>
      <c r="L45" s="111">
        <v>33440</v>
      </c>
      <c r="M45" s="111">
        <v>34900</v>
      </c>
      <c r="N45" s="111">
        <v>37090</v>
      </c>
      <c r="O45" s="111">
        <v>38150</v>
      </c>
      <c r="P45" s="111">
        <v>38920</v>
      </c>
      <c r="Q45" s="111">
        <v>37660</v>
      </c>
      <c r="R45" s="111">
        <v>36040</v>
      </c>
      <c r="S45" s="111">
        <v>35520</v>
      </c>
      <c r="T45" s="111">
        <v>35130</v>
      </c>
      <c r="U45" s="111">
        <v>34750</v>
      </c>
      <c r="V45" s="111">
        <v>34710</v>
      </c>
      <c r="W45" s="111">
        <v>34110</v>
      </c>
      <c r="X45" s="111">
        <v>34890</v>
      </c>
      <c r="Y45" s="111">
        <v>34510</v>
      </c>
      <c r="Z45" s="111">
        <v>33550</v>
      </c>
      <c r="AA45" s="111">
        <v>33210</v>
      </c>
      <c r="AB45" s="111">
        <v>34020</v>
      </c>
      <c r="AC45" s="111">
        <v>34160</v>
      </c>
      <c r="AD45" s="111">
        <v>34980</v>
      </c>
      <c r="AE45" s="111">
        <v>36520</v>
      </c>
      <c r="AF45" s="111">
        <v>37800</v>
      </c>
      <c r="AG45" s="111">
        <v>37640</v>
      </c>
      <c r="AH45" s="111">
        <v>38660</v>
      </c>
      <c r="AI45" s="111">
        <v>38580</v>
      </c>
      <c r="AJ45" s="111">
        <v>38470</v>
      </c>
      <c r="AK45" s="111">
        <v>38380</v>
      </c>
      <c r="AL45" s="111">
        <v>37270</v>
      </c>
      <c r="AM45" s="111">
        <v>37320</v>
      </c>
      <c r="AN45" s="111">
        <v>36960</v>
      </c>
      <c r="AO45" s="111">
        <v>37200</v>
      </c>
      <c r="AP45" s="111">
        <v>36380</v>
      </c>
      <c r="AQ45" s="111">
        <v>35960</v>
      </c>
      <c r="AR45" s="111">
        <v>36110</v>
      </c>
      <c r="AS45" s="111">
        <v>35540</v>
      </c>
      <c r="AT45" s="111">
        <v>35510</v>
      </c>
      <c r="AU45" s="111">
        <v>35460</v>
      </c>
      <c r="AV45" s="111">
        <v>35380</v>
      </c>
      <c r="AW45" s="111">
        <v>35500</v>
      </c>
      <c r="AX45" s="111">
        <v>35580</v>
      </c>
      <c r="AY45" s="111">
        <v>35640</v>
      </c>
      <c r="AZ45" s="111">
        <v>35670</v>
      </c>
      <c r="BA45" s="111">
        <v>35700</v>
      </c>
      <c r="BB45" s="111">
        <v>35720</v>
      </c>
      <c r="BC45" s="111">
        <v>35750</v>
      </c>
      <c r="BD45" s="111">
        <v>35780</v>
      </c>
      <c r="BE45" s="111">
        <v>35830</v>
      </c>
      <c r="BF45" s="111">
        <v>35890</v>
      </c>
      <c r="BG45" s="111">
        <v>35980</v>
      </c>
      <c r="BH45" s="111">
        <v>36090</v>
      </c>
      <c r="BI45" s="111">
        <v>36230</v>
      </c>
      <c r="BJ45" s="111">
        <v>36370</v>
      </c>
      <c r="BK45" s="111">
        <v>36540</v>
      </c>
      <c r="BL45" s="111">
        <v>36700</v>
      </c>
      <c r="BM45" s="195">
        <v>36840</v>
      </c>
      <c r="BN45" s="195">
        <v>36960</v>
      </c>
      <c r="BO45" s="195">
        <v>37060</v>
      </c>
      <c r="BP45" s="195">
        <v>37120</v>
      </c>
      <c r="BQ45" s="195">
        <v>37150</v>
      </c>
    </row>
    <row r="46" spans="1:69">
      <c r="A46" s="28">
        <v>29</v>
      </c>
      <c r="B46" s="111">
        <v>26810</v>
      </c>
      <c r="C46" s="111">
        <v>26550</v>
      </c>
      <c r="D46" s="111">
        <v>27440</v>
      </c>
      <c r="E46" s="111">
        <v>27550</v>
      </c>
      <c r="F46" s="111">
        <v>27810</v>
      </c>
      <c r="G46" s="111">
        <v>28140</v>
      </c>
      <c r="H46" s="111">
        <v>28370</v>
      </c>
      <c r="I46" s="111">
        <v>28300</v>
      </c>
      <c r="J46" s="111">
        <v>29260</v>
      </c>
      <c r="K46" s="111">
        <v>30230</v>
      </c>
      <c r="L46" s="111">
        <v>32010</v>
      </c>
      <c r="M46" s="111">
        <v>34960</v>
      </c>
      <c r="N46" s="111">
        <v>36090</v>
      </c>
      <c r="O46" s="111">
        <v>38190</v>
      </c>
      <c r="P46" s="111">
        <v>39790</v>
      </c>
      <c r="Q46" s="111">
        <v>39000</v>
      </c>
      <c r="R46" s="111">
        <v>37910</v>
      </c>
      <c r="S46" s="111">
        <v>36390</v>
      </c>
      <c r="T46" s="111">
        <v>36150</v>
      </c>
      <c r="U46" s="111">
        <v>35760</v>
      </c>
      <c r="V46" s="111">
        <v>35380</v>
      </c>
      <c r="W46" s="111">
        <v>35340</v>
      </c>
      <c r="X46" s="111">
        <v>34740</v>
      </c>
      <c r="Y46" s="111">
        <v>35520</v>
      </c>
      <c r="Z46" s="111">
        <v>35140</v>
      </c>
      <c r="AA46" s="111">
        <v>34180</v>
      </c>
      <c r="AB46" s="111">
        <v>33840</v>
      </c>
      <c r="AC46" s="111">
        <v>34650</v>
      </c>
      <c r="AD46" s="111">
        <v>34790</v>
      </c>
      <c r="AE46" s="111">
        <v>35610</v>
      </c>
      <c r="AF46" s="111">
        <v>37150</v>
      </c>
      <c r="AG46" s="111">
        <v>38430</v>
      </c>
      <c r="AH46" s="111">
        <v>38270</v>
      </c>
      <c r="AI46" s="111">
        <v>39290</v>
      </c>
      <c r="AJ46" s="111">
        <v>39210</v>
      </c>
      <c r="AK46" s="111">
        <v>39110</v>
      </c>
      <c r="AL46" s="111">
        <v>39010</v>
      </c>
      <c r="AM46" s="111">
        <v>37900</v>
      </c>
      <c r="AN46" s="111">
        <v>37960</v>
      </c>
      <c r="AO46" s="111">
        <v>37590</v>
      </c>
      <c r="AP46" s="111">
        <v>37830</v>
      </c>
      <c r="AQ46" s="111">
        <v>37010</v>
      </c>
      <c r="AR46" s="111">
        <v>36590</v>
      </c>
      <c r="AS46" s="111">
        <v>36740</v>
      </c>
      <c r="AT46" s="111">
        <v>36180</v>
      </c>
      <c r="AU46" s="111">
        <v>36140</v>
      </c>
      <c r="AV46" s="111">
        <v>36090</v>
      </c>
      <c r="AW46" s="111">
        <v>36020</v>
      </c>
      <c r="AX46" s="111">
        <v>36130</v>
      </c>
      <c r="AY46" s="111">
        <v>36210</v>
      </c>
      <c r="AZ46" s="111">
        <v>36270</v>
      </c>
      <c r="BA46" s="111">
        <v>36300</v>
      </c>
      <c r="BB46" s="111">
        <v>36330</v>
      </c>
      <c r="BC46" s="111">
        <v>36350</v>
      </c>
      <c r="BD46" s="111">
        <v>36380</v>
      </c>
      <c r="BE46" s="111">
        <v>36420</v>
      </c>
      <c r="BF46" s="111">
        <v>36460</v>
      </c>
      <c r="BG46" s="111">
        <v>36530</v>
      </c>
      <c r="BH46" s="111">
        <v>36610</v>
      </c>
      <c r="BI46" s="111">
        <v>36730</v>
      </c>
      <c r="BJ46" s="111">
        <v>36860</v>
      </c>
      <c r="BK46" s="111">
        <v>37010</v>
      </c>
      <c r="BL46" s="111">
        <v>37170</v>
      </c>
      <c r="BM46" s="195">
        <v>37330</v>
      </c>
      <c r="BN46" s="195">
        <v>37470</v>
      </c>
      <c r="BO46" s="195">
        <v>37590</v>
      </c>
      <c r="BP46" s="195">
        <v>37690</v>
      </c>
      <c r="BQ46" s="195">
        <v>37750</v>
      </c>
    </row>
    <row r="47" spans="1:69">
      <c r="A47" s="28">
        <v>30</v>
      </c>
      <c r="B47" s="111">
        <v>27080</v>
      </c>
      <c r="C47" s="111">
        <v>27260</v>
      </c>
      <c r="D47" s="111">
        <v>26940</v>
      </c>
      <c r="E47" s="111">
        <v>27910</v>
      </c>
      <c r="F47" s="111">
        <v>28010</v>
      </c>
      <c r="G47" s="111">
        <v>27920</v>
      </c>
      <c r="H47" s="111">
        <v>28260</v>
      </c>
      <c r="I47" s="111">
        <v>28630</v>
      </c>
      <c r="J47" s="111">
        <v>29140</v>
      </c>
      <c r="K47" s="111">
        <v>30370</v>
      </c>
      <c r="L47" s="111">
        <v>31630</v>
      </c>
      <c r="M47" s="111">
        <v>33310</v>
      </c>
      <c r="N47" s="111">
        <v>36170</v>
      </c>
      <c r="O47" s="111">
        <v>37050</v>
      </c>
      <c r="P47" s="111">
        <v>39630</v>
      </c>
      <c r="Q47" s="111">
        <v>39870</v>
      </c>
      <c r="R47" s="111">
        <v>39240</v>
      </c>
      <c r="S47" s="111">
        <v>38240</v>
      </c>
      <c r="T47" s="111">
        <v>37000</v>
      </c>
      <c r="U47" s="111">
        <v>36760</v>
      </c>
      <c r="V47" s="111">
        <v>36380</v>
      </c>
      <c r="W47" s="111">
        <v>36000</v>
      </c>
      <c r="X47" s="111">
        <v>35950</v>
      </c>
      <c r="Y47" s="111">
        <v>35360</v>
      </c>
      <c r="Z47" s="111">
        <v>36130</v>
      </c>
      <c r="AA47" s="111">
        <v>35750</v>
      </c>
      <c r="AB47" s="111">
        <v>34800</v>
      </c>
      <c r="AC47" s="111">
        <v>34460</v>
      </c>
      <c r="AD47" s="111">
        <v>35270</v>
      </c>
      <c r="AE47" s="111">
        <v>35410</v>
      </c>
      <c r="AF47" s="111">
        <v>36220</v>
      </c>
      <c r="AG47" s="111">
        <v>37760</v>
      </c>
      <c r="AH47" s="111">
        <v>39050</v>
      </c>
      <c r="AI47" s="111">
        <v>38880</v>
      </c>
      <c r="AJ47" s="111">
        <v>39910</v>
      </c>
      <c r="AK47" s="111">
        <v>39830</v>
      </c>
      <c r="AL47" s="111">
        <v>39720</v>
      </c>
      <c r="AM47" s="111">
        <v>39630</v>
      </c>
      <c r="AN47" s="111">
        <v>38520</v>
      </c>
      <c r="AO47" s="111">
        <v>38570</v>
      </c>
      <c r="AP47" s="111">
        <v>38210</v>
      </c>
      <c r="AQ47" s="111">
        <v>38450</v>
      </c>
      <c r="AR47" s="111">
        <v>37630</v>
      </c>
      <c r="AS47" s="111">
        <v>37210</v>
      </c>
      <c r="AT47" s="111">
        <v>37360</v>
      </c>
      <c r="AU47" s="111">
        <v>36800</v>
      </c>
      <c r="AV47" s="111">
        <v>36760</v>
      </c>
      <c r="AW47" s="111">
        <v>36710</v>
      </c>
      <c r="AX47" s="111">
        <v>36640</v>
      </c>
      <c r="AY47" s="111">
        <v>36750</v>
      </c>
      <c r="AZ47" s="111">
        <v>36830</v>
      </c>
      <c r="BA47" s="111">
        <v>36890</v>
      </c>
      <c r="BB47" s="111">
        <v>36920</v>
      </c>
      <c r="BC47" s="111">
        <v>36950</v>
      </c>
      <c r="BD47" s="111">
        <v>36970</v>
      </c>
      <c r="BE47" s="111">
        <v>37000</v>
      </c>
      <c r="BF47" s="111">
        <v>37040</v>
      </c>
      <c r="BG47" s="111">
        <v>37080</v>
      </c>
      <c r="BH47" s="111">
        <v>37150</v>
      </c>
      <c r="BI47" s="111">
        <v>37230</v>
      </c>
      <c r="BJ47" s="111">
        <v>37350</v>
      </c>
      <c r="BK47" s="111">
        <v>37480</v>
      </c>
      <c r="BL47" s="111">
        <v>37630</v>
      </c>
      <c r="BM47" s="195">
        <v>37790</v>
      </c>
      <c r="BN47" s="195">
        <v>37950</v>
      </c>
      <c r="BO47" s="195">
        <v>38090</v>
      </c>
      <c r="BP47" s="195">
        <v>38210</v>
      </c>
      <c r="BQ47" s="195">
        <v>38310</v>
      </c>
    </row>
    <row r="48" spans="1:69">
      <c r="A48" s="28">
        <v>31</v>
      </c>
      <c r="B48" s="111">
        <v>28670</v>
      </c>
      <c r="C48" s="111">
        <v>27610</v>
      </c>
      <c r="D48" s="111">
        <v>27590</v>
      </c>
      <c r="E48" s="111">
        <v>27380</v>
      </c>
      <c r="F48" s="111">
        <v>28230</v>
      </c>
      <c r="G48" s="111">
        <v>28200</v>
      </c>
      <c r="H48" s="111">
        <v>28030</v>
      </c>
      <c r="I48" s="111">
        <v>28510</v>
      </c>
      <c r="J48" s="111">
        <v>29310</v>
      </c>
      <c r="K48" s="111">
        <v>30200</v>
      </c>
      <c r="L48" s="111">
        <v>31760</v>
      </c>
      <c r="M48" s="111">
        <v>32820</v>
      </c>
      <c r="N48" s="111">
        <v>34380</v>
      </c>
      <c r="O48" s="111">
        <v>37090</v>
      </c>
      <c r="P48" s="111">
        <v>38280</v>
      </c>
      <c r="Q48" s="111">
        <v>39730</v>
      </c>
      <c r="R48" s="111">
        <v>40130</v>
      </c>
      <c r="S48" s="111">
        <v>39580</v>
      </c>
      <c r="T48" s="111">
        <v>38840</v>
      </c>
      <c r="U48" s="111">
        <v>37610</v>
      </c>
      <c r="V48" s="111">
        <v>37370</v>
      </c>
      <c r="W48" s="111">
        <v>36980</v>
      </c>
      <c r="X48" s="111">
        <v>36600</v>
      </c>
      <c r="Y48" s="111">
        <v>36560</v>
      </c>
      <c r="Z48" s="111">
        <v>35960</v>
      </c>
      <c r="AA48" s="111">
        <v>36740</v>
      </c>
      <c r="AB48" s="111">
        <v>36360</v>
      </c>
      <c r="AC48" s="111">
        <v>35410</v>
      </c>
      <c r="AD48" s="111">
        <v>35060</v>
      </c>
      <c r="AE48" s="111">
        <v>35880</v>
      </c>
      <c r="AF48" s="111">
        <v>36020</v>
      </c>
      <c r="AG48" s="111">
        <v>36830</v>
      </c>
      <c r="AH48" s="111">
        <v>38370</v>
      </c>
      <c r="AI48" s="111">
        <v>39650</v>
      </c>
      <c r="AJ48" s="111">
        <v>39490</v>
      </c>
      <c r="AK48" s="111">
        <v>40510</v>
      </c>
      <c r="AL48" s="111">
        <v>40430</v>
      </c>
      <c r="AM48" s="111">
        <v>40330</v>
      </c>
      <c r="AN48" s="111">
        <v>40230</v>
      </c>
      <c r="AO48" s="111">
        <v>39120</v>
      </c>
      <c r="AP48" s="111">
        <v>39180</v>
      </c>
      <c r="AQ48" s="111">
        <v>38810</v>
      </c>
      <c r="AR48" s="111">
        <v>39050</v>
      </c>
      <c r="AS48" s="111">
        <v>38230</v>
      </c>
      <c r="AT48" s="111">
        <v>37810</v>
      </c>
      <c r="AU48" s="111">
        <v>37960</v>
      </c>
      <c r="AV48" s="111">
        <v>37400</v>
      </c>
      <c r="AW48" s="111">
        <v>37370</v>
      </c>
      <c r="AX48" s="111">
        <v>37310</v>
      </c>
      <c r="AY48" s="111">
        <v>37240</v>
      </c>
      <c r="AZ48" s="111">
        <v>37360</v>
      </c>
      <c r="BA48" s="111">
        <v>37440</v>
      </c>
      <c r="BB48" s="111">
        <v>37500</v>
      </c>
      <c r="BC48" s="111">
        <v>37530</v>
      </c>
      <c r="BD48" s="111">
        <v>37560</v>
      </c>
      <c r="BE48" s="111">
        <v>37580</v>
      </c>
      <c r="BF48" s="111">
        <v>37610</v>
      </c>
      <c r="BG48" s="111">
        <v>37640</v>
      </c>
      <c r="BH48" s="111">
        <v>37690</v>
      </c>
      <c r="BI48" s="111">
        <v>37760</v>
      </c>
      <c r="BJ48" s="111">
        <v>37840</v>
      </c>
      <c r="BK48" s="111">
        <v>37950</v>
      </c>
      <c r="BL48" s="111">
        <v>38090</v>
      </c>
      <c r="BM48" s="195">
        <v>38240</v>
      </c>
      <c r="BN48" s="195">
        <v>38400</v>
      </c>
      <c r="BO48" s="195">
        <v>38560</v>
      </c>
      <c r="BP48" s="195">
        <v>38700</v>
      </c>
      <c r="BQ48" s="195">
        <v>38820</v>
      </c>
    </row>
    <row r="49" spans="1:69">
      <c r="A49" s="28">
        <v>32</v>
      </c>
      <c r="B49" s="111">
        <v>29960</v>
      </c>
      <c r="C49" s="111">
        <v>28990</v>
      </c>
      <c r="D49" s="111">
        <v>27810</v>
      </c>
      <c r="E49" s="111">
        <v>27780</v>
      </c>
      <c r="F49" s="111">
        <v>27520</v>
      </c>
      <c r="G49" s="111">
        <v>28300</v>
      </c>
      <c r="H49" s="111">
        <v>28140</v>
      </c>
      <c r="I49" s="111">
        <v>28010</v>
      </c>
      <c r="J49" s="111">
        <v>28990</v>
      </c>
      <c r="K49" s="111">
        <v>30000</v>
      </c>
      <c r="L49" s="111">
        <v>31260</v>
      </c>
      <c r="M49" s="111">
        <v>32800</v>
      </c>
      <c r="N49" s="111">
        <v>33890</v>
      </c>
      <c r="O49" s="111">
        <v>35110</v>
      </c>
      <c r="P49" s="111">
        <v>38220</v>
      </c>
      <c r="Q49" s="111">
        <v>38370</v>
      </c>
      <c r="R49" s="111">
        <v>39940</v>
      </c>
      <c r="S49" s="111">
        <v>40400</v>
      </c>
      <c r="T49" s="111">
        <v>40010</v>
      </c>
      <c r="U49" s="111">
        <v>39280</v>
      </c>
      <c r="V49" s="111">
        <v>38040</v>
      </c>
      <c r="W49" s="111">
        <v>37800</v>
      </c>
      <c r="X49" s="111">
        <v>37410</v>
      </c>
      <c r="Y49" s="111">
        <v>37040</v>
      </c>
      <c r="Z49" s="111">
        <v>36990</v>
      </c>
      <c r="AA49" s="111">
        <v>36400</v>
      </c>
      <c r="AB49" s="111">
        <v>37170</v>
      </c>
      <c r="AC49" s="111">
        <v>36790</v>
      </c>
      <c r="AD49" s="111">
        <v>35840</v>
      </c>
      <c r="AE49" s="111">
        <v>35500</v>
      </c>
      <c r="AF49" s="111">
        <v>36310</v>
      </c>
      <c r="AG49" s="111">
        <v>36450</v>
      </c>
      <c r="AH49" s="111">
        <v>37260</v>
      </c>
      <c r="AI49" s="111">
        <v>38800</v>
      </c>
      <c r="AJ49" s="111">
        <v>40090</v>
      </c>
      <c r="AK49" s="111">
        <v>39920</v>
      </c>
      <c r="AL49" s="111">
        <v>40950</v>
      </c>
      <c r="AM49" s="111">
        <v>40870</v>
      </c>
      <c r="AN49" s="111">
        <v>40760</v>
      </c>
      <c r="AO49" s="111">
        <v>40670</v>
      </c>
      <c r="AP49" s="111">
        <v>39560</v>
      </c>
      <c r="AQ49" s="111">
        <v>39620</v>
      </c>
      <c r="AR49" s="111">
        <v>39250</v>
      </c>
      <c r="AS49" s="111">
        <v>39490</v>
      </c>
      <c r="AT49" s="111">
        <v>38670</v>
      </c>
      <c r="AU49" s="111">
        <v>38250</v>
      </c>
      <c r="AV49" s="111">
        <v>38400</v>
      </c>
      <c r="AW49" s="111">
        <v>37840</v>
      </c>
      <c r="AX49" s="111">
        <v>37810</v>
      </c>
      <c r="AY49" s="111">
        <v>37750</v>
      </c>
      <c r="AZ49" s="111">
        <v>37680</v>
      </c>
      <c r="BA49" s="111">
        <v>37800</v>
      </c>
      <c r="BB49" s="111">
        <v>37880</v>
      </c>
      <c r="BC49" s="111">
        <v>37930</v>
      </c>
      <c r="BD49" s="111">
        <v>37970</v>
      </c>
      <c r="BE49" s="111">
        <v>38000</v>
      </c>
      <c r="BF49" s="111">
        <v>38020</v>
      </c>
      <c r="BG49" s="111">
        <v>38050</v>
      </c>
      <c r="BH49" s="111">
        <v>38080</v>
      </c>
      <c r="BI49" s="111">
        <v>38130</v>
      </c>
      <c r="BJ49" s="111">
        <v>38190</v>
      </c>
      <c r="BK49" s="111">
        <v>38280</v>
      </c>
      <c r="BL49" s="111">
        <v>38390</v>
      </c>
      <c r="BM49" s="195">
        <v>38530</v>
      </c>
      <c r="BN49" s="195">
        <v>38680</v>
      </c>
      <c r="BO49" s="195">
        <v>38840</v>
      </c>
      <c r="BP49" s="195">
        <v>39000</v>
      </c>
      <c r="BQ49" s="195">
        <v>39140</v>
      </c>
    </row>
    <row r="50" spans="1:69">
      <c r="A50" s="28">
        <v>33</v>
      </c>
      <c r="B50" s="111">
        <v>31240</v>
      </c>
      <c r="C50" s="111">
        <v>30280</v>
      </c>
      <c r="D50" s="111">
        <v>29200</v>
      </c>
      <c r="E50" s="111">
        <v>27960</v>
      </c>
      <c r="F50" s="111">
        <v>27980</v>
      </c>
      <c r="G50" s="111">
        <v>27550</v>
      </c>
      <c r="H50" s="111">
        <v>28290</v>
      </c>
      <c r="I50" s="111">
        <v>28140</v>
      </c>
      <c r="J50" s="111">
        <v>28570</v>
      </c>
      <c r="K50" s="111">
        <v>29720</v>
      </c>
      <c r="L50" s="111">
        <v>30900</v>
      </c>
      <c r="M50" s="111">
        <v>32220</v>
      </c>
      <c r="N50" s="111">
        <v>33520</v>
      </c>
      <c r="O50" s="111">
        <v>34480</v>
      </c>
      <c r="P50" s="111">
        <v>35970</v>
      </c>
      <c r="Q50" s="111">
        <v>38330</v>
      </c>
      <c r="R50" s="111">
        <v>38570</v>
      </c>
      <c r="S50" s="111">
        <v>40190</v>
      </c>
      <c r="T50" s="111">
        <v>40770</v>
      </c>
      <c r="U50" s="111">
        <v>40390</v>
      </c>
      <c r="V50" s="111">
        <v>39650</v>
      </c>
      <c r="W50" s="111">
        <v>38410</v>
      </c>
      <c r="X50" s="111">
        <v>38180</v>
      </c>
      <c r="Y50" s="111">
        <v>37790</v>
      </c>
      <c r="Z50" s="111">
        <v>37410</v>
      </c>
      <c r="AA50" s="111">
        <v>37370</v>
      </c>
      <c r="AB50" s="111">
        <v>36780</v>
      </c>
      <c r="AC50" s="111">
        <v>37550</v>
      </c>
      <c r="AD50" s="111">
        <v>37170</v>
      </c>
      <c r="AE50" s="111">
        <v>36220</v>
      </c>
      <c r="AF50" s="111">
        <v>35880</v>
      </c>
      <c r="AG50" s="111">
        <v>36690</v>
      </c>
      <c r="AH50" s="111">
        <v>36830</v>
      </c>
      <c r="AI50" s="111">
        <v>37640</v>
      </c>
      <c r="AJ50" s="111">
        <v>39180</v>
      </c>
      <c r="AK50" s="111">
        <v>40470</v>
      </c>
      <c r="AL50" s="111">
        <v>40300</v>
      </c>
      <c r="AM50" s="111">
        <v>41320</v>
      </c>
      <c r="AN50" s="111">
        <v>41240</v>
      </c>
      <c r="AO50" s="111">
        <v>41140</v>
      </c>
      <c r="AP50" s="111">
        <v>41050</v>
      </c>
      <c r="AQ50" s="111">
        <v>39940</v>
      </c>
      <c r="AR50" s="111">
        <v>39990</v>
      </c>
      <c r="AS50" s="111">
        <v>39630</v>
      </c>
      <c r="AT50" s="111">
        <v>39870</v>
      </c>
      <c r="AU50" s="111">
        <v>39050</v>
      </c>
      <c r="AV50" s="111">
        <v>38630</v>
      </c>
      <c r="AW50" s="111">
        <v>38780</v>
      </c>
      <c r="AX50" s="111">
        <v>38220</v>
      </c>
      <c r="AY50" s="111">
        <v>38190</v>
      </c>
      <c r="AZ50" s="111">
        <v>38130</v>
      </c>
      <c r="BA50" s="111">
        <v>38060</v>
      </c>
      <c r="BB50" s="111">
        <v>38180</v>
      </c>
      <c r="BC50" s="111">
        <v>38260</v>
      </c>
      <c r="BD50" s="111">
        <v>38310</v>
      </c>
      <c r="BE50" s="111">
        <v>38350</v>
      </c>
      <c r="BF50" s="111">
        <v>38380</v>
      </c>
      <c r="BG50" s="111">
        <v>38400</v>
      </c>
      <c r="BH50" s="111">
        <v>38430</v>
      </c>
      <c r="BI50" s="111">
        <v>38460</v>
      </c>
      <c r="BJ50" s="111">
        <v>38510</v>
      </c>
      <c r="BK50" s="111">
        <v>38580</v>
      </c>
      <c r="BL50" s="111">
        <v>38660</v>
      </c>
      <c r="BM50" s="195">
        <v>38770</v>
      </c>
      <c r="BN50" s="195">
        <v>38910</v>
      </c>
      <c r="BO50" s="195">
        <v>39060</v>
      </c>
      <c r="BP50" s="195">
        <v>39220</v>
      </c>
      <c r="BQ50" s="195">
        <v>39380</v>
      </c>
    </row>
    <row r="51" spans="1:69">
      <c r="A51" s="28">
        <v>34</v>
      </c>
      <c r="B51" s="111">
        <v>32740</v>
      </c>
      <c r="C51" s="111">
        <v>31520</v>
      </c>
      <c r="D51" s="111">
        <v>30510</v>
      </c>
      <c r="E51" s="111">
        <v>29420</v>
      </c>
      <c r="F51" s="111">
        <v>28160</v>
      </c>
      <c r="G51" s="111">
        <v>28030</v>
      </c>
      <c r="H51" s="111">
        <v>27560</v>
      </c>
      <c r="I51" s="111">
        <v>28290</v>
      </c>
      <c r="J51" s="111">
        <v>28600</v>
      </c>
      <c r="K51" s="111">
        <v>29230</v>
      </c>
      <c r="L51" s="111">
        <v>30510</v>
      </c>
      <c r="M51" s="111">
        <v>31710</v>
      </c>
      <c r="N51" s="111">
        <v>33060</v>
      </c>
      <c r="O51" s="111">
        <v>34150</v>
      </c>
      <c r="P51" s="111">
        <v>35380</v>
      </c>
      <c r="Q51" s="111">
        <v>36090</v>
      </c>
      <c r="R51" s="111">
        <v>38540</v>
      </c>
      <c r="S51" s="111">
        <v>38840</v>
      </c>
      <c r="T51" s="111">
        <v>40540</v>
      </c>
      <c r="U51" s="111">
        <v>41120</v>
      </c>
      <c r="V51" s="111">
        <v>40740</v>
      </c>
      <c r="W51" s="111">
        <v>40000</v>
      </c>
      <c r="X51" s="111">
        <v>38760</v>
      </c>
      <c r="Y51" s="111">
        <v>38530</v>
      </c>
      <c r="Z51" s="111">
        <v>38140</v>
      </c>
      <c r="AA51" s="111">
        <v>37760</v>
      </c>
      <c r="AB51" s="111">
        <v>37720</v>
      </c>
      <c r="AC51" s="111">
        <v>37130</v>
      </c>
      <c r="AD51" s="111">
        <v>37900</v>
      </c>
      <c r="AE51" s="111">
        <v>37520</v>
      </c>
      <c r="AF51" s="111">
        <v>36570</v>
      </c>
      <c r="AG51" s="111">
        <v>36230</v>
      </c>
      <c r="AH51" s="111">
        <v>37040</v>
      </c>
      <c r="AI51" s="111">
        <v>37180</v>
      </c>
      <c r="AJ51" s="111">
        <v>37990</v>
      </c>
      <c r="AK51" s="111">
        <v>39530</v>
      </c>
      <c r="AL51" s="111">
        <v>40820</v>
      </c>
      <c r="AM51" s="111">
        <v>40650</v>
      </c>
      <c r="AN51" s="111">
        <v>41680</v>
      </c>
      <c r="AO51" s="111">
        <v>41600</v>
      </c>
      <c r="AP51" s="111">
        <v>41490</v>
      </c>
      <c r="AQ51" s="111">
        <v>41400</v>
      </c>
      <c r="AR51" s="111">
        <v>40290</v>
      </c>
      <c r="AS51" s="111">
        <v>40350</v>
      </c>
      <c r="AT51" s="111">
        <v>39980</v>
      </c>
      <c r="AU51" s="111">
        <v>40220</v>
      </c>
      <c r="AV51" s="111">
        <v>39400</v>
      </c>
      <c r="AW51" s="111">
        <v>38980</v>
      </c>
      <c r="AX51" s="111">
        <v>39140</v>
      </c>
      <c r="AY51" s="111">
        <v>38570</v>
      </c>
      <c r="AZ51" s="111">
        <v>38540</v>
      </c>
      <c r="BA51" s="111">
        <v>38490</v>
      </c>
      <c r="BB51" s="111">
        <v>38420</v>
      </c>
      <c r="BC51" s="111">
        <v>38530</v>
      </c>
      <c r="BD51" s="111">
        <v>38610</v>
      </c>
      <c r="BE51" s="111">
        <v>38670</v>
      </c>
      <c r="BF51" s="111">
        <v>38710</v>
      </c>
      <c r="BG51" s="111">
        <v>38730</v>
      </c>
      <c r="BH51" s="111">
        <v>38760</v>
      </c>
      <c r="BI51" s="111">
        <v>38790</v>
      </c>
      <c r="BJ51" s="111">
        <v>38820</v>
      </c>
      <c r="BK51" s="111">
        <v>38870</v>
      </c>
      <c r="BL51" s="111">
        <v>38930</v>
      </c>
      <c r="BM51" s="195">
        <v>39020</v>
      </c>
      <c r="BN51" s="195">
        <v>39130</v>
      </c>
      <c r="BO51" s="195">
        <v>39270</v>
      </c>
      <c r="BP51" s="195">
        <v>39410</v>
      </c>
      <c r="BQ51" s="195">
        <v>39580</v>
      </c>
    </row>
    <row r="52" spans="1:69">
      <c r="A52" s="28">
        <v>35</v>
      </c>
      <c r="B52" s="111">
        <v>33360</v>
      </c>
      <c r="C52" s="111">
        <v>33040</v>
      </c>
      <c r="D52" s="111">
        <v>31710</v>
      </c>
      <c r="E52" s="111">
        <v>30800</v>
      </c>
      <c r="F52" s="111">
        <v>29620</v>
      </c>
      <c r="G52" s="111">
        <v>28240</v>
      </c>
      <c r="H52" s="111">
        <v>28000</v>
      </c>
      <c r="I52" s="111">
        <v>27630</v>
      </c>
      <c r="J52" s="111">
        <v>28680</v>
      </c>
      <c r="K52" s="111">
        <v>29100</v>
      </c>
      <c r="L52" s="111">
        <v>29850</v>
      </c>
      <c r="M52" s="111">
        <v>31280</v>
      </c>
      <c r="N52" s="111">
        <v>32510</v>
      </c>
      <c r="O52" s="111">
        <v>33690</v>
      </c>
      <c r="P52" s="111">
        <v>35020</v>
      </c>
      <c r="Q52" s="111">
        <v>35510</v>
      </c>
      <c r="R52" s="111">
        <v>36310</v>
      </c>
      <c r="S52" s="111">
        <v>38800</v>
      </c>
      <c r="T52" s="111">
        <v>39140</v>
      </c>
      <c r="U52" s="111">
        <v>40840</v>
      </c>
      <c r="V52" s="111">
        <v>41420</v>
      </c>
      <c r="W52" s="111">
        <v>41040</v>
      </c>
      <c r="X52" s="111">
        <v>40310</v>
      </c>
      <c r="Y52" s="111">
        <v>39070</v>
      </c>
      <c r="Z52" s="111">
        <v>38830</v>
      </c>
      <c r="AA52" s="111">
        <v>38450</v>
      </c>
      <c r="AB52" s="111">
        <v>38070</v>
      </c>
      <c r="AC52" s="111">
        <v>38030</v>
      </c>
      <c r="AD52" s="111">
        <v>37440</v>
      </c>
      <c r="AE52" s="111">
        <v>38210</v>
      </c>
      <c r="AF52" s="111">
        <v>37830</v>
      </c>
      <c r="AG52" s="111">
        <v>36880</v>
      </c>
      <c r="AH52" s="111">
        <v>36540</v>
      </c>
      <c r="AI52" s="111">
        <v>37350</v>
      </c>
      <c r="AJ52" s="111">
        <v>37490</v>
      </c>
      <c r="AK52" s="111">
        <v>38300</v>
      </c>
      <c r="AL52" s="111">
        <v>39840</v>
      </c>
      <c r="AM52" s="111">
        <v>41130</v>
      </c>
      <c r="AN52" s="111">
        <v>40960</v>
      </c>
      <c r="AO52" s="111">
        <v>41980</v>
      </c>
      <c r="AP52" s="111">
        <v>41900</v>
      </c>
      <c r="AQ52" s="111">
        <v>41800</v>
      </c>
      <c r="AR52" s="111">
        <v>41710</v>
      </c>
      <c r="AS52" s="111">
        <v>40600</v>
      </c>
      <c r="AT52" s="111">
        <v>40660</v>
      </c>
      <c r="AU52" s="111">
        <v>40290</v>
      </c>
      <c r="AV52" s="111">
        <v>40530</v>
      </c>
      <c r="AW52" s="111">
        <v>39710</v>
      </c>
      <c r="AX52" s="111">
        <v>39290</v>
      </c>
      <c r="AY52" s="111">
        <v>39450</v>
      </c>
      <c r="AZ52" s="111">
        <v>38890</v>
      </c>
      <c r="BA52" s="111">
        <v>38850</v>
      </c>
      <c r="BB52" s="111">
        <v>38800</v>
      </c>
      <c r="BC52" s="111">
        <v>38730</v>
      </c>
      <c r="BD52" s="111">
        <v>38840</v>
      </c>
      <c r="BE52" s="111">
        <v>38930</v>
      </c>
      <c r="BF52" s="111">
        <v>38980</v>
      </c>
      <c r="BG52" s="111">
        <v>39020</v>
      </c>
      <c r="BH52" s="111">
        <v>39040</v>
      </c>
      <c r="BI52" s="111">
        <v>39070</v>
      </c>
      <c r="BJ52" s="111">
        <v>39100</v>
      </c>
      <c r="BK52" s="111">
        <v>39130</v>
      </c>
      <c r="BL52" s="111">
        <v>39180</v>
      </c>
      <c r="BM52" s="195">
        <v>39240</v>
      </c>
      <c r="BN52" s="195">
        <v>39330</v>
      </c>
      <c r="BO52" s="195">
        <v>39440</v>
      </c>
      <c r="BP52" s="195">
        <v>39580</v>
      </c>
      <c r="BQ52" s="195">
        <v>39730</v>
      </c>
    </row>
    <row r="53" spans="1:69">
      <c r="A53" s="28">
        <v>36</v>
      </c>
      <c r="B53" s="111">
        <v>32520</v>
      </c>
      <c r="C53" s="111">
        <v>33680</v>
      </c>
      <c r="D53" s="111">
        <v>33230</v>
      </c>
      <c r="E53" s="111">
        <v>31930</v>
      </c>
      <c r="F53" s="111">
        <v>30980</v>
      </c>
      <c r="G53" s="111">
        <v>29690</v>
      </c>
      <c r="H53" s="111">
        <v>28210</v>
      </c>
      <c r="I53" s="111">
        <v>28060</v>
      </c>
      <c r="J53" s="111">
        <v>27970</v>
      </c>
      <c r="K53" s="111">
        <v>29160</v>
      </c>
      <c r="L53" s="111">
        <v>29750</v>
      </c>
      <c r="M53" s="111">
        <v>30510</v>
      </c>
      <c r="N53" s="111">
        <v>31930</v>
      </c>
      <c r="O53" s="111">
        <v>33130</v>
      </c>
      <c r="P53" s="111">
        <v>34450</v>
      </c>
      <c r="Q53" s="111">
        <v>35150</v>
      </c>
      <c r="R53" s="111">
        <v>35720</v>
      </c>
      <c r="S53" s="111">
        <v>36560</v>
      </c>
      <c r="T53" s="111">
        <v>39070</v>
      </c>
      <c r="U53" s="111">
        <v>39410</v>
      </c>
      <c r="V53" s="111">
        <v>41110</v>
      </c>
      <c r="W53" s="111">
        <v>41700</v>
      </c>
      <c r="X53" s="111">
        <v>41310</v>
      </c>
      <c r="Y53" s="111">
        <v>40580</v>
      </c>
      <c r="Z53" s="111">
        <v>39340</v>
      </c>
      <c r="AA53" s="111">
        <v>39110</v>
      </c>
      <c r="AB53" s="111">
        <v>38720</v>
      </c>
      <c r="AC53" s="111">
        <v>38350</v>
      </c>
      <c r="AD53" s="111">
        <v>38300</v>
      </c>
      <c r="AE53" s="111">
        <v>37710</v>
      </c>
      <c r="AF53" s="111">
        <v>38490</v>
      </c>
      <c r="AG53" s="111">
        <v>38110</v>
      </c>
      <c r="AH53" s="111">
        <v>37160</v>
      </c>
      <c r="AI53" s="111">
        <v>36810</v>
      </c>
      <c r="AJ53" s="111">
        <v>37630</v>
      </c>
      <c r="AK53" s="111">
        <v>37770</v>
      </c>
      <c r="AL53" s="111">
        <v>38580</v>
      </c>
      <c r="AM53" s="111">
        <v>40120</v>
      </c>
      <c r="AN53" s="111">
        <v>41400</v>
      </c>
      <c r="AO53" s="111">
        <v>41240</v>
      </c>
      <c r="AP53" s="111">
        <v>42260</v>
      </c>
      <c r="AQ53" s="111">
        <v>42180</v>
      </c>
      <c r="AR53" s="111">
        <v>42080</v>
      </c>
      <c r="AS53" s="111">
        <v>41990</v>
      </c>
      <c r="AT53" s="111">
        <v>40880</v>
      </c>
      <c r="AU53" s="111">
        <v>40930</v>
      </c>
      <c r="AV53" s="111">
        <v>40570</v>
      </c>
      <c r="AW53" s="111">
        <v>40810</v>
      </c>
      <c r="AX53" s="111">
        <v>39990</v>
      </c>
      <c r="AY53" s="111">
        <v>39570</v>
      </c>
      <c r="AZ53" s="111">
        <v>39720</v>
      </c>
      <c r="BA53" s="111">
        <v>39170</v>
      </c>
      <c r="BB53" s="111">
        <v>39130</v>
      </c>
      <c r="BC53" s="111">
        <v>39080</v>
      </c>
      <c r="BD53" s="111">
        <v>39010</v>
      </c>
      <c r="BE53" s="111">
        <v>39130</v>
      </c>
      <c r="BF53" s="111">
        <v>39210</v>
      </c>
      <c r="BG53" s="111">
        <v>39260</v>
      </c>
      <c r="BH53" s="111">
        <v>39300</v>
      </c>
      <c r="BI53" s="111">
        <v>39330</v>
      </c>
      <c r="BJ53" s="111">
        <v>39350</v>
      </c>
      <c r="BK53" s="111">
        <v>39380</v>
      </c>
      <c r="BL53" s="111">
        <v>39410</v>
      </c>
      <c r="BM53" s="195">
        <v>39460</v>
      </c>
      <c r="BN53" s="195">
        <v>39530</v>
      </c>
      <c r="BO53" s="195">
        <v>39610</v>
      </c>
      <c r="BP53" s="195">
        <v>39730</v>
      </c>
      <c r="BQ53" s="195">
        <v>39860</v>
      </c>
    </row>
    <row r="54" spans="1:69">
      <c r="A54" s="28">
        <v>37</v>
      </c>
      <c r="B54" s="111">
        <v>32870</v>
      </c>
      <c r="C54" s="111">
        <v>32750</v>
      </c>
      <c r="D54" s="111">
        <v>33850</v>
      </c>
      <c r="E54" s="111">
        <v>33430</v>
      </c>
      <c r="F54" s="111">
        <v>32100</v>
      </c>
      <c r="G54" s="111">
        <v>30990</v>
      </c>
      <c r="H54" s="111">
        <v>29700</v>
      </c>
      <c r="I54" s="111">
        <v>28300</v>
      </c>
      <c r="J54" s="111">
        <v>28390</v>
      </c>
      <c r="K54" s="111">
        <v>28350</v>
      </c>
      <c r="L54" s="111">
        <v>29740</v>
      </c>
      <c r="M54" s="111">
        <v>30380</v>
      </c>
      <c r="N54" s="111">
        <v>31080</v>
      </c>
      <c r="O54" s="111">
        <v>32550</v>
      </c>
      <c r="P54" s="111">
        <v>33870</v>
      </c>
      <c r="Q54" s="111">
        <v>34560</v>
      </c>
      <c r="R54" s="111">
        <v>35340</v>
      </c>
      <c r="S54" s="111">
        <v>35950</v>
      </c>
      <c r="T54" s="111">
        <v>36810</v>
      </c>
      <c r="U54" s="111">
        <v>39320</v>
      </c>
      <c r="V54" s="111">
        <v>39660</v>
      </c>
      <c r="W54" s="111">
        <v>41360</v>
      </c>
      <c r="X54" s="111">
        <v>41950</v>
      </c>
      <c r="Y54" s="111">
        <v>41560</v>
      </c>
      <c r="Z54" s="111">
        <v>40830</v>
      </c>
      <c r="AA54" s="111">
        <v>39600</v>
      </c>
      <c r="AB54" s="111">
        <v>39360</v>
      </c>
      <c r="AC54" s="111">
        <v>38970</v>
      </c>
      <c r="AD54" s="111">
        <v>38600</v>
      </c>
      <c r="AE54" s="111">
        <v>38550</v>
      </c>
      <c r="AF54" s="111">
        <v>37960</v>
      </c>
      <c r="AG54" s="111">
        <v>38740</v>
      </c>
      <c r="AH54" s="111">
        <v>38360</v>
      </c>
      <c r="AI54" s="111">
        <v>37410</v>
      </c>
      <c r="AJ54" s="111">
        <v>37070</v>
      </c>
      <c r="AK54" s="111">
        <v>37880</v>
      </c>
      <c r="AL54" s="111">
        <v>38020</v>
      </c>
      <c r="AM54" s="111">
        <v>38830</v>
      </c>
      <c r="AN54" s="111">
        <v>40370</v>
      </c>
      <c r="AO54" s="111">
        <v>41660</v>
      </c>
      <c r="AP54" s="111">
        <v>41490</v>
      </c>
      <c r="AQ54" s="111">
        <v>42510</v>
      </c>
      <c r="AR54" s="111">
        <v>42440</v>
      </c>
      <c r="AS54" s="111">
        <v>42330</v>
      </c>
      <c r="AT54" s="111">
        <v>42240</v>
      </c>
      <c r="AU54" s="111">
        <v>41130</v>
      </c>
      <c r="AV54" s="111">
        <v>41190</v>
      </c>
      <c r="AW54" s="111">
        <v>40830</v>
      </c>
      <c r="AX54" s="111">
        <v>41060</v>
      </c>
      <c r="AY54" s="111">
        <v>40250</v>
      </c>
      <c r="AZ54" s="111">
        <v>39830</v>
      </c>
      <c r="BA54" s="111">
        <v>39980</v>
      </c>
      <c r="BB54" s="111">
        <v>39420</v>
      </c>
      <c r="BC54" s="111">
        <v>39390</v>
      </c>
      <c r="BD54" s="111">
        <v>39340</v>
      </c>
      <c r="BE54" s="111">
        <v>39270</v>
      </c>
      <c r="BF54" s="111">
        <v>39380</v>
      </c>
      <c r="BG54" s="111">
        <v>39460</v>
      </c>
      <c r="BH54" s="111">
        <v>39520</v>
      </c>
      <c r="BI54" s="111">
        <v>39560</v>
      </c>
      <c r="BJ54" s="111">
        <v>39580</v>
      </c>
      <c r="BK54" s="111">
        <v>39610</v>
      </c>
      <c r="BL54" s="111">
        <v>39640</v>
      </c>
      <c r="BM54" s="195">
        <v>39670</v>
      </c>
      <c r="BN54" s="195">
        <v>39720</v>
      </c>
      <c r="BO54" s="195">
        <v>39790</v>
      </c>
      <c r="BP54" s="195">
        <v>39870</v>
      </c>
      <c r="BQ54" s="195">
        <v>39990</v>
      </c>
    </row>
    <row r="55" spans="1:69">
      <c r="A55" s="28">
        <v>38</v>
      </c>
      <c r="B55" s="111">
        <v>32450</v>
      </c>
      <c r="C55" s="111">
        <v>33080</v>
      </c>
      <c r="D55" s="111">
        <v>32830</v>
      </c>
      <c r="E55" s="111">
        <v>34000</v>
      </c>
      <c r="F55" s="111">
        <v>33580</v>
      </c>
      <c r="G55" s="111">
        <v>32190</v>
      </c>
      <c r="H55" s="111">
        <v>30960</v>
      </c>
      <c r="I55" s="111">
        <v>29790</v>
      </c>
      <c r="J55" s="111">
        <v>28530</v>
      </c>
      <c r="K55" s="111">
        <v>28820</v>
      </c>
      <c r="L55" s="111">
        <v>28910</v>
      </c>
      <c r="M55" s="111">
        <v>30270</v>
      </c>
      <c r="N55" s="111">
        <v>30910</v>
      </c>
      <c r="O55" s="111">
        <v>31660</v>
      </c>
      <c r="P55" s="111">
        <v>33250</v>
      </c>
      <c r="Q55" s="111">
        <v>33970</v>
      </c>
      <c r="R55" s="111">
        <v>34740</v>
      </c>
      <c r="S55" s="111">
        <v>35550</v>
      </c>
      <c r="T55" s="111">
        <v>36170</v>
      </c>
      <c r="U55" s="111">
        <v>37030</v>
      </c>
      <c r="V55" s="111">
        <v>39540</v>
      </c>
      <c r="W55" s="111">
        <v>39880</v>
      </c>
      <c r="X55" s="111">
        <v>41580</v>
      </c>
      <c r="Y55" s="111">
        <v>42160</v>
      </c>
      <c r="Z55" s="111">
        <v>41780</v>
      </c>
      <c r="AA55" s="111">
        <v>41040</v>
      </c>
      <c r="AB55" s="111">
        <v>39810</v>
      </c>
      <c r="AC55" s="111">
        <v>39570</v>
      </c>
      <c r="AD55" s="111">
        <v>39190</v>
      </c>
      <c r="AE55" s="111">
        <v>38820</v>
      </c>
      <c r="AF55" s="111">
        <v>38770</v>
      </c>
      <c r="AG55" s="111">
        <v>38180</v>
      </c>
      <c r="AH55" s="111">
        <v>38960</v>
      </c>
      <c r="AI55" s="111">
        <v>38580</v>
      </c>
      <c r="AJ55" s="111">
        <v>37630</v>
      </c>
      <c r="AK55" s="111">
        <v>37290</v>
      </c>
      <c r="AL55" s="111">
        <v>38100</v>
      </c>
      <c r="AM55" s="111">
        <v>38240</v>
      </c>
      <c r="AN55" s="111">
        <v>39050</v>
      </c>
      <c r="AO55" s="111">
        <v>40590</v>
      </c>
      <c r="AP55" s="111">
        <v>41880</v>
      </c>
      <c r="AQ55" s="111">
        <v>41710</v>
      </c>
      <c r="AR55" s="111">
        <v>42730</v>
      </c>
      <c r="AS55" s="111">
        <v>42650</v>
      </c>
      <c r="AT55" s="111">
        <v>42550</v>
      </c>
      <c r="AU55" s="111">
        <v>42460</v>
      </c>
      <c r="AV55" s="111">
        <v>41350</v>
      </c>
      <c r="AW55" s="111">
        <v>41410</v>
      </c>
      <c r="AX55" s="111">
        <v>41050</v>
      </c>
      <c r="AY55" s="111">
        <v>41290</v>
      </c>
      <c r="AZ55" s="111">
        <v>40470</v>
      </c>
      <c r="BA55" s="111">
        <v>40050</v>
      </c>
      <c r="BB55" s="111">
        <v>40200</v>
      </c>
      <c r="BC55" s="111">
        <v>39640</v>
      </c>
      <c r="BD55" s="111">
        <v>39610</v>
      </c>
      <c r="BE55" s="111">
        <v>39560</v>
      </c>
      <c r="BF55" s="111">
        <v>39490</v>
      </c>
      <c r="BG55" s="111">
        <v>39610</v>
      </c>
      <c r="BH55" s="111">
        <v>39690</v>
      </c>
      <c r="BI55" s="111">
        <v>39740</v>
      </c>
      <c r="BJ55" s="111">
        <v>39780</v>
      </c>
      <c r="BK55" s="111">
        <v>39810</v>
      </c>
      <c r="BL55" s="111">
        <v>39830</v>
      </c>
      <c r="BM55" s="195">
        <v>39860</v>
      </c>
      <c r="BN55" s="195">
        <v>39900</v>
      </c>
      <c r="BO55" s="195">
        <v>39940</v>
      </c>
      <c r="BP55" s="195">
        <v>40010</v>
      </c>
      <c r="BQ55" s="195">
        <v>40100</v>
      </c>
    </row>
    <row r="56" spans="1:69">
      <c r="A56" s="28">
        <v>39</v>
      </c>
      <c r="B56" s="111">
        <v>32220</v>
      </c>
      <c r="C56" s="111">
        <v>32560</v>
      </c>
      <c r="D56" s="111">
        <v>33200</v>
      </c>
      <c r="E56" s="111">
        <v>32960</v>
      </c>
      <c r="F56" s="111">
        <v>34140</v>
      </c>
      <c r="G56" s="111">
        <v>33600</v>
      </c>
      <c r="H56" s="111">
        <v>32280</v>
      </c>
      <c r="I56" s="111">
        <v>31070</v>
      </c>
      <c r="J56" s="111">
        <v>30010</v>
      </c>
      <c r="K56" s="111">
        <v>28830</v>
      </c>
      <c r="L56" s="111">
        <v>29270</v>
      </c>
      <c r="M56" s="111">
        <v>29420</v>
      </c>
      <c r="N56" s="111">
        <v>30700</v>
      </c>
      <c r="O56" s="111">
        <v>31400</v>
      </c>
      <c r="P56" s="111">
        <v>32290</v>
      </c>
      <c r="Q56" s="111">
        <v>33350</v>
      </c>
      <c r="R56" s="111">
        <v>34130</v>
      </c>
      <c r="S56" s="111">
        <v>34930</v>
      </c>
      <c r="T56" s="111">
        <v>35730</v>
      </c>
      <c r="U56" s="111">
        <v>36350</v>
      </c>
      <c r="V56" s="111">
        <v>37210</v>
      </c>
      <c r="W56" s="111">
        <v>39720</v>
      </c>
      <c r="X56" s="111">
        <v>40060</v>
      </c>
      <c r="Y56" s="111">
        <v>41760</v>
      </c>
      <c r="Z56" s="111">
        <v>42340</v>
      </c>
      <c r="AA56" s="111">
        <v>41960</v>
      </c>
      <c r="AB56" s="111">
        <v>41230</v>
      </c>
      <c r="AC56" s="111">
        <v>40000</v>
      </c>
      <c r="AD56" s="111">
        <v>39760</v>
      </c>
      <c r="AE56" s="111">
        <v>39380</v>
      </c>
      <c r="AF56" s="111">
        <v>39000</v>
      </c>
      <c r="AG56" s="111">
        <v>38960</v>
      </c>
      <c r="AH56" s="111">
        <v>38370</v>
      </c>
      <c r="AI56" s="111">
        <v>39140</v>
      </c>
      <c r="AJ56" s="111">
        <v>38760</v>
      </c>
      <c r="AK56" s="111">
        <v>37820</v>
      </c>
      <c r="AL56" s="111">
        <v>37480</v>
      </c>
      <c r="AM56" s="111">
        <v>38290</v>
      </c>
      <c r="AN56" s="111">
        <v>38430</v>
      </c>
      <c r="AO56" s="111">
        <v>39240</v>
      </c>
      <c r="AP56" s="111">
        <v>40780</v>
      </c>
      <c r="AQ56" s="111">
        <v>42060</v>
      </c>
      <c r="AR56" s="111">
        <v>41900</v>
      </c>
      <c r="AS56" s="111">
        <v>42920</v>
      </c>
      <c r="AT56" s="111">
        <v>42840</v>
      </c>
      <c r="AU56" s="111">
        <v>42740</v>
      </c>
      <c r="AV56" s="111">
        <v>42650</v>
      </c>
      <c r="AW56" s="111">
        <v>41540</v>
      </c>
      <c r="AX56" s="111">
        <v>41600</v>
      </c>
      <c r="AY56" s="111">
        <v>41240</v>
      </c>
      <c r="AZ56" s="111">
        <v>41480</v>
      </c>
      <c r="BA56" s="111">
        <v>40660</v>
      </c>
      <c r="BB56" s="111">
        <v>40240</v>
      </c>
      <c r="BC56" s="111">
        <v>40390</v>
      </c>
      <c r="BD56" s="111">
        <v>39840</v>
      </c>
      <c r="BE56" s="111">
        <v>39800</v>
      </c>
      <c r="BF56" s="111">
        <v>39750</v>
      </c>
      <c r="BG56" s="111">
        <v>39680</v>
      </c>
      <c r="BH56" s="111">
        <v>39800</v>
      </c>
      <c r="BI56" s="111">
        <v>39880</v>
      </c>
      <c r="BJ56" s="111">
        <v>39940</v>
      </c>
      <c r="BK56" s="111">
        <v>39970</v>
      </c>
      <c r="BL56" s="111">
        <v>40000</v>
      </c>
      <c r="BM56" s="195">
        <v>40030</v>
      </c>
      <c r="BN56" s="195">
        <v>40050</v>
      </c>
      <c r="BO56" s="195">
        <v>40090</v>
      </c>
      <c r="BP56" s="195">
        <v>40140</v>
      </c>
      <c r="BQ56" s="195">
        <v>40200</v>
      </c>
    </row>
    <row r="57" spans="1:69">
      <c r="A57" s="28">
        <v>40</v>
      </c>
      <c r="B57" s="111">
        <v>32020</v>
      </c>
      <c r="C57" s="111">
        <v>32380</v>
      </c>
      <c r="D57" s="111">
        <v>32680</v>
      </c>
      <c r="E57" s="111">
        <v>33300</v>
      </c>
      <c r="F57" s="111">
        <v>33100</v>
      </c>
      <c r="G57" s="111">
        <v>34190</v>
      </c>
      <c r="H57" s="111">
        <v>33550</v>
      </c>
      <c r="I57" s="111">
        <v>32360</v>
      </c>
      <c r="J57" s="111">
        <v>31360</v>
      </c>
      <c r="K57" s="111">
        <v>30330</v>
      </c>
      <c r="L57" s="111">
        <v>29240</v>
      </c>
      <c r="M57" s="111">
        <v>29740</v>
      </c>
      <c r="N57" s="111">
        <v>29870</v>
      </c>
      <c r="O57" s="111">
        <v>31150</v>
      </c>
      <c r="P57" s="111">
        <v>32000</v>
      </c>
      <c r="Q57" s="111">
        <v>32370</v>
      </c>
      <c r="R57" s="111">
        <v>33490</v>
      </c>
      <c r="S57" s="111">
        <v>34310</v>
      </c>
      <c r="T57" s="111">
        <v>35090</v>
      </c>
      <c r="U57" s="111">
        <v>35890</v>
      </c>
      <c r="V57" s="111">
        <v>36510</v>
      </c>
      <c r="W57" s="111">
        <v>37370</v>
      </c>
      <c r="X57" s="111">
        <v>39880</v>
      </c>
      <c r="Y57" s="111">
        <v>40220</v>
      </c>
      <c r="Z57" s="111">
        <v>41910</v>
      </c>
      <c r="AA57" s="111">
        <v>42500</v>
      </c>
      <c r="AB57" s="111">
        <v>42120</v>
      </c>
      <c r="AC57" s="111">
        <v>41380</v>
      </c>
      <c r="AD57" s="111">
        <v>40150</v>
      </c>
      <c r="AE57" s="111">
        <v>39920</v>
      </c>
      <c r="AF57" s="111">
        <v>39540</v>
      </c>
      <c r="AG57" s="111">
        <v>39160</v>
      </c>
      <c r="AH57" s="111">
        <v>39120</v>
      </c>
      <c r="AI57" s="111">
        <v>38530</v>
      </c>
      <c r="AJ57" s="111">
        <v>39300</v>
      </c>
      <c r="AK57" s="111">
        <v>38930</v>
      </c>
      <c r="AL57" s="111">
        <v>37980</v>
      </c>
      <c r="AM57" s="111">
        <v>37640</v>
      </c>
      <c r="AN57" s="111">
        <v>38450</v>
      </c>
      <c r="AO57" s="111">
        <v>38590</v>
      </c>
      <c r="AP57" s="111">
        <v>39400</v>
      </c>
      <c r="AQ57" s="111">
        <v>40940</v>
      </c>
      <c r="AR57" s="111">
        <v>42220</v>
      </c>
      <c r="AS57" s="111">
        <v>42060</v>
      </c>
      <c r="AT57" s="111">
        <v>43080</v>
      </c>
      <c r="AU57" s="111">
        <v>43000</v>
      </c>
      <c r="AV57" s="111">
        <v>42900</v>
      </c>
      <c r="AW57" s="111">
        <v>42810</v>
      </c>
      <c r="AX57" s="111">
        <v>41700</v>
      </c>
      <c r="AY57" s="111">
        <v>41760</v>
      </c>
      <c r="AZ57" s="111">
        <v>41400</v>
      </c>
      <c r="BA57" s="111">
        <v>41640</v>
      </c>
      <c r="BB57" s="111">
        <v>40830</v>
      </c>
      <c r="BC57" s="111">
        <v>40410</v>
      </c>
      <c r="BD57" s="111">
        <v>40560</v>
      </c>
      <c r="BE57" s="111">
        <v>40000</v>
      </c>
      <c r="BF57" s="111">
        <v>39970</v>
      </c>
      <c r="BG57" s="111">
        <v>39920</v>
      </c>
      <c r="BH57" s="111">
        <v>39850</v>
      </c>
      <c r="BI57" s="111">
        <v>39970</v>
      </c>
      <c r="BJ57" s="111">
        <v>40050</v>
      </c>
      <c r="BK57" s="111">
        <v>40100</v>
      </c>
      <c r="BL57" s="111">
        <v>40140</v>
      </c>
      <c r="BM57" s="195">
        <v>40170</v>
      </c>
      <c r="BN57" s="195">
        <v>40190</v>
      </c>
      <c r="BO57" s="195">
        <v>40220</v>
      </c>
      <c r="BP57" s="195">
        <v>40260</v>
      </c>
      <c r="BQ57" s="195">
        <v>40310</v>
      </c>
    </row>
    <row r="58" spans="1:69">
      <c r="A58" s="28">
        <v>41</v>
      </c>
      <c r="B58" s="111">
        <v>32420</v>
      </c>
      <c r="C58" s="111">
        <v>32110</v>
      </c>
      <c r="D58" s="111">
        <v>32440</v>
      </c>
      <c r="E58" s="111">
        <v>32740</v>
      </c>
      <c r="F58" s="111">
        <v>33370</v>
      </c>
      <c r="G58" s="111">
        <v>33100</v>
      </c>
      <c r="H58" s="111">
        <v>34190</v>
      </c>
      <c r="I58" s="111">
        <v>33550</v>
      </c>
      <c r="J58" s="111">
        <v>32470</v>
      </c>
      <c r="K58" s="111">
        <v>31700</v>
      </c>
      <c r="L58" s="111">
        <v>30750</v>
      </c>
      <c r="M58" s="111">
        <v>29630</v>
      </c>
      <c r="N58" s="111">
        <v>30090</v>
      </c>
      <c r="O58" s="111">
        <v>30260</v>
      </c>
      <c r="P58" s="111">
        <v>31670</v>
      </c>
      <c r="Q58" s="111">
        <v>32070</v>
      </c>
      <c r="R58" s="111">
        <v>32500</v>
      </c>
      <c r="S58" s="111">
        <v>33650</v>
      </c>
      <c r="T58" s="111">
        <v>34430</v>
      </c>
      <c r="U58" s="111">
        <v>35210</v>
      </c>
      <c r="V58" s="111">
        <v>36010</v>
      </c>
      <c r="W58" s="111">
        <v>36630</v>
      </c>
      <c r="X58" s="111">
        <v>37490</v>
      </c>
      <c r="Y58" s="111">
        <v>40000</v>
      </c>
      <c r="Z58" s="111">
        <v>40340</v>
      </c>
      <c r="AA58" s="111">
        <v>42040</v>
      </c>
      <c r="AB58" s="111">
        <v>42620</v>
      </c>
      <c r="AC58" s="111">
        <v>42240</v>
      </c>
      <c r="AD58" s="111">
        <v>41510</v>
      </c>
      <c r="AE58" s="111">
        <v>40280</v>
      </c>
      <c r="AF58" s="111">
        <v>40040</v>
      </c>
      <c r="AG58" s="111">
        <v>39660</v>
      </c>
      <c r="AH58" s="111">
        <v>39290</v>
      </c>
      <c r="AI58" s="111">
        <v>39240</v>
      </c>
      <c r="AJ58" s="111">
        <v>38660</v>
      </c>
      <c r="AK58" s="111">
        <v>39430</v>
      </c>
      <c r="AL58" s="111">
        <v>39050</v>
      </c>
      <c r="AM58" s="111">
        <v>38110</v>
      </c>
      <c r="AN58" s="111">
        <v>37770</v>
      </c>
      <c r="AO58" s="111">
        <v>38580</v>
      </c>
      <c r="AP58" s="111">
        <v>38720</v>
      </c>
      <c r="AQ58" s="111">
        <v>39530</v>
      </c>
      <c r="AR58" s="111">
        <v>41070</v>
      </c>
      <c r="AS58" s="111">
        <v>42350</v>
      </c>
      <c r="AT58" s="111">
        <v>42190</v>
      </c>
      <c r="AU58" s="111">
        <v>43210</v>
      </c>
      <c r="AV58" s="111">
        <v>43130</v>
      </c>
      <c r="AW58" s="111">
        <v>43030</v>
      </c>
      <c r="AX58" s="111">
        <v>42940</v>
      </c>
      <c r="AY58" s="111">
        <v>41830</v>
      </c>
      <c r="AZ58" s="111">
        <v>41890</v>
      </c>
      <c r="BA58" s="111">
        <v>41530</v>
      </c>
      <c r="BB58" s="111">
        <v>41770</v>
      </c>
      <c r="BC58" s="111">
        <v>40960</v>
      </c>
      <c r="BD58" s="111">
        <v>40540</v>
      </c>
      <c r="BE58" s="111">
        <v>40690</v>
      </c>
      <c r="BF58" s="111">
        <v>40130</v>
      </c>
      <c r="BG58" s="111">
        <v>40100</v>
      </c>
      <c r="BH58" s="111">
        <v>40050</v>
      </c>
      <c r="BI58" s="111">
        <v>39980</v>
      </c>
      <c r="BJ58" s="111">
        <v>40100</v>
      </c>
      <c r="BK58" s="111">
        <v>40180</v>
      </c>
      <c r="BL58" s="111">
        <v>40240</v>
      </c>
      <c r="BM58" s="195">
        <v>40270</v>
      </c>
      <c r="BN58" s="195">
        <v>40300</v>
      </c>
      <c r="BO58" s="195">
        <v>40330</v>
      </c>
      <c r="BP58" s="195">
        <v>40360</v>
      </c>
      <c r="BQ58" s="195">
        <v>40390</v>
      </c>
    </row>
    <row r="59" spans="1:69">
      <c r="A59" s="28">
        <v>42</v>
      </c>
      <c r="B59" s="111">
        <v>33510</v>
      </c>
      <c r="C59" s="111">
        <v>32510</v>
      </c>
      <c r="D59" s="111">
        <v>32160</v>
      </c>
      <c r="E59" s="111">
        <v>32460</v>
      </c>
      <c r="F59" s="111">
        <v>32800</v>
      </c>
      <c r="G59" s="111">
        <v>33360</v>
      </c>
      <c r="H59" s="111">
        <v>33050</v>
      </c>
      <c r="I59" s="111">
        <v>34240</v>
      </c>
      <c r="J59" s="111">
        <v>33780</v>
      </c>
      <c r="K59" s="111">
        <v>32700</v>
      </c>
      <c r="L59" s="111">
        <v>32070</v>
      </c>
      <c r="M59" s="111">
        <v>31120</v>
      </c>
      <c r="N59" s="111">
        <v>29920</v>
      </c>
      <c r="O59" s="111">
        <v>30410</v>
      </c>
      <c r="P59" s="111">
        <v>30730</v>
      </c>
      <c r="Q59" s="111">
        <v>31740</v>
      </c>
      <c r="R59" s="111">
        <v>32190</v>
      </c>
      <c r="S59" s="111">
        <v>32630</v>
      </c>
      <c r="T59" s="111">
        <v>33730</v>
      </c>
      <c r="U59" s="111">
        <v>34520</v>
      </c>
      <c r="V59" s="111">
        <v>35300</v>
      </c>
      <c r="W59" s="111">
        <v>36100</v>
      </c>
      <c r="X59" s="111">
        <v>36710</v>
      </c>
      <c r="Y59" s="111">
        <v>37570</v>
      </c>
      <c r="Z59" s="111">
        <v>40080</v>
      </c>
      <c r="AA59" s="111">
        <v>40420</v>
      </c>
      <c r="AB59" s="111">
        <v>42120</v>
      </c>
      <c r="AC59" s="111">
        <v>42700</v>
      </c>
      <c r="AD59" s="111">
        <v>42320</v>
      </c>
      <c r="AE59" s="111">
        <v>41590</v>
      </c>
      <c r="AF59" s="111">
        <v>40360</v>
      </c>
      <c r="AG59" s="111">
        <v>40130</v>
      </c>
      <c r="AH59" s="111">
        <v>39750</v>
      </c>
      <c r="AI59" s="111">
        <v>39370</v>
      </c>
      <c r="AJ59" s="111">
        <v>39330</v>
      </c>
      <c r="AK59" s="111">
        <v>38740</v>
      </c>
      <c r="AL59" s="111">
        <v>39520</v>
      </c>
      <c r="AM59" s="111">
        <v>39140</v>
      </c>
      <c r="AN59" s="111">
        <v>38200</v>
      </c>
      <c r="AO59" s="111">
        <v>37860</v>
      </c>
      <c r="AP59" s="111">
        <v>38670</v>
      </c>
      <c r="AQ59" s="111">
        <v>38810</v>
      </c>
      <c r="AR59" s="111">
        <v>39620</v>
      </c>
      <c r="AS59" s="111">
        <v>41160</v>
      </c>
      <c r="AT59" s="111">
        <v>42440</v>
      </c>
      <c r="AU59" s="111">
        <v>42280</v>
      </c>
      <c r="AV59" s="111">
        <v>43300</v>
      </c>
      <c r="AW59" s="111">
        <v>43220</v>
      </c>
      <c r="AX59" s="111">
        <v>43120</v>
      </c>
      <c r="AY59" s="111">
        <v>43030</v>
      </c>
      <c r="AZ59" s="111">
        <v>41920</v>
      </c>
      <c r="BA59" s="111">
        <v>41980</v>
      </c>
      <c r="BB59" s="111">
        <v>41620</v>
      </c>
      <c r="BC59" s="111">
        <v>41860</v>
      </c>
      <c r="BD59" s="111">
        <v>41050</v>
      </c>
      <c r="BE59" s="111">
        <v>40630</v>
      </c>
      <c r="BF59" s="111">
        <v>40780</v>
      </c>
      <c r="BG59" s="111">
        <v>40230</v>
      </c>
      <c r="BH59" s="111">
        <v>40200</v>
      </c>
      <c r="BI59" s="111">
        <v>40140</v>
      </c>
      <c r="BJ59" s="111">
        <v>40080</v>
      </c>
      <c r="BK59" s="111">
        <v>40190</v>
      </c>
      <c r="BL59" s="111">
        <v>40280</v>
      </c>
      <c r="BM59" s="195">
        <v>40330</v>
      </c>
      <c r="BN59" s="195">
        <v>40370</v>
      </c>
      <c r="BO59" s="195">
        <v>40400</v>
      </c>
      <c r="BP59" s="195">
        <v>40420</v>
      </c>
      <c r="BQ59" s="195">
        <v>40450</v>
      </c>
    </row>
    <row r="60" spans="1:69">
      <c r="A60" s="28">
        <v>43</v>
      </c>
      <c r="B60" s="111">
        <v>34420</v>
      </c>
      <c r="C60" s="111">
        <v>33610</v>
      </c>
      <c r="D60" s="111">
        <v>32450</v>
      </c>
      <c r="E60" s="111">
        <v>32140</v>
      </c>
      <c r="F60" s="111">
        <v>32540</v>
      </c>
      <c r="G60" s="111">
        <v>32750</v>
      </c>
      <c r="H60" s="111">
        <v>33270</v>
      </c>
      <c r="I60" s="111">
        <v>33070</v>
      </c>
      <c r="J60" s="111">
        <v>34380</v>
      </c>
      <c r="K60" s="111">
        <v>34030</v>
      </c>
      <c r="L60" s="111">
        <v>32940</v>
      </c>
      <c r="M60" s="111">
        <v>32390</v>
      </c>
      <c r="N60" s="111">
        <v>31330</v>
      </c>
      <c r="O60" s="111">
        <v>30230</v>
      </c>
      <c r="P60" s="111">
        <v>30820</v>
      </c>
      <c r="Q60" s="111">
        <v>30790</v>
      </c>
      <c r="R60" s="111">
        <v>31840</v>
      </c>
      <c r="S60" s="111">
        <v>32300</v>
      </c>
      <c r="T60" s="111">
        <v>32690</v>
      </c>
      <c r="U60" s="111">
        <v>33790</v>
      </c>
      <c r="V60" s="111">
        <v>34570</v>
      </c>
      <c r="W60" s="111">
        <v>35350</v>
      </c>
      <c r="X60" s="111">
        <v>36150</v>
      </c>
      <c r="Y60" s="111">
        <v>36770</v>
      </c>
      <c r="Z60" s="111">
        <v>37630</v>
      </c>
      <c r="AA60" s="111">
        <v>40130</v>
      </c>
      <c r="AB60" s="111">
        <v>40480</v>
      </c>
      <c r="AC60" s="111">
        <v>42170</v>
      </c>
      <c r="AD60" s="111">
        <v>42750</v>
      </c>
      <c r="AE60" s="111">
        <v>42370</v>
      </c>
      <c r="AF60" s="111">
        <v>41650</v>
      </c>
      <c r="AG60" s="111">
        <v>40420</v>
      </c>
      <c r="AH60" s="111">
        <v>40180</v>
      </c>
      <c r="AI60" s="111">
        <v>39800</v>
      </c>
      <c r="AJ60" s="111">
        <v>39430</v>
      </c>
      <c r="AK60" s="111">
        <v>39390</v>
      </c>
      <c r="AL60" s="111">
        <v>38800</v>
      </c>
      <c r="AM60" s="111">
        <v>39580</v>
      </c>
      <c r="AN60" s="111">
        <v>39200</v>
      </c>
      <c r="AO60" s="111">
        <v>38260</v>
      </c>
      <c r="AP60" s="111">
        <v>37920</v>
      </c>
      <c r="AQ60" s="111">
        <v>38730</v>
      </c>
      <c r="AR60" s="111">
        <v>38870</v>
      </c>
      <c r="AS60" s="111">
        <v>39680</v>
      </c>
      <c r="AT60" s="111">
        <v>41220</v>
      </c>
      <c r="AU60" s="111">
        <v>42500</v>
      </c>
      <c r="AV60" s="111">
        <v>42340</v>
      </c>
      <c r="AW60" s="111">
        <v>43360</v>
      </c>
      <c r="AX60" s="111">
        <v>43280</v>
      </c>
      <c r="AY60" s="111">
        <v>43180</v>
      </c>
      <c r="AZ60" s="111">
        <v>43090</v>
      </c>
      <c r="BA60" s="111">
        <v>41990</v>
      </c>
      <c r="BB60" s="111">
        <v>42050</v>
      </c>
      <c r="BC60" s="111">
        <v>41690</v>
      </c>
      <c r="BD60" s="111">
        <v>41930</v>
      </c>
      <c r="BE60" s="111">
        <v>41120</v>
      </c>
      <c r="BF60" s="111">
        <v>40700</v>
      </c>
      <c r="BG60" s="111">
        <v>40850</v>
      </c>
      <c r="BH60" s="111">
        <v>40300</v>
      </c>
      <c r="BI60" s="111">
        <v>40260</v>
      </c>
      <c r="BJ60" s="111">
        <v>40210</v>
      </c>
      <c r="BK60" s="111">
        <v>40140</v>
      </c>
      <c r="BL60" s="111">
        <v>40260</v>
      </c>
      <c r="BM60" s="195">
        <v>40340</v>
      </c>
      <c r="BN60" s="195">
        <v>40400</v>
      </c>
      <c r="BO60" s="195">
        <v>40440</v>
      </c>
      <c r="BP60" s="195">
        <v>40470</v>
      </c>
      <c r="BQ60" s="195">
        <v>40490</v>
      </c>
    </row>
    <row r="61" spans="1:69">
      <c r="A61" s="28">
        <v>44</v>
      </c>
      <c r="B61" s="111">
        <v>34170</v>
      </c>
      <c r="C61" s="111">
        <v>34490</v>
      </c>
      <c r="D61" s="111">
        <v>33560</v>
      </c>
      <c r="E61" s="111">
        <v>32440</v>
      </c>
      <c r="F61" s="111">
        <v>32160</v>
      </c>
      <c r="G61" s="111">
        <v>32530</v>
      </c>
      <c r="H61" s="111">
        <v>32680</v>
      </c>
      <c r="I61" s="111">
        <v>33180</v>
      </c>
      <c r="J61" s="111">
        <v>33220</v>
      </c>
      <c r="K61" s="111">
        <v>34610</v>
      </c>
      <c r="L61" s="111">
        <v>34330</v>
      </c>
      <c r="M61" s="111">
        <v>33220</v>
      </c>
      <c r="N61" s="111">
        <v>32670</v>
      </c>
      <c r="O61" s="111">
        <v>31570</v>
      </c>
      <c r="P61" s="111">
        <v>30610</v>
      </c>
      <c r="Q61" s="111">
        <v>30870</v>
      </c>
      <c r="R61" s="111">
        <v>30880</v>
      </c>
      <c r="S61" s="111">
        <v>31940</v>
      </c>
      <c r="T61" s="111">
        <v>32330</v>
      </c>
      <c r="U61" s="111">
        <v>32710</v>
      </c>
      <c r="V61" s="111">
        <v>33810</v>
      </c>
      <c r="W61" s="111">
        <v>34600</v>
      </c>
      <c r="X61" s="111">
        <v>35380</v>
      </c>
      <c r="Y61" s="111">
        <v>36180</v>
      </c>
      <c r="Z61" s="111">
        <v>36790</v>
      </c>
      <c r="AA61" s="111">
        <v>37650</v>
      </c>
      <c r="AB61" s="111">
        <v>40160</v>
      </c>
      <c r="AC61" s="111">
        <v>40500</v>
      </c>
      <c r="AD61" s="111">
        <v>42190</v>
      </c>
      <c r="AE61" s="111">
        <v>42770</v>
      </c>
      <c r="AF61" s="111">
        <v>42400</v>
      </c>
      <c r="AG61" s="111">
        <v>41670</v>
      </c>
      <c r="AH61" s="111">
        <v>40440</v>
      </c>
      <c r="AI61" s="111">
        <v>40210</v>
      </c>
      <c r="AJ61" s="111">
        <v>39830</v>
      </c>
      <c r="AK61" s="111">
        <v>39460</v>
      </c>
      <c r="AL61" s="111">
        <v>39420</v>
      </c>
      <c r="AM61" s="111">
        <v>38830</v>
      </c>
      <c r="AN61" s="111">
        <v>39610</v>
      </c>
      <c r="AO61" s="111">
        <v>39230</v>
      </c>
      <c r="AP61" s="111">
        <v>38290</v>
      </c>
      <c r="AQ61" s="111">
        <v>37950</v>
      </c>
      <c r="AR61" s="111">
        <v>38760</v>
      </c>
      <c r="AS61" s="111">
        <v>38910</v>
      </c>
      <c r="AT61" s="111">
        <v>39720</v>
      </c>
      <c r="AU61" s="111">
        <v>41250</v>
      </c>
      <c r="AV61" s="111">
        <v>42530</v>
      </c>
      <c r="AW61" s="111">
        <v>42370</v>
      </c>
      <c r="AX61" s="111">
        <v>43390</v>
      </c>
      <c r="AY61" s="111">
        <v>43310</v>
      </c>
      <c r="AZ61" s="111">
        <v>43210</v>
      </c>
      <c r="BA61" s="111">
        <v>43120</v>
      </c>
      <c r="BB61" s="111">
        <v>42020</v>
      </c>
      <c r="BC61" s="111">
        <v>42080</v>
      </c>
      <c r="BD61" s="111">
        <v>41720</v>
      </c>
      <c r="BE61" s="111">
        <v>41960</v>
      </c>
      <c r="BF61" s="111">
        <v>41150</v>
      </c>
      <c r="BG61" s="111">
        <v>40740</v>
      </c>
      <c r="BH61" s="111">
        <v>40890</v>
      </c>
      <c r="BI61" s="111">
        <v>40330</v>
      </c>
      <c r="BJ61" s="111">
        <v>40300</v>
      </c>
      <c r="BK61" s="111">
        <v>40250</v>
      </c>
      <c r="BL61" s="111">
        <v>40180</v>
      </c>
      <c r="BM61" s="195">
        <v>40300</v>
      </c>
      <c r="BN61" s="195">
        <v>40380</v>
      </c>
      <c r="BO61" s="195">
        <v>40440</v>
      </c>
      <c r="BP61" s="195">
        <v>40480</v>
      </c>
      <c r="BQ61" s="195">
        <v>40510</v>
      </c>
    </row>
    <row r="62" spans="1:69">
      <c r="A62" s="28">
        <v>45</v>
      </c>
      <c r="B62" s="111">
        <v>33510</v>
      </c>
      <c r="C62" s="111">
        <v>34170</v>
      </c>
      <c r="D62" s="111">
        <v>34370</v>
      </c>
      <c r="E62" s="111">
        <v>33510</v>
      </c>
      <c r="F62" s="111">
        <v>32390</v>
      </c>
      <c r="G62" s="111">
        <v>32090</v>
      </c>
      <c r="H62" s="111">
        <v>32440</v>
      </c>
      <c r="I62" s="111">
        <v>32650</v>
      </c>
      <c r="J62" s="111">
        <v>33280</v>
      </c>
      <c r="K62" s="111">
        <v>33400</v>
      </c>
      <c r="L62" s="111">
        <v>34850</v>
      </c>
      <c r="M62" s="111">
        <v>34620</v>
      </c>
      <c r="N62" s="111">
        <v>33450</v>
      </c>
      <c r="O62" s="111">
        <v>32870</v>
      </c>
      <c r="P62" s="111">
        <v>31940</v>
      </c>
      <c r="Q62" s="111">
        <v>30660</v>
      </c>
      <c r="R62" s="111">
        <v>30950</v>
      </c>
      <c r="S62" s="111">
        <v>30960</v>
      </c>
      <c r="T62" s="111">
        <v>31940</v>
      </c>
      <c r="U62" s="111">
        <v>32330</v>
      </c>
      <c r="V62" s="111">
        <v>32710</v>
      </c>
      <c r="W62" s="111">
        <v>33810</v>
      </c>
      <c r="X62" s="111">
        <v>34590</v>
      </c>
      <c r="Y62" s="111">
        <v>35380</v>
      </c>
      <c r="Z62" s="111">
        <v>36170</v>
      </c>
      <c r="AA62" s="111">
        <v>36790</v>
      </c>
      <c r="AB62" s="111">
        <v>37650</v>
      </c>
      <c r="AC62" s="111">
        <v>40150</v>
      </c>
      <c r="AD62" s="111">
        <v>40490</v>
      </c>
      <c r="AE62" s="111">
        <v>42190</v>
      </c>
      <c r="AF62" s="111">
        <v>42770</v>
      </c>
      <c r="AG62" s="111">
        <v>42390</v>
      </c>
      <c r="AH62" s="111">
        <v>41670</v>
      </c>
      <c r="AI62" s="111">
        <v>40440</v>
      </c>
      <c r="AJ62" s="111">
        <v>40210</v>
      </c>
      <c r="AK62" s="111">
        <v>39830</v>
      </c>
      <c r="AL62" s="111">
        <v>39460</v>
      </c>
      <c r="AM62" s="111">
        <v>39420</v>
      </c>
      <c r="AN62" s="111">
        <v>38830</v>
      </c>
      <c r="AO62" s="111">
        <v>39610</v>
      </c>
      <c r="AP62" s="111">
        <v>39230</v>
      </c>
      <c r="AQ62" s="111">
        <v>38290</v>
      </c>
      <c r="AR62" s="111">
        <v>37950</v>
      </c>
      <c r="AS62" s="111">
        <v>38770</v>
      </c>
      <c r="AT62" s="111">
        <v>38910</v>
      </c>
      <c r="AU62" s="111">
        <v>39720</v>
      </c>
      <c r="AV62" s="111">
        <v>41250</v>
      </c>
      <c r="AW62" s="111">
        <v>42540</v>
      </c>
      <c r="AX62" s="111">
        <v>42370</v>
      </c>
      <c r="AY62" s="111">
        <v>43400</v>
      </c>
      <c r="AZ62" s="111">
        <v>43320</v>
      </c>
      <c r="BA62" s="111">
        <v>43220</v>
      </c>
      <c r="BB62" s="111">
        <v>43130</v>
      </c>
      <c r="BC62" s="111">
        <v>42030</v>
      </c>
      <c r="BD62" s="111">
        <v>42090</v>
      </c>
      <c r="BE62" s="111">
        <v>41730</v>
      </c>
      <c r="BF62" s="111">
        <v>41970</v>
      </c>
      <c r="BG62" s="111">
        <v>41160</v>
      </c>
      <c r="BH62" s="111">
        <v>40750</v>
      </c>
      <c r="BI62" s="111">
        <v>40900</v>
      </c>
      <c r="BJ62" s="111">
        <v>40340</v>
      </c>
      <c r="BK62" s="111">
        <v>40310</v>
      </c>
      <c r="BL62" s="111">
        <v>40260</v>
      </c>
      <c r="BM62" s="195">
        <v>40190</v>
      </c>
      <c r="BN62" s="195">
        <v>40310</v>
      </c>
      <c r="BO62" s="195">
        <v>40390</v>
      </c>
      <c r="BP62" s="195">
        <v>40450</v>
      </c>
      <c r="BQ62" s="195">
        <v>40490</v>
      </c>
    </row>
    <row r="63" spans="1:69">
      <c r="A63" s="28">
        <v>46</v>
      </c>
      <c r="B63" s="111">
        <v>31920</v>
      </c>
      <c r="C63" s="111">
        <v>33480</v>
      </c>
      <c r="D63" s="111">
        <v>34110</v>
      </c>
      <c r="E63" s="111">
        <v>34280</v>
      </c>
      <c r="F63" s="111">
        <v>33480</v>
      </c>
      <c r="G63" s="111">
        <v>32280</v>
      </c>
      <c r="H63" s="111">
        <v>31920</v>
      </c>
      <c r="I63" s="111">
        <v>32390</v>
      </c>
      <c r="J63" s="111">
        <v>32740</v>
      </c>
      <c r="K63" s="111">
        <v>33380</v>
      </c>
      <c r="L63" s="111">
        <v>33550</v>
      </c>
      <c r="M63" s="111">
        <v>35030</v>
      </c>
      <c r="N63" s="111">
        <v>34820</v>
      </c>
      <c r="O63" s="111">
        <v>33590</v>
      </c>
      <c r="P63" s="111">
        <v>33180</v>
      </c>
      <c r="Q63" s="111">
        <v>31980</v>
      </c>
      <c r="R63" s="111">
        <v>30730</v>
      </c>
      <c r="S63" s="111">
        <v>31020</v>
      </c>
      <c r="T63" s="111">
        <v>30930</v>
      </c>
      <c r="U63" s="111">
        <v>31910</v>
      </c>
      <c r="V63" s="111">
        <v>32300</v>
      </c>
      <c r="W63" s="111">
        <v>32680</v>
      </c>
      <c r="X63" s="111">
        <v>33780</v>
      </c>
      <c r="Y63" s="111">
        <v>34560</v>
      </c>
      <c r="Z63" s="111">
        <v>35340</v>
      </c>
      <c r="AA63" s="111">
        <v>36140</v>
      </c>
      <c r="AB63" s="111">
        <v>36760</v>
      </c>
      <c r="AC63" s="111">
        <v>37620</v>
      </c>
      <c r="AD63" s="111">
        <v>40120</v>
      </c>
      <c r="AE63" s="111">
        <v>40460</v>
      </c>
      <c r="AF63" s="111">
        <v>42150</v>
      </c>
      <c r="AG63" s="111">
        <v>42730</v>
      </c>
      <c r="AH63" s="111">
        <v>42360</v>
      </c>
      <c r="AI63" s="111">
        <v>41630</v>
      </c>
      <c r="AJ63" s="111">
        <v>40410</v>
      </c>
      <c r="AK63" s="111">
        <v>40180</v>
      </c>
      <c r="AL63" s="111">
        <v>39800</v>
      </c>
      <c r="AM63" s="111">
        <v>39430</v>
      </c>
      <c r="AN63" s="111">
        <v>39390</v>
      </c>
      <c r="AO63" s="111">
        <v>38810</v>
      </c>
      <c r="AP63" s="111">
        <v>39580</v>
      </c>
      <c r="AQ63" s="111">
        <v>39210</v>
      </c>
      <c r="AR63" s="111">
        <v>38270</v>
      </c>
      <c r="AS63" s="111">
        <v>37930</v>
      </c>
      <c r="AT63" s="111">
        <v>38740</v>
      </c>
      <c r="AU63" s="111">
        <v>38890</v>
      </c>
      <c r="AV63" s="111">
        <v>39700</v>
      </c>
      <c r="AW63" s="111">
        <v>41230</v>
      </c>
      <c r="AX63" s="111">
        <v>42510</v>
      </c>
      <c r="AY63" s="111">
        <v>42350</v>
      </c>
      <c r="AZ63" s="111">
        <v>43370</v>
      </c>
      <c r="BA63" s="111">
        <v>43300</v>
      </c>
      <c r="BB63" s="111">
        <v>43200</v>
      </c>
      <c r="BC63" s="111">
        <v>43110</v>
      </c>
      <c r="BD63" s="111">
        <v>42010</v>
      </c>
      <c r="BE63" s="111">
        <v>42070</v>
      </c>
      <c r="BF63" s="111">
        <v>41710</v>
      </c>
      <c r="BG63" s="111">
        <v>41950</v>
      </c>
      <c r="BH63" s="111">
        <v>41140</v>
      </c>
      <c r="BI63" s="111">
        <v>40730</v>
      </c>
      <c r="BJ63" s="111">
        <v>40880</v>
      </c>
      <c r="BK63" s="111">
        <v>40330</v>
      </c>
      <c r="BL63" s="111">
        <v>40300</v>
      </c>
      <c r="BM63" s="195">
        <v>40240</v>
      </c>
      <c r="BN63" s="195">
        <v>40180</v>
      </c>
      <c r="BO63" s="195">
        <v>40300</v>
      </c>
      <c r="BP63" s="195">
        <v>40380</v>
      </c>
      <c r="BQ63" s="195">
        <v>40440</v>
      </c>
    </row>
    <row r="64" spans="1:69">
      <c r="A64" s="28">
        <v>47</v>
      </c>
      <c r="B64" s="111">
        <v>31370</v>
      </c>
      <c r="C64" s="111">
        <v>31900</v>
      </c>
      <c r="D64" s="111">
        <v>33410</v>
      </c>
      <c r="E64" s="111">
        <v>34030</v>
      </c>
      <c r="F64" s="111">
        <v>34240</v>
      </c>
      <c r="G64" s="111">
        <v>33400</v>
      </c>
      <c r="H64" s="111">
        <v>32110</v>
      </c>
      <c r="I64" s="111">
        <v>31790</v>
      </c>
      <c r="J64" s="111">
        <v>32370</v>
      </c>
      <c r="K64" s="111">
        <v>32840</v>
      </c>
      <c r="L64" s="111">
        <v>33550</v>
      </c>
      <c r="M64" s="111">
        <v>33680</v>
      </c>
      <c r="N64" s="111">
        <v>35110</v>
      </c>
      <c r="O64" s="111">
        <v>34910</v>
      </c>
      <c r="P64" s="111">
        <v>33870</v>
      </c>
      <c r="Q64" s="111">
        <v>33210</v>
      </c>
      <c r="R64" s="111">
        <v>32030</v>
      </c>
      <c r="S64" s="111">
        <v>30790</v>
      </c>
      <c r="T64" s="111">
        <v>30960</v>
      </c>
      <c r="U64" s="111">
        <v>30880</v>
      </c>
      <c r="V64" s="111">
        <v>31850</v>
      </c>
      <c r="W64" s="111">
        <v>32240</v>
      </c>
      <c r="X64" s="111">
        <v>32620</v>
      </c>
      <c r="Y64" s="111">
        <v>33720</v>
      </c>
      <c r="Z64" s="111">
        <v>34500</v>
      </c>
      <c r="AA64" s="111">
        <v>35290</v>
      </c>
      <c r="AB64" s="111">
        <v>36080</v>
      </c>
      <c r="AC64" s="111">
        <v>36700</v>
      </c>
      <c r="AD64" s="111">
        <v>37560</v>
      </c>
      <c r="AE64" s="111">
        <v>40060</v>
      </c>
      <c r="AF64" s="111">
        <v>40400</v>
      </c>
      <c r="AG64" s="111">
        <v>42090</v>
      </c>
      <c r="AH64" s="111">
        <v>42670</v>
      </c>
      <c r="AI64" s="111">
        <v>42300</v>
      </c>
      <c r="AJ64" s="111">
        <v>41570</v>
      </c>
      <c r="AK64" s="111">
        <v>40350</v>
      </c>
      <c r="AL64" s="111">
        <v>40120</v>
      </c>
      <c r="AM64" s="111">
        <v>39750</v>
      </c>
      <c r="AN64" s="111">
        <v>39380</v>
      </c>
      <c r="AO64" s="111">
        <v>39340</v>
      </c>
      <c r="AP64" s="111">
        <v>38760</v>
      </c>
      <c r="AQ64" s="111">
        <v>39530</v>
      </c>
      <c r="AR64" s="111">
        <v>39160</v>
      </c>
      <c r="AS64" s="111">
        <v>38220</v>
      </c>
      <c r="AT64" s="111">
        <v>37880</v>
      </c>
      <c r="AU64" s="111">
        <v>38690</v>
      </c>
      <c r="AV64" s="111">
        <v>38840</v>
      </c>
      <c r="AW64" s="111">
        <v>39650</v>
      </c>
      <c r="AX64" s="111">
        <v>41180</v>
      </c>
      <c r="AY64" s="111">
        <v>42460</v>
      </c>
      <c r="AZ64" s="111">
        <v>42300</v>
      </c>
      <c r="BA64" s="111">
        <v>43320</v>
      </c>
      <c r="BB64" s="111">
        <v>43250</v>
      </c>
      <c r="BC64" s="111">
        <v>43150</v>
      </c>
      <c r="BD64" s="111">
        <v>43060</v>
      </c>
      <c r="BE64" s="111">
        <v>41960</v>
      </c>
      <c r="BF64" s="111">
        <v>42020</v>
      </c>
      <c r="BG64" s="111">
        <v>41660</v>
      </c>
      <c r="BH64" s="111">
        <v>41910</v>
      </c>
      <c r="BI64" s="111">
        <v>41100</v>
      </c>
      <c r="BJ64" s="111">
        <v>40680</v>
      </c>
      <c r="BK64" s="111">
        <v>40840</v>
      </c>
      <c r="BL64" s="111">
        <v>40280</v>
      </c>
      <c r="BM64" s="195">
        <v>40250</v>
      </c>
      <c r="BN64" s="195">
        <v>40200</v>
      </c>
      <c r="BO64" s="195">
        <v>40140</v>
      </c>
      <c r="BP64" s="195">
        <v>40260</v>
      </c>
      <c r="BQ64" s="195">
        <v>40340</v>
      </c>
    </row>
    <row r="65" spans="1:69">
      <c r="A65" s="28">
        <v>48</v>
      </c>
      <c r="B65" s="111">
        <v>29970</v>
      </c>
      <c r="C65" s="111">
        <v>31320</v>
      </c>
      <c r="D65" s="111">
        <v>31780</v>
      </c>
      <c r="E65" s="111">
        <v>33320</v>
      </c>
      <c r="F65" s="111">
        <v>33960</v>
      </c>
      <c r="G65" s="111">
        <v>34130</v>
      </c>
      <c r="H65" s="111">
        <v>33190</v>
      </c>
      <c r="I65" s="111">
        <v>31970</v>
      </c>
      <c r="J65" s="111">
        <v>31750</v>
      </c>
      <c r="K65" s="111">
        <v>32450</v>
      </c>
      <c r="L65" s="111">
        <v>33020</v>
      </c>
      <c r="M65" s="111">
        <v>33720</v>
      </c>
      <c r="N65" s="111">
        <v>33740</v>
      </c>
      <c r="O65" s="111">
        <v>35270</v>
      </c>
      <c r="P65" s="111">
        <v>35080</v>
      </c>
      <c r="Q65" s="111">
        <v>33900</v>
      </c>
      <c r="R65" s="111">
        <v>33250</v>
      </c>
      <c r="S65" s="111">
        <v>32070</v>
      </c>
      <c r="T65" s="111">
        <v>30710</v>
      </c>
      <c r="U65" s="111">
        <v>30890</v>
      </c>
      <c r="V65" s="111">
        <v>30800</v>
      </c>
      <c r="W65" s="111">
        <v>31770</v>
      </c>
      <c r="X65" s="111">
        <v>32160</v>
      </c>
      <c r="Y65" s="111">
        <v>32550</v>
      </c>
      <c r="Z65" s="111">
        <v>33640</v>
      </c>
      <c r="AA65" s="111">
        <v>34420</v>
      </c>
      <c r="AB65" s="111">
        <v>35210</v>
      </c>
      <c r="AC65" s="111">
        <v>36000</v>
      </c>
      <c r="AD65" s="111">
        <v>36620</v>
      </c>
      <c r="AE65" s="111">
        <v>37480</v>
      </c>
      <c r="AF65" s="111">
        <v>39970</v>
      </c>
      <c r="AG65" s="111">
        <v>40320</v>
      </c>
      <c r="AH65" s="111">
        <v>42010</v>
      </c>
      <c r="AI65" s="111">
        <v>42590</v>
      </c>
      <c r="AJ65" s="111">
        <v>42220</v>
      </c>
      <c r="AK65" s="111">
        <v>41490</v>
      </c>
      <c r="AL65" s="111">
        <v>40280</v>
      </c>
      <c r="AM65" s="111">
        <v>40050</v>
      </c>
      <c r="AN65" s="111">
        <v>39670</v>
      </c>
      <c r="AO65" s="111">
        <v>39300</v>
      </c>
      <c r="AP65" s="111">
        <v>39260</v>
      </c>
      <c r="AQ65" s="111">
        <v>38680</v>
      </c>
      <c r="AR65" s="111">
        <v>39460</v>
      </c>
      <c r="AS65" s="111">
        <v>39090</v>
      </c>
      <c r="AT65" s="111">
        <v>38150</v>
      </c>
      <c r="AU65" s="111">
        <v>37810</v>
      </c>
      <c r="AV65" s="111">
        <v>38620</v>
      </c>
      <c r="AW65" s="111">
        <v>38770</v>
      </c>
      <c r="AX65" s="111">
        <v>39580</v>
      </c>
      <c r="AY65" s="111">
        <v>41110</v>
      </c>
      <c r="AZ65" s="111">
        <v>42390</v>
      </c>
      <c r="BA65" s="111">
        <v>42230</v>
      </c>
      <c r="BB65" s="111">
        <v>43250</v>
      </c>
      <c r="BC65" s="111">
        <v>43180</v>
      </c>
      <c r="BD65" s="111">
        <v>43080</v>
      </c>
      <c r="BE65" s="111">
        <v>42990</v>
      </c>
      <c r="BF65" s="111">
        <v>41900</v>
      </c>
      <c r="BG65" s="111">
        <v>41960</v>
      </c>
      <c r="BH65" s="111">
        <v>41600</v>
      </c>
      <c r="BI65" s="111">
        <v>41840</v>
      </c>
      <c r="BJ65" s="111">
        <v>41030</v>
      </c>
      <c r="BK65" s="111">
        <v>40620</v>
      </c>
      <c r="BL65" s="111">
        <v>40780</v>
      </c>
      <c r="BM65" s="195">
        <v>40220</v>
      </c>
      <c r="BN65" s="195">
        <v>40190</v>
      </c>
      <c r="BO65" s="195">
        <v>40140</v>
      </c>
      <c r="BP65" s="195">
        <v>40080</v>
      </c>
      <c r="BQ65" s="195">
        <v>40200</v>
      </c>
    </row>
    <row r="66" spans="1:69">
      <c r="A66" s="28">
        <v>49</v>
      </c>
      <c r="B66" s="111">
        <v>29280</v>
      </c>
      <c r="C66" s="111">
        <v>29840</v>
      </c>
      <c r="D66" s="111">
        <v>31230</v>
      </c>
      <c r="E66" s="111">
        <v>31700</v>
      </c>
      <c r="F66" s="111">
        <v>33260</v>
      </c>
      <c r="G66" s="111">
        <v>33830</v>
      </c>
      <c r="H66" s="111">
        <v>33930</v>
      </c>
      <c r="I66" s="111">
        <v>33100</v>
      </c>
      <c r="J66" s="111">
        <v>32020</v>
      </c>
      <c r="K66" s="111">
        <v>31790</v>
      </c>
      <c r="L66" s="111">
        <v>32510</v>
      </c>
      <c r="M66" s="111">
        <v>33170</v>
      </c>
      <c r="N66" s="111">
        <v>33830</v>
      </c>
      <c r="O66" s="111">
        <v>33760</v>
      </c>
      <c r="P66" s="111">
        <v>35500</v>
      </c>
      <c r="Q66" s="111">
        <v>35100</v>
      </c>
      <c r="R66" s="111">
        <v>33920</v>
      </c>
      <c r="S66" s="111">
        <v>33290</v>
      </c>
      <c r="T66" s="111">
        <v>31980</v>
      </c>
      <c r="U66" s="111">
        <v>30610</v>
      </c>
      <c r="V66" s="111">
        <v>30790</v>
      </c>
      <c r="W66" s="111">
        <v>30710</v>
      </c>
      <c r="X66" s="111">
        <v>31680</v>
      </c>
      <c r="Y66" s="111">
        <v>32070</v>
      </c>
      <c r="Z66" s="111">
        <v>32460</v>
      </c>
      <c r="AA66" s="111">
        <v>33550</v>
      </c>
      <c r="AB66" s="111">
        <v>34330</v>
      </c>
      <c r="AC66" s="111">
        <v>35110</v>
      </c>
      <c r="AD66" s="111">
        <v>35910</v>
      </c>
      <c r="AE66" s="111">
        <v>36530</v>
      </c>
      <c r="AF66" s="111">
        <v>37390</v>
      </c>
      <c r="AG66" s="111">
        <v>39880</v>
      </c>
      <c r="AH66" s="111">
        <v>40220</v>
      </c>
      <c r="AI66" s="111">
        <v>41910</v>
      </c>
      <c r="AJ66" s="111">
        <v>42500</v>
      </c>
      <c r="AK66" s="111">
        <v>42120</v>
      </c>
      <c r="AL66" s="111">
        <v>41400</v>
      </c>
      <c r="AM66" s="111">
        <v>40190</v>
      </c>
      <c r="AN66" s="111">
        <v>39960</v>
      </c>
      <c r="AO66" s="111">
        <v>39580</v>
      </c>
      <c r="AP66" s="111">
        <v>39220</v>
      </c>
      <c r="AQ66" s="111">
        <v>39180</v>
      </c>
      <c r="AR66" s="111">
        <v>38600</v>
      </c>
      <c r="AS66" s="111">
        <v>39370</v>
      </c>
      <c r="AT66" s="111">
        <v>39000</v>
      </c>
      <c r="AU66" s="111">
        <v>38070</v>
      </c>
      <c r="AV66" s="111">
        <v>37730</v>
      </c>
      <c r="AW66" s="111">
        <v>38540</v>
      </c>
      <c r="AX66" s="111">
        <v>38690</v>
      </c>
      <c r="AY66" s="111">
        <v>39500</v>
      </c>
      <c r="AZ66" s="111">
        <v>41030</v>
      </c>
      <c r="BA66" s="111">
        <v>42310</v>
      </c>
      <c r="BB66" s="111">
        <v>42150</v>
      </c>
      <c r="BC66" s="111">
        <v>43170</v>
      </c>
      <c r="BD66" s="111">
        <v>43100</v>
      </c>
      <c r="BE66" s="111">
        <v>43000</v>
      </c>
      <c r="BF66" s="111">
        <v>42920</v>
      </c>
      <c r="BG66" s="111">
        <v>41820</v>
      </c>
      <c r="BH66" s="111">
        <v>41880</v>
      </c>
      <c r="BI66" s="111">
        <v>41520</v>
      </c>
      <c r="BJ66" s="111">
        <v>41770</v>
      </c>
      <c r="BK66" s="111">
        <v>40960</v>
      </c>
      <c r="BL66" s="111">
        <v>40550</v>
      </c>
      <c r="BM66" s="195">
        <v>40700</v>
      </c>
      <c r="BN66" s="195">
        <v>40150</v>
      </c>
      <c r="BO66" s="195">
        <v>40120</v>
      </c>
      <c r="BP66" s="195">
        <v>40070</v>
      </c>
      <c r="BQ66" s="195">
        <v>40010</v>
      </c>
    </row>
    <row r="67" spans="1:69">
      <c r="A67" s="28">
        <v>50</v>
      </c>
      <c r="B67" s="111">
        <v>28580</v>
      </c>
      <c r="C67" s="111">
        <v>29200</v>
      </c>
      <c r="D67" s="111">
        <v>29730</v>
      </c>
      <c r="E67" s="111">
        <v>31150</v>
      </c>
      <c r="F67" s="111">
        <v>31650</v>
      </c>
      <c r="G67" s="111">
        <v>33090</v>
      </c>
      <c r="H67" s="111">
        <v>33640</v>
      </c>
      <c r="I67" s="111">
        <v>33790</v>
      </c>
      <c r="J67" s="111">
        <v>33120</v>
      </c>
      <c r="K67" s="111">
        <v>32150</v>
      </c>
      <c r="L67" s="111">
        <v>31890</v>
      </c>
      <c r="M67" s="111">
        <v>32550</v>
      </c>
      <c r="N67" s="111">
        <v>33230</v>
      </c>
      <c r="O67" s="111">
        <v>33920</v>
      </c>
      <c r="P67" s="111">
        <v>33990</v>
      </c>
      <c r="Q67" s="111">
        <v>35500</v>
      </c>
      <c r="R67" s="111">
        <v>35110</v>
      </c>
      <c r="S67" s="111">
        <v>33950</v>
      </c>
      <c r="T67" s="111">
        <v>33180</v>
      </c>
      <c r="U67" s="111">
        <v>31870</v>
      </c>
      <c r="V67" s="111">
        <v>30510</v>
      </c>
      <c r="W67" s="111">
        <v>30690</v>
      </c>
      <c r="X67" s="111">
        <v>30610</v>
      </c>
      <c r="Y67" s="111">
        <v>31580</v>
      </c>
      <c r="Z67" s="111">
        <v>31970</v>
      </c>
      <c r="AA67" s="111">
        <v>32360</v>
      </c>
      <c r="AB67" s="111">
        <v>33450</v>
      </c>
      <c r="AC67" s="111">
        <v>34230</v>
      </c>
      <c r="AD67" s="111">
        <v>35010</v>
      </c>
      <c r="AE67" s="111">
        <v>35810</v>
      </c>
      <c r="AF67" s="111">
        <v>36430</v>
      </c>
      <c r="AG67" s="111">
        <v>37290</v>
      </c>
      <c r="AH67" s="111">
        <v>39780</v>
      </c>
      <c r="AI67" s="111">
        <v>40120</v>
      </c>
      <c r="AJ67" s="111">
        <v>41810</v>
      </c>
      <c r="AK67" s="111">
        <v>42390</v>
      </c>
      <c r="AL67" s="111">
        <v>42020</v>
      </c>
      <c r="AM67" s="111">
        <v>41300</v>
      </c>
      <c r="AN67" s="111">
        <v>40090</v>
      </c>
      <c r="AO67" s="111">
        <v>39860</v>
      </c>
      <c r="AP67" s="111">
        <v>39490</v>
      </c>
      <c r="AQ67" s="111">
        <v>39120</v>
      </c>
      <c r="AR67" s="111">
        <v>39080</v>
      </c>
      <c r="AS67" s="111">
        <v>38510</v>
      </c>
      <c r="AT67" s="111">
        <v>39280</v>
      </c>
      <c r="AU67" s="111">
        <v>38910</v>
      </c>
      <c r="AV67" s="111">
        <v>37980</v>
      </c>
      <c r="AW67" s="111">
        <v>37640</v>
      </c>
      <c r="AX67" s="111">
        <v>38450</v>
      </c>
      <c r="AY67" s="111">
        <v>38600</v>
      </c>
      <c r="AZ67" s="111">
        <v>39410</v>
      </c>
      <c r="BA67" s="111">
        <v>40940</v>
      </c>
      <c r="BB67" s="111">
        <v>42220</v>
      </c>
      <c r="BC67" s="111">
        <v>42060</v>
      </c>
      <c r="BD67" s="111">
        <v>43080</v>
      </c>
      <c r="BE67" s="111">
        <v>43010</v>
      </c>
      <c r="BF67" s="111">
        <v>42910</v>
      </c>
      <c r="BG67" s="111">
        <v>42830</v>
      </c>
      <c r="BH67" s="111">
        <v>41730</v>
      </c>
      <c r="BI67" s="111">
        <v>41800</v>
      </c>
      <c r="BJ67" s="111">
        <v>41440</v>
      </c>
      <c r="BK67" s="111">
        <v>41680</v>
      </c>
      <c r="BL67" s="111">
        <v>40880</v>
      </c>
      <c r="BM67" s="195">
        <v>40470</v>
      </c>
      <c r="BN67" s="195">
        <v>40620</v>
      </c>
      <c r="BO67" s="195">
        <v>40070</v>
      </c>
      <c r="BP67" s="195">
        <v>40040</v>
      </c>
      <c r="BQ67" s="195">
        <v>39990</v>
      </c>
    </row>
    <row r="68" spans="1:69">
      <c r="A68" s="28">
        <v>51</v>
      </c>
      <c r="B68" s="111">
        <v>27550</v>
      </c>
      <c r="C68" s="111">
        <v>28490</v>
      </c>
      <c r="D68" s="111">
        <v>29090</v>
      </c>
      <c r="E68" s="111">
        <v>29610</v>
      </c>
      <c r="F68" s="111">
        <v>31090</v>
      </c>
      <c r="G68" s="111">
        <v>31520</v>
      </c>
      <c r="H68" s="111">
        <v>32950</v>
      </c>
      <c r="I68" s="111">
        <v>33500</v>
      </c>
      <c r="J68" s="111">
        <v>33770</v>
      </c>
      <c r="K68" s="111">
        <v>33200</v>
      </c>
      <c r="L68" s="111">
        <v>32330</v>
      </c>
      <c r="M68" s="111">
        <v>31970</v>
      </c>
      <c r="N68" s="111">
        <v>32580</v>
      </c>
      <c r="O68" s="111">
        <v>33250</v>
      </c>
      <c r="P68" s="111">
        <v>34170</v>
      </c>
      <c r="Q68" s="111">
        <v>33990</v>
      </c>
      <c r="R68" s="111">
        <v>35510</v>
      </c>
      <c r="S68" s="111">
        <v>35120</v>
      </c>
      <c r="T68" s="111">
        <v>33840</v>
      </c>
      <c r="U68" s="111">
        <v>33070</v>
      </c>
      <c r="V68" s="111">
        <v>31770</v>
      </c>
      <c r="W68" s="111">
        <v>30410</v>
      </c>
      <c r="X68" s="111">
        <v>30590</v>
      </c>
      <c r="Y68" s="111">
        <v>30510</v>
      </c>
      <c r="Z68" s="111">
        <v>31480</v>
      </c>
      <c r="AA68" s="111">
        <v>31870</v>
      </c>
      <c r="AB68" s="111">
        <v>32260</v>
      </c>
      <c r="AC68" s="111">
        <v>33350</v>
      </c>
      <c r="AD68" s="111">
        <v>34130</v>
      </c>
      <c r="AE68" s="111">
        <v>34910</v>
      </c>
      <c r="AF68" s="111">
        <v>35710</v>
      </c>
      <c r="AG68" s="111">
        <v>36330</v>
      </c>
      <c r="AH68" s="111">
        <v>37190</v>
      </c>
      <c r="AI68" s="111">
        <v>39670</v>
      </c>
      <c r="AJ68" s="111">
        <v>40020</v>
      </c>
      <c r="AK68" s="111">
        <v>41710</v>
      </c>
      <c r="AL68" s="111">
        <v>42290</v>
      </c>
      <c r="AM68" s="111">
        <v>41920</v>
      </c>
      <c r="AN68" s="111">
        <v>41200</v>
      </c>
      <c r="AO68" s="111">
        <v>39990</v>
      </c>
      <c r="AP68" s="111">
        <v>39770</v>
      </c>
      <c r="AQ68" s="111">
        <v>39390</v>
      </c>
      <c r="AR68" s="111">
        <v>39030</v>
      </c>
      <c r="AS68" s="111">
        <v>38990</v>
      </c>
      <c r="AT68" s="111">
        <v>38420</v>
      </c>
      <c r="AU68" s="111">
        <v>39190</v>
      </c>
      <c r="AV68" s="111">
        <v>38820</v>
      </c>
      <c r="AW68" s="111">
        <v>37890</v>
      </c>
      <c r="AX68" s="111">
        <v>37560</v>
      </c>
      <c r="AY68" s="111">
        <v>38370</v>
      </c>
      <c r="AZ68" s="111">
        <v>38520</v>
      </c>
      <c r="BA68" s="111">
        <v>39330</v>
      </c>
      <c r="BB68" s="111">
        <v>40850</v>
      </c>
      <c r="BC68" s="111">
        <v>42130</v>
      </c>
      <c r="BD68" s="111">
        <v>41980</v>
      </c>
      <c r="BE68" s="111">
        <v>43000</v>
      </c>
      <c r="BF68" s="111">
        <v>42930</v>
      </c>
      <c r="BG68" s="111">
        <v>42830</v>
      </c>
      <c r="BH68" s="111">
        <v>42750</v>
      </c>
      <c r="BI68" s="111">
        <v>41650</v>
      </c>
      <c r="BJ68" s="111">
        <v>41720</v>
      </c>
      <c r="BK68" s="111">
        <v>41360</v>
      </c>
      <c r="BL68" s="111">
        <v>41600</v>
      </c>
      <c r="BM68" s="195">
        <v>40800</v>
      </c>
      <c r="BN68" s="195">
        <v>40390</v>
      </c>
      <c r="BO68" s="195">
        <v>40540</v>
      </c>
      <c r="BP68" s="195">
        <v>39990</v>
      </c>
      <c r="BQ68" s="195">
        <v>39970</v>
      </c>
    </row>
    <row r="69" spans="1:69">
      <c r="A69" s="28">
        <v>52</v>
      </c>
      <c r="B69" s="111">
        <v>26780</v>
      </c>
      <c r="C69" s="111">
        <v>27430</v>
      </c>
      <c r="D69" s="111">
        <v>28360</v>
      </c>
      <c r="E69" s="111">
        <v>28970</v>
      </c>
      <c r="F69" s="111">
        <v>29570</v>
      </c>
      <c r="G69" s="111">
        <v>30970</v>
      </c>
      <c r="H69" s="111">
        <v>31340</v>
      </c>
      <c r="I69" s="111">
        <v>32770</v>
      </c>
      <c r="J69" s="111">
        <v>33490</v>
      </c>
      <c r="K69" s="111">
        <v>33830</v>
      </c>
      <c r="L69" s="111">
        <v>33280</v>
      </c>
      <c r="M69" s="111">
        <v>32430</v>
      </c>
      <c r="N69" s="111">
        <v>32030</v>
      </c>
      <c r="O69" s="111">
        <v>32540</v>
      </c>
      <c r="P69" s="111">
        <v>33530</v>
      </c>
      <c r="Q69" s="111">
        <v>34150</v>
      </c>
      <c r="R69" s="111">
        <v>33980</v>
      </c>
      <c r="S69" s="111">
        <v>35500</v>
      </c>
      <c r="T69" s="111">
        <v>35020</v>
      </c>
      <c r="U69" s="111">
        <v>33740</v>
      </c>
      <c r="V69" s="111">
        <v>32980</v>
      </c>
      <c r="W69" s="111">
        <v>31680</v>
      </c>
      <c r="X69" s="111">
        <v>30320</v>
      </c>
      <c r="Y69" s="111">
        <v>30510</v>
      </c>
      <c r="Z69" s="111">
        <v>30420</v>
      </c>
      <c r="AA69" s="111">
        <v>31390</v>
      </c>
      <c r="AB69" s="111">
        <v>31780</v>
      </c>
      <c r="AC69" s="111">
        <v>32170</v>
      </c>
      <c r="AD69" s="111">
        <v>33260</v>
      </c>
      <c r="AE69" s="111">
        <v>34050</v>
      </c>
      <c r="AF69" s="111">
        <v>34830</v>
      </c>
      <c r="AG69" s="111">
        <v>35620</v>
      </c>
      <c r="AH69" s="111">
        <v>36240</v>
      </c>
      <c r="AI69" s="111">
        <v>37100</v>
      </c>
      <c r="AJ69" s="111">
        <v>39580</v>
      </c>
      <c r="AK69" s="111">
        <v>39930</v>
      </c>
      <c r="AL69" s="111">
        <v>41610</v>
      </c>
      <c r="AM69" s="111">
        <v>42200</v>
      </c>
      <c r="AN69" s="111">
        <v>41830</v>
      </c>
      <c r="AO69" s="111">
        <v>41120</v>
      </c>
      <c r="AP69" s="111">
        <v>39910</v>
      </c>
      <c r="AQ69" s="111">
        <v>39680</v>
      </c>
      <c r="AR69" s="111">
        <v>39310</v>
      </c>
      <c r="AS69" s="111">
        <v>38950</v>
      </c>
      <c r="AT69" s="111">
        <v>38910</v>
      </c>
      <c r="AU69" s="111">
        <v>38340</v>
      </c>
      <c r="AV69" s="111">
        <v>39110</v>
      </c>
      <c r="AW69" s="111">
        <v>38750</v>
      </c>
      <c r="AX69" s="111">
        <v>37820</v>
      </c>
      <c r="AY69" s="111">
        <v>37480</v>
      </c>
      <c r="AZ69" s="111">
        <v>38300</v>
      </c>
      <c r="BA69" s="111">
        <v>38440</v>
      </c>
      <c r="BB69" s="111">
        <v>39250</v>
      </c>
      <c r="BC69" s="111">
        <v>40780</v>
      </c>
      <c r="BD69" s="111">
        <v>42060</v>
      </c>
      <c r="BE69" s="111">
        <v>41900</v>
      </c>
      <c r="BF69" s="111">
        <v>42920</v>
      </c>
      <c r="BG69" s="111">
        <v>42850</v>
      </c>
      <c r="BH69" s="111">
        <v>42760</v>
      </c>
      <c r="BI69" s="111">
        <v>42670</v>
      </c>
      <c r="BJ69" s="111">
        <v>41580</v>
      </c>
      <c r="BK69" s="111">
        <v>41650</v>
      </c>
      <c r="BL69" s="111">
        <v>41290</v>
      </c>
      <c r="BM69" s="195">
        <v>41540</v>
      </c>
      <c r="BN69" s="195">
        <v>40730</v>
      </c>
      <c r="BO69" s="195">
        <v>40320</v>
      </c>
      <c r="BP69" s="195">
        <v>40480</v>
      </c>
      <c r="BQ69" s="195">
        <v>39930</v>
      </c>
    </row>
    <row r="70" spans="1:69">
      <c r="A70" s="28">
        <v>53</v>
      </c>
      <c r="B70" s="111">
        <v>25610</v>
      </c>
      <c r="C70" s="111">
        <v>26710</v>
      </c>
      <c r="D70" s="111">
        <v>27350</v>
      </c>
      <c r="E70" s="111">
        <v>28270</v>
      </c>
      <c r="F70" s="111">
        <v>28970</v>
      </c>
      <c r="G70" s="111">
        <v>29410</v>
      </c>
      <c r="H70" s="111">
        <v>30830</v>
      </c>
      <c r="I70" s="111">
        <v>31240</v>
      </c>
      <c r="J70" s="111">
        <v>32740</v>
      </c>
      <c r="K70" s="111">
        <v>33510</v>
      </c>
      <c r="L70" s="111">
        <v>33950</v>
      </c>
      <c r="M70" s="111">
        <v>33360</v>
      </c>
      <c r="N70" s="111">
        <v>32560</v>
      </c>
      <c r="O70" s="111">
        <v>32050</v>
      </c>
      <c r="P70" s="111">
        <v>32790</v>
      </c>
      <c r="Q70" s="111">
        <v>33510</v>
      </c>
      <c r="R70" s="111">
        <v>34130</v>
      </c>
      <c r="S70" s="111">
        <v>33970</v>
      </c>
      <c r="T70" s="111">
        <v>35410</v>
      </c>
      <c r="U70" s="111">
        <v>34930</v>
      </c>
      <c r="V70" s="111">
        <v>33650</v>
      </c>
      <c r="W70" s="111">
        <v>32890</v>
      </c>
      <c r="X70" s="111">
        <v>31600</v>
      </c>
      <c r="Y70" s="111">
        <v>30250</v>
      </c>
      <c r="Z70" s="111">
        <v>30430</v>
      </c>
      <c r="AA70" s="111">
        <v>30350</v>
      </c>
      <c r="AB70" s="111">
        <v>31320</v>
      </c>
      <c r="AC70" s="111">
        <v>31710</v>
      </c>
      <c r="AD70" s="111">
        <v>32100</v>
      </c>
      <c r="AE70" s="111">
        <v>33190</v>
      </c>
      <c r="AF70" s="111">
        <v>33970</v>
      </c>
      <c r="AG70" s="111">
        <v>34750</v>
      </c>
      <c r="AH70" s="111">
        <v>35550</v>
      </c>
      <c r="AI70" s="111">
        <v>36170</v>
      </c>
      <c r="AJ70" s="111">
        <v>37020</v>
      </c>
      <c r="AK70" s="111">
        <v>39510</v>
      </c>
      <c r="AL70" s="111">
        <v>39850</v>
      </c>
      <c r="AM70" s="111">
        <v>41540</v>
      </c>
      <c r="AN70" s="111">
        <v>42120</v>
      </c>
      <c r="AO70" s="111">
        <v>41750</v>
      </c>
      <c r="AP70" s="111">
        <v>41040</v>
      </c>
      <c r="AQ70" s="111">
        <v>39840</v>
      </c>
      <c r="AR70" s="111">
        <v>39610</v>
      </c>
      <c r="AS70" s="111">
        <v>39240</v>
      </c>
      <c r="AT70" s="111">
        <v>38880</v>
      </c>
      <c r="AU70" s="111">
        <v>38850</v>
      </c>
      <c r="AV70" s="111">
        <v>38280</v>
      </c>
      <c r="AW70" s="111">
        <v>39050</v>
      </c>
      <c r="AX70" s="111">
        <v>38680</v>
      </c>
      <c r="AY70" s="111">
        <v>37750</v>
      </c>
      <c r="AZ70" s="111">
        <v>37420</v>
      </c>
      <c r="BA70" s="111">
        <v>38240</v>
      </c>
      <c r="BB70" s="111">
        <v>38380</v>
      </c>
      <c r="BC70" s="111">
        <v>39190</v>
      </c>
      <c r="BD70" s="111">
        <v>40720</v>
      </c>
      <c r="BE70" s="111">
        <v>42000</v>
      </c>
      <c r="BF70" s="111">
        <v>41840</v>
      </c>
      <c r="BG70" s="111">
        <v>42860</v>
      </c>
      <c r="BH70" s="111">
        <v>42790</v>
      </c>
      <c r="BI70" s="111">
        <v>42700</v>
      </c>
      <c r="BJ70" s="111">
        <v>42620</v>
      </c>
      <c r="BK70" s="111">
        <v>41530</v>
      </c>
      <c r="BL70" s="111">
        <v>41590</v>
      </c>
      <c r="BM70" s="195">
        <v>41240</v>
      </c>
      <c r="BN70" s="195">
        <v>41480</v>
      </c>
      <c r="BO70" s="195">
        <v>40680</v>
      </c>
      <c r="BP70" s="195">
        <v>40270</v>
      </c>
      <c r="BQ70" s="195">
        <v>40430</v>
      </c>
    </row>
    <row r="71" spans="1:69">
      <c r="A71" s="28">
        <v>54</v>
      </c>
      <c r="B71" s="111">
        <v>25210</v>
      </c>
      <c r="C71" s="111">
        <v>25540</v>
      </c>
      <c r="D71" s="111">
        <v>26610</v>
      </c>
      <c r="E71" s="111">
        <v>27230</v>
      </c>
      <c r="F71" s="111">
        <v>28220</v>
      </c>
      <c r="G71" s="111">
        <v>28900</v>
      </c>
      <c r="H71" s="111">
        <v>29320</v>
      </c>
      <c r="I71" s="111">
        <v>30700</v>
      </c>
      <c r="J71" s="111">
        <v>31200</v>
      </c>
      <c r="K71" s="111">
        <v>32750</v>
      </c>
      <c r="L71" s="111">
        <v>33540</v>
      </c>
      <c r="M71" s="111">
        <v>34060</v>
      </c>
      <c r="N71" s="111">
        <v>33430</v>
      </c>
      <c r="O71" s="111">
        <v>32520</v>
      </c>
      <c r="P71" s="111">
        <v>32320</v>
      </c>
      <c r="Q71" s="111">
        <v>32760</v>
      </c>
      <c r="R71" s="111">
        <v>33490</v>
      </c>
      <c r="S71" s="111">
        <v>34120</v>
      </c>
      <c r="T71" s="111">
        <v>33900</v>
      </c>
      <c r="U71" s="111">
        <v>35330</v>
      </c>
      <c r="V71" s="111">
        <v>34850</v>
      </c>
      <c r="W71" s="111">
        <v>33580</v>
      </c>
      <c r="X71" s="111">
        <v>32820</v>
      </c>
      <c r="Y71" s="111">
        <v>31540</v>
      </c>
      <c r="Z71" s="111">
        <v>30190</v>
      </c>
      <c r="AA71" s="111">
        <v>30370</v>
      </c>
      <c r="AB71" s="111">
        <v>30290</v>
      </c>
      <c r="AC71" s="111">
        <v>31260</v>
      </c>
      <c r="AD71" s="111">
        <v>31650</v>
      </c>
      <c r="AE71" s="111">
        <v>32040</v>
      </c>
      <c r="AF71" s="111">
        <v>33130</v>
      </c>
      <c r="AG71" s="111">
        <v>33910</v>
      </c>
      <c r="AH71" s="111">
        <v>34690</v>
      </c>
      <c r="AI71" s="111">
        <v>35490</v>
      </c>
      <c r="AJ71" s="111">
        <v>36110</v>
      </c>
      <c r="AK71" s="111">
        <v>36970</v>
      </c>
      <c r="AL71" s="111">
        <v>39440</v>
      </c>
      <c r="AM71" s="111">
        <v>39790</v>
      </c>
      <c r="AN71" s="111">
        <v>41470</v>
      </c>
      <c r="AO71" s="111">
        <v>42060</v>
      </c>
      <c r="AP71" s="111">
        <v>41700</v>
      </c>
      <c r="AQ71" s="111">
        <v>40980</v>
      </c>
      <c r="AR71" s="111">
        <v>39780</v>
      </c>
      <c r="AS71" s="111">
        <v>39560</v>
      </c>
      <c r="AT71" s="111">
        <v>39190</v>
      </c>
      <c r="AU71" s="111">
        <v>38830</v>
      </c>
      <c r="AV71" s="111">
        <v>38800</v>
      </c>
      <c r="AW71" s="111">
        <v>38230</v>
      </c>
      <c r="AX71" s="111">
        <v>39000</v>
      </c>
      <c r="AY71" s="111">
        <v>38640</v>
      </c>
      <c r="AZ71" s="111">
        <v>37710</v>
      </c>
      <c r="BA71" s="111">
        <v>37380</v>
      </c>
      <c r="BB71" s="111">
        <v>38190</v>
      </c>
      <c r="BC71" s="111">
        <v>38340</v>
      </c>
      <c r="BD71" s="111">
        <v>39150</v>
      </c>
      <c r="BE71" s="111">
        <v>40680</v>
      </c>
      <c r="BF71" s="111">
        <v>41960</v>
      </c>
      <c r="BG71" s="111">
        <v>41800</v>
      </c>
      <c r="BH71" s="111">
        <v>42820</v>
      </c>
      <c r="BI71" s="111">
        <v>42750</v>
      </c>
      <c r="BJ71" s="111">
        <v>42660</v>
      </c>
      <c r="BK71" s="111">
        <v>42580</v>
      </c>
      <c r="BL71" s="111">
        <v>41490</v>
      </c>
      <c r="BM71" s="195">
        <v>41560</v>
      </c>
      <c r="BN71" s="195">
        <v>41200</v>
      </c>
      <c r="BO71" s="195">
        <v>41450</v>
      </c>
      <c r="BP71" s="195">
        <v>40650</v>
      </c>
      <c r="BQ71" s="195">
        <v>40240</v>
      </c>
    </row>
    <row r="72" spans="1:69">
      <c r="A72" s="28">
        <v>55</v>
      </c>
      <c r="B72" s="111">
        <v>24770</v>
      </c>
      <c r="C72" s="111">
        <v>25110</v>
      </c>
      <c r="D72" s="111">
        <v>25500</v>
      </c>
      <c r="E72" s="111">
        <v>26580</v>
      </c>
      <c r="F72" s="111">
        <v>27210</v>
      </c>
      <c r="G72" s="111">
        <v>28110</v>
      </c>
      <c r="H72" s="111">
        <v>28840</v>
      </c>
      <c r="I72" s="111">
        <v>29230</v>
      </c>
      <c r="J72" s="111">
        <v>30670</v>
      </c>
      <c r="K72" s="111">
        <v>31210</v>
      </c>
      <c r="L72" s="111">
        <v>32790</v>
      </c>
      <c r="M72" s="111">
        <v>33570</v>
      </c>
      <c r="N72" s="111">
        <v>34120</v>
      </c>
      <c r="O72" s="111">
        <v>33440</v>
      </c>
      <c r="P72" s="111">
        <v>32850</v>
      </c>
      <c r="Q72" s="111">
        <v>32280</v>
      </c>
      <c r="R72" s="111">
        <v>32730</v>
      </c>
      <c r="S72" s="111">
        <v>33470</v>
      </c>
      <c r="T72" s="111">
        <v>34060</v>
      </c>
      <c r="U72" s="111">
        <v>33840</v>
      </c>
      <c r="V72" s="111">
        <v>35270</v>
      </c>
      <c r="W72" s="111">
        <v>34790</v>
      </c>
      <c r="X72" s="111">
        <v>33530</v>
      </c>
      <c r="Y72" s="111">
        <v>32770</v>
      </c>
      <c r="Z72" s="111">
        <v>31490</v>
      </c>
      <c r="AA72" s="111">
        <v>30150</v>
      </c>
      <c r="AB72" s="111">
        <v>30330</v>
      </c>
      <c r="AC72" s="111">
        <v>30250</v>
      </c>
      <c r="AD72" s="111">
        <v>31220</v>
      </c>
      <c r="AE72" s="111">
        <v>31610</v>
      </c>
      <c r="AF72" s="111">
        <v>32000</v>
      </c>
      <c r="AG72" s="111">
        <v>33090</v>
      </c>
      <c r="AH72" s="111">
        <v>33870</v>
      </c>
      <c r="AI72" s="111">
        <v>34650</v>
      </c>
      <c r="AJ72" s="111">
        <v>35450</v>
      </c>
      <c r="AK72" s="111">
        <v>36070</v>
      </c>
      <c r="AL72" s="111">
        <v>36920</v>
      </c>
      <c r="AM72" s="111">
        <v>39400</v>
      </c>
      <c r="AN72" s="111">
        <v>39750</v>
      </c>
      <c r="AO72" s="111">
        <v>41430</v>
      </c>
      <c r="AP72" s="111">
        <v>42010</v>
      </c>
      <c r="AQ72" s="111">
        <v>41650</v>
      </c>
      <c r="AR72" s="111">
        <v>40940</v>
      </c>
      <c r="AS72" s="111">
        <v>39750</v>
      </c>
      <c r="AT72" s="111">
        <v>39520</v>
      </c>
      <c r="AU72" s="111">
        <v>39160</v>
      </c>
      <c r="AV72" s="111">
        <v>38800</v>
      </c>
      <c r="AW72" s="111">
        <v>38770</v>
      </c>
      <c r="AX72" s="111">
        <v>38200</v>
      </c>
      <c r="AY72" s="111">
        <v>38970</v>
      </c>
      <c r="AZ72" s="111">
        <v>38610</v>
      </c>
      <c r="BA72" s="111">
        <v>37690</v>
      </c>
      <c r="BB72" s="111">
        <v>37360</v>
      </c>
      <c r="BC72" s="111">
        <v>38170</v>
      </c>
      <c r="BD72" s="111">
        <v>38320</v>
      </c>
      <c r="BE72" s="111">
        <v>39130</v>
      </c>
      <c r="BF72" s="111">
        <v>40650</v>
      </c>
      <c r="BG72" s="111">
        <v>41930</v>
      </c>
      <c r="BH72" s="111">
        <v>41780</v>
      </c>
      <c r="BI72" s="111">
        <v>42800</v>
      </c>
      <c r="BJ72" s="111">
        <v>42730</v>
      </c>
      <c r="BK72" s="111">
        <v>42640</v>
      </c>
      <c r="BL72" s="111">
        <v>42560</v>
      </c>
      <c r="BM72" s="195">
        <v>41470</v>
      </c>
      <c r="BN72" s="195">
        <v>41540</v>
      </c>
      <c r="BO72" s="195">
        <v>41190</v>
      </c>
      <c r="BP72" s="195">
        <v>41430</v>
      </c>
      <c r="BQ72" s="195">
        <v>40630</v>
      </c>
    </row>
    <row r="73" spans="1:69">
      <c r="A73" s="28">
        <v>56</v>
      </c>
      <c r="B73" s="111">
        <v>24930</v>
      </c>
      <c r="C73" s="111">
        <v>24730</v>
      </c>
      <c r="D73" s="111">
        <v>25040</v>
      </c>
      <c r="E73" s="111">
        <v>25500</v>
      </c>
      <c r="F73" s="111">
        <v>26570</v>
      </c>
      <c r="G73" s="111">
        <v>27160</v>
      </c>
      <c r="H73" s="111">
        <v>28040</v>
      </c>
      <c r="I73" s="111">
        <v>28790</v>
      </c>
      <c r="J73" s="111">
        <v>29290</v>
      </c>
      <c r="K73" s="111">
        <v>30710</v>
      </c>
      <c r="L73" s="111">
        <v>31290</v>
      </c>
      <c r="M73" s="111">
        <v>32850</v>
      </c>
      <c r="N73" s="111">
        <v>33590</v>
      </c>
      <c r="O73" s="111">
        <v>34120</v>
      </c>
      <c r="P73" s="111">
        <v>33730</v>
      </c>
      <c r="Q73" s="111">
        <v>32810</v>
      </c>
      <c r="R73" s="111">
        <v>32250</v>
      </c>
      <c r="S73" s="111">
        <v>32710</v>
      </c>
      <c r="T73" s="111">
        <v>33420</v>
      </c>
      <c r="U73" s="111">
        <v>34010</v>
      </c>
      <c r="V73" s="111">
        <v>33790</v>
      </c>
      <c r="W73" s="111">
        <v>35220</v>
      </c>
      <c r="X73" s="111">
        <v>34750</v>
      </c>
      <c r="Y73" s="111">
        <v>33490</v>
      </c>
      <c r="Z73" s="111">
        <v>32740</v>
      </c>
      <c r="AA73" s="111">
        <v>31460</v>
      </c>
      <c r="AB73" s="111">
        <v>30120</v>
      </c>
      <c r="AC73" s="111">
        <v>30310</v>
      </c>
      <c r="AD73" s="111">
        <v>30230</v>
      </c>
      <c r="AE73" s="111">
        <v>31200</v>
      </c>
      <c r="AF73" s="111">
        <v>31590</v>
      </c>
      <c r="AG73" s="111">
        <v>31980</v>
      </c>
      <c r="AH73" s="111">
        <v>33070</v>
      </c>
      <c r="AI73" s="111">
        <v>33850</v>
      </c>
      <c r="AJ73" s="111">
        <v>34630</v>
      </c>
      <c r="AK73" s="111">
        <v>35430</v>
      </c>
      <c r="AL73" s="111">
        <v>36040</v>
      </c>
      <c r="AM73" s="111">
        <v>36900</v>
      </c>
      <c r="AN73" s="111">
        <v>39370</v>
      </c>
      <c r="AO73" s="111">
        <v>39720</v>
      </c>
      <c r="AP73" s="111">
        <v>41400</v>
      </c>
      <c r="AQ73" s="111">
        <v>41990</v>
      </c>
      <c r="AR73" s="111">
        <v>41630</v>
      </c>
      <c r="AS73" s="111">
        <v>40920</v>
      </c>
      <c r="AT73" s="111">
        <v>39720</v>
      </c>
      <c r="AU73" s="111">
        <v>39510</v>
      </c>
      <c r="AV73" s="111">
        <v>39140</v>
      </c>
      <c r="AW73" s="111">
        <v>38790</v>
      </c>
      <c r="AX73" s="111">
        <v>38750</v>
      </c>
      <c r="AY73" s="111">
        <v>38190</v>
      </c>
      <c r="AZ73" s="111">
        <v>38960</v>
      </c>
      <c r="BA73" s="111">
        <v>38600</v>
      </c>
      <c r="BB73" s="111">
        <v>37680</v>
      </c>
      <c r="BC73" s="111">
        <v>37350</v>
      </c>
      <c r="BD73" s="111">
        <v>38160</v>
      </c>
      <c r="BE73" s="111">
        <v>38310</v>
      </c>
      <c r="BF73" s="111">
        <v>39120</v>
      </c>
      <c r="BG73" s="111">
        <v>40650</v>
      </c>
      <c r="BH73" s="111">
        <v>41920</v>
      </c>
      <c r="BI73" s="111">
        <v>41770</v>
      </c>
      <c r="BJ73" s="111">
        <v>42790</v>
      </c>
      <c r="BK73" s="111">
        <v>42720</v>
      </c>
      <c r="BL73" s="111">
        <v>42630</v>
      </c>
      <c r="BM73" s="195">
        <v>42550</v>
      </c>
      <c r="BN73" s="195">
        <v>41470</v>
      </c>
      <c r="BO73" s="195">
        <v>41540</v>
      </c>
      <c r="BP73" s="195">
        <v>41190</v>
      </c>
      <c r="BQ73" s="195">
        <v>41430</v>
      </c>
    </row>
    <row r="74" spans="1:69">
      <c r="A74" s="28">
        <v>57</v>
      </c>
      <c r="B74" s="111">
        <v>24090</v>
      </c>
      <c r="C74" s="111">
        <v>24850</v>
      </c>
      <c r="D74" s="111">
        <v>24680</v>
      </c>
      <c r="E74" s="111">
        <v>25000</v>
      </c>
      <c r="F74" s="111">
        <v>25510</v>
      </c>
      <c r="G74" s="111">
        <v>26540</v>
      </c>
      <c r="H74" s="111">
        <v>27140</v>
      </c>
      <c r="I74" s="111">
        <v>27970</v>
      </c>
      <c r="J74" s="111">
        <v>28700</v>
      </c>
      <c r="K74" s="111">
        <v>29360</v>
      </c>
      <c r="L74" s="111">
        <v>30760</v>
      </c>
      <c r="M74" s="111">
        <v>31300</v>
      </c>
      <c r="N74" s="111">
        <v>32830</v>
      </c>
      <c r="O74" s="111">
        <v>33610</v>
      </c>
      <c r="P74" s="111">
        <v>34490</v>
      </c>
      <c r="Q74" s="111">
        <v>33670</v>
      </c>
      <c r="R74" s="111">
        <v>32770</v>
      </c>
      <c r="S74" s="111">
        <v>32220</v>
      </c>
      <c r="T74" s="111">
        <v>32670</v>
      </c>
      <c r="U74" s="111">
        <v>33380</v>
      </c>
      <c r="V74" s="111">
        <v>33970</v>
      </c>
      <c r="W74" s="111">
        <v>33760</v>
      </c>
      <c r="X74" s="111">
        <v>35190</v>
      </c>
      <c r="Y74" s="111">
        <v>34720</v>
      </c>
      <c r="Z74" s="111">
        <v>33460</v>
      </c>
      <c r="AA74" s="111">
        <v>32710</v>
      </c>
      <c r="AB74" s="111">
        <v>31440</v>
      </c>
      <c r="AC74" s="111">
        <v>30110</v>
      </c>
      <c r="AD74" s="111">
        <v>30290</v>
      </c>
      <c r="AE74" s="111">
        <v>30220</v>
      </c>
      <c r="AF74" s="111">
        <v>31180</v>
      </c>
      <c r="AG74" s="111">
        <v>31580</v>
      </c>
      <c r="AH74" s="111">
        <v>31970</v>
      </c>
      <c r="AI74" s="111">
        <v>33050</v>
      </c>
      <c r="AJ74" s="111">
        <v>33840</v>
      </c>
      <c r="AK74" s="111">
        <v>34620</v>
      </c>
      <c r="AL74" s="111">
        <v>35410</v>
      </c>
      <c r="AM74" s="111">
        <v>36030</v>
      </c>
      <c r="AN74" s="111">
        <v>36890</v>
      </c>
      <c r="AO74" s="111">
        <v>39360</v>
      </c>
      <c r="AP74" s="111">
        <v>39710</v>
      </c>
      <c r="AQ74" s="111">
        <v>41380</v>
      </c>
      <c r="AR74" s="111">
        <v>41970</v>
      </c>
      <c r="AS74" s="111">
        <v>41610</v>
      </c>
      <c r="AT74" s="111">
        <v>40910</v>
      </c>
      <c r="AU74" s="111">
        <v>39720</v>
      </c>
      <c r="AV74" s="111">
        <v>39500</v>
      </c>
      <c r="AW74" s="111">
        <v>39140</v>
      </c>
      <c r="AX74" s="111">
        <v>38790</v>
      </c>
      <c r="AY74" s="111">
        <v>38750</v>
      </c>
      <c r="AZ74" s="111">
        <v>38190</v>
      </c>
      <c r="BA74" s="111">
        <v>38960</v>
      </c>
      <c r="BB74" s="111">
        <v>38600</v>
      </c>
      <c r="BC74" s="111">
        <v>37680</v>
      </c>
      <c r="BD74" s="111">
        <v>37360</v>
      </c>
      <c r="BE74" s="111">
        <v>38170</v>
      </c>
      <c r="BF74" s="111">
        <v>38320</v>
      </c>
      <c r="BG74" s="111">
        <v>39130</v>
      </c>
      <c r="BH74" s="111">
        <v>40660</v>
      </c>
      <c r="BI74" s="111">
        <v>41930</v>
      </c>
      <c r="BJ74" s="111">
        <v>41780</v>
      </c>
      <c r="BK74" s="111">
        <v>42800</v>
      </c>
      <c r="BL74" s="111">
        <v>42730</v>
      </c>
      <c r="BM74" s="195">
        <v>42640</v>
      </c>
      <c r="BN74" s="195">
        <v>42560</v>
      </c>
      <c r="BO74" s="195">
        <v>41480</v>
      </c>
      <c r="BP74" s="195">
        <v>41550</v>
      </c>
      <c r="BQ74" s="195">
        <v>41200</v>
      </c>
    </row>
    <row r="75" spans="1:69">
      <c r="A75" s="28">
        <v>58</v>
      </c>
      <c r="B75" s="111">
        <v>24480</v>
      </c>
      <c r="C75" s="111">
        <v>24050</v>
      </c>
      <c r="D75" s="111">
        <v>24700</v>
      </c>
      <c r="E75" s="111">
        <v>24570</v>
      </c>
      <c r="F75" s="111">
        <v>25000</v>
      </c>
      <c r="G75" s="111">
        <v>25480</v>
      </c>
      <c r="H75" s="111">
        <v>26530</v>
      </c>
      <c r="I75" s="111">
        <v>27100</v>
      </c>
      <c r="J75" s="111">
        <v>27920</v>
      </c>
      <c r="K75" s="111">
        <v>28660</v>
      </c>
      <c r="L75" s="111">
        <v>29450</v>
      </c>
      <c r="M75" s="111">
        <v>30800</v>
      </c>
      <c r="N75" s="111">
        <v>31290</v>
      </c>
      <c r="O75" s="111">
        <v>32800</v>
      </c>
      <c r="P75" s="111">
        <v>33930</v>
      </c>
      <c r="Q75" s="111">
        <v>34420</v>
      </c>
      <c r="R75" s="111">
        <v>33620</v>
      </c>
      <c r="S75" s="111">
        <v>32730</v>
      </c>
      <c r="T75" s="111">
        <v>32200</v>
      </c>
      <c r="U75" s="111">
        <v>32650</v>
      </c>
      <c r="V75" s="111">
        <v>33360</v>
      </c>
      <c r="W75" s="111">
        <v>33950</v>
      </c>
      <c r="X75" s="111">
        <v>33740</v>
      </c>
      <c r="Y75" s="111">
        <v>35170</v>
      </c>
      <c r="Z75" s="111">
        <v>34690</v>
      </c>
      <c r="AA75" s="111">
        <v>33450</v>
      </c>
      <c r="AB75" s="111">
        <v>32700</v>
      </c>
      <c r="AC75" s="111">
        <v>31430</v>
      </c>
      <c r="AD75" s="111">
        <v>30110</v>
      </c>
      <c r="AE75" s="111">
        <v>30290</v>
      </c>
      <c r="AF75" s="111">
        <v>30220</v>
      </c>
      <c r="AG75" s="111">
        <v>31180</v>
      </c>
      <c r="AH75" s="111">
        <v>31580</v>
      </c>
      <c r="AI75" s="111">
        <v>31970</v>
      </c>
      <c r="AJ75" s="111">
        <v>33060</v>
      </c>
      <c r="AK75" s="111">
        <v>33840</v>
      </c>
      <c r="AL75" s="111">
        <v>34620</v>
      </c>
      <c r="AM75" s="111">
        <v>35410</v>
      </c>
      <c r="AN75" s="111">
        <v>36030</v>
      </c>
      <c r="AO75" s="111">
        <v>36890</v>
      </c>
      <c r="AP75" s="111">
        <v>39360</v>
      </c>
      <c r="AQ75" s="111">
        <v>39710</v>
      </c>
      <c r="AR75" s="111">
        <v>41380</v>
      </c>
      <c r="AS75" s="111">
        <v>41970</v>
      </c>
      <c r="AT75" s="111">
        <v>41610</v>
      </c>
      <c r="AU75" s="111">
        <v>40910</v>
      </c>
      <c r="AV75" s="111">
        <v>39720</v>
      </c>
      <c r="AW75" s="111">
        <v>39510</v>
      </c>
      <c r="AX75" s="111">
        <v>39150</v>
      </c>
      <c r="AY75" s="111">
        <v>38800</v>
      </c>
      <c r="AZ75" s="111">
        <v>38770</v>
      </c>
      <c r="BA75" s="111">
        <v>38210</v>
      </c>
      <c r="BB75" s="111">
        <v>38980</v>
      </c>
      <c r="BC75" s="111">
        <v>38620</v>
      </c>
      <c r="BD75" s="111">
        <v>37700</v>
      </c>
      <c r="BE75" s="111">
        <v>37380</v>
      </c>
      <c r="BF75" s="111">
        <v>38190</v>
      </c>
      <c r="BG75" s="111">
        <v>38350</v>
      </c>
      <c r="BH75" s="111">
        <v>39150</v>
      </c>
      <c r="BI75" s="111">
        <v>40680</v>
      </c>
      <c r="BJ75" s="111">
        <v>41950</v>
      </c>
      <c r="BK75" s="111">
        <v>41800</v>
      </c>
      <c r="BL75" s="111">
        <v>42820</v>
      </c>
      <c r="BM75" s="195">
        <v>42760</v>
      </c>
      <c r="BN75" s="195">
        <v>42670</v>
      </c>
      <c r="BO75" s="195">
        <v>42590</v>
      </c>
      <c r="BP75" s="195">
        <v>41510</v>
      </c>
      <c r="BQ75" s="195">
        <v>41580</v>
      </c>
    </row>
    <row r="76" spans="1:69">
      <c r="A76" s="28">
        <v>59</v>
      </c>
      <c r="B76" s="111">
        <v>24660</v>
      </c>
      <c r="C76" s="111">
        <v>24450</v>
      </c>
      <c r="D76" s="111">
        <v>23980</v>
      </c>
      <c r="E76" s="111">
        <v>24630</v>
      </c>
      <c r="F76" s="111">
        <v>24500</v>
      </c>
      <c r="G76" s="111">
        <v>24970</v>
      </c>
      <c r="H76" s="111">
        <v>25480</v>
      </c>
      <c r="I76" s="111">
        <v>26490</v>
      </c>
      <c r="J76" s="111">
        <v>27060</v>
      </c>
      <c r="K76" s="111">
        <v>27920</v>
      </c>
      <c r="L76" s="111">
        <v>28690</v>
      </c>
      <c r="M76" s="111">
        <v>29550</v>
      </c>
      <c r="N76" s="111">
        <v>30780</v>
      </c>
      <c r="O76" s="111">
        <v>31310</v>
      </c>
      <c r="P76" s="111">
        <v>33090</v>
      </c>
      <c r="Q76" s="111">
        <v>33860</v>
      </c>
      <c r="R76" s="111">
        <v>34360</v>
      </c>
      <c r="S76" s="111">
        <v>33580</v>
      </c>
      <c r="T76" s="111">
        <v>32710</v>
      </c>
      <c r="U76" s="111">
        <v>32180</v>
      </c>
      <c r="V76" s="111">
        <v>32630</v>
      </c>
      <c r="W76" s="111">
        <v>33340</v>
      </c>
      <c r="X76" s="111">
        <v>33930</v>
      </c>
      <c r="Y76" s="111">
        <v>33720</v>
      </c>
      <c r="Z76" s="111">
        <v>35150</v>
      </c>
      <c r="AA76" s="111">
        <v>34680</v>
      </c>
      <c r="AB76" s="111">
        <v>33440</v>
      </c>
      <c r="AC76" s="111">
        <v>32700</v>
      </c>
      <c r="AD76" s="111">
        <v>31440</v>
      </c>
      <c r="AE76" s="111">
        <v>30120</v>
      </c>
      <c r="AF76" s="111">
        <v>30300</v>
      </c>
      <c r="AG76" s="111">
        <v>30230</v>
      </c>
      <c r="AH76" s="111">
        <v>31200</v>
      </c>
      <c r="AI76" s="111">
        <v>31590</v>
      </c>
      <c r="AJ76" s="111">
        <v>31980</v>
      </c>
      <c r="AK76" s="111">
        <v>33070</v>
      </c>
      <c r="AL76" s="111">
        <v>33850</v>
      </c>
      <c r="AM76" s="111">
        <v>34630</v>
      </c>
      <c r="AN76" s="111">
        <v>35430</v>
      </c>
      <c r="AO76" s="111">
        <v>36040</v>
      </c>
      <c r="AP76" s="111">
        <v>36900</v>
      </c>
      <c r="AQ76" s="111">
        <v>39360</v>
      </c>
      <c r="AR76" s="111">
        <v>39710</v>
      </c>
      <c r="AS76" s="111">
        <v>41390</v>
      </c>
      <c r="AT76" s="111">
        <v>41980</v>
      </c>
      <c r="AU76" s="111">
        <v>41620</v>
      </c>
      <c r="AV76" s="111">
        <v>40930</v>
      </c>
      <c r="AW76" s="111">
        <v>39740</v>
      </c>
      <c r="AX76" s="111">
        <v>39530</v>
      </c>
      <c r="AY76" s="111">
        <v>39170</v>
      </c>
      <c r="AZ76" s="111">
        <v>38820</v>
      </c>
      <c r="BA76" s="111">
        <v>38790</v>
      </c>
      <c r="BB76" s="111">
        <v>38230</v>
      </c>
      <c r="BC76" s="111">
        <v>39000</v>
      </c>
      <c r="BD76" s="111">
        <v>38650</v>
      </c>
      <c r="BE76" s="111">
        <v>37740</v>
      </c>
      <c r="BF76" s="111">
        <v>37410</v>
      </c>
      <c r="BG76" s="111">
        <v>38220</v>
      </c>
      <c r="BH76" s="111">
        <v>38380</v>
      </c>
      <c r="BI76" s="111">
        <v>39190</v>
      </c>
      <c r="BJ76" s="111">
        <v>40710</v>
      </c>
      <c r="BK76" s="111">
        <v>41980</v>
      </c>
      <c r="BL76" s="111">
        <v>41840</v>
      </c>
      <c r="BM76" s="195">
        <v>42850</v>
      </c>
      <c r="BN76" s="195">
        <v>42790</v>
      </c>
      <c r="BO76" s="195">
        <v>42700</v>
      </c>
      <c r="BP76" s="195">
        <v>42630</v>
      </c>
      <c r="BQ76" s="195">
        <v>41550</v>
      </c>
    </row>
    <row r="77" spans="1:69">
      <c r="A77" s="28">
        <v>60</v>
      </c>
      <c r="B77" s="111">
        <v>20800</v>
      </c>
      <c r="C77" s="111">
        <v>24570</v>
      </c>
      <c r="D77" s="111">
        <v>24410</v>
      </c>
      <c r="E77" s="111">
        <v>23930</v>
      </c>
      <c r="F77" s="111">
        <v>24560</v>
      </c>
      <c r="G77" s="111">
        <v>24490</v>
      </c>
      <c r="H77" s="111">
        <v>24980</v>
      </c>
      <c r="I77" s="111">
        <v>25490</v>
      </c>
      <c r="J77" s="111">
        <v>26460</v>
      </c>
      <c r="K77" s="111">
        <v>27090</v>
      </c>
      <c r="L77" s="111">
        <v>27920</v>
      </c>
      <c r="M77" s="111">
        <v>28670</v>
      </c>
      <c r="N77" s="111">
        <v>29560</v>
      </c>
      <c r="O77" s="111">
        <v>30770</v>
      </c>
      <c r="P77" s="111">
        <v>31650</v>
      </c>
      <c r="Q77" s="111">
        <v>33010</v>
      </c>
      <c r="R77" s="111">
        <v>33790</v>
      </c>
      <c r="S77" s="111">
        <v>34310</v>
      </c>
      <c r="T77" s="111">
        <v>33550</v>
      </c>
      <c r="U77" s="111">
        <v>32690</v>
      </c>
      <c r="V77" s="111">
        <v>32160</v>
      </c>
      <c r="W77" s="111">
        <v>32610</v>
      </c>
      <c r="X77" s="111">
        <v>33320</v>
      </c>
      <c r="Y77" s="111">
        <v>33910</v>
      </c>
      <c r="Z77" s="111">
        <v>33710</v>
      </c>
      <c r="AA77" s="111">
        <v>35130</v>
      </c>
      <c r="AB77" s="111">
        <v>34670</v>
      </c>
      <c r="AC77" s="111">
        <v>33430</v>
      </c>
      <c r="AD77" s="111">
        <v>32700</v>
      </c>
      <c r="AE77" s="111">
        <v>31440</v>
      </c>
      <c r="AF77" s="111">
        <v>30120</v>
      </c>
      <c r="AG77" s="111">
        <v>30310</v>
      </c>
      <c r="AH77" s="111">
        <v>30240</v>
      </c>
      <c r="AI77" s="111">
        <v>31210</v>
      </c>
      <c r="AJ77" s="111">
        <v>31600</v>
      </c>
      <c r="AK77" s="111">
        <v>31990</v>
      </c>
      <c r="AL77" s="111">
        <v>33080</v>
      </c>
      <c r="AM77" s="111">
        <v>33860</v>
      </c>
      <c r="AN77" s="111">
        <v>34640</v>
      </c>
      <c r="AO77" s="111">
        <v>35440</v>
      </c>
      <c r="AP77" s="111">
        <v>36050</v>
      </c>
      <c r="AQ77" s="111">
        <v>36910</v>
      </c>
      <c r="AR77" s="111">
        <v>39370</v>
      </c>
      <c r="AS77" s="111">
        <v>39720</v>
      </c>
      <c r="AT77" s="111">
        <v>41390</v>
      </c>
      <c r="AU77" s="111">
        <v>41980</v>
      </c>
      <c r="AV77" s="111">
        <v>41630</v>
      </c>
      <c r="AW77" s="111">
        <v>40940</v>
      </c>
      <c r="AX77" s="111">
        <v>39760</v>
      </c>
      <c r="AY77" s="111">
        <v>39550</v>
      </c>
      <c r="AZ77" s="111">
        <v>39190</v>
      </c>
      <c r="BA77" s="111">
        <v>38840</v>
      </c>
      <c r="BB77" s="111">
        <v>38820</v>
      </c>
      <c r="BC77" s="111">
        <v>38260</v>
      </c>
      <c r="BD77" s="111">
        <v>39030</v>
      </c>
      <c r="BE77" s="111">
        <v>38680</v>
      </c>
      <c r="BF77" s="111">
        <v>37770</v>
      </c>
      <c r="BG77" s="111">
        <v>37450</v>
      </c>
      <c r="BH77" s="111">
        <v>38260</v>
      </c>
      <c r="BI77" s="111">
        <v>38410</v>
      </c>
      <c r="BJ77" s="111">
        <v>39220</v>
      </c>
      <c r="BK77" s="111">
        <v>40740</v>
      </c>
      <c r="BL77" s="111">
        <v>42020</v>
      </c>
      <c r="BM77" s="195">
        <v>41870</v>
      </c>
      <c r="BN77" s="195">
        <v>42890</v>
      </c>
      <c r="BO77" s="195">
        <v>42830</v>
      </c>
      <c r="BP77" s="195">
        <v>42740</v>
      </c>
      <c r="BQ77" s="195">
        <v>42660</v>
      </c>
    </row>
    <row r="78" spans="1:69">
      <c r="A78" s="28">
        <v>61</v>
      </c>
      <c r="B78" s="111">
        <v>19700</v>
      </c>
      <c r="C78" s="111">
        <v>20750</v>
      </c>
      <c r="D78" s="111">
        <v>24470</v>
      </c>
      <c r="E78" s="111">
        <v>24340</v>
      </c>
      <c r="F78" s="111">
        <v>23890</v>
      </c>
      <c r="G78" s="111">
        <v>24540</v>
      </c>
      <c r="H78" s="111">
        <v>24440</v>
      </c>
      <c r="I78" s="111">
        <v>24970</v>
      </c>
      <c r="J78" s="111">
        <v>25480</v>
      </c>
      <c r="K78" s="111">
        <v>26420</v>
      </c>
      <c r="L78" s="111">
        <v>27210</v>
      </c>
      <c r="M78" s="111">
        <v>27860</v>
      </c>
      <c r="N78" s="111">
        <v>28610</v>
      </c>
      <c r="O78" s="111">
        <v>29590</v>
      </c>
      <c r="P78" s="111">
        <v>31070</v>
      </c>
      <c r="Q78" s="111">
        <v>31560</v>
      </c>
      <c r="R78" s="111">
        <v>32940</v>
      </c>
      <c r="S78" s="111">
        <v>33730</v>
      </c>
      <c r="T78" s="111">
        <v>34280</v>
      </c>
      <c r="U78" s="111">
        <v>33520</v>
      </c>
      <c r="V78" s="111">
        <v>32670</v>
      </c>
      <c r="W78" s="111">
        <v>32140</v>
      </c>
      <c r="X78" s="111">
        <v>32600</v>
      </c>
      <c r="Y78" s="111">
        <v>33300</v>
      </c>
      <c r="Z78" s="111">
        <v>33900</v>
      </c>
      <c r="AA78" s="111">
        <v>33700</v>
      </c>
      <c r="AB78" s="111">
        <v>35120</v>
      </c>
      <c r="AC78" s="111">
        <v>34660</v>
      </c>
      <c r="AD78" s="111">
        <v>33430</v>
      </c>
      <c r="AE78" s="111">
        <v>32700</v>
      </c>
      <c r="AF78" s="111">
        <v>31450</v>
      </c>
      <c r="AG78" s="111">
        <v>30130</v>
      </c>
      <c r="AH78" s="111">
        <v>30330</v>
      </c>
      <c r="AI78" s="111">
        <v>30260</v>
      </c>
      <c r="AJ78" s="111">
        <v>31220</v>
      </c>
      <c r="AK78" s="111">
        <v>31620</v>
      </c>
      <c r="AL78" s="111">
        <v>32010</v>
      </c>
      <c r="AM78" s="111">
        <v>33090</v>
      </c>
      <c r="AN78" s="111">
        <v>33880</v>
      </c>
      <c r="AO78" s="111">
        <v>34650</v>
      </c>
      <c r="AP78" s="111">
        <v>35450</v>
      </c>
      <c r="AQ78" s="111">
        <v>36070</v>
      </c>
      <c r="AR78" s="111">
        <v>36930</v>
      </c>
      <c r="AS78" s="111">
        <v>39380</v>
      </c>
      <c r="AT78" s="111">
        <v>39730</v>
      </c>
      <c r="AU78" s="111">
        <v>41410</v>
      </c>
      <c r="AV78" s="111">
        <v>41990</v>
      </c>
      <c r="AW78" s="111">
        <v>41650</v>
      </c>
      <c r="AX78" s="111">
        <v>40960</v>
      </c>
      <c r="AY78" s="111">
        <v>39780</v>
      </c>
      <c r="AZ78" s="111">
        <v>39570</v>
      </c>
      <c r="BA78" s="111">
        <v>39220</v>
      </c>
      <c r="BB78" s="111">
        <v>38870</v>
      </c>
      <c r="BC78" s="111">
        <v>38850</v>
      </c>
      <c r="BD78" s="111">
        <v>38290</v>
      </c>
      <c r="BE78" s="111">
        <v>39060</v>
      </c>
      <c r="BF78" s="111">
        <v>38710</v>
      </c>
      <c r="BG78" s="111">
        <v>37800</v>
      </c>
      <c r="BH78" s="111">
        <v>37490</v>
      </c>
      <c r="BI78" s="111">
        <v>38300</v>
      </c>
      <c r="BJ78" s="111">
        <v>38450</v>
      </c>
      <c r="BK78" s="111">
        <v>39260</v>
      </c>
      <c r="BL78" s="111">
        <v>40780</v>
      </c>
      <c r="BM78" s="195">
        <v>42060</v>
      </c>
      <c r="BN78" s="195">
        <v>41910</v>
      </c>
      <c r="BO78" s="195">
        <v>42930</v>
      </c>
      <c r="BP78" s="195">
        <v>42870</v>
      </c>
      <c r="BQ78" s="195">
        <v>42780</v>
      </c>
    </row>
    <row r="79" spans="1:69">
      <c r="A79" s="28">
        <v>62</v>
      </c>
      <c r="B79" s="111">
        <v>18680</v>
      </c>
      <c r="C79" s="111">
        <v>19610</v>
      </c>
      <c r="D79" s="111">
        <v>20680</v>
      </c>
      <c r="E79" s="111">
        <v>24370</v>
      </c>
      <c r="F79" s="111">
        <v>24280</v>
      </c>
      <c r="G79" s="111">
        <v>23840</v>
      </c>
      <c r="H79" s="111">
        <v>24510</v>
      </c>
      <c r="I79" s="111">
        <v>24380</v>
      </c>
      <c r="J79" s="111">
        <v>24910</v>
      </c>
      <c r="K79" s="111">
        <v>25440</v>
      </c>
      <c r="L79" s="111">
        <v>26390</v>
      </c>
      <c r="M79" s="111">
        <v>27170</v>
      </c>
      <c r="N79" s="111">
        <v>27820</v>
      </c>
      <c r="O79" s="111">
        <v>28640</v>
      </c>
      <c r="P79" s="111">
        <v>29940</v>
      </c>
      <c r="Q79" s="111">
        <v>30960</v>
      </c>
      <c r="R79" s="111">
        <v>31480</v>
      </c>
      <c r="S79" s="111">
        <v>32860</v>
      </c>
      <c r="T79" s="111">
        <v>33690</v>
      </c>
      <c r="U79" s="111">
        <v>34240</v>
      </c>
      <c r="V79" s="111">
        <v>33490</v>
      </c>
      <c r="W79" s="111">
        <v>32640</v>
      </c>
      <c r="X79" s="111">
        <v>32120</v>
      </c>
      <c r="Y79" s="111">
        <v>32570</v>
      </c>
      <c r="Z79" s="111">
        <v>33280</v>
      </c>
      <c r="AA79" s="111">
        <v>33880</v>
      </c>
      <c r="AB79" s="111">
        <v>33680</v>
      </c>
      <c r="AC79" s="111">
        <v>35100</v>
      </c>
      <c r="AD79" s="111">
        <v>34640</v>
      </c>
      <c r="AE79" s="111">
        <v>33420</v>
      </c>
      <c r="AF79" s="111">
        <v>32690</v>
      </c>
      <c r="AG79" s="111">
        <v>31450</v>
      </c>
      <c r="AH79" s="111">
        <v>30140</v>
      </c>
      <c r="AI79" s="111">
        <v>30340</v>
      </c>
      <c r="AJ79" s="111">
        <v>30270</v>
      </c>
      <c r="AK79" s="111">
        <v>31230</v>
      </c>
      <c r="AL79" s="111">
        <v>31630</v>
      </c>
      <c r="AM79" s="111">
        <v>32020</v>
      </c>
      <c r="AN79" s="111">
        <v>33100</v>
      </c>
      <c r="AO79" s="111">
        <v>33890</v>
      </c>
      <c r="AP79" s="111">
        <v>34670</v>
      </c>
      <c r="AQ79" s="111">
        <v>35460</v>
      </c>
      <c r="AR79" s="111">
        <v>36080</v>
      </c>
      <c r="AS79" s="111">
        <v>36940</v>
      </c>
      <c r="AT79" s="111">
        <v>39390</v>
      </c>
      <c r="AU79" s="111">
        <v>39740</v>
      </c>
      <c r="AV79" s="111">
        <v>41410</v>
      </c>
      <c r="AW79" s="111">
        <v>42000</v>
      </c>
      <c r="AX79" s="111">
        <v>41660</v>
      </c>
      <c r="AY79" s="111">
        <v>40970</v>
      </c>
      <c r="AZ79" s="111">
        <v>39800</v>
      </c>
      <c r="BA79" s="111">
        <v>39590</v>
      </c>
      <c r="BB79" s="111">
        <v>39240</v>
      </c>
      <c r="BC79" s="111">
        <v>38900</v>
      </c>
      <c r="BD79" s="111">
        <v>38870</v>
      </c>
      <c r="BE79" s="111">
        <v>38320</v>
      </c>
      <c r="BF79" s="111">
        <v>39090</v>
      </c>
      <c r="BG79" s="111">
        <v>38740</v>
      </c>
      <c r="BH79" s="111">
        <v>37840</v>
      </c>
      <c r="BI79" s="111">
        <v>37520</v>
      </c>
      <c r="BJ79" s="111">
        <v>38330</v>
      </c>
      <c r="BK79" s="111">
        <v>38490</v>
      </c>
      <c r="BL79" s="111">
        <v>39300</v>
      </c>
      <c r="BM79" s="195">
        <v>40820</v>
      </c>
      <c r="BN79" s="195">
        <v>42090</v>
      </c>
      <c r="BO79" s="195">
        <v>41950</v>
      </c>
      <c r="BP79" s="195">
        <v>42970</v>
      </c>
      <c r="BQ79" s="195">
        <v>42910</v>
      </c>
    </row>
    <row r="80" spans="1:69">
      <c r="A80" s="28">
        <v>63</v>
      </c>
      <c r="B80" s="111">
        <v>16840</v>
      </c>
      <c r="C80" s="111">
        <v>18600</v>
      </c>
      <c r="D80" s="111">
        <v>19540</v>
      </c>
      <c r="E80" s="111">
        <v>20580</v>
      </c>
      <c r="F80" s="111">
        <v>24270</v>
      </c>
      <c r="G80" s="111">
        <v>24200</v>
      </c>
      <c r="H80" s="111">
        <v>23820</v>
      </c>
      <c r="I80" s="111">
        <v>24470</v>
      </c>
      <c r="J80" s="111">
        <v>24280</v>
      </c>
      <c r="K80" s="111">
        <v>24900</v>
      </c>
      <c r="L80" s="111">
        <v>25420</v>
      </c>
      <c r="M80" s="111">
        <v>26360</v>
      </c>
      <c r="N80" s="111">
        <v>27120</v>
      </c>
      <c r="O80" s="111">
        <v>27870</v>
      </c>
      <c r="P80" s="111">
        <v>28940</v>
      </c>
      <c r="Q80" s="111">
        <v>29820</v>
      </c>
      <c r="R80" s="111">
        <v>30870</v>
      </c>
      <c r="S80" s="111">
        <v>31400</v>
      </c>
      <c r="T80" s="111">
        <v>32810</v>
      </c>
      <c r="U80" s="111">
        <v>33640</v>
      </c>
      <c r="V80" s="111">
        <v>34180</v>
      </c>
      <c r="W80" s="111">
        <v>33440</v>
      </c>
      <c r="X80" s="111">
        <v>32590</v>
      </c>
      <c r="Y80" s="111">
        <v>32080</v>
      </c>
      <c r="Z80" s="111">
        <v>32540</v>
      </c>
      <c r="AA80" s="111">
        <v>33250</v>
      </c>
      <c r="AB80" s="111">
        <v>33840</v>
      </c>
      <c r="AC80" s="111">
        <v>33650</v>
      </c>
      <c r="AD80" s="111">
        <v>35060</v>
      </c>
      <c r="AE80" s="111">
        <v>34610</v>
      </c>
      <c r="AF80" s="111">
        <v>33400</v>
      </c>
      <c r="AG80" s="111">
        <v>32680</v>
      </c>
      <c r="AH80" s="111">
        <v>31440</v>
      </c>
      <c r="AI80" s="111">
        <v>30140</v>
      </c>
      <c r="AJ80" s="111">
        <v>30330</v>
      </c>
      <c r="AK80" s="111">
        <v>30270</v>
      </c>
      <c r="AL80" s="111">
        <v>31230</v>
      </c>
      <c r="AM80" s="111">
        <v>31630</v>
      </c>
      <c r="AN80" s="111">
        <v>32020</v>
      </c>
      <c r="AO80" s="111">
        <v>33110</v>
      </c>
      <c r="AP80" s="111">
        <v>33890</v>
      </c>
      <c r="AQ80" s="111">
        <v>34670</v>
      </c>
      <c r="AR80" s="111">
        <v>35460</v>
      </c>
      <c r="AS80" s="111">
        <v>36080</v>
      </c>
      <c r="AT80" s="111">
        <v>36940</v>
      </c>
      <c r="AU80" s="111">
        <v>39390</v>
      </c>
      <c r="AV80" s="111">
        <v>39740</v>
      </c>
      <c r="AW80" s="111">
        <v>41410</v>
      </c>
      <c r="AX80" s="111">
        <v>42000</v>
      </c>
      <c r="AY80" s="111">
        <v>41660</v>
      </c>
      <c r="AZ80" s="111">
        <v>40970</v>
      </c>
      <c r="BA80" s="111">
        <v>39800</v>
      </c>
      <c r="BB80" s="111">
        <v>39600</v>
      </c>
      <c r="BC80" s="111">
        <v>39250</v>
      </c>
      <c r="BD80" s="111">
        <v>38910</v>
      </c>
      <c r="BE80" s="111">
        <v>38890</v>
      </c>
      <c r="BF80" s="111">
        <v>38340</v>
      </c>
      <c r="BG80" s="111">
        <v>39110</v>
      </c>
      <c r="BH80" s="111">
        <v>38770</v>
      </c>
      <c r="BI80" s="111">
        <v>37860</v>
      </c>
      <c r="BJ80" s="111">
        <v>37550</v>
      </c>
      <c r="BK80" s="111">
        <v>38360</v>
      </c>
      <c r="BL80" s="111">
        <v>38520</v>
      </c>
      <c r="BM80" s="195">
        <v>39330</v>
      </c>
      <c r="BN80" s="195">
        <v>40850</v>
      </c>
      <c r="BO80" s="195">
        <v>42120</v>
      </c>
      <c r="BP80" s="195">
        <v>41980</v>
      </c>
      <c r="BQ80" s="195">
        <v>43000</v>
      </c>
    </row>
    <row r="81" spans="1:69">
      <c r="A81" s="28">
        <v>64</v>
      </c>
      <c r="B81" s="111">
        <v>18730</v>
      </c>
      <c r="C81" s="111">
        <v>16750</v>
      </c>
      <c r="D81" s="111">
        <v>18530</v>
      </c>
      <c r="E81" s="111">
        <v>19490</v>
      </c>
      <c r="F81" s="111">
        <v>20520</v>
      </c>
      <c r="G81" s="111">
        <v>24170</v>
      </c>
      <c r="H81" s="111">
        <v>24150</v>
      </c>
      <c r="I81" s="111">
        <v>23800</v>
      </c>
      <c r="J81" s="111">
        <v>24380</v>
      </c>
      <c r="K81" s="111">
        <v>24130</v>
      </c>
      <c r="L81" s="111">
        <v>24810</v>
      </c>
      <c r="M81" s="111">
        <v>25400</v>
      </c>
      <c r="N81" s="111">
        <v>26240</v>
      </c>
      <c r="O81" s="111">
        <v>27100</v>
      </c>
      <c r="P81" s="111">
        <v>28200</v>
      </c>
      <c r="Q81" s="111">
        <v>28820</v>
      </c>
      <c r="R81" s="111">
        <v>29720</v>
      </c>
      <c r="S81" s="111">
        <v>30770</v>
      </c>
      <c r="T81" s="111">
        <v>31320</v>
      </c>
      <c r="U81" s="111">
        <v>32730</v>
      </c>
      <c r="V81" s="111">
        <v>33550</v>
      </c>
      <c r="W81" s="111">
        <v>34100</v>
      </c>
      <c r="X81" s="111">
        <v>33370</v>
      </c>
      <c r="Y81" s="111">
        <v>32530</v>
      </c>
      <c r="Z81" s="111">
        <v>32020</v>
      </c>
      <c r="AA81" s="111">
        <v>32480</v>
      </c>
      <c r="AB81" s="111">
        <v>33190</v>
      </c>
      <c r="AC81" s="111">
        <v>33780</v>
      </c>
      <c r="AD81" s="111">
        <v>33590</v>
      </c>
      <c r="AE81" s="111">
        <v>35010</v>
      </c>
      <c r="AF81" s="111">
        <v>34560</v>
      </c>
      <c r="AG81" s="111">
        <v>33350</v>
      </c>
      <c r="AH81" s="111">
        <v>32640</v>
      </c>
      <c r="AI81" s="111">
        <v>31410</v>
      </c>
      <c r="AJ81" s="111">
        <v>30110</v>
      </c>
      <c r="AK81" s="111">
        <v>30310</v>
      </c>
      <c r="AL81" s="111">
        <v>30250</v>
      </c>
      <c r="AM81" s="111">
        <v>31210</v>
      </c>
      <c r="AN81" s="111">
        <v>31610</v>
      </c>
      <c r="AO81" s="111">
        <v>32000</v>
      </c>
      <c r="AP81" s="111">
        <v>33080</v>
      </c>
      <c r="AQ81" s="111">
        <v>33870</v>
      </c>
      <c r="AR81" s="111">
        <v>34640</v>
      </c>
      <c r="AS81" s="111">
        <v>35440</v>
      </c>
      <c r="AT81" s="111">
        <v>36060</v>
      </c>
      <c r="AU81" s="111">
        <v>36920</v>
      </c>
      <c r="AV81" s="111">
        <v>39360</v>
      </c>
      <c r="AW81" s="111">
        <v>39720</v>
      </c>
      <c r="AX81" s="111">
        <v>41380</v>
      </c>
      <c r="AY81" s="111">
        <v>41970</v>
      </c>
      <c r="AZ81" s="111">
        <v>41630</v>
      </c>
      <c r="BA81" s="111">
        <v>40950</v>
      </c>
      <c r="BB81" s="111">
        <v>39790</v>
      </c>
      <c r="BC81" s="111">
        <v>39590</v>
      </c>
      <c r="BD81" s="111">
        <v>39240</v>
      </c>
      <c r="BE81" s="111">
        <v>38910</v>
      </c>
      <c r="BF81" s="111">
        <v>38890</v>
      </c>
      <c r="BG81" s="111">
        <v>38340</v>
      </c>
      <c r="BH81" s="111">
        <v>39110</v>
      </c>
      <c r="BI81" s="111">
        <v>38770</v>
      </c>
      <c r="BJ81" s="111">
        <v>37870</v>
      </c>
      <c r="BK81" s="111">
        <v>37560</v>
      </c>
      <c r="BL81" s="111">
        <v>38370</v>
      </c>
      <c r="BM81" s="195">
        <v>38530</v>
      </c>
      <c r="BN81" s="195">
        <v>39340</v>
      </c>
      <c r="BO81" s="195">
        <v>40850</v>
      </c>
      <c r="BP81" s="195">
        <v>42130</v>
      </c>
      <c r="BQ81" s="195">
        <v>41990</v>
      </c>
    </row>
    <row r="82" spans="1:69">
      <c r="A82" s="28">
        <v>65</v>
      </c>
      <c r="B82" s="111">
        <v>18400</v>
      </c>
      <c r="C82" s="111">
        <v>18630</v>
      </c>
      <c r="D82" s="111">
        <v>16670</v>
      </c>
      <c r="E82" s="111">
        <v>18440</v>
      </c>
      <c r="F82" s="111">
        <v>19440</v>
      </c>
      <c r="G82" s="111">
        <v>20450</v>
      </c>
      <c r="H82" s="111">
        <v>24040</v>
      </c>
      <c r="I82" s="111">
        <v>24050</v>
      </c>
      <c r="J82" s="111">
        <v>23620</v>
      </c>
      <c r="K82" s="111">
        <v>24270</v>
      </c>
      <c r="L82" s="111">
        <v>24050</v>
      </c>
      <c r="M82" s="111">
        <v>24710</v>
      </c>
      <c r="N82" s="111">
        <v>25300</v>
      </c>
      <c r="O82" s="111">
        <v>26160</v>
      </c>
      <c r="P82" s="111">
        <v>27410</v>
      </c>
      <c r="Q82" s="111">
        <v>28060</v>
      </c>
      <c r="R82" s="111">
        <v>28700</v>
      </c>
      <c r="S82" s="111">
        <v>29600</v>
      </c>
      <c r="T82" s="111">
        <v>30680</v>
      </c>
      <c r="U82" s="111">
        <v>31230</v>
      </c>
      <c r="V82" s="111">
        <v>32630</v>
      </c>
      <c r="W82" s="111">
        <v>33460</v>
      </c>
      <c r="X82" s="111">
        <v>34000</v>
      </c>
      <c r="Y82" s="111">
        <v>33280</v>
      </c>
      <c r="Z82" s="111">
        <v>32450</v>
      </c>
      <c r="AA82" s="111">
        <v>31950</v>
      </c>
      <c r="AB82" s="111">
        <v>32400</v>
      </c>
      <c r="AC82" s="111">
        <v>33110</v>
      </c>
      <c r="AD82" s="111">
        <v>33710</v>
      </c>
      <c r="AE82" s="111">
        <v>33520</v>
      </c>
      <c r="AF82" s="111">
        <v>34930</v>
      </c>
      <c r="AG82" s="111">
        <v>34490</v>
      </c>
      <c r="AH82" s="111">
        <v>33290</v>
      </c>
      <c r="AI82" s="111">
        <v>32580</v>
      </c>
      <c r="AJ82" s="111">
        <v>31360</v>
      </c>
      <c r="AK82" s="111">
        <v>30080</v>
      </c>
      <c r="AL82" s="111">
        <v>30270</v>
      </c>
      <c r="AM82" s="111">
        <v>30220</v>
      </c>
      <c r="AN82" s="111">
        <v>31170</v>
      </c>
      <c r="AO82" s="111">
        <v>31580</v>
      </c>
      <c r="AP82" s="111">
        <v>31970</v>
      </c>
      <c r="AQ82" s="111">
        <v>33050</v>
      </c>
      <c r="AR82" s="111">
        <v>33830</v>
      </c>
      <c r="AS82" s="111">
        <v>34610</v>
      </c>
      <c r="AT82" s="111">
        <v>35410</v>
      </c>
      <c r="AU82" s="111">
        <v>36030</v>
      </c>
      <c r="AV82" s="111">
        <v>36880</v>
      </c>
      <c r="AW82" s="111">
        <v>39320</v>
      </c>
      <c r="AX82" s="111">
        <v>39680</v>
      </c>
      <c r="AY82" s="111">
        <v>41340</v>
      </c>
      <c r="AZ82" s="111">
        <v>41930</v>
      </c>
      <c r="BA82" s="111">
        <v>41600</v>
      </c>
      <c r="BB82" s="111">
        <v>40920</v>
      </c>
      <c r="BC82" s="111">
        <v>39770</v>
      </c>
      <c r="BD82" s="111">
        <v>39570</v>
      </c>
      <c r="BE82" s="111">
        <v>39220</v>
      </c>
      <c r="BF82" s="111">
        <v>38890</v>
      </c>
      <c r="BG82" s="111">
        <v>38870</v>
      </c>
      <c r="BH82" s="111">
        <v>38330</v>
      </c>
      <c r="BI82" s="111">
        <v>39100</v>
      </c>
      <c r="BJ82" s="111">
        <v>38760</v>
      </c>
      <c r="BK82" s="111">
        <v>37860</v>
      </c>
      <c r="BL82" s="111">
        <v>37560</v>
      </c>
      <c r="BM82" s="195">
        <v>38370</v>
      </c>
      <c r="BN82" s="195">
        <v>38530</v>
      </c>
      <c r="BO82" s="195">
        <v>39340</v>
      </c>
      <c r="BP82" s="195">
        <v>40850</v>
      </c>
      <c r="BQ82" s="195">
        <v>42120</v>
      </c>
    </row>
    <row r="83" spans="1:69">
      <c r="A83" s="28">
        <v>66</v>
      </c>
      <c r="B83" s="111">
        <v>16900</v>
      </c>
      <c r="C83" s="111">
        <v>18240</v>
      </c>
      <c r="D83" s="111">
        <v>18470</v>
      </c>
      <c r="E83" s="111">
        <v>16570</v>
      </c>
      <c r="F83" s="111">
        <v>18340</v>
      </c>
      <c r="G83" s="111">
        <v>19330</v>
      </c>
      <c r="H83" s="111">
        <v>20350</v>
      </c>
      <c r="I83" s="111">
        <v>23940</v>
      </c>
      <c r="J83" s="111">
        <v>23910</v>
      </c>
      <c r="K83" s="111">
        <v>23440</v>
      </c>
      <c r="L83" s="111">
        <v>24080</v>
      </c>
      <c r="M83" s="111">
        <v>23940</v>
      </c>
      <c r="N83" s="111">
        <v>24570</v>
      </c>
      <c r="O83" s="111">
        <v>25180</v>
      </c>
      <c r="P83" s="111">
        <v>26400</v>
      </c>
      <c r="Q83" s="111">
        <v>27260</v>
      </c>
      <c r="R83" s="111">
        <v>27920</v>
      </c>
      <c r="S83" s="111">
        <v>28570</v>
      </c>
      <c r="T83" s="111">
        <v>29490</v>
      </c>
      <c r="U83" s="111">
        <v>30560</v>
      </c>
      <c r="V83" s="111">
        <v>31110</v>
      </c>
      <c r="W83" s="111">
        <v>32510</v>
      </c>
      <c r="X83" s="111">
        <v>33330</v>
      </c>
      <c r="Y83" s="111">
        <v>33880</v>
      </c>
      <c r="Z83" s="111">
        <v>33170</v>
      </c>
      <c r="AA83" s="111">
        <v>32340</v>
      </c>
      <c r="AB83" s="111">
        <v>31850</v>
      </c>
      <c r="AC83" s="111">
        <v>32310</v>
      </c>
      <c r="AD83" s="111">
        <v>33020</v>
      </c>
      <c r="AE83" s="111">
        <v>33610</v>
      </c>
      <c r="AF83" s="111">
        <v>33430</v>
      </c>
      <c r="AG83" s="111">
        <v>34840</v>
      </c>
      <c r="AH83" s="111">
        <v>34400</v>
      </c>
      <c r="AI83" s="111">
        <v>33210</v>
      </c>
      <c r="AJ83" s="111">
        <v>32510</v>
      </c>
      <c r="AK83" s="111">
        <v>31290</v>
      </c>
      <c r="AL83" s="111">
        <v>30020</v>
      </c>
      <c r="AM83" s="111">
        <v>30220</v>
      </c>
      <c r="AN83" s="111">
        <v>30160</v>
      </c>
      <c r="AO83" s="111">
        <v>31120</v>
      </c>
      <c r="AP83" s="111">
        <v>31520</v>
      </c>
      <c r="AQ83" s="111">
        <v>31920</v>
      </c>
      <c r="AR83" s="111">
        <v>33000</v>
      </c>
      <c r="AS83" s="111">
        <v>33780</v>
      </c>
      <c r="AT83" s="111">
        <v>34560</v>
      </c>
      <c r="AU83" s="111">
        <v>35350</v>
      </c>
      <c r="AV83" s="111">
        <v>35970</v>
      </c>
      <c r="AW83" s="111">
        <v>36830</v>
      </c>
      <c r="AX83" s="111">
        <v>39260</v>
      </c>
      <c r="AY83" s="111">
        <v>39620</v>
      </c>
      <c r="AZ83" s="111">
        <v>41280</v>
      </c>
      <c r="BA83" s="111">
        <v>41880</v>
      </c>
      <c r="BB83" s="111">
        <v>41540</v>
      </c>
      <c r="BC83" s="111">
        <v>40870</v>
      </c>
      <c r="BD83" s="111">
        <v>39720</v>
      </c>
      <c r="BE83" s="111">
        <v>39520</v>
      </c>
      <c r="BF83" s="111">
        <v>39180</v>
      </c>
      <c r="BG83" s="111">
        <v>38850</v>
      </c>
      <c r="BH83" s="111">
        <v>38840</v>
      </c>
      <c r="BI83" s="111">
        <v>38300</v>
      </c>
      <c r="BJ83" s="111">
        <v>39070</v>
      </c>
      <c r="BK83" s="111">
        <v>38730</v>
      </c>
      <c r="BL83" s="111">
        <v>37840</v>
      </c>
      <c r="BM83" s="195">
        <v>37530</v>
      </c>
      <c r="BN83" s="195">
        <v>38340</v>
      </c>
      <c r="BO83" s="195">
        <v>38510</v>
      </c>
      <c r="BP83" s="195">
        <v>39320</v>
      </c>
      <c r="BQ83" s="195">
        <v>40830</v>
      </c>
    </row>
    <row r="84" spans="1:69">
      <c r="A84" s="28">
        <v>67</v>
      </c>
      <c r="B84" s="111">
        <v>15620</v>
      </c>
      <c r="C84" s="111">
        <v>16740</v>
      </c>
      <c r="D84" s="111">
        <v>18050</v>
      </c>
      <c r="E84" s="111">
        <v>18370</v>
      </c>
      <c r="F84" s="111">
        <v>16430</v>
      </c>
      <c r="G84" s="111">
        <v>18210</v>
      </c>
      <c r="H84" s="111">
        <v>19190</v>
      </c>
      <c r="I84" s="111">
        <v>20190</v>
      </c>
      <c r="J84" s="111">
        <v>23730</v>
      </c>
      <c r="K84" s="111">
        <v>23700</v>
      </c>
      <c r="L84" s="111">
        <v>23260</v>
      </c>
      <c r="M84" s="111">
        <v>23900</v>
      </c>
      <c r="N84" s="111">
        <v>23710</v>
      </c>
      <c r="O84" s="111">
        <v>24460</v>
      </c>
      <c r="P84" s="111">
        <v>25360</v>
      </c>
      <c r="Q84" s="111">
        <v>26230</v>
      </c>
      <c r="R84" s="111">
        <v>27100</v>
      </c>
      <c r="S84" s="111">
        <v>27770</v>
      </c>
      <c r="T84" s="111">
        <v>28420</v>
      </c>
      <c r="U84" s="111">
        <v>29340</v>
      </c>
      <c r="V84" s="111">
        <v>30410</v>
      </c>
      <c r="W84" s="111">
        <v>30970</v>
      </c>
      <c r="X84" s="111">
        <v>32360</v>
      </c>
      <c r="Y84" s="111">
        <v>33190</v>
      </c>
      <c r="Z84" s="111">
        <v>33740</v>
      </c>
      <c r="AA84" s="111">
        <v>33030</v>
      </c>
      <c r="AB84" s="111">
        <v>32210</v>
      </c>
      <c r="AC84" s="111">
        <v>31730</v>
      </c>
      <c r="AD84" s="111">
        <v>32190</v>
      </c>
      <c r="AE84" s="111">
        <v>32890</v>
      </c>
      <c r="AF84" s="111">
        <v>33490</v>
      </c>
      <c r="AG84" s="111">
        <v>33310</v>
      </c>
      <c r="AH84" s="111">
        <v>34720</v>
      </c>
      <c r="AI84" s="111">
        <v>34290</v>
      </c>
      <c r="AJ84" s="111">
        <v>33110</v>
      </c>
      <c r="AK84" s="111">
        <v>32410</v>
      </c>
      <c r="AL84" s="111">
        <v>31200</v>
      </c>
      <c r="AM84" s="111">
        <v>29940</v>
      </c>
      <c r="AN84" s="111">
        <v>30140</v>
      </c>
      <c r="AO84" s="111">
        <v>30090</v>
      </c>
      <c r="AP84" s="111">
        <v>31040</v>
      </c>
      <c r="AQ84" s="111">
        <v>31440</v>
      </c>
      <c r="AR84" s="111">
        <v>31840</v>
      </c>
      <c r="AS84" s="111">
        <v>32920</v>
      </c>
      <c r="AT84" s="111">
        <v>33700</v>
      </c>
      <c r="AU84" s="111">
        <v>34480</v>
      </c>
      <c r="AV84" s="111">
        <v>35270</v>
      </c>
      <c r="AW84" s="111">
        <v>35900</v>
      </c>
      <c r="AX84" s="111">
        <v>36750</v>
      </c>
      <c r="AY84" s="111">
        <v>39180</v>
      </c>
      <c r="AZ84" s="111">
        <v>39540</v>
      </c>
      <c r="BA84" s="111">
        <v>41200</v>
      </c>
      <c r="BB84" s="111">
        <v>41790</v>
      </c>
      <c r="BC84" s="111">
        <v>41460</v>
      </c>
      <c r="BD84" s="111">
        <v>40800</v>
      </c>
      <c r="BE84" s="111">
        <v>39650</v>
      </c>
      <c r="BF84" s="111">
        <v>39460</v>
      </c>
      <c r="BG84" s="111">
        <v>39120</v>
      </c>
      <c r="BH84" s="111">
        <v>38790</v>
      </c>
      <c r="BI84" s="111">
        <v>38780</v>
      </c>
      <c r="BJ84" s="111">
        <v>38240</v>
      </c>
      <c r="BK84" s="111">
        <v>39020</v>
      </c>
      <c r="BL84" s="111">
        <v>38680</v>
      </c>
      <c r="BM84" s="195">
        <v>37800</v>
      </c>
      <c r="BN84" s="195">
        <v>37490</v>
      </c>
      <c r="BO84" s="195">
        <v>38300</v>
      </c>
      <c r="BP84" s="195">
        <v>38470</v>
      </c>
      <c r="BQ84" s="195">
        <v>39280</v>
      </c>
    </row>
    <row r="85" spans="1:69">
      <c r="A85" s="28">
        <v>68</v>
      </c>
      <c r="B85" s="111">
        <v>14760</v>
      </c>
      <c r="C85" s="111">
        <v>15410</v>
      </c>
      <c r="D85" s="111">
        <v>16570</v>
      </c>
      <c r="E85" s="111">
        <v>17860</v>
      </c>
      <c r="F85" s="111">
        <v>18190</v>
      </c>
      <c r="G85" s="111">
        <v>16290</v>
      </c>
      <c r="H85" s="111">
        <v>18050</v>
      </c>
      <c r="I85" s="111">
        <v>19110</v>
      </c>
      <c r="J85" s="111">
        <v>20000</v>
      </c>
      <c r="K85" s="111">
        <v>23450</v>
      </c>
      <c r="L85" s="111">
        <v>23490</v>
      </c>
      <c r="M85" s="111">
        <v>23060</v>
      </c>
      <c r="N85" s="111">
        <v>23680</v>
      </c>
      <c r="O85" s="111">
        <v>23560</v>
      </c>
      <c r="P85" s="111">
        <v>24590</v>
      </c>
      <c r="Q85" s="111">
        <v>25180</v>
      </c>
      <c r="R85" s="111">
        <v>26050</v>
      </c>
      <c r="S85" s="111">
        <v>26920</v>
      </c>
      <c r="T85" s="111">
        <v>27600</v>
      </c>
      <c r="U85" s="111">
        <v>28260</v>
      </c>
      <c r="V85" s="111">
        <v>29180</v>
      </c>
      <c r="W85" s="111">
        <v>30240</v>
      </c>
      <c r="X85" s="111">
        <v>30800</v>
      </c>
      <c r="Y85" s="111">
        <v>32190</v>
      </c>
      <c r="Z85" s="111">
        <v>33010</v>
      </c>
      <c r="AA85" s="111">
        <v>33560</v>
      </c>
      <c r="AB85" s="111">
        <v>32860</v>
      </c>
      <c r="AC85" s="111">
        <v>32060</v>
      </c>
      <c r="AD85" s="111">
        <v>31580</v>
      </c>
      <c r="AE85" s="111">
        <v>32040</v>
      </c>
      <c r="AF85" s="111">
        <v>32750</v>
      </c>
      <c r="AG85" s="111">
        <v>33350</v>
      </c>
      <c r="AH85" s="111">
        <v>33170</v>
      </c>
      <c r="AI85" s="111">
        <v>34570</v>
      </c>
      <c r="AJ85" s="111">
        <v>34150</v>
      </c>
      <c r="AK85" s="111">
        <v>32980</v>
      </c>
      <c r="AL85" s="111">
        <v>32290</v>
      </c>
      <c r="AM85" s="111">
        <v>31090</v>
      </c>
      <c r="AN85" s="111">
        <v>29830</v>
      </c>
      <c r="AO85" s="111">
        <v>30040</v>
      </c>
      <c r="AP85" s="111">
        <v>29990</v>
      </c>
      <c r="AQ85" s="111">
        <v>30940</v>
      </c>
      <c r="AR85" s="111">
        <v>31350</v>
      </c>
      <c r="AS85" s="111">
        <v>31750</v>
      </c>
      <c r="AT85" s="111">
        <v>32820</v>
      </c>
      <c r="AU85" s="111">
        <v>33600</v>
      </c>
      <c r="AV85" s="111">
        <v>34380</v>
      </c>
      <c r="AW85" s="111">
        <v>35170</v>
      </c>
      <c r="AX85" s="111">
        <v>35800</v>
      </c>
      <c r="AY85" s="111">
        <v>36650</v>
      </c>
      <c r="AZ85" s="111">
        <v>39070</v>
      </c>
      <c r="BA85" s="111">
        <v>39440</v>
      </c>
      <c r="BB85" s="111">
        <v>41090</v>
      </c>
      <c r="BC85" s="111">
        <v>41690</v>
      </c>
      <c r="BD85" s="111">
        <v>41360</v>
      </c>
      <c r="BE85" s="111">
        <v>40700</v>
      </c>
      <c r="BF85" s="111">
        <v>39560</v>
      </c>
      <c r="BG85" s="111">
        <v>39370</v>
      </c>
      <c r="BH85" s="111">
        <v>39040</v>
      </c>
      <c r="BI85" s="111">
        <v>38710</v>
      </c>
      <c r="BJ85" s="111">
        <v>38700</v>
      </c>
      <c r="BK85" s="111">
        <v>38170</v>
      </c>
      <c r="BL85" s="111">
        <v>38950</v>
      </c>
      <c r="BM85" s="195">
        <v>38610</v>
      </c>
      <c r="BN85" s="195">
        <v>37730</v>
      </c>
      <c r="BO85" s="195">
        <v>37430</v>
      </c>
      <c r="BP85" s="195">
        <v>38240</v>
      </c>
      <c r="BQ85" s="195">
        <v>38410</v>
      </c>
    </row>
    <row r="86" spans="1:69">
      <c r="A86" s="28">
        <v>69</v>
      </c>
      <c r="B86" s="111">
        <v>14230</v>
      </c>
      <c r="C86" s="111">
        <v>14600</v>
      </c>
      <c r="D86" s="111">
        <v>15220</v>
      </c>
      <c r="E86" s="111">
        <v>16380</v>
      </c>
      <c r="F86" s="111">
        <v>17680</v>
      </c>
      <c r="G86" s="111">
        <v>18000</v>
      </c>
      <c r="H86" s="111">
        <v>16110</v>
      </c>
      <c r="I86" s="111">
        <v>17900</v>
      </c>
      <c r="J86" s="111">
        <v>18870</v>
      </c>
      <c r="K86" s="111">
        <v>19780</v>
      </c>
      <c r="L86" s="111">
        <v>23170</v>
      </c>
      <c r="M86" s="111">
        <v>23260</v>
      </c>
      <c r="N86" s="111">
        <v>22740</v>
      </c>
      <c r="O86" s="111">
        <v>23490</v>
      </c>
      <c r="P86" s="111">
        <v>23620</v>
      </c>
      <c r="Q86" s="111">
        <v>24380</v>
      </c>
      <c r="R86" s="111">
        <v>24980</v>
      </c>
      <c r="S86" s="111">
        <v>25860</v>
      </c>
      <c r="T86" s="111">
        <v>26740</v>
      </c>
      <c r="U86" s="111">
        <v>27420</v>
      </c>
      <c r="V86" s="111">
        <v>28070</v>
      </c>
      <c r="W86" s="111">
        <v>28990</v>
      </c>
      <c r="X86" s="111">
        <v>30050</v>
      </c>
      <c r="Y86" s="111">
        <v>30610</v>
      </c>
      <c r="Z86" s="111">
        <v>31990</v>
      </c>
      <c r="AA86" s="111">
        <v>32810</v>
      </c>
      <c r="AB86" s="111">
        <v>33370</v>
      </c>
      <c r="AC86" s="111">
        <v>32680</v>
      </c>
      <c r="AD86" s="111">
        <v>31880</v>
      </c>
      <c r="AE86" s="111">
        <v>31410</v>
      </c>
      <c r="AF86" s="111">
        <v>31870</v>
      </c>
      <c r="AG86" s="111">
        <v>32580</v>
      </c>
      <c r="AH86" s="111">
        <v>33180</v>
      </c>
      <c r="AI86" s="111">
        <v>33010</v>
      </c>
      <c r="AJ86" s="111">
        <v>34410</v>
      </c>
      <c r="AK86" s="111">
        <v>33990</v>
      </c>
      <c r="AL86" s="111">
        <v>32830</v>
      </c>
      <c r="AM86" s="111">
        <v>32150</v>
      </c>
      <c r="AN86" s="111">
        <v>30960</v>
      </c>
      <c r="AO86" s="111">
        <v>29710</v>
      </c>
      <c r="AP86" s="111">
        <v>29920</v>
      </c>
      <c r="AQ86" s="111">
        <v>29870</v>
      </c>
      <c r="AR86" s="111">
        <v>30820</v>
      </c>
      <c r="AS86" s="111">
        <v>31230</v>
      </c>
      <c r="AT86" s="111">
        <v>31630</v>
      </c>
      <c r="AU86" s="111">
        <v>32700</v>
      </c>
      <c r="AV86" s="111">
        <v>33480</v>
      </c>
      <c r="AW86" s="111">
        <v>34260</v>
      </c>
      <c r="AX86" s="111">
        <v>35060</v>
      </c>
      <c r="AY86" s="111">
        <v>35680</v>
      </c>
      <c r="AZ86" s="111">
        <v>36530</v>
      </c>
      <c r="BA86" s="111">
        <v>38950</v>
      </c>
      <c r="BB86" s="111">
        <v>39310</v>
      </c>
      <c r="BC86" s="111">
        <v>40970</v>
      </c>
      <c r="BD86" s="111">
        <v>41560</v>
      </c>
      <c r="BE86" s="111">
        <v>41240</v>
      </c>
      <c r="BF86" s="111">
        <v>40590</v>
      </c>
      <c r="BG86" s="111">
        <v>39450</v>
      </c>
      <c r="BH86" s="111">
        <v>39270</v>
      </c>
      <c r="BI86" s="111">
        <v>38940</v>
      </c>
      <c r="BJ86" s="111">
        <v>38620</v>
      </c>
      <c r="BK86" s="111">
        <v>38610</v>
      </c>
      <c r="BL86" s="111">
        <v>38080</v>
      </c>
      <c r="BM86" s="195">
        <v>38860</v>
      </c>
      <c r="BN86" s="195">
        <v>38530</v>
      </c>
      <c r="BO86" s="195">
        <v>37650</v>
      </c>
      <c r="BP86" s="195">
        <v>37350</v>
      </c>
      <c r="BQ86" s="195">
        <v>38160</v>
      </c>
    </row>
    <row r="87" spans="1:69">
      <c r="A87" s="28">
        <v>70</v>
      </c>
      <c r="B87" s="111">
        <v>13460</v>
      </c>
      <c r="C87" s="111">
        <v>13990</v>
      </c>
      <c r="D87" s="111">
        <v>14400</v>
      </c>
      <c r="E87" s="111">
        <v>15000</v>
      </c>
      <c r="F87" s="111">
        <v>16170</v>
      </c>
      <c r="G87" s="111">
        <v>17450</v>
      </c>
      <c r="H87" s="111">
        <v>17790</v>
      </c>
      <c r="I87" s="111">
        <v>15930</v>
      </c>
      <c r="J87" s="111">
        <v>17680</v>
      </c>
      <c r="K87" s="111">
        <v>18630</v>
      </c>
      <c r="L87" s="111">
        <v>19540</v>
      </c>
      <c r="M87" s="111">
        <v>22870</v>
      </c>
      <c r="N87" s="111">
        <v>22970</v>
      </c>
      <c r="O87" s="111">
        <v>22540</v>
      </c>
      <c r="P87" s="111">
        <v>23480</v>
      </c>
      <c r="Q87" s="111">
        <v>23400</v>
      </c>
      <c r="R87" s="111">
        <v>24170</v>
      </c>
      <c r="S87" s="111">
        <v>24770</v>
      </c>
      <c r="T87" s="111">
        <v>25650</v>
      </c>
      <c r="U87" s="111">
        <v>26530</v>
      </c>
      <c r="V87" s="111">
        <v>27210</v>
      </c>
      <c r="W87" s="111">
        <v>27860</v>
      </c>
      <c r="X87" s="111">
        <v>28770</v>
      </c>
      <c r="Y87" s="111">
        <v>29830</v>
      </c>
      <c r="Z87" s="111">
        <v>30390</v>
      </c>
      <c r="AA87" s="111">
        <v>31770</v>
      </c>
      <c r="AB87" s="111">
        <v>32590</v>
      </c>
      <c r="AC87" s="111">
        <v>33150</v>
      </c>
      <c r="AD87" s="111">
        <v>32470</v>
      </c>
      <c r="AE87" s="111">
        <v>31680</v>
      </c>
      <c r="AF87" s="111">
        <v>31220</v>
      </c>
      <c r="AG87" s="111">
        <v>31680</v>
      </c>
      <c r="AH87" s="111">
        <v>32390</v>
      </c>
      <c r="AI87" s="111">
        <v>32990</v>
      </c>
      <c r="AJ87" s="111">
        <v>32830</v>
      </c>
      <c r="AK87" s="111">
        <v>34220</v>
      </c>
      <c r="AL87" s="111">
        <v>33810</v>
      </c>
      <c r="AM87" s="111">
        <v>32660</v>
      </c>
      <c r="AN87" s="111">
        <v>31980</v>
      </c>
      <c r="AO87" s="111">
        <v>30810</v>
      </c>
      <c r="AP87" s="111">
        <v>29570</v>
      </c>
      <c r="AQ87" s="111">
        <v>29780</v>
      </c>
      <c r="AR87" s="111">
        <v>29740</v>
      </c>
      <c r="AS87" s="111">
        <v>30690</v>
      </c>
      <c r="AT87" s="111">
        <v>31090</v>
      </c>
      <c r="AU87" s="111">
        <v>31500</v>
      </c>
      <c r="AV87" s="111">
        <v>32570</v>
      </c>
      <c r="AW87" s="111">
        <v>33350</v>
      </c>
      <c r="AX87" s="111">
        <v>34120</v>
      </c>
      <c r="AY87" s="111">
        <v>34920</v>
      </c>
      <c r="AZ87" s="111">
        <v>35540</v>
      </c>
      <c r="BA87" s="111">
        <v>36400</v>
      </c>
      <c r="BB87" s="111">
        <v>38810</v>
      </c>
      <c r="BC87" s="111">
        <v>39170</v>
      </c>
      <c r="BD87" s="111">
        <v>40820</v>
      </c>
      <c r="BE87" s="111">
        <v>41420</v>
      </c>
      <c r="BF87" s="111">
        <v>41100</v>
      </c>
      <c r="BG87" s="111">
        <v>40450</v>
      </c>
      <c r="BH87" s="111">
        <v>39330</v>
      </c>
      <c r="BI87" s="111">
        <v>39150</v>
      </c>
      <c r="BJ87" s="111">
        <v>38820</v>
      </c>
      <c r="BK87" s="111">
        <v>38500</v>
      </c>
      <c r="BL87" s="111">
        <v>38500</v>
      </c>
      <c r="BM87" s="195">
        <v>37980</v>
      </c>
      <c r="BN87" s="195">
        <v>38750</v>
      </c>
      <c r="BO87" s="195">
        <v>38420</v>
      </c>
      <c r="BP87" s="195">
        <v>37550</v>
      </c>
      <c r="BQ87" s="195">
        <v>37260</v>
      </c>
    </row>
    <row r="88" spans="1:69">
      <c r="A88" s="28">
        <v>71</v>
      </c>
      <c r="B88" s="111">
        <v>12650</v>
      </c>
      <c r="C88" s="111">
        <v>13250</v>
      </c>
      <c r="D88" s="111">
        <v>13770</v>
      </c>
      <c r="E88" s="111">
        <v>14190</v>
      </c>
      <c r="F88" s="111">
        <v>14780</v>
      </c>
      <c r="G88" s="111">
        <v>15900</v>
      </c>
      <c r="H88" s="111">
        <v>17210</v>
      </c>
      <c r="I88" s="111">
        <v>17570</v>
      </c>
      <c r="J88" s="111">
        <v>15700</v>
      </c>
      <c r="K88" s="111">
        <v>17450</v>
      </c>
      <c r="L88" s="111">
        <v>18360</v>
      </c>
      <c r="M88" s="111">
        <v>19290</v>
      </c>
      <c r="N88" s="111">
        <v>22520</v>
      </c>
      <c r="O88" s="111">
        <v>22750</v>
      </c>
      <c r="P88" s="111">
        <v>22520</v>
      </c>
      <c r="Q88" s="111">
        <v>23230</v>
      </c>
      <c r="R88" s="111">
        <v>23170</v>
      </c>
      <c r="S88" s="111">
        <v>23940</v>
      </c>
      <c r="T88" s="111">
        <v>24540</v>
      </c>
      <c r="U88" s="111">
        <v>25420</v>
      </c>
      <c r="V88" s="111">
        <v>26290</v>
      </c>
      <c r="W88" s="111">
        <v>26970</v>
      </c>
      <c r="X88" s="111">
        <v>27620</v>
      </c>
      <c r="Y88" s="111">
        <v>28530</v>
      </c>
      <c r="Z88" s="111">
        <v>29590</v>
      </c>
      <c r="AA88" s="111">
        <v>30150</v>
      </c>
      <c r="AB88" s="111">
        <v>31520</v>
      </c>
      <c r="AC88" s="111">
        <v>32340</v>
      </c>
      <c r="AD88" s="111">
        <v>32900</v>
      </c>
      <c r="AE88" s="111">
        <v>32230</v>
      </c>
      <c r="AF88" s="111">
        <v>31450</v>
      </c>
      <c r="AG88" s="111">
        <v>31000</v>
      </c>
      <c r="AH88" s="111">
        <v>31460</v>
      </c>
      <c r="AI88" s="111">
        <v>32170</v>
      </c>
      <c r="AJ88" s="111">
        <v>32770</v>
      </c>
      <c r="AK88" s="111">
        <v>32620</v>
      </c>
      <c r="AL88" s="111">
        <v>34000</v>
      </c>
      <c r="AM88" s="111">
        <v>33600</v>
      </c>
      <c r="AN88" s="111">
        <v>32460</v>
      </c>
      <c r="AO88" s="111">
        <v>31800</v>
      </c>
      <c r="AP88" s="111">
        <v>30630</v>
      </c>
      <c r="AQ88" s="111">
        <v>29410</v>
      </c>
      <c r="AR88" s="111">
        <v>29620</v>
      </c>
      <c r="AS88" s="111">
        <v>29580</v>
      </c>
      <c r="AT88" s="111">
        <v>30530</v>
      </c>
      <c r="AU88" s="111">
        <v>30940</v>
      </c>
      <c r="AV88" s="111">
        <v>31340</v>
      </c>
      <c r="AW88" s="111">
        <v>32410</v>
      </c>
      <c r="AX88" s="111">
        <v>33190</v>
      </c>
      <c r="AY88" s="111">
        <v>33970</v>
      </c>
      <c r="AZ88" s="111">
        <v>34760</v>
      </c>
      <c r="BA88" s="111">
        <v>35380</v>
      </c>
      <c r="BB88" s="111">
        <v>36240</v>
      </c>
      <c r="BC88" s="111">
        <v>38640</v>
      </c>
      <c r="BD88" s="111">
        <v>39010</v>
      </c>
      <c r="BE88" s="111">
        <v>40650</v>
      </c>
      <c r="BF88" s="111">
        <v>41250</v>
      </c>
      <c r="BG88" s="111">
        <v>40940</v>
      </c>
      <c r="BH88" s="111">
        <v>40300</v>
      </c>
      <c r="BI88" s="111">
        <v>39180</v>
      </c>
      <c r="BJ88" s="111">
        <v>39000</v>
      </c>
      <c r="BK88" s="111">
        <v>38680</v>
      </c>
      <c r="BL88" s="111">
        <v>38370</v>
      </c>
      <c r="BM88" s="195">
        <v>38370</v>
      </c>
      <c r="BN88" s="195">
        <v>37850</v>
      </c>
      <c r="BO88" s="195">
        <v>38620</v>
      </c>
      <c r="BP88" s="195">
        <v>38300</v>
      </c>
      <c r="BQ88" s="195">
        <v>37440</v>
      </c>
    </row>
    <row r="89" spans="1:69">
      <c r="A89" s="28">
        <v>72</v>
      </c>
      <c r="B89" s="111">
        <v>12410</v>
      </c>
      <c r="C89" s="111">
        <v>12440</v>
      </c>
      <c r="D89" s="111">
        <v>13040</v>
      </c>
      <c r="E89" s="111">
        <v>13540</v>
      </c>
      <c r="F89" s="111">
        <v>14000</v>
      </c>
      <c r="G89" s="111">
        <v>14570</v>
      </c>
      <c r="H89" s="111">
        <v>15680</v>
      </c>
      <c r="I89" s="111">
        <v>16960</v>
      </c>
      <c r="J89" s="111">
        <v>17320</v>
      </c>
      <c r="K89" s="111">
        <v>15450</v>
      </c>
      <c r="L89" s="111">
        <v>17170</v>
      </c>
      <c r="M89" s="111">
        <v>18070</v>
      </c>
      <c r="N89" s="111">
        <v>18980</v>
      </c>
      <c r="O89" s="111">
        <v>22260</v>
      </c>
      <c r="P89" s="111">
        <v>22690</v>
      </c>
      <c r="Q89" s="111">
        <v>22260</v>
      </c>
      <c r="R89" s="111">
        <v>22980</v>
      </c>
      <c r="S89" s="111">
        <v>22920</v>
      </c>
      <c r="T89" s="111">
        <v>23690</v>
      </c>
      <c r="U89" s="111">
        <v>24290</v>
      </c>
      <c r="V89" s="111">
        <v>25170</v>
      </c>
      <c r="W89" s="111">
        <v>26040</v>
      </c>
      <c r="X89" s="111">
        <v>26710</v>
      </c>
      <c r="Y89" s="111">
        <v>27360</v>
      </c>
      <c r="Z89" s="111">
        <v>28270</v>
      </c>
      <c r="AA89" s="111">
        <v>29320</v>
      </c>
      <c r="AB89" s="111">
        <v>29880</v>
      </c>
      <c r="AC89" s="111">
        <v>31250</v>
      </c>
      <c r="AD89" s="111">
        <v>32070</v>
      </c>
      <c r="AE89" s="111">
        <v>32620</v>
      </c>
      <c r="AF89" s="111">
        <v>31970</v>
      </c>
      <c r="AG89" s="111">
        <v>31200</v>
      </c>
      <c r="AH89" s="111">
        <v>30760</v>
      </c>
      <c r="AI89" s="111">
        <v>31220</v>
      </c>
      <c r="AJ89" s="111">
        <v>31930</v>
      </c>
      <c r="AK89" s="111">
        <v>32530</v>
      </c>
      <c r="AL89" s="111">
        <v>32380</v>
      </c>
      <c r="AM89" s="111">
        <v>33770</v>
      </c>
      <c r="AN89" s="111">
        <v>33370</v>
      </c>
      <c r="AO89" s="111">
        <v>32250</v>
      </c>
      <c r="AP89" s="111">
        <v>31590</v>
      </c>
      <c r="AQ89" s="111">
        <v>30440</v>
      </c>
      <c r="AR89" s="111">
        <v>29220</v>
      </c>
      <c r="AS89" s="111">
        <v>29440</v>
      </c>
      <c r="AT89" s="111">
        <v>29400</v>
      </c>
      <c r="AU89" s="111">
        <v>30350</v>
      </c>
      <c r="AV89" s="111">
        <v>30760</v>
      </c>
      <c r="AW89" s="111">
        <v>31170</v>
      </c>
      <c r="AX89" s="111">
        <v>32230</v>
      </c>
      <c r="AY89" s="111">
        <v>33010</v>
      </c>
      <c r="AZ89" s="111">
        <v>33790</v>
      </c>
      <c r="BA89" s="111">
        <v>34580</v>
      </c>
      <c r="BB89" s="111">
        <v>35200</v>
      </c>
      <c r="BC89" s="111">
        <v>36060</v>
      </c>
      <c r="BD89" s="111">
        <v>38450</v>
      </c>
      <c r="BE89" s="111">
        <v>38820</v>
      </c>
      <c r="BF89" s="111">
        <v>40460</v>
      </c>
      <c r="BG89" s="111">
        <v>41060</v>
      </c>
      <c r="BH89" s="111">
        <v>40760</v>
      </c>
      <c r="BI89" s="111">
        <v>40120</v>
      </c>
      <c r="BJ89" s="111">
        <v>39010</v>
      </c>
      <c r="BK89" s="111">
        <v>38840</v>
      </c>
      <c r="BL89" s="111">
        <v>38520</v>
      </c>
      <c r="BM89" s="195">
        <v>38220</v>
      </c>
      <c r="BN89" s="195">
        <v>38220</v>
      </c>
      <c r="BO89" s="195">
        <v>37700</v>
      </c>
      <c r="BP89" s="195">
        <v>38480</v>
      </c>
      <c r="BQ89" s="195">
        <v>38160</v>
      </c>
    </row>
    <row r="90" spans="1:69">
      <c r="A90" s="28">
        <v>73</v>
      </c>
      <c r="B90" s="111">
        <v>12300</v>
      </c>
      <c r="C90" s="111">
        <v>12150</v>
      </c>
      <c r="D90" s="111">
        <v>12180</v>
      </c>
      <c r="E90" s="111">
        <v>12780</v>
      </c>
      <c r="F90" s="111">
        <v>13280</v>
      </c>
      <c r="G90" s="111">
        <v>13760</v>
      </c>
      <c r="H90" s="111">
        <v>14350</v>
      </c>
      <c r="I90" s="111">
        <v>15490</v>
      </c>
      <c r="J90" s="111">
        <v>16700</v>
      </c>
      <c r="K90" s="111">
        <v>17050</v>
      </c>
      <c r="L90" s="111">
        <v>15200</v>
      </c>
      <c r="M90" s="111">
        <v>16840</v>
      </c>
      <c r="N90" s="111">
        <v>17720</v>
      </c>
      <c r="O90" s="111">
        <v>18690</v>
      </c>
      <c r="P90" s="111">
        <v>22150</v>
      </c>
      <c r="Q90" s="111">
        <v>22400</v>
      </c>
      <c r="R90" s="111">
        <v>21980</v>
      </c>
      <c r="S90" s="111">
        <v>22700</v>
      </c>
      <c r="T90" s="111">
        <v>22650</v>
      </c>
      <c r="U90" s="111">
        <v>23410</v>
      </c>
      <c r="V90" s="111">
        <v>24020</v>
      </c>
      <c r="W90" s="111">
        <v>24890</v>
      </c>
      <c r="X90" s="111">
        <v>25750</v>
      </c>
      <c r="Y90" s="111">
        <v>26430</v>
      </c>
      <c r="Z90" s="111">
        <v>27080</v>
      </c>
      <c r="AA90" s="111">
        <v>27980</v>
      </c>
      <c r="AB90" s="111">
        <v>29030</v>
      </c>
      <c r="AC90" s="111">
        <v>29590</v>
      </c>
      <c r="AD90" s="111">
        <v>30950</v>
      </c>
      <c r="AE90" s="111">
        <v>31770</v>
      </c>
      <c r="AF90" s="111">
        <v>32320</v>
      </c>
      <c r="AG90" s="111">
        <v>31680</v>
      </c>
      <c r="AH90" s="111">
        <v>30930</v>
      </c>
      <c r="AI90" s="111">
        <v>30490</v>
      </c>
      <c r="AJ90" s="111">
        <v>30960</v>
      </c>
      <c r="AK90" s="111">
        <v>31670</v>
      </c>
      <c r="AL90" s="111">
        <v>32270</v>
      </c>
      <c r="AM90" s="111">
        <v>32130</v>
      </c>
      <c r="AN90" s="111">
        <v>33500</v>
      </c>
      <c r="AO90" s="111">
        <v>33120</v>
      </c>
      <c r="AP90" s="111">
        <v>32010</v>
      </c>
      <c r="AQ90" s="111">
        <v>31360</v>
      </c>
      <c r="AR90" s="111">
        <v>30220</v>
      </c>
      <c r="AS90" s="111">
        <v>29020</v>
      </c>
      <c r="AT90" s="111">
        <v>29240</v>
      </c>
      <c r="AU90" s="111">
        <v>29210</v>
      </c>
      <c r="AV90" s="111">
        <v>30150</v>
      </c>
      <c r="AW90" s="111">
        <v>30560</v>
      </c>
      <c r="AX90" s="111">
        <v>30970</v>
      </c>
      <c r="AY90" s="111">
        <v>32030</v>
      </c>
      <c r="AZ90" s="111">
        <v>32810</v>
      </c>
      <c r="BA90" s="111">
        <v>33590</v>
      </c>
      <c r="BB90" s="111">
        <v>34380</v>
      </c>
      <c r="BC90" s="111">
        <v>35000</v>
      </c>
      <c r="BD90" s="111">
        <v>35860</v>
      </c>
      <c r="BE90" s="111">
        <v>38240</v>
      </c>
      <c r="BF90" s="111">
        <v>38610</v>
      </c>
      <c r="BG90" s="111">
        <v>40250</v>
      </c>
      <c r="BH90" s="111">
        <v>40850</v>
      </c>
      <c r="BI90" s="111">
        <v>40550</v>
      </c>
      <c r="BJ90" s="111">
        <v>39920</v>
      </c>
      <c r="BK90" s="111">
        <v>38820</v>
      </c>
      <c r="BL90" s="111">
        <v>38650</v>
      </c>
      <c r="BM90" s="195">
        <v>38340</v>
      </c>
      <c r="BN90" s="195">
        <v>38040</v>
      </c>
      <c r="BO90" s="195">
        <v>38050</v>
      </c>
      <c r="BP90" s="195">
        <v>37540</v>
      </c>
      <c r="BQ90" s="195">
        <v>38310</v>
      </c>
    </row>
    <row r="91" spans="1:69">
      <c r="A91" s="28">
        <v>74</v>
      </c>
      <c r="B91" s="111">
        <v>11960</v>
      </c>
      <c r="C91" s="111">
        <v>12030</v>
      </c>
      <c r="D91" s="111">
        <v>11880</v>
      </c>
      <c r="E91" s="111">
        <v>11930</v>
      </c>
      <c r="F91" s="111">
        <v>12500</v>
      </c>
      <c r="G91" s="111">
        <v>13050</v>
      </c>
      <c r="H91" s="111">
        <v>13510</v>
      </c>
      <c r="I91" s="111">
        <v>14060</v>
      </c>
      <c r="J91" s="111">
        <v>15240</v>
      </c>
      <c r="K91" s="111">
        <v>16370</v>
      </c>
      <c r="L91" s="111">
        <v>16730</v>
      </c>
      <c r="M91" s="111">
        <v>14890</v>
      </c>
      <c r="N91" s="111">
        <v>16490</v>
      </c>
      <c r="O91" s="111">
        <v>17420</v>
      </c>
      <c r="P91" s="111">
        <v>18580</v>
      </c>
      <c r="Q91" s="111">
        <v>21820</v>
      </c>
      <c r="R91" s="111">
        <v>22080</v>
      </c>
      <c r="S91" s="111">
        <v>21680</v>
      </c>
      <c r="T91" s="111">
        <v>22390</v>
      </c>
      <c r="U91" s="111">
        <v>22350</v>
      </c>
      <c r="V91" s="111">
        <v>23110</v>
      </c>
      <c r="W91" s="111">
        <v>23710</v>
      </c>
      <c r="X91" s="111">
        <v>24580</v>
      </c>
      <c r="Y91" s="111">
        <v>25440</v>
      </c>
      <c r="Z91" s="111">
        <v>26120</v>
      </c>
      <c r="AA91" s="111">
        <v>26770</v>
      </c>
      <c r="AB91" s="111">
        <v>27670</v>
      </c>
      <c r="AC91" s="111">
        <v>28710</v>
      </c>
      <c r="AD91" s="111">
        <v>29270</v>
      </c>
      <c r="AE91" s="111">
        <v>30620</v>
      </c>
      <c r="AF91" s="111">
        <v>31430</v>
      </c>
      <c r="AG91" s="111">
        <v>31990</v>
      </c>
      <c r="AH91" s="111">
        <v>31360</v>
      </c>
      <c r="AI91" s="111">
        <v>30630</v>
      </c>
      <c r="AJ91" s="111">
        <v>30200</v>
      </c>
      <c r="AK91" s="111">
        <v>30670</v>
      </c>
      <c r="AL91" s="111">
        <v>31380</v>
      </c>
      <c r="AM91" s="111">
        <v>31980</v>
      </c>
      <c r="AN91" s="111">
        <v>31840</v>
      </c>
      <c r="AO91" s="111">
        <v>33210</v>
      </c>
      <c r="AP91" s="111">
        <v>32840</v>
      </c>
      <c r="AQ91" s="111">
        <v>31740</v>
      </c>
      <c r="AR91" s="111">
        <v>31100</v>
      </c>
      <c r="AS91" s="111">
        <v>29980</v>
      </c>
      <c r="AT91" s="111">
        <v>28790</v>
      </c>
      <c r="AU91" s="111">
        <v>29010</v>
      </c>
      <c r="AV91" s="111">
        <v>28990</v>
      </c>
      <c r="AW91" s="111">
        <v>29930</v>
      </c>
      <c r="AX91" s="111">
        <v>30340</v>
      </c>
      <c r="AY91" s="111">
        <v>30750</v>
      </c>
      <c r="AZ91" s="111">
        <v>31810</v>
      </c>
      <c r="BA91" s="111">
        <v>32590</v>
      </c>
      <c r="BB91" s="111">
        <v>33360</v>
      </c>
      <c r="BC91" s="111">
        <v>34160</v>
      </c>
      <c r="BD91" s="111">
        <v>34780</v>
      </c>
      <c r="BE91" s="111">
        <v>35630</v>
      </c>
      <c r="BF91" s="111">
        <v>38000</v>
      </c>
      <c r="BG91" s="111">
        <v>38380</v>
      </c>
      <c r="BH91" s="111">
        <v>40010</v>
      </c>
      <c r="BI91" s="111">
        <v>40610</v>
      </c>
      <c r="BJ91" s="111">
        <v>40320</v>
      </c>
      <c r="BK91" s="111">
        <v>39700</v>
      </c>
      <c r="BL91" s="111">
        <v>38610</v>
      </c>
      <c r="BM91" s="195">
        <v>38450</v>
      </c>
      <c r="BN91" s="195">
        <v>38140</v>
      </c>
      <c r="BO91" s="195">
        <v>37850</v>
      </c>
      <c r="BP91" s="195">
        <v>37860</v>
      </c>
      <c r="BQ91" s="195">
        <v>37360</v>
      </c>
    </row>
    <row r="92" spans="1:69">
      <c r="A92" s="28">
        <v>75</v>
      </c>
      <c r="B92" s="111">
        <v>12130</v>
      </c>
      <c r="C92" s="111">
        <v>11650</v>
      </c>
      <c r="D92" s="111">
        <v>11720</v>
      </c>
      <c r="E92" s="111">
        <v>11580</v>
      </c>
      <c r="F92" s="111">
        <v>11660</v>
      </c>
      <c r="G92" s="111">
        <v>12210</v>
      </c>
      <c r="H92" s="111">
        <v>12750</v>
      </c>
      <c r="I92" s="111">
        <v>13220</v>
      </c>
      <c r="J92" s="111">
        <v>13800</v>
      </c>
      <c r="K92" s="111">
        <v>14960</v>
      </c>
      <c r="L92" s="111">
        <v>16040</v>
      </c>
      <c r="M92" s="111">
        <v>16380</v>
      </c>
      <c r="N92" s="111">
        <v>14540</v>
      </c>
      <c r="O92" s="111">
        <v>16190</v>
      </c>
      <c r="P92" s="111">
        <v>17250</v>
      </c>
      <c r="Q92" s="111">
        <v>18280</v>
      </c>
      <c r="R92" s="111">
        <v>21480</v>
      </c>
      <c r="S92" s="111">
        <v>21750</v>
      </c>
      <c r="T92" s="111">
        <v>21360</v>
      </c>
      <c r="U92" s="111">
        <v>22060</v>
      </c>
      <c r="V92" s="111">
        <v>22030</v>
      </c>
      <c r="W92" s="111">
        <v>22790</v>
      </c>
      <c r="X92" s="111">
        <v>23390</v>
      </c>
      <c r="Y92" s="111">
        <v>24250</v>
      </c>
      <c r="Z92" s="111">
        <v>25100</v>
      </c>
      <c r="AA92" s="111">
        <v>25780</v>
      </c>
      <c r="AB92" s="111">
        <v>26420</v>
      </c>
      <c r="AC92" s="111">
        <v>27320</v>
      </c>
      <c r="AD92" s="111">
        <v>28360</v>
      </c>
      <c r="AE92" s="111">
        <v>28910</v>
      </c>
      <c r="AF92" s="111">
        <v>30250</v>
      </c>
      <c r="AG92" s="111">
        <v>31070</v>
      </c>
      <c r="AH92" s="111">
        <v>31630</v>
      </c>
      <c r="AI92" s="111">
        <v>31010</v>
      </c>
      <c r="AJ92" s="111">
        <v>30290</v>
      </c>
      <c r="AK92" s="111">
        <v>29880</v>
      </c>
      <c r="AL92" s="111">
        <v>30350</v>
      </c>
      <c r="AM92" s="111">
        <v>31050</v>
      </c>
      <c r="AN92" s="111">
        <v>31650</v>
      </c>
      <c r="AO92" s="111">
        <v>31530</v>
      </c>
      <c r="AP92" s="111">
        <v>32890</v>
      </c>
      <c r="AQ92" s="111">
        <v>32520</v>
      </c>
      <c r="AR92" s="111">
        <v>31440</v>
      </c>
      <c r="AS92" s="111">
        <v>30820</v>
      </c>
      <c r="AT92" s="111">
        <v>29710</v>
      </c>
      <c r="AU92" s="111">
        <v>28540</v>
      </c>
      <c r="AV92" s="111">
        <v>28760</v>
      </c>
      <c r="AW92" s="111">
        <v>28740</v>
      </c>
      <c r="AX92" s="111">
        <v>29680</v>
      </c>
      <c r="AY92" s="111">
        <v>30100</v>
      </c>
      <c r="AZ92" s="111">
        <v>30510</v>
      </c>
      <c r="BA92" s="111">
        <v>31560</v>
      </c>
      <c r="BB92" s="111">
        <v>32340</v>
      </c>
      <c r="BC92" s="111">
        <v>33110</v>
      </c>
      <c r="BD92" s="111">
        <v>33900</v>
      </c>
      <c r="BE92" s="111">
        <v>34530</v>
      </c>
      <c r="BF92" s="111">
        <v>35380</v>
      </c>
      <c r="BG92" s="111">
        <v>37740</v>
      </c>
      <c r="BH92" s="111">
        <v>38120</v>
      </c>
      <c r="BI92" s="111">
        <v>39740</v>
      </c>
      <c r="BJ92" s="111">
        <v>40340</v>
      </c>
      <c r="BK92" s="111">
        <v>40060</v>
      </c>
      <c r="BL92" s="111">
        <v>39450</v>
      </c>
      <c r="BM92" s="195">
        <v>38370</v>
      </c>
      <c r="BN92" s="195">
        <v>38210</v>
      </c>
      <c r="BO92" s="195">
        <v>37920</v>
      </c>
      <c r="BP92" s="195">
        <v>37630</v>
      </c>
      <c r="BQ92" s="195">
        <v>37640</v>
      </c>
    </row>
    <row r="93" spans="1:69">
      <c r="A93" s="28">
        <v>76</v>
      </c>
      <c r="B93" s="111">
        <v>11810</v>
      </c>
      <c r="C93" s="111">
        <v>11810</v>
      </c>
      <c r="D93" s="111">
        <v>11370</v>
      </c>
      <c r="E93" s="111">
        <v>11450</v>
      </c>
      <c r="F93" s="111">
        <v>11320</v>
      </c>
      <c r="G93" s="111">
        <v>11380</v>
      </c>
      <c r="H93" s="111">
        <v>11880</v>
      </c>
      <c r="I93" s="111">
        <v>12470</v>
      </c>
      <c r="J93" s="111">
        <v>12930</v>
      </c>
      <c r="K93" s="111">
        <v>13500</v>
      </c>
      <c r="L93" s="111">
        <v>14640</v>
      </c>
      <c r="M93" s="111">
        <v>15670</v>
      </c>
      <c r="N93" s="111">
        <v>16020</v>
      </c>
      <c r="O93" s="111">
        <v>14240</v>
      </c>
      <c r="P93" s="111">
        <v>16000</v>
      </c>
      <c r="Q93" s="111">
        <v>16930</v>
      </c>
      <c r="R93" s="111">
        <v>17960</v>
      </c>
      <c r="S93" s="111">
        <v>21110</v>
      </c>
      <c r="T93" s="111">
        <v>21380</v>
      </c>
      <c r="U93" s="111">
        <v>21000</v>
      </c>
      <c r="V93" s="111">
        <v>21700</v>
      </c>
      <c r="W93" s="111">
        <v>21680</v>
      </c>
      <c r="X93" s="111">
        <v>22430</v>
      </c>
      <c r="Y93" s="111">
        <v>23030</v>
      </c>
      <c r="Z93" s="111">
        <v>23880</v>
      </c>
      <c r="AA93" s="111">
        <v>24730</v>
      </c>
      <c r="AB93" s="111">
        <v>25400</v>
      </c>
      <c r="AC93" s="111">
        <v>26050</v>
      </c>
      <c r="AD93" s="111">
        <v>26940</v>
      </c>
      <c r="AE93" s="111">
        <v>27970</v>
      </c>
      <c r="AF93" s="111">
        <v>28520</v>
      </c>
      <c r="AG93" s="111">
        <v>29860</v>
      </c>
      <c r="AH93" s="111">
        <v>30670</v>
      </c>
      <c r="AI93" s="111">
        <v>31220</v>
      </c>
      <c r="AJ93" s="111">
        <v>30620</v>
      </c>
      <c r="AK93" s="111">
        <v>29920</v>
      </c>
      <c r="AL93" s="111">
        <v>29520</v>
      </c>
      <c r="AM93" s="111">
        <v>29990</v>
      </c>
      <c r="AN93" s="111">
        <v>30690</v>
      </c>
      <c r="AO93" s="111">
        <v>31290</v>
      </c>
      <c r="AP93" s="111">
        <v>31180</v>
      </c>
      <c r="AQ93" s="111">
        <v>32530</v>
      </c>
      <c r="AR93" s="111">
        <v>32180</v>
      </c>
      <c r="AS93" s="111">
        <v>31110</v>
      </c>
      <c r="AT93" s="111">
        <v>30500</v>
      </c>
      <c r="AU93" s="111">
        <v>29410</v>
      </c>
      <c r="AV93" s="111">
        <v>28260</v>
      </c>
      <c r="AW93" s="111">
        <v>28490</v>
      </c>
      <c r="AX93" s="111">
        <v>28470</v>
      </c>
      <c r="AY93" s="111">
        <v>29410</v>
      </c>
      <c r="AZ93" s="111">
        <v>29820</v>
      </c>
      <c r="BA93" s="111">
        <v>30230</v>
      </c>
      <c r="BB93" s="111">
        <v>31280</v>
      </c>
      <c r="BC93" s="111">
        <v>32060</v>
      </c>
      <c r="BD93" s="111">
        <v>32830</v>
      </c>
      <c r="BE93" s="111">
        <v>33620</v>
      </c>
      <c r="BF93" s="111">
        <v>34250</v>
      </c>
      <c r="BG93" s="111">
        <v>35090</v>
      </c>
      <c r="BH93" s="111">
        <v>37440</v>
      </c>
      <c r="BI93" s="111">
        <v>37820</v>
      </c>
      <c r="BJ93" s="111">
        <v>39440</v>
      </c>
      <c r="BK93" s="111">
        <v>40040</v>
      </c>
      <c r="BL93" s="111">
        <v>39770</v>
      </c>
      <c r="BM93" s="195">
        <v>39170</v>
      </c>
      <c r="BN93" s="195">
        <v>38100</v>
      </c>
      <c r="BO93" s="195">
        <v>37950</v>
      </c>
      <c r="BP93" s="195">
        <v>37660</v>
      </c>
      <c r="BQ93" s="195">
        <v>37380</v>
      </c>
    </row>
    <row r="94" spans="1:69">
      <c r="A94" s="28">
        <v>77</v>
      </c>
      <c r="B94" s="111">
        <v>11080</v>
      </c>
      <c r="C94" s="111">
        <v>11460</v>
      </c>
      <c r="D94" s="111">
        <v>11470</v>
      </c>
      <c r="E94" s="111">
        <v>11050</v>
      </c>
      <c r="F94" s="111">
        <v>11120</v>
      </c>
      <c r="G94" s="111">
        <v>11050</v>
      </c>
      <c r="H94" s="111">
        <v>11070</v>
      </c>
      <c r="I94" s="111">
        <v>11540</v>
      </c>
      <c r="J94" s="111">
        <v>12120</v>
      </c>
      <c r="K94" s="111">
        <v>12620</v>
      </c>
      <c r="L94" s="111">
        <v>13180</v>
      </c>
      <c r="M94" s="111">
        <v>14290</v>
      </c>
      <c r="N94" s="111">
        <v>15250</v>
      </c>
      <c r="O94" s="111">
        <v>15670</v>
      </c>
      <c r="P94" s="111">
        <v>14040</v>
      </c>
      <c r="Q94" s="111">
        <v>15670</v>
      </c>
      <c r="R94" s="111">
        <v>16600</v>
      </c>
      <c r="S94" s="111">
        <v>17610</v>
      </c>
      <c r="T94" s="111">
        <v>20700</v>
      </c>
      <c r="U94" s="111">
        <v>20970</v>
      </c>
      <c r="V94" s="111">
        <v>20610</v>
      </c>
      <c r="W94" s="111">
        <v>21310</v>
      </c>
      <c r="X94" s="111">
        <v>21290</v>
      </c>
      <c r="Y94" s="111">
        <v>22040</v>
      </c>
      <c r="Z94" s="111">
        <v>22630</v>
      </c>
      <c r="AA94" s="111">
        <v>23480</v>
      </c>
      <c r="AB94" s="111">
        <v>24320</v>
      </c>
      <c r="AC94" s="111">
        <v>24990</v>
      </c>
      <c r="AD94" s="111">
        <v>25630</v>
      </c>
      <c r="AE94" s="111">
        <v>26520</v>
      </c>
      <c r="AF94" s="111">
        <v>27540</v>
      </c>
      <c r="AG94" s="111">
        <v>28100</v>
      </c>
      <c r="AH94" s="111">
        <v>29410</v>
      </c>
      <c r="AI94" s="111">
        <v>30220</v>
      </c>
      <c r="AJ94" s="111">
        <v>30780</v>
      </c>
      <c r="AK94" s="111">
        <v>30190</v>
      </c>
      <c r="AL94" s="111">
        <v>29510</v>
      </c>
      <c r="AM94" s="111">
        <v>29120</v>
      </c>
      <c r="AN94" s="111">
        <v>29590</v>
      </c>
      <c r="AO94" s="111">
        <v>30300</v>
      </c>
      <c r="AP94" s="111">
        <v>30900</v>
      </c>
      <c r="AQ94" s="111">
        <v>30790</v>
      </c>
      <c r="AR94" s="111">
        <v>32130</v>
      </c>
      <c r="AS94" s="111">
        <v>31790</v>
      </c>
      <c r="AT94" s="111">
        <v>30740</v>
      </c>
      <c r="AU94" s="111">
        <v>30150</v>
      </c>
      <c r="AV94" s="111">
        <v>29080</v>
      </c>
      <c r="AW94" s="111">
        <v>27940</v>
      </c>
      <c r="AX94" s="111">
        <v>28170</v>
      </c>
      <c r="AY94" s="111">
        <v>28170</v>
      </c>
      <c r="AZ94" s="111">
        <v>29100</v>
      </c>
      <c r="BA94" s="111">
        <v>29510</v>
      </c>
      <c r="BB94" s="111">
        <v>29930</v>
      </c>
      <c r="BC94" s="111">
        <v>30970</v>
      </c>
      <c r="BD94" s="111">
        <v>31740</v>
      </c>
      <c r="BE94" s="111">
        <v>32510</v>
      </c>
      <c r="BF94" s="111">
        <v>33300</v>
      </c>
      <c r="BG94" s="111">
        <v>33930</v>
      </c>
      <c r="BH94" s="111">
        <v>34770</v>
      </c>
      <c r="BI94" s="111">
        <v>37100</v>
      </c>
      <c r="BJ94" s="111">
        <v>37490</v>
      </c>
      <c r="BK94" s="111">
        <v>39100</v>
      </c>
      <c r="BL94" s="111">
        <v>39700</v>
      </c>
      <c r="BM94" s="195">
        <v>39430</v>
      </c>
      <c r="BN94" s="195">
        <v>38840</v>
      </c>
      <c r="BO94" s="195">
        <v>37800</v>
      </c>
      <c r="BP94" s="195">
        <v>37650</v>
      </c>
      <c r="BQ94" s="195">
        <v>37370</v>
      </c>
    </row>
    <row r="95" spans="1:69">
      <c r="A95" s="28">
        <v>78</v>
      </c>
      <c r="B95" s="111">
        <v>10800</v>
      </c>
      <c r="C95" s="111">
        <v>10740</v>
      </c>
      <c r="D95" s="111">
        <v>11110</v>
      </c>
      <c r="E95" s="111">
        <v>11130</v>
      </c>
      <c r="F95" s="111">
        <v>10710</v>
      </c>
      <c r="G95" s="111">
        <v>10800</v>
      </c>
      <c r="H95" s="111">
        <v>10750</v>
      </c>
      <c r="I95" s="111">
        <v>10730</v>
      </c>
      <c r="J95" s="111">
        <v>11180</v>
      </c>
      <c r="K95" s="111">
        <v>11750</v>
      </c>
      <c r="L95" s="111">
        <v>12220</v>
      </c>
      <c r="M95" s="111">
        <v>12840</v>
      </c>
      <c r="N95" s="111">
        <v>13860</v>
      </c>
      <c r="O95" s="111">
        <v>14880</v>
      </c>
      <c r="P95" s="111">
        <v>15370</v>
      </c>
      <c r="Q95" s="111">
        <v>13710</v>
      </c>
      <c r="R95" s="111">
        <v>15320</v>
      </c>
      <c r="S95" s="111">
        <v>16230</v>
      </c>
      <c r="T95" s="111">
        <v>17220</v>
      </c>
      <c r="U95" s="111">
        <v>20260</v>
      </c>
      <c r="V95" s="111">
        <v>20530</v>
      </c>
      <c r="W95" s="111">
        <v>20190</v>
      </c>
      <c r="X95" s="111">
        <v>20880</v>
      </c>
      <c r="Y95" s="111">
        <v>20870</v>
      </c>
      <c r="Z95" s="111">
        <v>21610</v>
      </c>
      <c r="AA95" s="111">
        <v>22200</v>
      </c>
      <c r="AB95" s="111">
        <v>23040</v>
      </c>
      <c r="AC95" s="111">
        <v>23870</v>
      </c>
      <c r="AD95" s="111">
        <v>24540</v>
      </c>
      <c r="AE95" s="111">
        <v>25180</v>
      </c>
      <c r="AF95" s="111">
        <v>26050</v>
      </c>
      <c r="AG95" s="111">
        <v>27060</v>
      </c>
      <c r="AH95" s="111">
        <v>27620</v>
      </c>
      <c r="AI95" s="111">
        <v>28920</v>
      </c>
      <c r="AJ95" s="111">
        <v>29730</v>
      </c>
      <c r="AK95" s="111">
        <v>30280</v>
      </c>
      <c r="AL95" s="111">
        <v>29720</v>
      </c>
      <c r="AM95" s="111">
        <v>29050</v>
      </c>
      <c r="AN95" s="111">
        <v>28680</v>
      </c>
      <c r="AO95" s="111">
        <v>29150</v>
      </c>
      <c r="AP95" s="111">
        <v>29850</v>
      </c>
      <c r="AQ95" s="111">
        <v>30450</v>
      </c>
      <c r="AR95" s="111">
        <v>30350</v>
      </c>
      <c r="AS95" s="111">
        <v>31680</v>
      </c>
      <c r="AT95" s="111">
        <v>31350</v>
      </c>
      <c r="AU95" s="111">
        <v>30330</v>
      </c>
      <c r="AV95" s="111">
        <v>29750</v>
      </c>
      <c r="AW95" s="111">
        <v>28700</v>
      </c>
      <c r="AX95" s="111">
        <v>27590</v>
      </c>
      <c r="AY95" s="111">
        <v>27820</v>
      </c>
      <c r="AZ95" s="111">
        <v>27820</v>
      </c>
      <c r="BA95" s="111">
        <v>28740</v>
      </c>
      <c r="BB95" s="111">
        <v>29160</v>
      </c>
      <c r="BC95" s="111">
        <v>29580</v>
      </c>
      <c r="BD95" s="111">
        <v>30620</v>
      </c>
      <c r="BE95" s="111">
        <v>31390</v>
      </c>
      <c r="BF95" s="111">
        <v>32150</v>
      </c>
      <c r="BG95" s="111">
        <v>32940</v>
      </c>
      <c r="BH95" s="111">
        <v>33570</v>
      </c>
      <c r="BI95" s="111">
        <v>34410</v>
      </c>
      <c r="BJ95" s="111">
        <v>36720</v>
      </c>
      <c r="BK95" s="111">
        <v>37110</v>
      </c>
      <c r="BL95" s="111">
        <v>38710</v>
      </c>
      <c r="BM95" s="195">
        <v>39310</v>
      </c>
      <c r="BN95" s="195">
        <v>39050</v>
      </c>
      <c r="BO95" s="195">
        <v>38480</v>
      </c>
      <c r="BP95" s="195">
        <v>37450</v>
      </c>
      <c r="BQ95" s="195">
        <v>37310</v>
      </c>
    </row>
    <row r="96" spans="1:69">
      <c r="A96" s="28">
        <v>79</v>
      </c>
      <c r="B96" s="111">
        <v>10220</v>
      </c>
      <c r="C96" s="111">
        <v>10390</v>
      </c>
      <c r="D96" s="111">
        <v>10360</v>
      </c>
      <c r="E96" s="111">
        <v>10710</v>
      </c>
      <c r="F96" s="111">
        <v>10800</v>
      </c>
      <c r="G96" s="111">
        <v>10360</v>
      </c>
      <c r="H96" s="111">
        <v>10460</v>
      </c>
      <c r="I96" s="111">
        <v>10380</v>
      </c>
      <c r="J96" s="111">
        <v>10380</v>
      </c>
      <c r="K96" s="111">
        <v>10830</v>
      </c>
      <c r="L96" s="111">
        <v>11340</v>
      </c>
      <c r="M96" s="111">
        <v>11830</v>
      </c>
      <c r="N96" s="111">
        <v>12410</v>
      </c>
      <c r="O96" s="111">
        <v>13440</v>
      </c>
      <c r="P96" s="111">
        <v>14560</v>
      </c>
      <c r="Q96" s="111">
        <v>14960</v>
      </c>
      <c r="R96" s="111">
        <v>13360</v>
      </c>
      <c r="S96" s="111">
        <v>14930</v>
      </c>
      <c r="T96" s="111">
        <v>15820</v>
      </c>
      <c r="U96" s="111">
        <v>16800</v>
      </c>
      <c r="V96" s="111">
        <v>19770</v>
      </c>
      <c r="W96" s="111">
        <v>20050</v>
      </c>
      <c r="X96" s="111">
        <v>19720</v>
      </c>
      <c r="Y96" s="111">
        <v>20400</v>
      </c>
      <c r="Z96" s="111">
        <v>20400</v>
      </c>
      <c r="AA96" s="111">
        <v>21130</v>
      </c>
      <c r="AB96" s="111">
        <v>21720</v>
      </c>
      <c r="AC96" s="111">
        <v>22550</v>
      </c>
      <c r="AD96" s="111">
        <v>23380</v>
      </c>
      <c r="AE96" s="111">
        <v>24030</v>
      </c>
      <c r="AF96" s="111">
        <v>24670</v>
      </c>
      <c r="AG96" s="111">
        <v>25530</v>
      </c>
      <c r="AH96" s="111">
        <v>26530</v>
      </c>
      <c r="AI96" s="111">
        <v>27090</v>
      </c>
      <c r="AJ96" s="111">
        <v>28380</v>
      </c>
      <c r="AK96" s="111">
        <v>29170</v>
      </c>
      <c r="AL96" s="111">
        <v>29730</v>
      </c>
      <c r="AM96" s="111">
        <v>29180</v>
      </c>
      <c r="AN96" s="111">
        <v>28540</v>
      </c>
      <c r="AO96" s="111">
        <v>28180</v>
      </c>
      <c r="AP96" s="111">
        <v>28650</v>
      </c>
      <c r="AQ96" s="111">
        <v>29350</v>
      </c>
      <c r="AR96" s="111">
        <v>29950</v>
      </c>
      <c r="AS96" s="111">
        <v>29860</v>
      </c>
      <c r="AT96" s="111">
        <v>31180</v>
      </c>
      <c r="AU96" s="111">
        <v>30860</v>
      </c>
      <c r="AV96" s="111">
        <v>29860</v>
      </c>
      <c r="AW96" s="111">
        <v>29300</v>
      </c>
      <c r="AX96" s="111">
        <v>28270</v>
      </c>
      <c r="AY96" s="111">
        <v>27180</v>
      </c>
      <c r="AZ96" s="111">
        <v>27420</v>
      </c>
      <c r="BA96" s="111">
        <v>27430</v>
      </c>
      <c r="BB96" s="111">
        <v>28340</v>
      </c>
      <c r="BC96" s="111">
        <v>28760</v>
      </c>
      <c r="BD96" s="111">
        <v>29180</v>
      </c>
      <c r="BE96" s="111">
        <v>30210</v>
      </c>
      <c r="BF96" s="111">
        <v>30980</v>
      </c>
      <c r="BG96" s="111">
        <v>31740</v>
      </c>
      <c r="BH96" s="111">
        <v>32520</v>
      </c>
      <c r="BI96" s="111">
        <v>33150</v>
      </c>
      <c r="BJ96" s="111">
        <v>33990</v>
      </c>
      <c r="BK96" s="111">
        <v>36280</v>
      </c>
      <c r="BL96" s="111">
        <v>36670</v>
      </c>
      <c r="BM96" s="195">
        <v>38260</v>
      </c>
      <c r="BN96" s="195">
        <v>38860</v>
      </c>
      <c r="BO96" s="195">
        <v>38620</v>
      </c>
      <c r="BP96" s="195">
        <v>38050</v>
      </c>
      <c r="BQ96" s="195">
        <v>37040</v>
      </c>
    </row>
    <row r="97" spans="1:69">
      <c r="A97" s="28">
        <v>80</v>
      </c>
      <c r="B97" s="111">
        <v>9890</v>
      </c>
      <c r="C97" s="111">
        <v>9830</v>
      </c>
      <c r="D97" s="111">
        <v>9990</v>
      </c>
      <c r="E97" s="111">
        <v>9950</v>
      </c>
      <c r="F97" s="111">
        <v>10300</v>
      </c>
      <c r="G97" s="111">
        <v>10410</v>
      </c>
      <c r="H97" s="111">
        <v>9930</v>
      </c>
      <c r="I97" s="111">
        <v>10090</v>
      </c>
      <c r="J97" s="111">
        <v>10000</v>
      </c>
      <c r="K97" s="111">
        <v>10010</v>
      </c>
      <c r="L97" s="111">
        <v>10420</v>
      </c>
      <c r="M97" s="111">
        <v>10940</v>
      </c>
      <c r="N97" s="111">
        <v>11400</v>
      </c>
      <c r="O97" s="111">
        <v>12010</v>
      </c>
      <c r="P97" s="111">
        <v>13050</v>
      </c>
      <c r="Q97" s="111">
        <v>14120</v>
      </c>
      <c r="R97" s="111">
        <v>14520</v>
      </c>
      <c r="S97" s="111">
        <v>12970</v>
      </c>
      <c r="T97" s="111">
        <v>14500</v>
      </c>
      <c r="U97" s="111">
        <v>15380</v>
      </c>
      <c r="V97" s="111">
        <v>16340</v>
      </c>
      <c r="W97" s="111">
        <v>19240</v>
      </c>
      <c r="X97" s="111">
        <v>19510</v>
      </c>
      <c r="Y97" s="111">
        <v>19200</v>
      </c>
      <c r="Z97" s="111">
        <v>19880</v>
      </c>
      <c r="AA97" s="111">
        <v>19890</v>
      </c>
      <c r="AB97" s="111">
        <v>20610</v>
      </c>
      <c r="AC97" s="111">
        <v>21180</v>
      </c>
      <c r="AD97" s="111">
        <v>22000</v>
      </c>
      <c r="AE97" s="111">
        <v>22820</v>
      </c>
      <c r="AF97" s="111">
        <v>23470</v>
      </c>
      <c r="AG97" s="111">
        <v>24100</v>
      </c>
      <c r="AH97" s="111">
        <v>24950</v>
      </c>
      <c r="AI97" s="111">
        <v>25940</v>
      </c>
      <c r="AJ97" s="111">
        <v>26490</v>
      </c>
      <c r="AK97" s="111">
        <v>27760</v>
      </c>
      <c r="AL97" s="111">
        <v>28550</v>
      </c>
      <c r="AM97" s="111">
        <v>29110</v>
      </c>
      <c r="AN97" s="111">
        <v>28580</v>
      </c>
      <c r="AO97" s="111">
        <v>27960</v>
      </c>
      <c r="AP97" s="111">
        <v>27620</v>
      </c>
      <c r="AQ97" s="111">
        <v>28090</v>
      </c>
      <c r="AR97" s="111">
        <v>28780</v>
      </c>
      <c r="AS97" s="111">
        <v>29380</v>
      </c>
      <c r="AT97" s="111">
        <v>29300</v>
      </c>
      <c r="AU97" s="111">
        <v>30600</v>
      </c>
      <c r="AV97" s="111">
        <v>30300</v>
      </c>
      <c r="AW97" s="111">
        <v>29330</v>
      </c>
      <c r="AX97" s="111">
        <v>28790</v>
      </c>
      <c r="AY97" s="111">
        <v>27780</v>
      </c>
      <c r="AZ97" s="111">
        <v>26720</v>
      </c>
      <c r="BA97" s="111">
        <v>26960</v>
      </c>
      <c r="BB97" s="111">
        <v>26980</v>
      </c>
      <c r="BC97" s="111">
        <v>27890</v>
      </c>
      <c r="BD97" s="111">
        <v>28310</v>
      </c>
      <c r="BE97" s="111">
        <v>28720</v>
      </c>
      <c r="BF97" s="111">
        <v>29750</v>
      </c>
      <c r="BG97" s="111">
        <v>30510</v>
      </c>
      <c r="BH97" s="111">
        <v>31270</v>
      </c>
      <c r="BI97" s="111">
        <v>32050</v>
      </c>
      <c r="BJ97" s="111">
        <v>32670</v>
      </c>
      <c r="BK97" s="111">
        <v>33500</v>
      </c>
      <c r="BL97" s="111">
        <v>35770</v>
      </c>
      <c r="BM97" s="195">
        <v>36160</v>
      </c>
      <c r="BN97" s="195">
        <v>37740</v>
      </c>
      <c r="BO97" s="195">
        <v>38340</v>
      </c>
      <c r="BP97" s="195">
        <v>38110</v>
      </c>
      <c r="BQ97" s="195">
        <v>37560</v>
      </c>
    </row>
    <row r="98" spans="1:69">
      <c r="A98" s="28">
        <v>81</v>
      </c>
      <c r="B98" s="111">
        <v>9610</v>
      </c>
      <c r="C98" s="111">
        <v>9450</v>
      </c>
      <c r="D98" s="111">
        <v>9380</v>
      </c>
      <c r="E98" s="111">
        <v>9540</v>
      </c>
      <c r="F98" s="111">
        <v>9510</v>
      </c>
      <c r="G98" s="111">
        <v>9820</v>
      </c>
      <c r="H98" s="111">
        <v>9960</v>
      </c>
      <c r="I98" s="111">
        <v>9520</v>
      </c>
      <c r="J98" s="111">
        <v>9660</v>
      </c>
      <c r="K98" s="111">
        <v>9590</v>
      </c>
      <c r="L98" s="111">
        <v>9630</v>
      </c>
      <c r="M98" s="111">
        <v>9970</v>
      </c>
      <c r="N98" s="111">
        <v>10460</v>
      </c>
      <c r="O98" s="111">
        <v>10940</v>
      </c>
      <c r="P98" s="111">
        <v>11610</v>
      </c>
      <c r="Q98" s="111">
        <v>12590</v>
      </c>
      <c r="R98" s="111">
        <v>13640</v>
      </c>
      <c r="S98" s="111">
        <v>14040</v>
      </c>
      <c r="T98" s="111">
        <v>12550</v>
      </c>
      <c r="U98" s="111">
        <v>14040</v>
      </c>
      <c r="V98" s="111">
        <v>14900</v>
      </c>
      <c r="W98" s="111">
        <v>15830</v>
      </c>
      <c r="X98" s="111">
        <v>18650</v>
      </c>
      <c r="Y98" s="111">
        <v>18920</v>
      </c>
      <c r="Z98" s="111">
        <v>18630</v>
      </c>
      <c r="AA98" s="111">
        <v>19300</v>
      </c>
      <c r="AB98" s="111">
        <v>19310</v>
      </c>
      <c r="AC98" s="111">
        <v>20020</v>
      </c>
      <c r="AD98" s="111">
        <v>20590</v>
      </c>
      <c r="AE98" s="111">
        <v>21400</v>
      </c>
      <c r="AF98" s="111">
        <v>22200</v>
      </c>
      <c r="AG98" s="111">
        <v>22840</v>
      </c>
      <c r="AH98" s="111">
        <v>23460</v>
      </c>
      <c r="AI98" s="111">
        <v>24310</v>
      </c>
      <c r="AJ98" s="111">
        <v>25280</v>
      </c>
      <c r="AK98" s="111">
        <v>25830</v>
      </c>
      <c r="AL98" s="111">
        <v>27080</v>
      </c>
      <c r="AM98" s="111">
        <v>27860</v>
      </c>
      <c r="AN98" s="111">
        <v>28410</v>
      </c>
      <c r="AO98" s="111">
        <v>27910</v>
      </c>
      <c r="AP98" s="111">
        <v>27310</v>
      </c>
      <c r="AQ98" s="111">
        <v>26980</v>
      </c>
      <c r="AR98" s="111">
        <v>27450</v>
      </c>
      <c r="AS98" s="111">
        <v>28140</v>
      </c>
      <c r="AT98" s="111">
        <v>28730</v>
      </c>
      <c r="AU98" s="111">
        <v>28660</v>
      </c>
      <c r="AV98" s="111">
        <v>29950</v>
      </c>
      <c r="AW98" s="111">
        <v>29660</v>
      </c>
      <c r="AX98" s="111">
        <v>28720</v>
      </c>
      <c r="AY98" s="111">
        <v>28200</v>
      </c>
      <c r="AZ98" s="111">
        <v>27230</v>
      </c>
      <c r="BA98" s="111">
        <v>26200</v>
      </c>
      <c r="BB98" s="111">
        <v>26440</v>
      </c>
      <c r="BC98" s="111">
        <v>26460</v>
      </c>
      <c r="BD98" s="111">
        <v>27360</v>
      </c>
      <c r="BE98" s="111">
        <v>27780</v>
      </c>
      <c r="BF98" s="111">
        <v>28190</v>
      </c>
      <c r="BG98" s="111">
        <v>29210</v>
      </c>
      <c r="BH98" s="111">
        <v>29960</v>
      </c>
      <c r="BI98" s="111">
        <v>30720</v>
      </c>
      <c r="BJ98" s="111">
        <v>31490</v>
      </c>
      <c r="BK98" s="111">
        <v>32110</v>
      </c>
      <c r="BL98" s="111">
        <v>32940</v>
      </c>
      <c r="BM98" s="195">
        <v>35180</v>
      </c>
      <c r="BN98" s="195">
        <v>35570</v>
      </c>
      <c r="BO98" s="195">
        <v>37130</v>
      </c>
      <c r="BP98" s="195">
        <v>37740</v>
      </c>
      <c r="BQ98" s="195">
        <v>37510</v>
      </c>
    </row>
    <row r="99" spans="1:69">
      <c r="A99" s="28">
        <v>82</v>
      </c>
      <c r="B99" s="111">
        <v>8770</v>
      </c>
      <c r="C99" s="111">
        <v>9110</v>
      </c>
      <c r="D99" s="111">
        <v>8970</v>
      </c>
      <c r="E99" s="111">
        <v>8930</v>
      </c>
      <c r="F99" s="111">
        <v>9080</v>
      </c>
      <c r="G99" s="111">
        <v>9040</v>
      </c>
      <c r="H99" s="111">
        <v>9340</v>
      </c>
      <c r="I99" s="111">
        <v>9530</v>
      </c>
      <c r="J99" s="111">
        <v>9080</v>
      </c>
      <c r="K99" s="111">
        <v>9160</v>
      </c>
      <c r="L99" s="111">
        <v>9150</v>
      </c>
      <c r="M99" s="111">
        <v>9180</v>
      </c>
      <c r="N99" s="111">
        <v>9480</v>
      </c>
      <c r="O99" s="111">
        <v>9990</v>
      </c>
      <c r="P99" s="111">
        <v>10600</v>
      </c>
      <c r="Q99" s="111">
        <v>11150</v>
      </c>
      <c r="R99" s="111">
        <v>12100</v>
      </c>
      <c r="S99" s="111">
        <v>13120</v>
      </c>
      <c r="T99" s="111">
        <v>13510</v>
      </c>
      <c r="U99" s="111">
        <v>12080</v>
      </c>
      <c r="V99" s="111">
        <v>13520</v>
      </c>
      <c r="W99" s="111">
        <v>14360</v>
      </c>
      <c r="X99" s="111">
        <v>15270</v>
      </c>
      <c r="Y99" s="111">
        <v>17990</v>
      </c>
      <c r="Z99" s="111">
        <v>18270</v>
      </c>
      <c r="AA99" s="111">
        <v>18000</v>
      </c>
      <c r="AB99" s="111">
        <v>18650</v>
      </c>
      <c r="AC99" s="111">
        <v>18680</v>
      </c>
      <c r="AD99" s="111">
        <v>19370</v>
      </c>
      <c r="AE99" s="111">
        <v>19930</v>
      </c>
      <c r="AF99" s="111">
        <v>20720</v>
      </c>
      <c r="AG99" s="111">
        <v>21510</v>
      </c>
      <c r="AH99" s="111">
        <v>22140</v>
      </c>
      <c r="AI99" s="111">
        <v>22750</v>
      </c>
      <c r="AJ99" s="111">
        <v>23580</v>
      </c>
      <c r="AK99" s="111">
        <v>24530</v>
      </c>
      <c r="AL99" s="111">
        <v>25080</v>
      </c>
      <c r="AM99" s="111">
        <v>26300</v>
      </c>
      <c r="AN99" s="111">
        <v>27070</v>
      </c>
      <c r="AO99" s="111">
        <v>27620</v>
      </c>
      <c r="AP99" s="111">
        <v>27140</v>
      </c>
      <c r="AQ99" s="111">
        <v>26570</v>
      </c>
      <c r="AR99" s="111">
        <v>26260</v>
      </c>
      <c r="AS99" s="111">
        <v>26730</v>
      </c>
      <c r="AT99" s="111">
        <v>27410</v>
      </c>
      <c r="AU99" s="111">
        <v>28000</v>
      </c>
      <c r="AV99" s="111">
        <v>27940</v>
      </c>
      <c r="AW99" s="111">
        <v>29210</v>
      </c>
      <c r="AX99" s="111">
        <v>28940</v>
      </c>
      <c r="AY99" s="111">
        <v>28030</v>
      </c>
      <c r="AZ99" s="111">
        <v>27530</v>
      </c>
      <c r="BA99" s="111">
        <v>26590</v>
      </c>
      <c r="BB99" s="111">
        <v>25590</v>
      </c>
      <c r="BC99" s="111">
        <v>25830</v>
      </c>
      <c r="BD99" s="111">
        <v>25860</v>
      </c>
      <c r="BE99" s="111">
        <v>26750</v>
      </c>
      <c r="BF99" s="111">
        <v>27170</v>
      </c>
      <c r="BG99" s="111">
        <v>27590</v>
      </c>
      <c r="BH99" s="111">
        <v>28590</v>
      </c>
      <c r="BI99" s="111">
        <v>29330</v>
      </c>
      <c r="BJ99" s="111">
        <v>30080</v>
      </c>
      <c r="BK99" s="111">
        <v>30850</v>
      </c>
      <c r="BL99" s="111">
        <v>31470</v>
      </c>
      <c r="BM99" s="195">
        <v>32290</v>
      </c>
      <c r="BN99" s="195">
        <v>34490</v>
      </c>
      <c r="BO99" s="195">
        <v>34890</v>
      </c>
      <c r="BP99" s="195">
        <v>36420</v>
      </c>
      <c r="BQ99" s="195">
        <v>37030</v>
      </c>
    </row>
    <row r="100" spans="1:69">
      <c r="A100" s="28">
        <v>83</v>
      </c>
      <c r="B100" s="111">
        <v>8030</v>
      </c>
      <c r="C100" s="111">
        <v>8270</v>
      </c>
      <c r="D100" s="111">
        <v>8570</v>
      </c>
      <c r="E100" s="111">
        <v>8440</v>
      </c>
      <c r="F100" s="111">
        <v>8400</v>
      </c>
      <c r="G100" s="111">
        <v>8590</v>
      </c>
      <c r="H100" s="111">
        <v>8550</v>
      </c>
      <c r="I100" s="111">
        <v>8820</v>
      </c>
      <c r="J100" s="111">
        <v>9030</v>
      </c>
      <c r="K100" s="111">
        <v>8550</v>
      </c>
      <c r="L100" s="111">
        <v>8690</v>
      </c>
      <c r="M100" s="111">
        <v>8680</v>
      </c>
      <c r="N100" s="111">
        <v>8700</v>
      </c>
      <c r="O100" s="111">
        <v>9020</v>
      </c>
      <c r="P100" s="111">
        <v>9500</v>
      </c>
      <c r="Q100" s="111">
        <v>10120</v>
      </c>
      <c r="R100" s="111">
        <v>10650</v>
      </c>
      <c r="S100" s="111">
        <v>11570</v>
      </c>
      <c r="T100" s="111">
        <v>12550</v>
      </c>
      <c r="U100" s="111">
        <v>12930</v>
      </c>
      <c r="V100" s="111">
        <v>11570</v>
      </c>
      <c r="W100" s="111">
        <v>12960</v>
      </c>
      <c r="X100" s="111">
        <v>13770</v>
      </c>
      <c r="Y100" s="111">
        <v>14650</v>
      </c>
      <c r="Z100" s="111">
        <v>17280</v>
      </c>
      <c r="AA100" s="111">
        <v>17550</v>
      </c>
      <c r="AB100" s="111">
        <v>17300</v>
      </c>
      <c r="AC100" s="111">
        <v>17930</v>
      </c>
      <c r="AD100" s="111">
        <v>17970</v>
      </c>
      <c r="AE100" s="111">
        <v>18650</v>
      </c>
      <c r="AF100" s="111">
        <v>19200</v>
      </c>
      <c r="AG100" s="111">
        <v>19970</v>
      </c>
      <c r="AH100" s="111">
        <v>20740</v>
      </c>
      <c r="AI100" s="111">
        <v>21360</v>
      </c>
      <c r="AJ100" s="111">
        <v>21960</v>
      </c>
      <c r="AK100" s="111">
        <v>22770</v>
      </c>
      <c r="AL100" s="111">
        <v>23700</v>
      </c>
      <c r="AM100" s="111">
        <v>24240</v>
      </c>
      <c r="AN100" s="111">
        <v>25430</v>
      </c>
      <c r="AO100" s="111">
        <v>26180</v>
      </c>
      <c r="AP100" s="111">
        <v>26730</v>
      </c>
      <c r="AQ100" s="111">
        <v>26280</v>
      </c>
      <c r="AR100" s="111">
        <v>25740</v>
      </c>
      <c r="AS100" s="111">
        <v>25450</v>
      </c>
      <c r="AT100" s="111">
        <v>25920</v>
      </c>
      <c r="AU100" s="111">
        <v>26580</v>
      </c>
      <c r="AV100" s="111">
        <v>27160</v>
      </c>
      <c r="AW100" s="111">
        <v>27120</v>
      </c>
      <c r="AX100" s="111">
        <v>28360</v>
      </c>
      <c r="AY100" s="111">
        <v>28110</v>
      </c>
      <c r="AZ100" s="111">
        <v>27240</v>
      </c>
      <c r="BA100" s="111">
        <v>26760</v>
      </c>
      <c r="BB100" s="111">
        <v>25860</v>
      </c>
      <c r="BC100" s="111">
        <v>24900</v>
      </c>
      <c r="BD100" s="111">
        <v>25140</v>
      </c>
      <c r="BE100" s="111">
        <v>25180</v>
      </c>
      <c r="BF100" s="111">
        <v>26050</v>
      </c>
      <c r="BG100" s="111">
        <v>26470</v>
      </c>
      <c r="BH100" s="111">
        <v>26890</v>
      </c>
      <c r="BI100" s="111">
        <v>27870</v>
      </c>
      <c r="BJ100" s="111">
        <v>28610</v>
      </c>
      <c r="BK100" s="111">
        <v>29350</v>
      </c>
      <c r="BL100" s="111">
        <v>30110</v>
      </c>
      <c r="BM100" s="195">
        <v>30720</v>
      </c>
      <c r="BN100" s="195">
        <v>31530</v>
      </c>
      <c r="BO100" s="195">
        <v>33690</v>
      </c>
      <c r="BP100" s="195">
        <v>34090</v>
      </c>
      <c r="BQ100" s="195">
        <v>35600</v>
      </c>
    </row>
    <row r="101" spans="1:69">
      <c r="A101" s="28">
        <v>84</v>
      </c>
      <c r="B101" s="111">
        <v>7700</v>
      </c>
      <c r="C101" s="111">
        <v>7490</v>
      </c>
      <c r="D101" s="111">
        <v>7730</v>
      </c>
      <c r="E101" s="111">
        <v>8040</v>
      </c>
      <c r="F101" s="111">
        <v>7890</v>
      </c>
      <c r="G101" s="111">
        <v>7870</v>
      </c>
      <c r="H101" s="111">
        <v>7980</v>
      </c>
      <c r="I101" s="111">
        <v>8060</v>
      </c>
      <c r="J101" s="111">
        <v>8350</v>
      </c>
      <c r="K101" s="111">
        <v>8450</v>
      </c>
      <c r="L101" s="111">
        <v>8090</v>
      </c>
      <c r="M101" s="111">
        <v>8140</v>
      </c>
      <c r="N101" s="111">
        <v>8170</v>
      </c>
      <c r="O101" s="111">
        <v>8220</v>
      </c>
      <c r="P101" s="111">
        <v>8560</v>
      </c>
      <c r="Q101" s="111">
        <v>9000</v>
      </c>
      <c r="R101" s="111">
        <v>9600</v>
      </c>
      <c r="S101" s="111">
        <v>10110</v>
      </c>
      <c r="T101" s="111">
        <v>10990</v>
      </c>
      <c r="U101" s="111">
        <v>11930</v>
      </c>
      <c r="V101" s="111">
        <v>12300</v>
      </c>
      <c r="W101" s="111">
        <v>11020</v>
      </c>
      <c r="X101" s="111">
        <v>12350</v>
      </c>
      <c r="Y101" s="111">
        <v>13130</v>
      </c>
      <c r="Z101" s="111">
        <v>13970</v>
      </c>
      <c r="AA101" s="111">
        <v>16490</v>
      </c>
      <c r="AB101" s="111">
        <v>16760</v>
      </c>
      <c r="AC101" s="111">
        <v>16530</v>
      </c>
      <c r="AD101" s="111">
        <v>17150</v>
      </c>
      <c r="AE101" s="111">
        <v>17190</v>
      </c>
      <c r="AF101" s="111">
        <v>17850</v>
      </c>
      <c r="AG101" s="111">
        <v>18380</v>
      </c>
      <c r="AH101" s="111">
        <v>19130</v>
      </c>
      <c r="AI101" s="111">
        <v>19880</v>
      </c>
      <c r="AJ101" s="111">
        <v>20480</v>
      </c>
      <c r="AK101" s="111">
        <v>21070</v>
      </c>
      <c r="AL101" s="111">
        <v>21860</v>
      </c>
      <c r="AM101" s="111">
        <v>22770</v>
      </c>
      <c r="AN101" s="111">
        <v>23290</v>
      </c>
      <c r="AO101" s="111">
        <v>24450</v>
      </c>
      <c r="AP101" s="111">
        <v>25190</v>
      </c>
      <c r="AQ101" s="111">
        <v>25720</v>
      </c>
      <c r="AR101" s="111">
        <v>25300</v>
      </c>
      <c r="AS101" s="111">
        <v>24790</v>
      </c>
      <c r="AT101" s="111">
        <v>24530</v>
      </c>
      <c r="AU101" s="111">
        <v>24990</v>
      </c>
      <c r="AV101" s="111">
        <v>25650</v>
      </c>
      <c r="AW101" s="111">
        <v>26220</v>
      </c>
      <c r="AX101" s="111">
        <v>26190</v>
      </c>
      <c r="AY101" s="111">
        <v>27400</v>
      </c>
      <c r="AZ101" s="111">
        <v>27170</v>
      </c>
      <c r="BA101" s="111">
        <v>26340</v>
      </c>
      <c r="BB101" s="111">
        <v>25890</v>
      </c>
      <c r="BC101" s="111">
        <v>25020</v>
      </c>
      <c r="BD101" s="111">
        <v>24100</v>
      </c>
      <c r="BE101" s="111">
        <v>24350</v>
      </c>
      <c r="BF101" s="111">
        <v>24400</v>
      </c>
      <c r="BG101" s="111">
        <v>25250</v>
      </c>
      <c r="BH101" s="111">
        <v>25670</v>
      </c>
      <c r="BI101" s="111">
        <v>26080</v>
      </c>
      <c r="BJ101" s="111">
        <v>27040</v>
      </c>
      <c r="BK101" s="111">
        <v>27770</v>
      </c>
      <c r="BL101" s="111">
        <v>28500</v>
      </c>
      <c r="BM101" s="195">
        <v>29250</v>
      </c>
      <c r="BN101" s="195">
        <v>29850</v>
      </c>
      <c r="BO101" s="195">
        <v>30650</v>
      </c>
      <c r="BP101" s="195">
        <v>32760</v>
      </c>
      <c r="BQ101" s="195">
        <v>33160</v>
      </c>
    </row>
    <row r="102" spans="1:69">
      <c r="A102" s="28">
        <v>85</v>
      </c>
      <c r="B102" s="111">
        <v>6940</v>
      </c>
      <c r="C102" s="111">
        <v>7130</v>
      </c>
      <c r="D102" s="111">
        <v>6960</v>
      </c>
      <c r="E102" s="111">
        <v>7160</v>
      </c>
      <c r="F102" s="111">
        <v>7480</v>
      </c>
      <c r="G102" s="111">
        <v>7290</v>
      </c>
      <c r="H102" s="111">
        <v>7350</v>
      </c>
      <c r="I102" s="111">
        <v>7380</v>
      </c>
      <c r="J102" s="111">
        <v>7510</v>
      </c>
      <c r="K102" s="111">
        <v>7750</v>
      </c>
      <c r="L102" s="111">
        <v>7850</v>
      </c>
      <c r="M102" s="111">
        <v>7530</v>
      </c>
      <c r="N102" s="111">
        <v>7600</v>
      </c>
      <c r="O102" s="111">
        <v>7650</v>
      </c>
      <c r="P102" s="111">
        <v>7720</v>
      </c>
      <c r="Q102" s="111">
        <v>8050</v>
      </c>
      <c r="R102" s="111">
        <v>8470</v>
      </c>
      <c r="S102" s="111">
        <v>9040</v>
      </c>
      <c r="T102" s="111">
        <v>9530</v>
      </c>
      <c r="U102" s="111">
        <v>10370</v>
      </c>
      <c r="V102" s="111">
        <v>11260</v>
      </c>
      <c r="W102" s="111">
        <v>11620</v>
      </c>
      <c r="X102" s="111">
        <v>10410</v>
      </c>
      <c r="Y102" s="111">
        <v>11680</v>
      </c>
      <c r="Z102" s="111">
        <v>12420</v>
      </c>
      <c r="AA102" s="111">
        <v>13230</v>
      </c>
      <c r="AB102" s="111">
        <v>15620</v>
      </c>
      <c r="AC102" s="111">
        <v>15890</v>
      </c>
      <c r="AD102" s="111">
        <v>15680</v>
      </c>
      <c r="AE102" s="111">
        <v>16280</v>
      </c>
      <c r="AF102" s="111">
        <v>16330</v>
      </c>
      <c r="AG102" s="111">
        <v>16960</v>
      </c>
      <c r="AH102" s="111">
        <v>17480</v>
      </c>
      <c r="AI102" s="111">
        <v>18210</v>
      </c>
      <c r="AJ102" s="111">
        <v>18930</v>
      </c>
      <c r="AK102" s="111">
        <v>19520</v>
      </c>
      <c r="AL102" s="111">
        <v>20090</v>
      </c>
      <c r="AM102" s="111">
        <v>20850</v>
      </c>
      <c r="AN102" s="111">
        <v>21730</v>
      </c>
      <c r="AO102" s="111">
        <v>22240</v>
      </c>
      <c r="AP102" s="111">
        <v>23360</v>
      </c>
      <c r="AQ102" s="111">
        <v>24080</v>
      </c>
      <c r="AR102" s="111">
        <v>24600</v>
      </c>
      <c r="AS102" s="111">
        <v>24210</v>
      </c>
      <c r="AT102" s="111">
        <v>23740</v>
      </c>
      <c r="AU102" s="111">
        <v>23500</v>
      </c>
      <c r="AV102" s="111">
        <v>23950</v>
      </c>
      <c r="AW102" s="111">
        <v>24590</v>
      </c>
      <c r="AX102" s="111">
        <v>25150</v>
      </c>
      <c r="AY102" s="111">
        <v>25130</v>
      </c>
      <c r="AZ102" s="111">
        <v>26310</v>
      </c>
      <c r="BA102" s="111">
        <v>26100</v>
      </c>
      <c r="BB102" s="111">
        <v>25310</v>
      </c>
      <c r="BC102" s="111">
        <v>24890</v>
      </c>
      <c r="BD102" s="111">
        <v>24070</v>
      </c>
      <c r="BE102" s="111">
        <v>23200</v>
      </c>
      <c r="BF102" s="111">
        <v>23450</v>
      </c>
      <c r="BG102" s="111">
        <v>23500</v>
      </c>
      <c r="BH102" s="111">
        <v>24340</v>
      </c>
      <c r="BI102" s="111">
        <v>24750</v>
      </c>
      <c r="BJ102" s="111">
        <v>25160</v>
      </c>
      <c r="BK102" s="111">
        <v>26100</v>
      </c>
      <c r="BL102" s="111">
        <v>26810</v>
      </c>
      <c r="BM102" s="195">
        <v>27520</v>
      </c>
      <c r="BN102" s="195">
        <v>28260</v>
      </c>
      <c r="BO102" s="195">
        <v>28850</v>
      </c>
      <c r="BP102" s="195">
        <v>29640</v>
      </c>
      <c r="BQ102" s="195">
        <v>31690</v>
      </c>
    </row>
    <row r="103" spans="1:69">
      <c r="A103" s="28">
        <v>86</v>
      </c>
      <c r="B103" s="111">
        <v>6240</v>
      </c>
      <c r="C103" s="111">
        <v>6390</v>
      </c>
      <c r="D103" s="111">
        <v>6540</v>
      </c>
      <c r="E103" s="111">
        <v>6380</v>
      </c>
      <c r="F103" s="111">
        <v>6560</v>
      </c>
      <c r="G103" s="111">
        <v>6900</v>
      </c>
      <c r="H103" s="111">
        <v>6650</v>
      </c>
      <c r="I103" s="111">
        <v>6750</v>
      </c>
      <c r="J103" s="111">
        <v>6850</v>
      </c>
      <c r="K103" s="111">
        <v>6940</v>
      </c>
      <c r="L103" s="111">
        <v>7160</v>
      </c>
      <c r="M103" s="111">
        <v>7200</v>
      </c>
      <c r="N103" s="111">
        <v>6930</v>
      </c>
      <c r="O103" s="111">
        <v>7020</v>
      </c>
      <c r="P103" s="111">
        <v>7150</v>
      </c>
      <c r="Q103" s="111">
        <v>7180</v>
      </c>
      <c r="R103" s="111">
        <v>7500</v>
      </c>
      <c r="S103" s="111">
        <v>7900</v>
      </c>
      <c r="T103" s="111">
        <v>8440</v>
      </c>
      <c r="U103" s="111">
        <v>8910</v>
      </c>
      <c r="V103" s="111">
        <v>9700</v>
      </c>
      <c r="W103" s="111">
        <v>10540</v>
      </c>
      <c r="X103" s="111">
        <v>10880</v>
      </c>
      <c r="Y103" s="111">
        <v>9760</v>
      </c>
      <c r="Z103" s="111">
        <v>10950</v>
      </c>
      <c r="AA103" s="111">
        <v>11660</v>
      </c>
      <c r="AB103" s="111">
        <v>12430</v>
      </c>
      <c r="AC103" s="111">
        <v>14680</v>
      </c>
      <c r="AD103" s="111">
        <v>14940</v>
      </c>
      <c r="AE103" s="111">
        <v>14760</v>
      </c>
      <c r="AF103" s="111">
        <v>15330</v>
      </c>
      <c r="AG103" s="111">
        <v>15390</v>
      </c>
      <c r="AH103" s="111">
        <v>15990</v>
      </c>
      <c r="AI103" s="111">
        <v>16500</v>
      </c>
      <c r="AJ103" s="111">
        <v>17190</v>
      </c>
      <c r="AK103" s="111">
        <v>17880</v>
      </c>
      <c r="AL103" s="111">
        <v>18450</v>
      </c>
      <c r="AM103" s="111">
        <v>19000</v>
      </c>
      <c r="AN103" s="111">
        <v>19730</v>
      </c>
      <c r="AO103" s="111">
        <v>20570</v>
      </c>
      <c r="AP103" s="111">
        <v>21070</v>
      </c>
      <c r="AQ103" s="111">
        <v>22150</v>
      </c>
      <c r="AR103" s="111">
        <v>22840</v>
      </c>
      <c r="AS103" s="111">
        <v>23350</v>
      </c>
      <c r="AT103" s="111">
        <v>22990</v>
      </c>
      <c r="AU103" s="111">
        <v>22560</v>
      </c>
      <c r="AV103" s="111">
        <v>22340</v>
      </c>
      <c r="AW103" s="111">
        <v>22780</v>
      </c>
      <c r="AX103" s="111">
        <v>23410</v>
      </c>
      <c r="AY103" s="111">
        <v>23950</v>
      </c>
      <c r="AZ103" s="111">
        <v>23950</v>
      </c>
      <c r="BA103" s="111">
        <v>25080</v>
      </c>
      <c r="BB103" s="111">
        <v>24890</v>
      </c>
      <c r="BC103" s="111">
        <v>24160</v>
      </c>
      <c r="BD103" s="111">
        <v>23760</v>
      </c>
      <c r="BE103" s="111">
        <v>22990</v>
      </c>
      <c r="BF103" s="111">
        <v>22170</v>
      </c>
      <c r="BG103" s="111">
        <v>22420</v>
      </c>
      <c r="BH103" s="111">
        <v>22480</v>
      </c>
      <c r="BI103" s="111">
        <v>23290</v>
      </c>
      <c r="BJ103" s="111">
        <v>23700</v>
      </c>
      <c r="BK103" s="111">
        <v>24100</v>
      </c>
      <c r="BL103" s="111">
        <v>25010</v>
      </c>
      <c r="BM103" s="195">
        <v>25710</v>
      </c>
      <c r="BN103" s="195">
        <v>26400</v>
      </c>
      <c r="BO103" s="195">
        <v>27120</v>
      </c>
      <c r="BP103" s="195">
        <v>27700</v>
      </c>
      <c r="BQ103" s="195">
        <v>28470</v>
      </c>
    </row>
    <row r="104" spans="1:69">
      <c r="A104" s="28">
        <v>87</v>
      </c>
      <c r="B104" s="111">
        <v>4700</v>
      </c>
      <c r="C104" s="111">
        <v>5630</v>
      </c>
      <c r="D104" s="111">
        <v>5730</v>
      </c>
      <c r="E104" s="111">
        <v>5900</v>
      </c>
      <c r="F104" s="111">
        <v>5790</v>
      </c>
      <c r="G104" s="111">
        <v>5930</v>
      </c>
      <c r="H104" s="111">
        <v>6250</v>
      </c>
      <c r="I104" s="111">
        <v>6040</v>
      </c>
      <c r="J104" s="111">
        <v>6210</v>
      </c>
      <c r="K104" s="111">
        <v>6250</v>
      </c>
      <c r="L104" s="111">
        <v>6360</v>
      </c>
      <c r="M104" s="111">
        <v>6550</v>
      </c>
      <c r="N104" s="111">
        <v>6560</v>
      </c>
      <c r="O104" s="111">
        <v>6320</v>
      </c>
      <c r="P104" s="111">
        <v>6450</v>
      </c>
      <c r="Q104" s="111">
        <v>6590</v>
      </c>
      <c r="R104" s="111">
        <v>6630</v>
      </c>
      <c r="S104" s="111">
        <v>6930</v>
      </c>
      <c r="T104" s="111">
        <v>7300</v>
      </c>
      <c r="U104" s="111">
        <v>7810</v>
      </c>
      <c r="V104" s="111">
        <v>8240</v>
      </c>
      <c r="W104" s="111">
        <v>8980</v>
      </c>
      <c r="X104" s="111">
        <v>9770</v>
      </c>
      <c r="Y104" s="111">
        <v>10090</v>
      </c>
      <c r="Z104" s="111">
        <v>9060</v>
      </c>
      <c r="AA104" s="111">
        <v>10170</v>
      </c>
      <c r="AB104" s="111">
        <v>10840</v>
      </c>
      <c r="AC104" s="111">
        <v>11560</v>
      </c>
      <c r="AD104" s="111">
        <v>13670</v>
      </c>
      <c r="AE104" s="111">
        <v>13920</v>
      </c>
      <c r="AF104" s="111">
        <v>13760</v>
      </c>
      <c r="AG104" s="111">
        <v>14300</v>
      </c>
      <c r="AH104" s="111">
        <v>14360</v>
      </c>
      <c r="AI104" s="111">
        <v>14940</v>
      </c>
      <c r="AJ104" s="111">
        <v>15420</v>
      </c>
      <c r="AK104" s="111">
        <v>16080</v>
      </c>
      <c r="AL104" s="111">
        <v>16740</v>
      </c>
      <c r="AM104" s="111">
        <v>17280</v>
      </c>
      <c r="AN104" s="111">
        <v>17810</v>
      </c>
      <c r="AO104" s="111">
        <v>18500</v>
      </c>
      <c r="AP104" s="111">
        <v>19310</v>
      </c>
      <c r="AQ104" s="111">
        <v>19790</v>
      </c>
      <c r="AR104" s="111">
        <v>20810</v>
      </c>
      <c r="AS104" s="111">
        <v>21470</v>
      </c>
      <c r="AT104" s="111">
        <v>21970</v>
      </c>
      <c r="AU104" s="111">
        <v>21640</v>
      </c>
      <c r="AV104" s="111">
        <v>21240</v>
      </c>
      <c r="AW104" s="111">
        <v>21050</v>
      </c>
      <c r="AX104" s="111">
        <v>21480</v>
      </c>
      <c r="AY104" s="111">
        <v>22080</v>
      </c>
      <c r="AZ104" s="111">
        <v>22610</v>
      </c>
      <c r="BA104" s="111">
        <v>22620</v>
      </c>
      <c r="BB104" s="111">
        <v>23700</v>
      </c>
      <c r="BC104" s="111">
        <v>23540</v>
      </c>
      <c r="BD104" s="111">
        <v>22850</v>
      </c>
      <c r="BE104" s="111">
        <v>22500</v>
      </c>
      <c r="BF104" s="111">
        <v>21780</v>
      </c>
      <c r="BG104" s="111">
        <v>21010</v>
      </c>
      <c r="BH104" s="111">
        <v>21260</v>
      </c>
      <c r="BI104" s="111">
        <v>21330</v>
      </c>
      <c r="BJ104" s="111">
        <v>22110</v>
      </c>
      <c r="BK104" s="111">
        <v>22500</v>
      </c>
      <c r="BL104" s="111">
        <v>22900</v>
      </c>
      <c r="BM104" s="195">
        <v>23770</v>
      </c>
      <c r="BN104" s="195">
        <v>24450</v>
      </c>
      <c r="BO104" s="195">
        <v>25120</v>
      </c>
      <c r="BP104" s="195">
        <v>25810</v>
      </c>
      <c r="BQ104" s="195">
        <v>26380</v>
      </c>
    </row>
    <row r="105" spans="1:69">
      <c r="A105" s="28">
        <v>88</v>
      </c>
      <c r="B105" s="111">
        <v>4260</v>
      </c>
      <c r="C105" s="111">
        <v>4210</v>
      </c>
      <c r="D105" s="111">
        <v>4990</v>
      </c>
      <c r="E105" s="111">
        <v>5140</v>
      </c>
      <c r="F105" s="111">
        <v>5280</v>
      </c>
      <c r="G105" s="111">
        <v>5170</v>
      </c>
      <c r="H105" s="111">
        <v>5280</v>
      </c>
      <c r="I105" s="111">
        <v>5610</v>
      </c>
      <c r="J105" s="111">
        <v>5470</v>
      </c>
      <c r="K105" s="111">
        <v>5590</v>
      </c>
      <c r="L105" s="111">
        <v>5620</v>
      </c>
      <c r="M105" s="111">
        <v>5750</v>
      </c>
      <c r="N105" s="111">
        <v>5890</v>
      </c>
      <c r="O105" s="111">
        <v>5930</v>
      </c>
      <c r="P105" s="111">
        <v>5750</v>
      </c>
      <c r="Q105" s="111">
        <v>5870</v>
      </c>
      <c r="R105" s="111">
        <v>6000</v>
      </c>
      <c r="S105" s="111">
        <v>6040</v>
      </c>
      <c r="T105" s="111">
        <v>6320</v>
      </c>
      <c r="U105" s="111">
        <v>6670</v>
      </c>
      <c r="V105" s="111">
        <v>7140</v>
      </c>
      <c r="W105" s="111">
        <v>7540</v>
      </c>
      <c r="X105" s="111">
        <v>8220</v>
      </c>
      <c r="Y105" s="111">
        <v>8950</v>
      </c>
      <c r="Z105" s="111">
        <v>9250</v>
      </c>
      <c r="AA105" s="111">
        <v>8320</v>
      </c>
      <c r="AB105" s="111">
        <v>9340</v>
      </c>
      <c r="AC105" s="111">
        <v>9960</v>
      </c>
      <c r="AD105" s="111">
        <v>10640</v>
      </c>
      <c r="AE105" s="111">
        <v>12580</v>
      </c>
      <c r="AF105" s="111">
        <v>12820</v>
      </c>
      <c r="AG105" s="111">
        <v>12680</v>
      </c>
      <c r="AH105" s="111">
        <v>13190</v>
      </c>
      <c r="AI105" s="111">
        <v>13260</v>
      </c>
      <c r="AJ105" s="111">
        <v>13800</v>
      </c>
      <c r="AK105" s="111">
        <v>14260</v>
      </c>
      <c r="AL105" s="111">
        <v>14870</v>
      </c>
      <c r="AM105" s="111">
        <v>15490</v>
      </c>
      <c r="AN105" s="111">
        <v>16010</v>
      </c>
      <c r="AO105" s="111">
        <v>16510</v>
      </c>
      <c r="AP105" s="111">
        <v>17170</v>
      </c>
      <c r="AQ105" s="111">
        <v>17920</v>
      </c>
      <c r="AR105" s="111">
        <v>18380</v>
      </c>
      <c r="AS105" s="111">
        <v>19340</v>
      </c>
      <c r="AT105" s="111">
        <v>19970</v>
      </c>
      <c r="AU105" s="111">
        <v>20440</v>
      </c>
      <c r="AV105" s="111">
        <v>20160</v>
      </c>
      <c r="AW105" s="111">
        <v>19800</v>
      </c>
      <c r="AX105" s="111">
        <v>19630</v>
      </c>
      <c r="AY105" s="111">
        <v>20050</v>
      </c>
      <c r="AZ105" s="111">
        <v>20620</v>
      </c>
      <c r="BA105" s="111">
        <v>21120</v>
      </c>
      <c r="BB105" s="111">
        <v>21150</v>
      </c>
      <c r="BC105" s="111">
        <v>22170</v>
      </c>
      <c r="BD105" s="111">
        <v>22030</v>
      </c>
      <c r="BE105" s="111">
        <v>21400</v>
      </c>
      <c r="BF105" s="111">
        <v>21080</v>
      </c>
      <c r="BG105" s="111">
        <v>20420</v>
      </c>
      <c r="BH105" s="111">
        <v>19710</v>
      </c>
      <c r="BI105" s="111">
        <v>19950</v>
      </c>
      <c r="BJ105" s="111">
        <v>20030</v>
      </c>
      <c r="BK105" s="111">
        <v>20780</v>
      </c>
      <c r="BL105" s="111">
        <v>21160</v>
      </c>
      <c r="BM105" s="195">
        <v>21540</v>
      </c>
      <c r="BN105" s="195">
        <v>22380</v>
      </c>
      <c r="BO105" s="195">
        <v>23020</v>
      </c>
      <c r="BP105" s="195">
        <v>23670</v>
      </c>
      <c r="BQ105" s="195">
        <v>24340</v>
      </c>
    </row>
    <row r="106" spans="1:69">
      <c r="A106" s="28">
        <v>89</v>
      </c>
      <c r="B106" s="111">
        <v>3770</v>
      </c>
      <c r="C106" s="111">
        <v>3750</v>
      </c>
      <c r="D106" s="111">
        <v>3720</v>
      </c>
      <c r="E106" s="111">
        <v>4400</v>
      </c>
      <c r="F106" s="111">
        <v>4520</v>
      </c>
      <c r="G106" s="111">
        <v>4660</v>
      </c>
      <c r="H106" s="111">
        <v>4540</v>
      </c>
      <c r="I106" s="111">
        <v>4660</v>
      </c>
      <c r="J106" s="111">
        <v>5010</v>
      </c>
      <c r="K106" s="111">
        <v>4890</v>
      </c>
      <c r="L106" s="111">
        <v>4990</v>
      </c>
      <c r="M106" s="111">
        <v>4950</v>
      </c>
      <c r="N106" s="111">
        <v>5110</v>
      </c>
      <c r="O106" s="111">
        <v>5240</v>
      </c>
      <c r="P106" s="111">
        <v>5270</v>
      </c>
      <c r="Q106" s="111">
        <v>5160</v>
      </c>
      <c r="R106" s="111">
        <v>5280</v>
      </c>
      <c r="S106" s="111">
        <v>5400</v>
      </c>
      <c r="T106" s="111">
        <v>5440</v>
      </c>
      <c r="U106" s="111">
        <v>5690</v>
      </c>
      <c r="V106" s="111">
        <v>6010</v>
      </c>
      <c r="W106" s="111">
        <v>6440</v>
      </c>
      <c r="X106" s="111">
        <v>6810</v>
      </c>
      <c r="Y106" s="111">
        <v>7430</v>
      </c>
      <c r="Z106" s="111">
        <v>8100</v>
      </c>
      <c r="AA106" s="111">
        <v>8380</v>
      </c>
      <c r="AB106" s="111">
        <v>7530</v>
      </c>
      <c r="AC106" s="111">
        <v>8470</v>
      </c>
      <c r="AD106" s="111">
        <v>9040</v>
      </c>
      <c r="AE106" s="111">
        <v>9660</v>
      </c>
      <c r="AF106" s="111">
        <v>11430</v>
      </c>
      <c r="AG106" s="111">
        <v>11660</v>
      </c>
      <c r="AH106" s="111">
        <v>11540</v>
      </c>
      <c r="AI106" s="111">
        <v>12010</v>
      </c>
      <c r="AJ106" s="111">
        <v>12090</v>
      </c>
      <c r="AK106" s="111">
        <v>12590</v>
      </c>
      <c r="AL106" s="111">
        <v>13010</v>
      </c>
      <c r="AM106" s="111">
        <v>13590</v>
      </c>
      <c r="AN106" s="111">
        <v>14170</v>
      </c>
      <c r="AO106" s="111">
        <v>14640</v>
      </c>
      <c r="AP106" s="111">
        <v>15110</v>
      </c>
      <c r="AQ106" s="111">
        <v>15730</v>
      </c>
      <c r="AR106" s="111">
        <v>16430</v>
      </c>
      <c r="AS106" s="111">
        <v>16860</v>
      </c>
      <c r="AT106" s="111">
        <v>17760</v>
      </c>
      <c r="AU106" s="111">
        <v>18350</v>
      </c>
      <c r="AV106" s="111">
        <v>18800</v>
      </c>
      <c r="AW106" s="111">
        <v>18540</v>
      </c>
      <c r="AX106" s="111">
        <v>18230</v>
      </c>
      <c r="AY106" s="111">
        <v>18090</v>
      </c>
      <c r="AZ106" s="111">
        <v>18480</v>
      </c>
      <c r="BA106" s="111">
        <v>19020</v>
      </c>
      <c r="BB106" s="111">
        <v>19500</v>
      </c>
      <c r="BC106" s="111">
        <v>19530</v>
      </c>
      <c r="BD106" s="111">
        <v>20490</v>
      </c>
      <c r="BE106" s="111">
        <v>20370</v>
      </c>
      <c r="BF106" s="111">
        <v>19810</v>
      </c>
      <c r="BG106" s="111">
        <v>19520</v>
      </c>
      <c r="BH106" s="111">
        <v>18920</v>
      </c>
      <c r="BI106" s="111">
        <v>18270</v>
      </c>
      <c r="BJ106" s="111">
        <v>18510</v>
      </c>
      <c r="BK106" s="111">
        <v>18590</v>
      </c>
      <c r="BL106" s="111">
        <v>19300</v>
      </c>
      <c r="BM106" s="195">
        <v>19660</v>
      </c>
      <c r="BN106" s="195">
        <v>20030</v>
      </c>
      <c r="BO106" s="195">
        <v>20820</v>
      </c>
      <c r="BP106" s="195">
        <v>21430</v>
      </c>
      <c r="BQ106" s="195">
        <v>22050</v>
      </c>
    </row>
    <row r="107" spans="1:69">
      <c r="A107" s="28" t="s">
        <v>0</v>
      </c>
      <c r="B107" s="111">
        <v>14040</v>
      </c>
      <c r="C107" s="111">
        <v>14320</v>
      </c>
      <c r="D107" s="111">
        <v>14710</v>
      </c>
      <c r="E107" s="111">
        <v>14850</v>
      </c>
      <c r="F107" s="111">
        <v>15750</v>
      </c>
      <c r="G107" s="111">
        <v>16430</v>
      </c>
      <c r="H107" s="111">
        <v>17040</v>
      </c>
      <c r="I107" s="111">
        <v>17440</v>
      </c>
      <c r="J107" s="111">
        <v>18200</v>
      </c>
      <c r="K107" s="111">
        <v>19080</v>
      </c>
      <c r="L107" s="111">
        <v>19640</v>
      </c>
      <c r="M107" s="111">
        <v>20320</v>
      </c>
      <c r="N107" s="111">
        <v>20680</v>
      </c>
      <c r="O107" s="111">
        <v>21150</v>
      </c>
      <c r="P107" s="111">
        <v>21800</v>
      </c>
      <c r="Q107" s="111">
        <v>22420</v>
      </c>
      <c r="R107" s="111">
        <v>22830</v>
      </c>
      <c r="S107" s="111">
        <v>23290</v>
      </c>
      <c r="T107" s="111">
        <v>23780</v>
      </c>
      <c r="U107" s="111">
        <v>24220</v>
      </c>
      <c r="V107" s="111">
        <v>24830</v>
      </c>
      <c r="W107" s="111">
        <v>25610</v>
      </c>
      <c r="X107" s="111">
        <v>26690</v>
      </c>
      <c r="Y107" s="111">
        <v>27920</v>
      </c>
      <c r="Z107" s="111">
        <v>29540</v>
      </c>
      <c r="AA107" s="111">
        <v>31500</v>
      </c>
      <c r="AB107" s="111">
        <v>33440</v>
      </c>
      <c r="AC107" s="111">
        <v>34330</v>
      </c>
      <c r="AD107" s="111">
        <v>35880</v>
      </c>
      <c r="AE107" s="111">
        <v>37670</v>
      </c>
      <c r="AF107" s="111">
        <v>39740</v>
      </c>
      <c r="AG107" s="111">
        <v>43090</v>
      </c>
      <c r="AH107" s="111">
        <v>46160</v>
      </c>
      <c r="AI107" s="111">
        <v>48660</v>
      </c>
      <c r="AJ107" s="111">
        <v>51190</v>
      </c>
      <c r="AK107" s="111">
        <v>53330</v>
      </c>
      <c r="AL107" s="111">
        <v>55570</v>
      </c>
      <c r="AM107" s="111">
        <v>57810</v>
      </c>
      <c r="AN107" s="111">
        <v>60180</v>
      </c>
      <c r="AO107" s="111">
        <v>62690</v>
      </c>
      <c r="AP107" s="111">
        <v>65260</v>
      </c>
      <c r="AQ107" s="111">
        <v>67830</v>
      </c>
      <c r="AR107" s="111">
        <v>70560</v>
      </c>
      <c r="AS107" s="111">
        <v>73510</v>
      </c>
      <c r="AT107" s="111">
        <v>76400</v>
      </c>
      <c r="AU107" s="111">
        <v>79670</v>
      </c>
      <c r="AV107" s="111">
        <v>83000</v>
      </c>
      <c r="AW107" s="111">
        <v>86230</v>
      </c>
      <c r="AX107" s="111">
        <v>88730</v>
      </c>
      <c r="AY107" s="111">
        <v>90540</v>
      </c>
      <c r="AZ107" s="111">
        <v>91890</v>
      </c>
      <c r="BA107" s="111">
        <v>93330</v>
      </c>
      <c r="BB107" s="111">
        <v>95000</v>
      </c>
      <c r="BC107" s="111">
        <v>96870</v>
      </c>
      <c r="BD107" s="111">
        <v>98480</v>
      </c>
      <c r="BE107" s="111">
        <v>100760</v>
      </c>
      <c r="BF107" s="111">
        <v>102660</v>
      </c>
      <c r="BG107" s="111">
        <v>103750</v>
      </c>
      <c r="BH107" s="111">
        <v>104440</v>
      </c>
      <c r="BI107" s="111">
        <v>104440</v>
      </c>
      <c r="BJ107" s="111">
        <v>103830</v>
      </c>
      <c r="BK107" s="111">
        <v>103490</v>
      </c>
      <c r="BL107" s="111">
        <v>103240</v>
      </c>
      <c r="BM107" s="195">
        <v>103740</v>
      </c>
      <c r="BN107" s="195">
        <v>104560</v>
      </c>
      <c r="BO107" s="195">
        <v>105700</v>
      </c>
      <c r="BP107" s="195">
        <v>107520</v>
      </c>
      <c r="BQ107" s="195">
        <v>109730</v>
      </c>
    </row>
    <row r="108" spans="1:69">
      <c r="A108" s="71" t="s">
        <v>1</v>
      </c>
      <c r="B108" s="114">
        <f t="shared" ref="B108:BM108" si="27">SUM(B$17:B$107)</f>
        <v>2136250</v>
      </c>
      <c r="C108" s="114">
        <f t="shared" si="27"/>
        <v>2157370</v>
      </c>
      <c r="D108" s="114">
        <f t="shared" si="27"/>
        <v>2176330</v>
      </c>
      <c r="E108" s="114">
        <f t="shared" si="27"/>
        <v>2197940</v>
      </c>
      <c r="F108" s="114">
        <f t="shared" si="27"/>
        <v>2222920</v>
      </c>
      <c r="G108" s="114">
        <f t="shared" si="27"/>
        <v>2240410</v>
      </c>
      <c r="H108" s="114">
        <f t="shared" si="27"/>
        <v>2253000</v>
      </c>
      <c r="I108" s="114">
        <f t="shared" si="27"/>
        <v>2269940</v>
      </c>
      <c r="J108" s="114">
        <f t="shared" si="27"/>
        <v>2300660</v>
      </c>
      <c r="K108" s="114">
        <f t="shared" si="27"/>
        <v>2339320</v>
      </c>
      <c r="L108" s="114">
        <f t="shared" si="27"/>
        <v>2385490</v>
      </c>
      <c r="M108" s="114">
        <f t="shared" si="27"/>
        <v>2430830</v>
      </c>
      <c r="N108" s="114">
        <f t="shared" si="27"/>
        <v>2470440</v>
      </c>
      <c r="O108" s="114">
        <f t="shared" si="27"/>
        <v>2508160</v>
      </c>
      <c r="P108" s="114">
        <f t="shared" si="27"/>
        <v>2563800</v>
      </c>
      <c r="Q108" s="114">
        <f t="shared" si="27"/>
        <v>2581730</v>
      </c>
      <c r="R108" s="114">
        <f t="shared" si="27"/>
        <v>2604120</v>
      </c>
      <c r="S108" s="114">
        <f t="shared" si="27"/>
        <v>2628610</v>
      </c>
      <c r="T108" s="114">
        <f t="shared" si="27"/>
        <v>2653170</v>
      </c>
      <c r="U108" s="114">
        <f t="shared" si="27"/>
        <v>2677540</v>
      </c>
      <c r="V108" s="114">
        <f t="shared" si="27"/>
        <v>2701550</v>
      </c>
      <c r="W108" s="114">
        <f t="shared" si="27"/>
        <v>2725370</v>
      </c>
      <c r="X108" s="114">
        <f t="shared" si="27"/>
        <v>2748770</v>
      </c>
      <c r="Y108" s="114">
        <f t="shared" si="27"/>
        <v>2771730</v>
      </c>
      <c r="Z108" s="114">
        <f t="shared" si="27"/>
        <v>2794300</v>
      </c>
      <c r="AA108" s="114">
        <f t="shared" si="27"/>
        <v>2816470</v>
      </c>
      <c r="AB108" s="114">
        <f t="shared" si="27"/>
        <v>2838130</v>
      </c>
      <c r="AC108" s="114">
        <f t="shared" si="27"/>
        <v>2859270</v>
      </c>
      <c r="AD108" s="114">
        <f t="shared" si="27"/>
        <v>2880070</v>
      </c>
      <c r="AE108" s="114">
        <f t="shared" si="27"/>
        <v>2900350</v>
      </c>
      <c r="AF108" s="114">
        <f t="shared" si="27"/>
        <v>2920140</v>
      </c>
      <c r="AG108" s="114">
        <f t="shared" si="27"/>
        <v>2939540</v>
      </c>
      <c r="AH108" s="114">
        <f t="shared" si="27"/>
        <v>2958530</v>
      </c>
      <c r="AI108" s="114">
        <f t="shared" si="27"/>
        <v>2977090</v>
      </c>
      <c r="AJ108" s="114">
        <f t="shared" si="27"/>
        <v>2995340</v>
      </c>
      <c r="AK108" s="114">
        <f t="shared" si="27"/>
        <v>3013110</v>
      </c>
      <c r="AL108" s="114">
        <f t="shared" si="27"/>
        <v>3030460</v>
      </c>
      <c r="AM108" s="114">
        <f t="shared" si="27"/>
        <v>3047430</v>
      </c>
      <c r="AN108" s="114">
        <f t="shared" si="27"/>
        <v>3063860</v>
      </c>
      <c r="AO108" s="114">
        <f t="shared" si="27"/>
        <v>3079880</v>
      </c>
      <c r="AP108" s="114">
        <f t="shared" si="27"/>
        <v>3095410</v>
      </c>
      <c r="AQ108" s="114">
        <f t="shared" si="27"/>
        <v>3110360</v>
      </c>
      <c r="AR108" s="114">
        <f t="shared" si="27"/>
        <v>3124780</v>
      </c>
      <c r="AS108" s="114">
        <f t="shared" si="27"/>
        <v>3138760</v>
      </c>
      <c r="AT108" s="114">
        <f t="shared" si="27"/>
        <v>3152150</v>
      </c>
      <c r="AU108" s="114">
        <f t="shared" si="27"/>
        <v>3165070</v>
      </c>
      <c r="AV108" s="114">
        <f t="shared" si="27"/>
        <v>3177460</v>
      </c>
      <c r="AW108" s="114">
        <f t="shared" si="27"/>
        <v>3189520</v>
      </c>
      <c r="AX108" s="114">
        <f t="shared" si="27"/>
        <v>3201060</v>
      </c>
      <c r="AY108" s="114">
        <f t="shared" si="27"/>
        <v>3212320</v>
      </c>
      <c r="AZ108" s="114">
        <f t="shared" si="27"/>
        <v>3223210</v>
      </c>
      <c r="BA108" s="114">
        <f t="shared" si="27"/>
        <v>3233960</v>
      </c>
      <c r="BB108" s="114">
        <f t="shared" si="27"/>
        <v>3244360</v>
      </c>
      <c r="BC108" s="114">
        <f t="shared" si="27"/>
        <v>3254750</v>
      </c>
      <c r="BD108" s="114">
        <f t="shared" si="27"/>
        <v>3264930</v>
      </c>
      <c r="BE108" s="114">
        <f t="shared" si="27"/>
        <v>3275170</v>
      </c>
      <c r="BF108" s="114">
        <f t="shared" si="27"/>
        <v>3285310</v>
      </c>
      <c r="BG108" s="114">
        <f t="shared" si="27"/>
        <v>3295450</v>
      </c>
      <c r="BH108" s="114">
        <f t="shared" si="27"/>
        <v>3305670</v>
      </c>
      <c r="BI108" s="114">
        <f t="shared" si="27"/>
        <v>3315760</v>
      </c>
      <c r="BJ108" s="114">
        <f t="shared" si="27"/>
        <v>3325950</v>
      </c>
      <c r="BK108" s="114">
        <f t="shared" si="27"/>
        <v>3336220</v>
      </c>
      <c r="BL108" s="114">
        <f t="shared" si="27"/>
        <v>3346510</v>
      </c>
      <c r="BM108" s="200">
        <f t="shared" si="27"/>
        <v>3356730</v>
      </c>
      <c r="BN108" s="200">
        <f t="shared" ref="BN108:BQ108" si="28">SUM(BN$17:BN$107)</f>
        <v>3366910</v>
      </c>
      <c r="BO108" s="200">
        <f t="shared" si="28"/>
        <v>3377020</v>
      </c>
      <c r="BP108" s="200">
        <f t="shared" si="28"/>
        <v>3387090</v>
      </c>
      <c r="BQ108" s="200">
        <f t="shared" si="28"/>
        <v>3396840</v>
      </c>
    </row>
    <row r="109" spans="1:69">
      <c r="A109" s="71" t="s">
        <v>1015</v>
      </c>
    </row>
    <row r="110" spans="1:69">
      <c r="A110" s="28">
        <f>$A$17</f>
        <v>0</v>
      </c>
      <c r="B110" s="111">
        <v>30150</v>
      </c>
      <c r="C110" s="111">
        <v>31900</v>
      </c>
      <c r="D110" s="111">
        <v>33050</v>
      </c>
      <c r="E110" s="111">
        <v>33060</v>
      </c>
      <c r="F110" s="111">
        <v>33020</v>
      </c>
      <c r="G110" s="111">
        <v>32130</v>
      </c>
      <c r="H110" s="111">
        <v>31320</v>
      </c>
      <c r="I110" s="111">
        <v>30890</v>
      </c>
      <c r="J110" s="111">
        <v>30140</v>
      </c>
      <c r="K110" s="111">
        <v>30350</v>
      </c>
      <c r="L110" s="111">
        <v>30610</v>
      </c>
      <c r="M110" s="111">
        <v>30690</v>
      </c>
      <c r="N110" s="111">
        <v>30530</v>
      </c>
      <c r="O110" s="111">
        <v>30740</v>
      </c>
      <c r="P110" s="111">
        <v>30300</v>
      </c>
      <c r="Q110" s="111">
        <v>30200</v>
      </c>
      <c r="R110" s="111">
        <v>30280</v>
      </c>
      <c r="S110" s="111">
        <v>30380</v>
      </c>
      <c r="T110" s="111">
        <v>30290</v>
      </c>
      <c r="U110" s="111">
        <v>30410</v>
      </c>
      <c r="V110" s="111">
        <v>30490</v>
      </c>
      <c r="W110" s="111">
        <v>30540</v>
      </c>
      <c r="X110" s="111">
        <v>30580</v>
      </c>
      <c r="Y110" s="111">
        <v>30610</v>
      </c>
      <c r="Z110" s="111">
        <v>30630</v>
      </c>
      <c r="AA110" s="111">
        <v>30660</v>
      </c>
      <c r="AB110" s="111">
        <v>30690</v>
      </c>
      <c r="AC110" s="111">
        <v>30740</v>
      </c>
      <c r="AD110" s="111">
        <v>30800</v>
      </c>
      <c r="AE110" s="111">
        <v>30890</v>
      </c>
      <c r="AF110" s="111">
        <v>31010</v>
      </c>
      <c r="AG110" s="111">
        <v>31150</v>
      </c>
      <c r="AH110" s="111">
        <v>31300</v>
      </c>
      <c r="AI110" s="111">
        <v>31470</v>
      </c>
      <c r="AJ110" s="111">
        <v>31640</v>
      </c>
      <c r="AK110" s="111">
        <v>31790</v>
      </c>
      <c r="AL110" s="111">
        <v>31920</v>
      </c>
      <c r="AM110" s="111">
        <v>32020</v>
      </c>
      <c r="AN110" s="111">
        <v>32080</v>
      </c>
      <c r="AO110" s="111">
        <v>32110</v>
      </c>
      <c r="AP110" s="111">
        <v>32110</v>
      </c>
      <c r="AQ110" s="111">
        <v>32080</v>
      </c>
      <c r="AR110" s="111">
        <v>32020</v>
      </c>
      <c r="AS110" s="111">
        <v>31940</v>
      </c>
      <c r="AT110" s="111">
        <v>31840</v>
      </c>
      <c r="AU110" s="111">
        <v>31730</v>
      </c>
      <c r="AV110" s="111">
        <v>31630</v>
      </c>
      <c r="AW110" s="111">
        <v>31530</v>
      </c>
      <c r="AX110" s="111">
        <v>31430</v>
      </c>
      <c r="AY110" s="111">
        <v>31360</v>
      </c>
      <c r="AZ110" s="111">
        <v>31300</v>
      </c>
      <c r="BA110" s="111">
        <v>31260</v>
      </c>
      <c r="BB110" s="111">
        <v>31240</v>
      </c>
      <c r="BC110" s="111">
        <v>31230</v>
      </c>
      <c r="BD110" s="111">
        <v>31240</v>
      </c>
      <c r="BE110" s="111">
        <v>31260</v>
      </c>
      <c r="BF110" s="111">
        <v>31300</v>
      </c>
      <c r="BG110" s="111">
        <v>31340</v>
      </c>
      <c r="BH110" s="111">
        <v>31390</v>
      </c>
      <c r="BI110" s="111">
        <v>31450</v>
      </c>
      <c r="BJ110" s="111">
        <v>31510</v>
      </c>
      <c r="BK110" s="111">
        <v>31580</v>
      </c>
      <c r="BL110" s="111">
        <v>31650</v>
      </c>
      <c r="BM110" s="195">
        <v>31710</v>
      </c>
      <c r="BN110" s="195">
        <v>31780</v>
      </c>
      <c r="BO110" s="195">
        <v>31850</v>
      </c>
      <c r="BP110" s="195">
        <v>31910</v>
      </c>
      <c r="BQ110" s="195">
        <v>31960</v>
      </c>
    </row>
    <row r="111" spans="1:69">
      <c r="A111" s="105">
        <f>$A$18</f>
        <v>1</v>
      </c>
      <c r="B111" s="111">
        <v>29380</v>
      </c>
      <c r="C111" s="111">
        <v>30170</v>
      </c>
      <c r="D111" s="111">
        <v>31780</v>
      </c>
      <c r="E111" s="111">
        <v>32980</v>
      </c>
      <c r="F111" s="111">
        <v>33130</v>
      </c>
      <c r="G111" s="111">
        <v>33060</v>
      </c>
      <c r="H111" s="111">
        <v>32050</v>
      </c>
      <c r="I111" s="111">
        <v>31410</v>
      </c>
      <c r="J111" s="111">
        <v>31000</v>
      </c>
      <c r="K111" s="111">
        <v>30380</v>
      </c>
      <c r="L111" s="111">
        <v>30650</v>
      </c>
      <c r="M111" s="111">
        <v>30930</v>
      </c>
      <c r="N111" s="111">
        <v>30900</v>
      </c>
      <c r="O111" s="111">
        <v>30690</v>
      </c>
      <c r="P111" s="111">
        <v>31000</v>
      </c>
      <c r="Q111" s="111">
        <v>30410</v>
      </c>
      <c r="R111" s="111">
        <v>30340</v>
      </c>
      <c r="S111" s="111">
        <v>30430</v>
      </c>
      <c r="T111" s="111">
        <v>30370</v>
      </c>
      <c r="U111" s="111">
        <v>30280</v>
      </c>
      <c r="V111" s="111">
        <v>30400</v>
      </c>
      <c r="W111" s="111">
        <v>30480</v>
      </c>
      <c r="X111" s="111">
        <v>30530</v>
      </c>
      <c r="Y111" s="111">
        <v>30570</v>
      </c>
      <c r="Z111" s="111">
        <v>30600</v>
      </c>
      <c r="AA111" s="111">
        <v>30620</v>
      </c>
      <c r="AB111" s="111">
        <v>30650</v>
      </c>
      <c r="AC111" s="111">
        <v>30680</v>
      </c>
      <c r="AD111" s="111">
        <v>30730</v>
      </c>
      <c r="AE111" s="111">
        <v>30800</v>
      </c>
      <c r="AF111" s="111">
        <v>30890</v>
      </c>
      <c r="AG111" s="111">
        <v>31000</v>
      </c>
      <c r="AH111" s="111">
        <v>31140</v>
      </c>
      <c r="AI111" s="111">
        <v>31300</v>
      </c>
      <c r="AJ111" s="111">
        <v>31470</v>
      </c>
      <c r="AK111" s="111">
        <v>31640</v>
      </c>
      <c r="AL111" s="111">
        <v>31790</v>
      </c>
      <c r="AM111" s="111">
        <v>31910</v>
      </c>
      <c r="AN111" s="111">
        <v>32010</v>
      </c>
      <c r="AO111" s="111">
        <v>32080</v>
      </c>
      <c r="AP111" s="111">
        <v>32110</v>
      </c>
      <c r="AQ111" s="111">
        <v>32110</v>
      </c>
      <c r="AR111" s="111">
        <v>32080</v>
      </c>
      <c r="AS111" s="111">
        <v>32020</v>
      </c>
      <c r="AT111" s="111">
        <v>31940</v>
      </c>
      <c r="AU111" s="111">
        <v>31840</v>
      </c>
      <c r="AV111" s="111">
        <v>31730</v>
      </c>
      <c r="AW111" s="111">
        <v>31630</v>
      </c>
      <c r="AX111" s="111">
        <v>31530</v>
      </c>
      <c r="AY111" s="111">
        <v>31440</v>
      </c>
      <c r="AZ111" s="111">
        <v>31360</v>
      </c>
      <c r="BA111" s="111">
        <v>31300</v>
      </c>
      <c r="BB111" s="111">
        <v>31260</v>
      </c>
      <c r="BC111" s="111">
        <v>31240</v>
      </c>
      <c r="BD111" s="111">
        <v>31240</v>
      </c>
      <c r="BE111" s="111">
        <v>31240</v>
      </c>
      <c r="BF111" s="111">
        <v>31270</v>
      </c>
      <c r="BG111" s="111">
        <v>31300</v>
      </c>
      <c r="BH111" s="111">
        <v>31340</v>
      </c>
      <c r="BI111" s="111">
        <v>31400</v>
      </c>
      <c r="BJ111" s="111">
        <v>31450</v>
      </c>
      <c r="BK111" s="111">
        <v>31520</v>
      </c>
      <c r="BL111" s="111">
        <v>31580</v>
      </c>
      <c r="BM111" s="195">
        <v>31650</v>
      </c>
      <c r="BN111" s="195">
        <v>31720</v>
      </c>
      <c r="BO111" s="195">
        <v>31790</v>
      </c>
      <c r="BP111" s="195">
        <v>31850</v>
      </c>
      <c r="BQ111" s="195">
        <v>31910</v>
      </c>
    </row>
    <row r="112" spans="1:69">
      <c r="A112" s="105">
        <f>$A$19</f>
        <v>2</v>
      </c>
      <c r="B112" s="111">
        <v>29510</v>
      </c>
      <c r="C112" s="111">
        <v>29490</v>
      </c>
      <c r="D112" s="111">
        <v>30170</v>
      </c>
      <c r="E112" s="111">
        <v>31800</v>
      </c>
      <c r="F112" s="111">
        <v>33070</v>
      </c>
      <c r="G112" s="111">
        <v>33070</v>
      </c>
      <c r="H112" s="111">
        <v>32930</v>
      </c>
      <c r="I112" s="111">
        <v>31970</v>
      </c>
      <c r="J112" s="111">
        <v>31670</v>
      </c>
      <c r="K112" s="111">
        <v>31410</v>
      </c>
      <c r="L112" s="111">
        <v>30950</v>
      </c>
      <c r="M112" s="111">
        <v>31290</v>
      </c>
      <c r="N112" s="111">
        <v>31420</v>
      </c>
      <c r="O112" s="111">
        <v>31370</v>
      </c>
      <c r="P112" s="111">
        <v>31180</v>
      </c>
      <c r="Q112" s="111">
        <v>31190</v>
      </c>
      <c r="R112" s="111">
        <v>30640</v>
      </c>
      <c r="S112" s="111">
        <v>30590</v>
      </c>
      <c r="T112" s="111">
        <v>30550</v>
      </c>
      <c r="U112" s="111">
        <v>30490</v>
      </c>
      <c r="V112" s="111">
        <v>30400</v>
      </c>
      <c r="W112" s="111">
        <v>30520</v>
      </c>
      <c r="X112" s="111">
        <v>30600</v>
      </c>
      <c r="Y112" s="111">
        <v>30660</v>
      </c>
      <c r="Z112" s="111">
        <v>30690</v>
      </c>
      <c r="AA112" s="111">
        <v>30720</v>
      </c>
      <c r="AB112" s="111">
        <v>30740</v>
      </c>
      <c r="AC112" s="111">
        <v>30770</v>
      </c>
      <c r="AD112" s="111">
        <v>30810</v>
      </c>
      <c r="AE112" s="111">
        <v>30850</v>
      </c>
      <c r="AF112" s="111">
        <v>30920</v>
      </c>
      <c r="AG112" s="111">
        <v>31010</v>
      </c>
      <c r="AH112" s="111">
        <v>31130</v>
      </c>
      <c r="AI112" s="111">
        <v>31270</v>
      </c>
      <c r="AJ112" s="111">
        <v>31420</v>
      </c>
      <c r="AK112" s="111">
        <v>31590</v>
      </c>
      <c r="AL112" s="111">
        <v>31760</v>
      </c>
      <c r="AM112" s="111">
        <v>31910</v>
      </c>
      <c r="AN112" s="111">
        <v>32040</v>
      </c>
      <c r="AO112" s="111">
        <v>32140</v>
      </c>
      <c r="AP112" s="111">
        <v>32200</v>
      </c>
      <c r="AQ112" s="111">
        <v>32240</v>
      </c>
      <c r="AR112" s="111">
        <v>32240</v>
      </c>
      <c r="AS112" s="111">
        <v>32200</v>
      </c>
      <c r="AT112" s="111">
        <v>32140</v>
      </c>
      <c r="AU112" s="111">
        <v>32060</v>
      </c>
      <c r="AV112" s="111">
        <v>31970</v>
      </c>
      <c r="AW112" s="111">
        <v>31860</v>
      </c>
      <c r="AX112" s="111">
        <v>31750</v>
      </c>
      <c r="AY112" s="111">
        <v>31650</v>
      </c>
      <c r="AZ112" s="111">
        <v>31560</v>
      </c>
      <c r="BA112" s="111">
        <v>31490</v>
      </c>
      <c r="BB112" s="111">
        <v>31430</v>
      </c>
      <c r="BC112" s="111">
        <v>31390</v>
      </c>
      <c r="BD112" s="111">
        <v>31370</v>
      </c>
      <c r="BE112" s="111">
        <v>31360</v>
      </c>
      <c r="BF112" s="111">
        <v>31370</v>
      </c>
      <c r="BG112" s="111">
        <v>31390</v>
      </c>
      <c r="BH112" s="111">
        <v>31430</v>
      </c>
      <c r="BI112" s="111">
        <v>31470</v>
      </c>
      <c r="BJ112" s="111">
        <v>31520</v>
      </c>
      <c r="BK112" s="111">
        <v>31580</v>
      </c>
      <c r="BL112" s="111">
        <v>31640</v>
      </c>
      <c r="BM112" s="195">
        <v>31710</v>
      </c>
      <c r="BN112" s="195">
        <v>31780</v>
      </c>
      <c r="BO112" s="195">
        <v>31850</v>
      </c>
      <c r="BP112" s="195">
        <v>31910</v>
      </c>
      <c r="BQ112" s="195">
        <v>31980</v>
      </c>
    </row>
    <row r="113" spans="1:69">
      <c r="A113" s="105">
        <f>$A$20</f>
        <v>3</v>
      </c>
      <c r="B113" s="111">
        <v>28800</v>
      </c>
      <c r="C113" s="111">
        <v>29680</v>
      </c>
      <c r="D113" s="111">
        <v>29550</v>
      </c>
      <c r="E113" s="111">
        <v>30280</v>
      </c>
      <c r="F113" s="111">
        <v>31860</v>
      </c>
      <c r="G113" s="111">
        <v>32950</v>
      </c>
      <c r="H113" s="111">
        <v>32970</v>
      </c>
      <c r="I113" s="111">
        <v>32960</v>
      </c>
      <c r="J113" s="111">
        <v>32210</v>
      </c>
      <c r="K113" s="111">
        <v>32020</v>
      </c>
      <c r="L113" s="111">
        <v>31980</v>
      </c>
      <c r="M113" s="111">
        <v>31580</v>
      </c>
      <c r="N113" s="111">
        <v>31850</v>
      </c>
      <c r="O113" s="111">
        <v>31910</v>
      </c>
      <c r="P113" s="111">
        <v>32050</v>
      </c>
      <c r="Q113" s="111">
        <v>31380</v>
      </c>
      <c r="R113" s="111">
        <v>31430</v>
      </c>
      <c r="S113" s="111">
        <v>30900</v>
      </c>
      <c r="T113" s="111">
        <v>30720</v>
      </c>
      <c r="U113" s="111">
        <v>30680</v>
      </c>
      <c r="V113" s="111">
        <v>30620</v>
      </c>
      <c r="W113" s="111">
        <v>30530</v>
      </c>
      <c r="X113" s="111">
        <v>30650</v>
      </c>
      <c r="Y113" s="111">
        <v>30730</v>
      </c>
      <c r="Z113" s="111">
        <v>30790</v>
      </c>
      <c r="AA113" s="111">
        <v>30820</v>
      </c>
      <c r="AB113" s="111">
        <v>30850</v>
      </c>
      <c r="AC113" s="111">
        <v>30870</v>
      </c>
      <c r="AD113" s="111">
        <v>30900</v>
      </c>
      <c r="AE113" s="111">
        <v>30940</v>
      </c>
      <c r="AF113" s="111">
        <v>30990</v>
      </c>
      <c r="AG113" s="111">
        <v>31050</v>
      </c>
      <c r="AH113" s="111">
        <v>31140</v>
      </c>
      <c r="AI113" s="111">
        <v>31260</v>
      </c>
      <c r="AJ113" s="111">
        <v>31400</v>
      </c>
      <c r="AK113" s="111">
        <v>31560</v>
      </c>
      <c r="AL113" s="111">
        <v>31720</v>
      </c>
      <c r="AM113" s="111">
        <v>31890</v>
      </c>
      <c r="AN113" s="111">
        <v>32040</v>
      </c>
      <c r="AO113" s="111">
        <v>32170</v>
      </c>
      <c r="AP113" s="111">
        <v>32270</v>
      </c>
      <c r="AQ113" s="111">
        <v>32340</v>
      </c>
      <c r="AR113" s="111">
        <v>32370</v>
      </c>
      <c r="AS113" s="111">
        <v>32370</v>
      </c>
      <c r="AT113" s="111">
        <v>32340</v>
      </c>
      <c r="AU113" s="111">
        <v>32280</v>
      </c>
      <c r="AV113" s="111">
        <v>32190</v>
      </c>
      <c r="AW113" s="111">
        <v>32100</v>
      </c>
      <c r="AX113" s="111">
        <v>31990</v>
      </c>
      <c r="AY113" s="111">
        <v>31890</v>
      </c>
      <c r="AZ113" s="111">
        <v>31790</v>
      </c>
      <c r="BA113" s="111">
        <v>31690</v>
      </c>
      <c r="BB113" s="111">
        <v>31620</v>
      </c>
      <c r="BC113" s="111">
        <v>31560</v>
      </c>
      <c r="BD113" s="111">
        <v>31520</v>
      </c>
      <c r="BE113" s="111">
        <v>31500</v>
      </c>
      <c r="BF113" s="111">
        <v>31500</v>
      </c>
      <c r="BG113" s="111">
        <v>31500</v>
      </c>
      <c r="BH113" s="111">
        <v>31530</v>
      </c>
      <c r="BI113" s="111">
        <v>31560</v>
      </c>
      <c r="BJ113" s="111">
        <v>31610</v>
      </c>
      <c r="BK113" s="111">
        <v>31660</v>
      </c>
      <c r="BL113" s="111">
        <v>31710</v>
      </c>
      <c r="BM113" s="195">
        <v>31780</v>
      </c>
      <c r="BN113" s="195">
        <v>31840</v>
      </c>
      <c r="BO113" s="195">
        <v>31910</v>
      </c>
      <c r="BP113" s="195">
        <v>31980</v>
      </c>
      <c r="BQ113" s="195">
        <v>32050</v>
      </c>
    </row>
    <row r="114" spans="1:69">
      <c r="A114" s="105">
        <f>$A$21</f>
        <v>4</v>
      </c>
      <c r="B114" s="111">
        <v>28370</v>
      </c>
      <c r="C114" s="111">
        <v>28970</v>
      </c>
      <c r="D114" s="111">
        <v>29740</v>
      </c>
      <c r="E114" s="111">
        <v>29670</v>
      </c>
      <c r="F114" s="111">
        <v>30290</v>
      </c>
      <c r="G114" s="111">
        <v>31810</v>
      </c>
      <c r="H114" s="111">
        <v>32820</v>
      </c>
      <c r="I114" s="111">
        <v>32930</v>
      </c>
      <c r="J114" s="111">
        <v>33100</v>
      </c>
      <c r="K114" s="111">
        <v>32540</v>
      </c>
      <c r="L114" s="111">
        <v>32460</v>
      </c>
      <c r="M114" s="111">
        <v>32490</v>
      </c>
      <c r="N114" s="111">
        <v>32120</v>
      </c>
      <c r="O114" s="111">
        <v>32370</v>
      </c>
      <c r="P114" s="111">
        <v>32470</v>
      </c>
      <c r="Q114" s="111">
        <v>32240</v>
      </c>
      <c r="R114" s="111">
        <v>31620</v>
      </c>
      <c r="S114" s="111">
        <v>31700</v>
      </c>
      <c r="T114" s="111">
        <v>31050</v>
      </c>
      <c r="U114" s="111">
        <v>30870</v>
      </c>
      <c r="V114" s="111">
        <v>30830</v>
      </c>
      <c r="W114" s="111">
        <v>30770</v>
      </c>
      <c r="X114" s="111">
        <v>30680</v>
      </c>
      <c r="Y114" s="111">
        <v>30800</v>
      </c>
      <c r="Z114" s="111">
        <v>30880</v>
      </c>
      <c r="AA114" s="111">
        <v>30940</v>
      </c>
      <c r="AB114" s="111">
        <v>30980</v>
      </c>
      <c r="AC114" s="111">
        <v>31000</v>
      </c>
      <c r="AD114" s="111">
        <v>31030</v>
      </c>
      <c r="AE114" s="111">
        <v>31050</v>
      </c>
      <c r="AF114" s="111">
        <v>31090</v>
      </c>
      <c r="AG114" s="111">
        <v>31140</v>
      </c>
      <c r="AH114" s="111">
        <v>31200</v>
      </c>
      <c r="AI114" s="111">
        <v>31300</v>
      </c>
      <c r="AJ114" s="111">
        <v>31410</v>
      </c>
      <c r="AK114" s="111">
        <v>31550</v>
      </c>
      <c r="AL114" s="111">
        <v>31710</v>
      </c>
      <c r="AM114" s="111">
        <v>31880</v>
      </c>
      <c r="AN114" s="111">
        <v>32050</v>
      </c>
      <c r="AO114" s="111">
        <v>32190</v>
      </c>
      <c r="AP114" s="111">
        <v>32320</v>
      </c>
      <c r="AQ114" s="111">
        <v>32420</v>
      </c>
      <c r="AR114" s="111">
        <v>32490</v>
      </c>
      <c r="AS114" s="111">
        <v>32520</v>
      </c>
      <c r="AT114" s="111">
        <v>32520</v>
      </c>
      <c r="AU114" s="111">
        <v>32490</v>
      </c>
      <c r="AV114" s="111">
        <v>32430</v>
      </c>
      <c r="AW114" s="111">
        <v>32350</v>
      </c>
      <c r="AX114" s="111">
        <v>32250</v>
      </c>
      <c r="AY114" s="111">
        <v>32150</v>
      </c>
      <c r="AZ114" s="111">
        <v>32040</v>
      </c>
      <c r="BA114" s="111">
        <v>31940</v>
      </c>
      <c r="BB114" s="111">
        <v>31850</v>
      </c>
      <c r="BC114" s="111">
        <v>31770</v>
      </c>
      <c r="BD114" s="111">
        <v>31720</v>
      </c>
      <c r="BE114" s="111">
        <v>31680</v>
      </c>
      <c r="BF114" s="111">
        <v>31650</v>
      </c>
      <c r="BG114" s="111">
        <v>31650</v>
      </c>
      <c r="BH114" s="111">
        <v>31660</v>
      </c>
      <c r="BI114" s="111">
        <v>31680</v>
      </c>
      <c r="BJ114" s="111">
        <v>31720</v>
      </c>
      <c r="BK114" s="111">
        <v>31760</v>
      </c>
      <c r="BL114" s="111">
        <v>31810</v>
      </c>
      <c r="BM114" s="195">
        <v>31870</v>
      </c>
      <c r="BN114" s="195">
        <v>31930</v>
      </c>
      <c r="BO114" s="195">
        <v>32000</v>
      </c>
      <c r="BP114" s="195">
        <v>32070</v>
      </c>
      <c r="BQ114" s="195">
        <v>32130</v>
      </c>
    </row>
    <row r="115" spans="1:69">
      <c r="A115" s="105">
        <f>$A$22</f>
        <v>5</v>
      </c>
      <c r="B115" s="111">
        <v>29670</v>
      </c>
      <c r="C115" s="111">
        <v>28590</v>
      </c>
      <c r="D115" s="111">
        <v>29100</v>
      </c>
      <c r="E115" s="111">
        <v>29870</v>
      </c>
      <c r="F115" s="111">
        <v>29760</v>
      </c>
      <c r="G115" s="111">
        <v>30240</v>
      </c>
      <c r="H115" s="111">
        <v>31670</v>
      </c>
      <c r="I115" s="111">
        <v>32730</v>
      </c>
      <c r="J115" s="111">
        <v>33050</v>
      </c>
      <c r="K115" s="111">
        <v>33360</v>
      </c>
      <c r="L115" s="111">
        <v>32990</v>
      </c>
      <c r="M115" s="111">
        <v>32950</v>
      </c>
      <c r="N115" s="111">
        <v>32960</v>
      </c>
      <c r="O115" s="111">
        <v>32680</v>
      </c>
      <c r="P115" s="111">
        <v>32950</v>
      </c>
      <c r="Q115" s="111">
        <v>32640</v>
      </c>
      <c r="R115" s="111">
        <v>32460</v>
      </c>
      <c r="S115" s="111">
        <v>31860</v>
      </c>
      <c r="T115" s="111">
        <v>31830</v>
      </c>
      <c r="U115" s="111">
        <v>31190</v>
      </c>
      <c r="V115" s="111">
        <v>31010</v>
      </c>
      <c r="W115" s="111">
        <v>30970</v>
      </c>
      <c r="X115" s="111">
        <v>30910</v>
      </c>
      <c r="Y115" s="111">
        <v>30820</v>
      </c>
      <c r="Z115" s="111">
        <v>30940</v>
      </c>
      <c r="AA115" s="111">
        <v>31020</v>
      </c>
      <c r="AB115" s="111">
        <v>31080</v>
      </c>
      <c r="AC115" s="111">
        <v>31120</v>
      </c>
      <c r="AD115" s="111">
        <v>31140</v>
      </c>
      <c r="AE115" s="111">
        <v>31170</v>
      </c>
      <c r="AF115" s="111">
        <v>31190</v>
      </c>
      <c r="AG115" s="111">
        <v>31230</v>
      </c>
      <c r="AH115" s="111">
        <v>31280</v>
      </c>
      <c r="AI115" s="111">
        <v>31340</v>
      </c>
      <c r="AJ115" s="111">
        <v>31440</v>
      </c>
      <c r="AK115" s="111">
        <v>31550</v>
      </c>
      <c r="AL115" s="111">
        <v>31690</v>
      </c>
      <c r="AM115" s="111">
        <v>31850</v>
      </c>
      <c r="AN115" s="111">
        <v>32020</v>
      </c>
      <c r="AO115" s="111">
        <v>32190</v>
      </c>
      <c r="AP115" s="111">
        <v>32340</v>
      </c>
      <c r="AQ115" s="111">
        <v>32460</v>
      </c>
      <c r="AR115" s="111">
        <v>32560</v>
      </c>
      <c r="AS115" s="111">
        <v>32630</v>
      </c>
      <c r="AT115" s="111">
        <v>32660</v>
      </c>
      <c r="AU115" s="111">
        <v>32660</v>
      </c>
      <c r="AV115" s="111">
        <v>32630</v>
      </c>
      <c r="AW115" s="111">
        <v>32570</v>
      </c>
      <c r="AX115" s="111">
        <v>32490</v>
      </c>
      <c r="AY115" s="111">
        <v>32390</v>
      </c>
      <c r="AZ115" s="111">
        <v>32290</v>
      </c>
      <c r="BA115" s="111">
        <v>32180</v>
      </c>
      <c r="BB115" s="111">
        <v>32080</v>
      </c>
      <c r="BC115" s="111">
        <v>31990</v>
      </c>
      <c r="BD115" s="111">
        <v>31910</v>
      </c>
      <c r="BE115" s="111">
        <v>31860</v>
      </c>
      <c r="BF115" s="111">
        <v>31820</v>
      </c>
      <c r="BG115" s="111">
        <v>31790</v>
      </c>
      <c r="BH115" s="111">
        <v>31790</v>
      </c>
      <c r="BI115" s="111">
        <v>31800</v>
      </c>
      <c r="BJ115" s="111">
        <v>31820</v>
      </c>
      <c r="BK115" s="111">
        <v>31860</v>
      </c>
      <c r="BL115" s="111">
        <v>31900</v>
      </c>
      <c r="BM115" s="195">
        <v>31950</v>
      </c>
      <c r="BN115" s="195">
        <v>32010</v>
      </c>
      <c r="BO115" s="195">
        <v>32070</v>
      </c>
      <c r="BP115" s="195">
        <v>32140</v>
      </c>
      <c r="BQ115" s="195">
        <v>32210</v>
      </c>
    </row>
    <row r="116" spans="1:69">
      <c r="A116" s="105">
        <f>$A$23</f>
        <v>6</v>
      </c>
      <c r="B116" s="111">
        <v>30280</v>
      </c>
      <c r="C116" s="111">
        <v>29980</v>
      </c>
      <c r="D116" s="111">
        <v>28760</v>
      </c>
      <c r="E116" s="111">
        <v>29210</v>
      </c>
      <c r="F116" s="111">
        <v>29950</v>
      </c>
      <c r="G116" s="111">
        <v>29730</v>
      </c>
      <c r="H116" s="111">
        <v>30080</v>
      </c>
      <c r="I116" s="111">
        <v>31520</v>
      </c>
      <c r="J116" s="111">
        <v>32860</v>
      </c>
      <c r="K116" s="111">
        <v>33280</v>
      </c>
      <c r="L116" s="111">
        <v>33630</v>
      </c>
      <c r="M116" s="111">
        <v>33450</v>
      </c>
      <c r="N116" s="111">
        <v>33340</v>
      </c>
      <c r="O116" s="111">
        <v>33320</v>
      </c>
      <c r="P116" s="111">
        <v>33200</v>
      </c>
      <c r="Q116" s="111">
        <v>33110</v>
      </c>
      <c r="R116" s="111">
        <v>32850</v>
      </c>
      <c r="S116" s="111">
        <v>32700</v>
      </c>
      <c r="T116" s="111">
        <v>32000</v>
      </c>
      <c r="U116" s="111">
        <v>31970</v>
      </c>
      <c r="V116" s="111">
        <v>31320</v>
      </c>
      <c r="W116" s="111">
        <v>31140</v>
      </c>
      <c r="X116" s="111">
        <v>31100</v>
      </c>
      <c r="Y116" s="111">
        <v>31040</v>
      </c>
      <c r="Z116" s="111">
        <v>30950</v>
      </c>
      <c r="AA116" s="111">
        <v>31070</v>
      </c>
      <c r="AB116" s="111">
        <v>31160</v>
      </c>
      <c r="AC116" s="111">
        <v>31210</v>
      </c>
      <c r="AD116" s="111">
        <v>31250</v>
      </c>
      <c r="AE116" s="111">
        <v>31270</v>
      </c>
      <c r="AF116" s="111">
        <v>31300</v>
      </c>
      <c r="AG116" s="111">
        <v>31330</v>
      </c>
      <c r="AH116" s="111">
        <v>31360</v>
      </c>
      <c r="AI116" s="111">
        <v>31410</v>
      </c>
      <c r="AJ116" s="111">
        <v>31480</v>
      </c>
      <c r="AK116" s="111">
        <v>31570</v>
      </c>
      <c r="AL116" s="111">
        <v>31680</v>
      </c>
      <c r="AM116" s="111">
        <v>31820</v>
      </c>
      <c r="AN116" s="111">
        <v>31980</v>
      </c>
      <c r="AO116" s="111">
        <v>32150</v>
      </c>
      <c r="AP116" s="111">
        <v>32320</v>
      </c>
      <c r="AQ116" s="111">
        <v>32470</v>
      </c>
      <c r="AR116" s="111">
        <v>32600</v>
      </c>
      <c r="AS116" s="111">
        <v>32700</v>
      </c>
      <c r="AT116" s="111">
        <v>32760</v>
      </c>
      <c r="AU116" s="111">
        <v>32790</v>
      </c>
      <c r="AV116" s="111">
        <v>32790</v>
      </c>
      <c r="AW116" s="111">
        <v>32760</v>
      </c>
      <c r="AX116" s="111">
        <v>32700</v>
      </c>
      <c r="AY116" s="111">
        <v>32620</v>
      </c>
      <c r="AZ116" s="111">
        <v>32520</v>
      </c>
      <c r="BA116" s="111">
        <v>32420</v>
      </c>
      <c r="BB116" s="111">
        <v>32310</v>
      </c>
      <c r="BC116" s="111">
        <v>32210</v>
      </c>
      <c r="BD116" s="111">
        <v>32120</v>
      </c>
      <c r="BE116" s="111">
        <v>32050</v>
      </c>
      <c r="BF116" s="111">
        <v>31990</v>
      </c>
      <c r="BG116" s="111">
        <v>31950</v>
      </c>
      <c r="BH116" s="111">
        <v>31930</v>
      </c>
      <c r="BI116" s="111">
        <v>31920</v>
      </c>
      <c r="BJ116" s="111">
        <v>31930</v>
      </c>
      <c r="BK116" s="111">
        <v>31960</v>
      </c>
      <c r="BL116" s="111">
        <v>31990</v>
      </c>
      <c r="BM116" s="195">
        <v>32030</v>
      </c>
      <c r="BN116" s="195">
        <v>32090</v>
      </c>
      <c r="BO116" s="195">
        <v>32140</v>
      </c>
      <c r="BP116" s="195">
        <v>32210</v>
      </c>
      <c r="BQ116" s="195">
        <v>32270</v>
      </c>
    </row>
    <row r="117" spans="1:69">
      <c r="A117" s="105">
        <f>$A$24</f>
        <v>7</v>
      </c>
      <c r="B117" s="111">
        <v>29500</v>
      </c>
      <c r="C117" s="111">
        <v>30570</v>
      </c>
      <c r="D117" s="111">
        <v>30180</v>
      </c>
      <c r="E117" s="111">
        <v>28890</v>
      </c>
      <c r="F117" s="111">
        <v>29340</v>
      </c>
      <c r="G117" s="111">
        <v>29910</v>
      </c>
      <c r="H117" s="111">
        <v>29610</v>
      </c>
      <c r="I117" s="111">
        <v>29960</v>
      </c>
      <c r="J117" s="111">
        <v>31660</v>
      </c>
      <c r="K117" s="111">
        <v>33060</v>
      </c>
      <c r="L117" s="111">
        <v>33520</v>
      </c>
      <c r="M117" s="111">
        <v>33970</v>
      </c>
      <c r="N117" s="111">
        <v>33780</v>
      </c>
      <c r="O117" s="111">
        <v>33740</v>
      </c>
      <c r="P117" s="111">
        <v>33730</v>
      </c>
      <c r="Q117" s="111">
        <v>33350</v>
      </c>
      <c r="R117" s="111">
        <v>33310</v>
      </c>
      <c r="S117" s="111">
        <v>33080</v>
      </c>
      <c r="T117" s="111">
        <v>32840</v>
      </c>
      <c r="U117" s="111">
        <v>32140</v>
      </c>
      <c r="V117" s="111">
        <v>32100</v>
      </c>
      <c r="W117" s="111">
        <v>31460</v>
      </c>
      <c r="X117" s="111">
        <v>31280</v>
      </c>
      <c r="Y117" s="111">
        <v>31240</v>
      </c>
      <c r="Z117" s="111">
        <v>31180</v>
      </c>
      <c r="AA117" s="111">
        <v>31090</v>
      </c>
      <c r="AB117" s="111">
        <v>31210</v>
      </c>
      <c r="AC117" s="111">
        <v>31300</v>
      </c>
      <c r="AD117" s="111">
        <v>31350</v>
      </c>
      <c r="AE117" s="111">
        <v>31390</v>
      </c>
      <c r="AF117" s="111">
        <v>31410</v>
      </c>
      <c r="AG117" s="111">
        <v>31440</v>
      </c>
      <c r="AH117" s="111">
        <v>31470</v>
      </c>
      <c r="AI117" s="111">
        <v>31500</v>
      </c>
      <c r="AJ117" s="111">
        <v>31550</v>
      </c>
      <c r="AK117" s="111">
        <v>31620</v>
      </c>
      <c r="AL117" s="111">
        <v>31710</v>
      </c>
      <c r="AM117" s="111">
        <v>31820</v>
      </c>
      <c r="AN117" s="111">
        <v>31960</v>
      </c>
      <c r="AO117" s="111">
        <v>32120</v>
      </c>
      <c r="AP117" s="111">
        <v>32290</v>
      </c>
      <c r="AQ117" s="111">
        <v>32460</v>
      </c>
      <c r="AR117" s="111">
        <v>32610</v>
      </c>
      <c r="AS117" s="111">
        <v>32740</v>
      </c>
      <c r="AT117" s="111">
        <v>32840</v>
      </c>
      <c r="AU117" s="111">
        <v>32900</v>
      </c>
      <c r="AV117" s="111">
        <v>32940</v>
      </c>
      <c r="AW117" s="111">
        <v>32930</v>
      </c>
      <c r="AX117" s="111">
        <v>32900</v>
      </c>
      <c r="AY117" s="111">
        <v>32840</v>
      </c>
      <c r="AZ117" s="111">
        <v>32760</v>
      </c>
      <c r="BA117" s="111">
        <v>32660</v>
      </c>
      <c r="BB117" s="111">
        <v>32560</v>
      </c>
      <c r="BC117" s="111">
        <v>32450</v>
      </c>
      <c r="BD117" s="111">
        <v>32350</v>
      </c>
      <c r="BE117" s="111">
        <v>32260</v>
      </c>
      <c r="BF117" s="111">
        <v>32190</v>
      </c>
      <c r="BG117" s="111">
        <v>32130</v>
      </c>
      <c r="BH117" s="111">
        <v>32090</v>
      </c>
      <c r="BI117" s="111">
        <v>32070</v>
      </c>
      <c r="BJ117" s="111">
        <v>32060</v>
      </c>
      <c r="BK117" s="111">
        <v>32070</v>
      </c>
      <c r="BL117" s="111">
        <v>32100</v>
      </c>
      <c r="BM117" s="195">
        <v>32130</v>
      </c>
      <c r="BN117" s="195">
        <v>32170</v>
      </c>
      <c r="BO117" s="195">
        <v>32230</v>
      </c>
      <c r="BP117" s="195">
        <v>32280</v>
      </c>
      <c r="BQ117" s="195">
        <v>32350</v>
      </c>
    </row>
    <row r="118" spans="1:69">
      <c r="A118" s="105">
        <f>$A$25</f>
        <v>8</v>
      </c>
      <c r="B118" s="111">
        <v>29960</v>
      </c>
      <c r="C118" s="111">
        <v>29810</v>
      </c>
      <c r="D118" s="111">
        <v>30860</v>
      </c>
      <c r="E118" s="111">
        <v>30370</v>
      </c>
      <c r="F118" s="111">
        <v>29120</v>
      </c>
      <c r="G118" s="111">
        <v>29410</v>
      </c>
      <c r="H118" s="111">
        <v>29840</v>
      </c>
      <c r="I118" s="111">
        <v>29550</v>
      </c>
      <c r="J118" s="111">
        <v>30110</v>
      </c>
      <c r="K118" s="111">
        <v>31880</v>
      </c>
      <c r="L118" s="111">
        <v>33360</v>
      </c>
      <c r="M118" s="111">
        <v>33860</v>
      </c>
      <c r="N118" s="111">
        <v>34200</v>
      </c>
      <c r="O118" s="111">
        <v>34170</v>
      </c>
      <c r="P118" s="111">
        <v>34200</v>
      </c>
      <c r="Q118" s="111">
        <v>33870</v>
      </c>
      <c r="R118" s="111">
        <v>33540</v>
      </c>
      <c r="S118" s="111">
        <v>33530</v>
      </c>
      <c r="T118" s="111">
        <v>33220</v>
      </c>
      <c r="U118" s="111">
        <v>32980</v>
      </c>
      <c r="V118" s="111">
        <v>32280</v>
      </c>
      <c r="W118" s="111">
        <v>32250</v>
      </c>
      <c r="X118" s="111">
        <v>31610</v>
      </c>
      <c r="Y118" s="111">
        <v>31420</v>
      </c>
      <c r="Z118" s="111">
        <v>31390</v>
      </c>
      <c r="AA118" s="111">
        <v>31330</v>
      </c>
      <c r="AB118" s="111">
        <v>31240</v>
      </c>
      <c r="AC118" s="111">
        <v>31360</v>
      </c>
      <c r="AD118" s="111">
        <v>31440</v>
      </c>
      <c r="AE118" s="111">
        <v>31500</v>
      </c>
      <c r="AF118" s="111">
        <v>31530</v>
      </c>
      <c r="AG118" s="111">
        <v>31560</v>
      </c>
      <c r="AH118" s="111">
        <v>31580</v>
      </c>
      <c r="AI118" s="111">
        <v>31610</v>
      </c>
      <c r="AJ118" s="111">
        <v>31650</v>
      </c>
      <c r="AK118" s="111">
        <v>31700</v>
      </c>
      <c r="AL118" s="111">
        <v>31760</v>
      </c>
      <c r="AM118" s="111">
        <v>31850</v>
      </c>
      <c r="AN118" s="111">
        <v>31970</v>
      </c>
      <c r="AO118" s="111">
        <v>32110</v>
      </c>
      <c r="AP118" s="111">
        <v>32270</v>
      </c>
      <c r="AQ118" s="111">
        <v>32440</v>
      </c>
      <c r="AR118" s="111">
        <v>32610</v>
      </c>
      <c r="AS118" s="111">
        <v>32750</v>
      </c>
      <c r="AT118" s="111">
        <v>32880</v>
      </c>
      <c r="AU118" s="111">
        <v>32980</v>
      </c>
      <c r="AV118" s="111">
        <v>33050</v>
      </c>
      <c r="AW118" s="111">
        <v>33080</v>
      </c>
      <c r="AX118" s="111">
        <v>33080</v>
      </c>
      <c r="AY118" s="111">
        <v>33050</v>
      </c>
      <c r="AZ118" s="111">
        <v>32990</v>
      </c>
      <c r="BA118" s="111">
        <v>32910</v>
      </c>
      <c r="BB118" s="111">
        <v>32810</v>
      </c>
      <c r="BC118" s="111">
        <v>32710</v>
      </c>
      <c r="BD118" s="111">
        <v>32600</v>
      </c>
      <c r="BE118" s="111">
        <v>32500</v>
      </c>
      <c r="BF118" s="111">
        <v>32410</v>
      </c>
      <c r="BG118" s="111">
        <v>32330</v>
      </c>
      <c r="BH118" s="111">
        <v>32280</v>
      </c>
      <c r="BI118" s="111">
        <v>32240</v>
      </c>
      <c r="BJ118" s="111">
        <v>32220</v>
      </c>
      <c r="BK118" s="111">
        <v>32210</v>
      </c>
      <c r="BL118" s="111">
        <v>32220</v>
      </c>
      <c r="BM118" s="195">
        <v>32240</v>
      </c>
      <c r="BN118" s="195">
        <v>32280</v>
      </c>
      <c r="BO118" s="195">
        <v>32320</v>
      </c>
      <c r="BP118" s="195">
        <v>32370</v>
      </c>
      <c r="BQ118" s="195">
        <v>32430</v>
      </c>
    </row>
    <row r="119" spans="1:69">
      <c r="A119" s="105">
        <f>$A$26</f>
        <v>9</v>
      </c>
      <c r="B119" s="111">
        <v>29820</v>
      </c>
      <c r="C119" s="111">
        <v>30270</v>
      </c>
      <c r="D119" s="111">
        <v>30090</v>
      </c>
      <c r="E119" s="111">
        <v>31080</v>
      </c>
      <c r="F119" s="111">
        <v>30610</v>
      </c>
      <c r="G119" s="111">
        <v>29220</v>
      </c>
      <c r="H119" s="111">
        <v>29330</v>
      </c>
      <c r="I119" s="111">
        <v>29810</v>
      </c>
      <c r="J119" s="111">
        <v>29690</v>
      </c>
      <c r="K119" s="111">
        <v>30350</v>
      </c>
      <c r="L119" s="111">
        <v>32240</v>
      </c>
      <c r="M119" s="111">
        <v>33630</v>
      </c>
      <c r="N119" s="111">
        <v>34150</v>
      </c>
      <c r="O119" s="111">
        <v>34600</v>
      </c>
      <c r="P119" s="111">
        <v>34570</v>
      </c>
      <c r="Q119" s="111">
        <v>34340</v>
      </c>
      <c r="R119" s="111">
        <v>34070</v>
      </c>
      <c r="S119" s="111">
        <v>33770</v>
      </c>
      <c r="T119" s="111">
        <v>33690</v>
      </c>
      <c r="U119" s="111">
        <v>33380</v>
      </c>
      <c r="V119" s="111">
        <v>33140</v>
      </c>
      <c r="W119" s="111">
        <v>32440</v>
      </c>
      <c r="X119" s="111">
        <v>32410</v>
      </c>
      <c r="Y119" s="111">
        <v>31770</v>
      </c>
      <c r="Z119" s="111">
        <v>31580</v>
      </c>
      <c r="AA119" s="111">
        <v>31550</v>
      </c>
      <c r="AB119" s="111">
        <v>31480</v>
      </c>
      <c r="AC119" s="111">
        <v>31390</v>
      </c>
      <c r="AD119" s="111">
        <v>31520</v>
      </c>
      <c r="AE119" s="111">
        <v>31600</v>
      </c>
      <c r="AF119" s="111">
        <v>31660</v>
      </c>
      <c r="AG119" s="111">
        <v>31690</v>
      </c>
      <c r="AH119" s="111">
        <v>31720</v>
      </c>
      <c r="AI119" s="111">
        <v>31740</v>
      </c>
      <c r="AJ119" s="111">
        <v>31770</v>
      </c>
      <c r="AK119" s="111">
        <v>31810</v>
      </c>
      <c r="AL119" s="111">
        <v>31850</v>
      </c>
      <c r="AM119" s="111">
        <v>31920</v>
      </c>
      <c r="AN119" s="111">
        <v>32010</v>
      </c>
      <c r="AO119" s="111">
        <v>32130</v>
      </c>
      <c r="AP119" s="111">
        <v>32270</v>
      </c>
      <c r="AQ119" s="111">
        <v>32430</v>
      </c>
      <c r="AR119" s="111">
        <v>32600</v>
      </c>
      <c r="AS119" s="111">
        <v>32760</v>
      </c>
      <c r="AT119" s="111">
        <v>32910</v>
      </c>
      <c r="AU119" s="111">
        <v>33040</v>
      </c>
      <c r="AV119" s="111">
        <v>33140</v>
      </c>
      <c r="AW119" s="111">
        <v>33210</v>
      </c>
      <c r="AX119" s="111">
        <v>33240</v>
      </c>
      <c r="AY119" s="111">
        <v>33240</v>
      </c>
      <c r="AZ119" s="111">
        <v>33210</v>
      </c>
      <c r="BA119" s="111">
        <v>33150</v>
      </c>
      <c r="BB119" s="111">
        <v>33070</v>
      </c>
      <c r="BC119" s="111">
        <v>32970</v>
      </c>
      <c r="BD119" s="111">
        <v>32870</v>
      </c>
      <c r="BE119" s="111">
        <v>32760</v>
      </c>
      <c r="BF119" s="111">
        <v>32660</v>
      </c>
      <c r="BG119" s="111">
        <v>32570</v>
      </c>
      <c r="BH119" s="111">
        <v>32490</v>
      </c>
      <c r="BI119" s="111">
        <v>32440</v>
      </c>
      <c r="BJ119" s="111">
        <v>32400</v>
      </c>
      <c r="BK119" s="111">
        <v>32380</v>
      </c>
      <c r="BL119" s="111">
        <v>32370</v>
      </c>
      <c r="BM119" s="195">
        <v>32380</v>
      </c>
      <c r="BN119" s="195">
        <v>32400</v>
      </c>
      <c r="BO119" s="195">
        <v>32440</v>
      </c>
      <c r="BP119" s="195">
        <v>32480</v>
      </c>
      <c r="BQ119" s="195">
        <v>32530</v>
      </c>
    </row>
    <row r="120" spans="1:69">
      <c r="A120" s="105">
        <f>$A$27</f>
        <v>10</v>
      </c>
      <c r="B120" s="111">
        <v>31100</v>
      </c>
      <c r="C120" s="111">
        <v>30190</v>
      </c>
      <c r="D120" s="111">
        <v>30480</v>
      </c>
      <c r="E120" s="111">
        <v>30320</v>
      </c>
      <c r="F120" s="111">
        <v>31360</v>
      </c>
      <c r="G120" s="111">
        <v>30720</v>
      </c>
      <c r="H120" s="111">
        <v>29220</v>
      </c>
      <c r="I120" s="111">
        <v>29330</v>
      </c>
      <c r="J120" s="111">
        <v>29950</v>
      </c>
      <c r="K120" s="111">
        <v>29970</v>
      </c>
      <c r="L120" s="111">
        <v>30710</v>
      </c>
      <c r="M120" s="111">
        <v>32680</v>
      </c>
      <c r="N120" s="111">
        <v>33930</v>
      </c>
      <c r="O120" s="111">
        <v>34520</v>
      </c>
      <c r="P120" s="111">
        <v>35090</v>
      </c>
      <c r="Q120" s="111">
        <v>34700</v>
      </c>
      <c r="R120" s="111">
        <v>34540</v>
      </c>
      <c r="S120" s="111">
        <v>34290</v>
      </c>
      <c r="T120" s="111">
        <v>33930</v>
      </c>
      <c r="U120" s="111">
        <v>33860</v>
      </c>
      <c r="V120" s="111">
        <v>33550</v>
      </c>
      <c r="W120" s="111">
        <v>33310</v>
      </c>
      <c r="X120" s="111">
        <v>32610</v>
      </c>
      <c r="Y120" s="111">
        <v>32570</v>
      </c>
      <c r="Z120" s="111">
        <v>31930</v>
      </c>
      <c r="AA120" s="111">
        <v>31750</v>
      </c>
      <c r="AB120" s="111">
        <v>31710</v>
      </c>
      <c r="AC120" s="111">
        <v>31650</v>
      </c>
      <c r="AD120" s="111">
        <v>31560</v>
      </c>
      <c r="AE120" s="111">
        <v>31680</v>
      </c>
      <c r="AF120" s="111">
        <v>31770</v>
      </c>
      <c r="AG120" s="111">
        <v>31820</v>
      </c>
      <c r="AH120" s="111">
        <v>31860</v>
      </c>
      <c r="AI120" s="111">
        <v>31890</v>
      </c>
      <c r="AJ120" s="111">
        <v>31910</v>
      </c>
      <c r="AK120" s="111">
        <v>31940</v>
      </c>
      <c r="AL120" s="111">
        <v>31970</v>
      </c>
      <c r="AM120" s="111">
        <v>32020</v>
      </c>
      <c r="AN120" s="111">
        <v>32090</v>
      </c>
      <c r="AO120" s="111">
        <v>32180</v>
      </c>
      <c r="AP120" s="111">
        <v>32300</v>
      </c>
      <c r="AQ120" s="111">
        <v>32440</v>
      </c>
      <c r="AR120" s="111">
        <v>32590</v>
      </c>
      <c r="AS120" s="111">
        <v>32760</v>
      </c>
      <c r="AT120" s="111">
        <v>32930</v>
      </c>
      <c r="AU120" s="111">
        <v>33080</v>
      </c>
      <c r="AV120" s="111">
        <v>33210</v>
      </c>
      <c r="AW120" s="111">
        <v>33310</v>
      </c>
      <c r="AX120" s="111">
        <v>33380</v>
      </c>
      <c r="AY120" s="111">
        <v>33410</v>
      </c>
      <c r="AZ120" s="111">
        <v>33410</v>
      </c>
      <c r="BA120" s="111">
        <v>33380</v>
      </c>
      <c r="BB120" s="111">
        <v>33320</v>
      </c>
      <c r="BC120" s="111">
        <v>33240</v>
      </c>
      <c r="BD120" s="111">
        <v>33140</v>
      </c>
      <c r="BE120" s="111">
        <v>33030</v>
      </c>
      <c r="BF120" s="111">
        <v>32930</v>
      </c>
      <c r="BG120" s="111">
        <v>32830</v>
      </c>
      <c r="BH120" s="111">
        <v>32740</v>
      </c>
      <c r="BI120" s="111">
        <v>32660</v>
      </c>
      <c r="BJ120" s="111">
        <v>32610</v>
      </c>
      <c r="BK120" s="111">
        <v>32570</v>
      </c>
      <c r="BL120" s="111">
        <v>32540</v>
      </c>
      <c r="BM120" s="195">
        <v>32540</v>
      </c>
      <c r="BN120" s="195">
        <v>32550</v>
      </c>
      <c r="BO120" s="195">
        <v>32570</v>
      </c>
      <c r="BP120" s="195">
        <v>32610</v>
      </c>
      <c r="BQ120" s="195">
        <v>32650</v>
      </c>
    </row>
    <row r="121" spans="1:69">
      <c r="A121" s="105">
        <f>$A$28</f>
        <v>11</v>
      </c>
      <c r="B121" s="111">
        <v>31570</v>
      </c>
      <c r="C121" s="111">
        <v>31310</v>
      </c>
      <c r="D121" s="111">
        <v>30420</v>
      </c>
      <c r="E121" s="111">
        <v>30690</v>
      </c>
      <c r="F121" s="111">
        <v>30620</v>
      </c>
      <c r="G121" s="111">
        <v>31500</v>
      </c>
      <c r="H121" s="111">
        <v>30790</v>
      </c>
      <c r="I121" s="111">
        <v>29240</v>
      </c>
      <c r="J121" s="111">
        <v>29600</v>
      </c>
      <c r="K121" s="111">
        <v>30160</v>
      </c>
      <c r="L121" s="111">
        <v>30300</v>
      </c>
      <c r="M121" s="111">
        <v>31150</v>
      </c>
      <c r="N121" s="111">
        <v>33010</v>
      </c>
      <c r="O121" s="111">
        <v>34230</v>
      </c>
      <c r="P121" s="111">
        <v>34860</v>
      </c>
      <c r="Q121" s="111">
        <v>35220</v>
      </c>
      <c r="R121" s="111">
        <v>34890</v>
      </c>
      <c r="S121" s="111">
        <v>34750</v>
      </c>
      <c r="T121" s="111">
        <v>34460</v>
      </c>
      <c r="U121" s="111">
        <v>34100</v>
      </c>
      <c r="V121" s="111">
        <v>34030</v>
      </c>
      <c r="W121" s="111">
        <v>33720</v>
      </c>
      <c r="X121" s="111">
        <v>33480</v>
      </c>
      <c r="Y121" s="111">
        <v>32780</v>
      </c>
      <c r="Z121" s="111">
        <v>32750</v>
      </c>
      <c r="AA121" s="111">
        <v>32110</v>
      </c>
      <c r="AB121" s="111">
        <v>31920</v>
      </c>
      <c r="AC121" s="111">
        <v>31880</v>
      </c>
      <c r="AD121" s="111">
        <v>31820</v>
      </c>
      <c r="AE121" s="111">
        <v>31730</v>
      </c>
      <c r="AF121" s="111">
        <v>31850</v>
      </c>
      <c r="AG121" s="111">
        <v>31940</v>
      </c>
      <c r="AH121" s="111">
        <v>31990</v>
      </c>
      <c r="AI121" s="111">
        <v>32030</v>
      </c>
      <c r="AJ121" s="111">
        <v>32060</v>
      </c>
      <c r="AK121" s="111">
        <v>32080</v>
      </c>
      <c r="AL121" s="111">
        <v>32110</v>
      </c>
      <c r="AM121" s="111">
        <v>32150</v>
      </c>
      <c r="AN121" s="111">
        <v>32190</v>
      </c>
      <c r="AO121" s="111">
        <v>32260</v>
      </c>
      <c r="AP121" s="111">
        <v>32350</v>
      </c>
      <c r="AQ121" s="111">
        <v>32470</v>
      </c>
      <c r="AR121" s="111">
        <v>32610</v>
      </c>
      <c r="AS121" s="111">
        <v>32770</v>
      </c>
      <c r="AT121" s="111">
        <v>32930</v>
      </c>
      <c r="AU121" s="111">
        <v>33100</v>
      </c>
      <c r="AV121" s="111">
        <v>33250</v>
      </c>
      <c r="AW121" s="111">
        <v>33380</v>
      </c>
      <c r="AX121" s="111">
        <v>33480</v>
      </c>
      <c r="AY121" s="111">
        <v>33550</v>
      </c>
      <c r="AZ121" s="111">
        <v>33580</v>
      </c>
      <c r="BA121" s="111">
        <v>33580</v>
      </c>
      <c r="BB121" s="111">
        <v>33550</v>
      </c>
      <c r="BC121" s="111">
        <v>33490</v>
      </c>
      <c r="BD121" s="111">
        <v>33410</v>
      </c>
      <c r="BE121" s="111">
        <v>33310</v>
      </c>
      <c r="BF121" s="111">
        <v>33210</v>
      </c>
      <c r="BG121" s="111">
        <v>33100</v>
      </c>
      <c r="BH121" s="111">
        <v>33000</v>
      </c>
      <c r="BI121" s="111">
        <v>32910</v>
      </c>
      <c r="BJ121" s="111">
        <v>32830</v>
      </c>
      <c r="BK121" s="111">
        <v>32780</v>
      </c>
      <c r="BL121" s="111">
        <v>32740</v>
      </c>
      <c r="BM121" s="195">
        <v>32720</v>
      </c>
      <c r="BN121" s="195">
        <v>32710</v>
      </c>
      <c r="BO121" s="195">
        <v>32720</v>
      </c>
      <c r="BP121" s="195">
        <v>32740</v>
      </c>
      <c r="BQ121" s="195">
        <v>32780</v>
      </c>
    </row>
    <row r="122" spans="1:69">
      <c r="A122" s="105">
        <f>$A$29</f>
        <v>12</v>
      </c>
      <c r="B122" s="111">
        <v>31640</v>
      </c>
      <c r="C122" s="111">
        <v>31640</v>
      </c>
      <c r="D122" s="111">
        <v>31450</v>
      </c>
      <c r="E122" s="111">
        <v>30620</v>
      </c>
      <c r="F122" s="111">
        <v>30980</v>
      </c>
      <c r="G122" s="111">
        <v>30730</v>
      </c>
      <c r="H122" s="111">
        <v>31640</v>
      </c>
      <c r="I122" s="111">
        <v>30870</v>
      </c>
      <c r="J122" s="111">
        <v>29480</v>
      </c>
      <c r="K122" s="111">
        <v>29980</v>
      </c>
      <c r="L122" s="111">
        <v>30450</v>
      </c>
      <c r="M122" s="111">
        <v>30700</v>
      </c>
      <c r="N122" s="111">
        <v>31540</v>
      </c>
      <c r="O122" s="111">
        <v>33450</v>
      </c>
      <c r="P122" s="111">
        <v>34620</v>
      </c>
      <c r="Q122" s="111">
        <v>34990</v>
      </c>
      <c r="R122" s="111">
        <v>35400</v>
      </c>
      <c r="S122" s="111">
        <v>35100</v>
      </c>
      <c r="T122" s="111">
        <v>34940</v>
      </c>
      <c r="U122" s="111">
        <v>34640</v>
      </c>
      <c r="V122" s="111">
        <v>34290</v>
      </c>
      <c r="W122" s="111">
        <v>34210</v>
      </c>
      <c r="X122" s="111">
        <v>33900</v>
      </c>
      <c r="Y122" s="111">
        <v>33660</v>
      </c>
      <c r="Z122" s="111">
        <v>32960</v>
      </c>
      <c r="AA122" s="111">
        <v>32930</v>
      </c>
      <c r="AB122" s="111">
        <v>32290</v>
      </c>
      <c r="AC122" s="111">
        <v>32110</v>
      </c>
      <c r="AD122" s="111">
        <v>32070</v>
      </c>
      <c r="AE122" s="111">
        <v>32010</v>
      </c>
      <c r="AF122" s="111">
        <v>31920</v>
      </c>
      <c r="AG122" s="111">
        <v>32040</v>
      </c>
      <c r="AH122" s="111">
        <v>32120</v>
      </c>
      <c r="AI122" s="111">
        <v>32180</v>
      </c>
      <c r="AJ122" s="111">
        <v>32220</v>
      </c>
      <c r="AK122" s="111">
        <v>32240</v>
      </c>
      <c r="AL122" s="111">
        <v>32270</v>
      </c>
      <c r="AM122" s="111">
        <v>32290</v>
      </c>
      <c r="AN122" s="111">
        <v>32330</v>
      </c>
      <c r="AO122" s="111">
        <v>32380</v>
      </c>
      <c r="AP122" s="111">
        <v>32450</v>
      </c>
      <c r="AQ122" s="111">
        <v>32540</v>
      </c>
      <c r="AR122" s="111">
        <v>32650</v>
      </c>
      <c r="AS122" s="111">
        <v>32790</v>
      </c>
      <c r="AT122" s="111">
        <v>32950</v>
      </c>
      <c r="AU122" s="111">
        <v>33120</v>
      </c>
      <c r="AV122" s="111">
        <v>33290</v>
      </c>
      <c r="AW122" s="111">
        <v>33440</v>
      </c>
      <c r="AX122" s="111">
        <v>33570</v>
      </c>
      <c r="AY122" s="111">
        <v>33670</v>
      </c>
      <c r="AZ122" s="111">
        <v>33730</v>
      </c>
      <c r="BA122" s="111">
        <v>33770</v>
      </c>
      <c r="BB122" s="111">
        <v>33770</v>
      </c>
      <c r="BC122" s="111">
        <v>33730</v>
      </c>
      <c r="BD122" s="111">
        <v>33680</v>
      </c>
      <c r="BE122" s="111">
        <v>33590</v>
      </c>
      <c r="BF122" s="111">
        <v>33500</v>
      </c>
      <c r="BG122" s="111">
        <v>33390</v>
      </c>
      <c r="BH122" s="111">
        <v>33290</v>
      </c>
      <c r="BI122" s="111">
        <v>33190</v>
      </c>
      <c r="BJ122" s="111">
        <v>33100</v>
      </c>
      <c r="BK122" s="111">
        <v>33020</v>
      </c>
      <c r="BL122" s="111">
        <v>32960</v>
      </c>
      <c r="BM122" s="195">
        <v>32920</v>
      </c>
      <c r="BN122" s="195">
        <v>32900</v>
      </c>
      <c r="BO122" s="195">
        <v>32900</v>
      </c>
      <c r="BP122" s="195">
        <v>32910</v>
      </c>
      <c r="BQ122" s="195">
        <v>32930</v>
      </c>
    </row>
    <row r="123" spans="1:69">
      <c r="A123" s="105">
        <f>$A$30</f>
        <v>13</v>
      </c>
      <c r="B123" s="111">
        <v>32400</v>
      </c>
      <c r="C123" s="111">
        <v>31620</v>
      </c>
      <c r="D123" s="111">
        <v>31620</v>
      </c>
      <c r="E123" s="111">
        <v>31610</v>
      </c>
      <c r="F123" s="111">
        <v>30840</v>
      </c>
      <c r="G123" s="111">
        <v>31190</v>
      </c>
      <c r="H123" s="111">
        <v>30830</v>
      </c>
      <c r="I123" s="111">
        <v>31780</v>
      </c>
      <c r="J123" s="111">
        <v>31050</v>
      </c>
      <c r="K123" s="111">
        <v>29870</v>
      </c>
      <c r="L123" s="111">
        <v>30500</v>
      </c>
      <c r="M123" s="111">
        <v>30750</v>
      </c>
      <c r="N123" s="111">
        <v>31040</v>
      </c>
      <c r="O123" s="111">
        <v>31940</v>
      </c>
      <c r="P123" s="111">
        <v>33900</v>
      </c>
      <c r="Q123" s="111">
        <v>34720</v>
      </c>
      <c r="R123" s="111">
        <v>35150</v>
      </c>
      <c r="S123" s="111">
        <v>35590</v>
      </c>
      <c r="T123" s="111">
        <v>35300</v>
      </c>
      <c r="U123" s="111">
        <v>35130</v>
      </c>
      <c r="V123" s="111">
        <v>34840</v>
      </c>
      <c r="W123" s="111">
        <v>34480</v>
      </c>
      <c r="X123" s="111">
        <v>34410</v>
      </c>
      <c r="Y123" s="111">
        <v>34100</v>
      </c>
      <c r="Z123" s="111">
        <v>33860</v>
      </c>
      <c r="AA123" s="111">
        <v>33160</v>
      </c>
      <c r="AB123" s="111">
        <v>33130</v>
      </c>
      <c r="AC123" s="111">
        <v>32490</v>
      </c>
      <c r="AD123" s="111">
        <v>32300</v>
      </c>
      <c r="AE123" s="111">
        <v>32270</v>
      </c>
      <c r="AF123" s="111">
        <v>32210</v>
      </c>
      <c r="AG123" s="111">
        <v>32120</v>
      </c>
      <c r="AH123" s="111">
        <v>32240</v>
      </c>
      <c r="AI123" s="111">
        <v>32320</v>
      </c>
      <c r="AJ123" s="111">
        <v>32380</v>
      </c>
      <c r="AK123" s="111">
        <v>32420</v>
      </c>
      <c r="AL123" s="111">
        <v>32440</v>
      </c>
      <c r="AM123" s="111">
        <v>32470</v>
      </c>
      <c r="AN123" s="111">
        <v>32490</v>
      </c>
      <c r="AO123" s="111">
        <v>32530</v>
      </c>
      <c r="AP123" s="111">
        <v>32580</v>
      </c>
      <c r="AQ123" s="111">
        <v>32650</v>
      </c>
      <c r="AR123" s="111">
        <v>32740</v>
      </c>
      <c r="AS123" s="111">
        <v>32850</v>
      </c>
      <c r="AT123" s="111">
        <v>32990</v>
      </c>
      <c r="AU123" s="111">
        <v>33150</v>
      </c>
      <c r="AV123" s="111">
        <v>33320</v>
      </c>
      <c r="AW123" s="111">
        <v>33490</v>
      </c>
      <c r="AX123" s="111">
        <v>33640</v>
      </c>
      <c r="AY123" s="111">
        <v>33770</v>
      </c>
      <c r="AZ123" s="111">
        <v>33870</v>
      </c>
      <c r="BA123" s="111">
        <v>33930</v>
      </c>
      <c r="BB123" s="111">
        <v>33970</v>
      </c>
      <c r="BC123" s="111">
        <v>33970</v>
      </c>
      <c r="BD123" s="111">
        <v>33940</v>
      </c>
      <c r="BE123" s="111">
        <v>33880</v>
      </c>
      <c r="BF123" s="111">
        <v>33800</v>
      </c>
      <c r="BG123" s="111">
        <v>33700</v>
      </c>
      <c r="BH123" s="111">
        <v>33590</v>
      </c>
      <c r="BI123" s="111">
        <v>33490</v>
      </c>
      <c r="BJ123" s="111">
        <v>33390</v>
      </c>
      <c r="BK123" s="111">
        <v>33300</v>
      </c>
      <c r="BL123" s="111">
        <v>33220</v>
      </c>
      <c r="BM123" s="195">
        <v>33170</v>
      </c>
      <c r="BN123" s="195">
        <v>33130</v>
      </c>
      <c r="BO123" s="195">
        <v>33100</v>
      </c>
      <c r="BP123" s="195">
        <v>33100</v>
      </c>
      <c r="BQ123" s="195">
        <v>33110</v>
      </c>
    </row>
    <row r="124" spans="1:69">
      <c r="A124" s="105">
        <f>$A$31</f>
        <v>14</v>
      </c>
      <c r="B124" s="111">
        <v>32800</v>
      </c>
      <c r="C124" s="111">
        <v>32260</v>
      </c>
      <c r="D124" s="111">
        <v>31550</v>
      </c>
      <c r="E124" s="111">
        <v>31640</v>
      </c>
      <c r="F124" s="111">
        <v>31810</v>
      </c>
      <c r="G124" s="111">
        <v>31060</v>
      </c>
      <c r="H124" s="111">
        <v>31400</v>
      </c>
      <c r="I124" s="111">
        <v>30980</v>
      </c>
      <c r="J124" s="111">
        <v>31850</v>
      </c>
      <c r="K124" s="111">
        <v>31360</v>
      </c>
      <c r="L124" s="111">
        <v>30430</v>
      </c>
      <c r="M124" s="111">
        <v>31080</v>
      </c>
      <c r="N124" s="111">
        <v>31160</v>
      </c>
      <c r="O124" s="111">
        <v>31440</v>
      </c>
      <c r="P124" s="111">
        <v>32350</v>
      </c>
      <c r="Q124" s="111">
        <v>34000</v>
      </c>
      <c r="R124" s="111">
        <v>34880</v>
      </c>
      <c r="S124" s="111">
        <v>35340</v>
      </c>
      <c r="T124" s="111">
        <v>35830</v>
      </c>
      <c r="U124" s="111">
        <v>35530</v>
      </c>
      <c r="V124" s="111">
        <v>35370</v>
      </c>
      <c r="W124" s="111">
        <v>35080</v>
      </c>
      <c r="X124" s="111">
        <v>34720</v>
      </c>
      <c r="Y124" s="111">
        <v>34640</v>
      </c>
      <c r="Z124" s="111">
        <v>34340</v>
      </c>
      <c r="AA124" s="111">
        <v>34100</v>
      </c>
      <c r="AB124" s="111">
        <v>33390</v>
      </c>
      <c r="AC124" s="111">
        <v>33360</v>
      </c>
      <c r="AD124" s="111">
        <v>32720</v>
      </c>
      <c r="AE124" s="111">
        <v>32540</v>
      </c>
      <c r="AF124" s="111">
        <v>32500</v>
      </c>
      <c r="AG124" s="111">
        <v>32440</v>
      </c>
      <c r="AH124" s="111">
        <v>32350</v>
      </c>
      <c r="AI124" s="111">
        <v>32470</v>
      </c>
      <c r="AJ124" s="111">
        <v>32560</v>
      </c>
      <c r="AK124" s="111">
        <v>32620</v>
      </c>
      <c r="AL124" s="111">
        <v>32650</v>
      </c>
      <c r="AM124" s="111">
        <v>32680</v>
      </c>
      <c r="AN124" s="111">
        <v>32700</v>
      </c>
      <c r="AO124" s="111">
        <v>32730</v>
      </c>
      <c r="AP124" s="111">
        <v>32770</v>
      </c>
      <c r="AQ124" s="111">
        <v>32820</v>
      </c>
      <c r="AR124" s="111">
        <v>32880</v>
      </c>
      <c r="AS124" s="111">
        <v>32970</v>
      </c>
      <c r="AT124" s="111">
        <v>33090</v>
      </c>
      <c r="AU124" s="111">
        <v>33230</v>
      </c>
      <c r="AV124" s="111">
        <v>33390</v>
      </c>
      <c r="AW124" s="111">
        <v>33560</v>
      </c>
      <c r="AX124" s="111">
        <v>33730</v>
      </c>
      <c r="AY124" s="111">
        <v>33880</v>
      </c>
      <c r="AZ124" s="111">
        <v>34010</v>
      </c>
      <c r="BA124" s="111">
        <v>34110</v>
      </c>
      <c r="BB124" s="111">
        <v>34170</v>
      </c>
      <c r="BC124" s="111">
        <v>34200</v>
      </c>
      <c r="BD124" s="111">
        <v>34200</v>
      </c>
      <c r="BE124" s="111">
        <v>34170</v>
      </c>
      <c r="BF124" s="111">
        <v>34110</v>
      </c>
      <c r="BG124" s="111">
        <v>34030</v>
      </c>
      <c r="BH124" s="111">
        <v>33940</v>
      </c>
      <c r="BI124" s="111">
        <v>33830</v>
      </c>
      <c r="BJ124" s="111">
        <v>33730</v>
      </c>
      <c r="BK124" s="111">
        <v>33630</v>
      </c>
      <c r="BL124" s="111">
        <v>33540</v>
      </c>
      <c r="BM124" s="195">
        <v>33460</v>
      </c>
      <c r="BN124" s="195">
        <v>33400</v>
      </c>
      <c r="BO124" s="195">
        <v>33360</v>
      </c>
      <c r="BP124" s="195">
        <v>33340</v>
      </c>
      <c r="BQ124" s="195">
        <v>33340</v>
      </c>
    </row>
    <row r="125" spans="1:69">
      <c r="A125" s="105">
        <f>$A$32</f>
        <v>15</v>
      </c>
      <c r="B125" s="111">
        <v>33590</v>
      </c>
      <c r="C125" s="111">
        <v>32590</v>
      </c>
      <c r="D125" s="111">
        <v>32100</v>
      </c>
      <c r="E125" s="111">
        <v>31480</v>
      </c>
      <c r="F125" s="111">
        <v>31790</v>
      </c>
      <c r="G125" s="111">
        <v>31950</v>
      </c>
      <c r="H125" s="111">
        <v>31310</v>
      </c>
      <c r="I125" s="111">
        <v>31620</v>
      </c>
      <c r="J125" s="111">
        <v>31190</v>
      </c>
      <c r="K125" s="111">
        <v>32200</v>
      </c>
      <c r="L125" s="111">
        <v>31970</v>
      </c>
      <c r="M125" s="111">
        <v>31110</v>
      </c>
      <c r="N125" s="111">
        <v>31730</v>
      </c>
      <c r="O125" s="111">
        <v>31690</v>
      </c>
      <c r="P125" s="111">
        <v>31920</v>
      </c>
      <c r="Q125" s="111">
        <v>32450</v>
      </c>
      <c r="R125" s="111">
        <v>34180</v>
      </c>
      <c r="S125" s="111">
        <v>35110</v>
      </c>
      <c r="T125" s="111">
        <v>35680</v>
      </c>
      <c r="U125" s="111">
        <v>36170</v>
      </c>
      <c r="V125" s="111">
        <v>35870</v>
      </c>
      <c r="W125" s="111">
        <v>35710</v>
      </c>
      <c r="X125" s="111">
        <v>35420</v>
      </c>
      <c r="Y125" s="111">
        <v>35060</v>
      </c>
      <c r="Z125" s="111">
        <v>34990</v>
      </c>
      <c r="AA125" s="111">
        <v>34680</v>
      </c>
      <c r="AB125" s="111">
        <v>34440</v>
      </c>
      <c r="AC125" s="111">
        <v>33740</v>
      </c>
      <c r="AD125" s="111">
        <v>33710</v>
      </c>
      <c r="AE125" s="111">
        <v>33070</v>
      </c>
      <c r="AF125" s="111">
        <v>32880</v>
      </c>
      <c r="AG125" s="111">
        <v>32850</v>
      </c>
      <c r="AH125" s="111">
        <v>32790</v>
      </c>
      <c r="AI125" s="111">
        <v>32700</v>
      </c>
      <c r="AJ125" s="111">
        <v>32820</v>
      </c>
      <c r="AK125" s="111">
        <v>32900</v>
      </c>
      <c r="AL125" s="111">
        <v>32960</v>
      </c>
      <c r="AM125" s="111">
        <v>33000</v>
      </c>
      <c r="AN125" s="111">
        <v>33020</v>
      </c>
      <c r="AO125" s="111">
        <v>33050</v>
      </c>
      <c r="AP125" s="111">
        <v>33080</v>
      </c>
      <c r="AQ125" s="111">
        <v>33110</v>
      </c>
      <c r="AR125" s="111">
        <v>33160</v>
      </c>
      <c r="AS125" s="111">
        <v>33230</v>
      </c>
      <c r="AT125" s="111">
        <v>33320</v>
      </c>
      <c r="AU125" s="111">
        <v>33440</v>
      </c>
      <c r="AV125" s="111">
        <v>33580</v>
      </c>
      <c r="AW125" s="111">
        <v>33730</v>
      </c>
      <c r="AX125" s="111">
        <v>33900</v>
      </c>
      <c r="AY125" s="111">
        <v>34070</v>
      </c>
      <c r="AZ125" s="111">
        <v>34220</v>
      </c>
      <c r="BA125" s="111">
        <v>34350</v>
      </c>
      <c r="BB125" s="111">
        <v>34450</v>
      </c>
      <c r="BC125" s="111">
        <v>34520</v>
      </c>
      <c r="BD125" s="111">
        <v>34550</v>
      </c>
      <c r="BE125" s="111">
        <v>34550</v>
      </c>
      <c r="BF125" s="111">
        <v>34520</v>
      </c>
      <c r="BG125" s="111">
        <v>34460</v>
      </c>
      <c r="BH125" s="111">
        <v>34380</v>
      </c>
      <c r="BI125" s="111">
        <v>34280</v>
      </c>
      <c r="BJ125" s="111">
        <v>34180</v>
      </c>
      <c r="BK125" s="111">
        <v>34070</v>
      </c>
      <c r="BL125" s="111">
        <v>33970</v>
      </c>
      <c r="BM125" s="195">
        <v>33880</v>
      </c>
      <c r="BN125" s="195">
        <v>33810</v>
      </c>
      <c r="BO125" s="195">
        <v>33750</v>
      </c>
      <c r="BP125" s="195">
        <v>33710</v>
      </c>
      <c r="BQ125" s="195">
        <v>33690</v>
      </c>
    </row>
    <row r="126" spans="1:69">
      <c r="A126" s="105">
        <f>$A$33</f>
        <v>16</v>
      </c>
      <c r="B126" s="111">
        <v>32610</v>
      </c>
      <c r="C126" s="111">
        <v>33310</v>
      </c>
      <c r="D126" s="111">
        <v>32300</v>
      </c>
      <c r="E126" s="111">
        <v>32050</v>
      </c>
      <c r="F126" s="111">
        <v>31680</v>
      </c>
      <c r="G126" s="111">
        <v>31980</v>
      </c>
      <c r="H126" s="111">
        <v>32180</v>
      </c>
      <c r="I126" s="111">
        <v>31650</v>
      </c>
      <c r="J126" s="111">
        <v>31910</v>
      </c>
      <c r="K126" s="111">
        <v>31620</v>
      </c>
      <c r="L126" s="111">
        <v>32770</v>
      </c>
      <c r="M126" s="111">
        <v>32690</v>
      </c>
      <c r="N126" s="111">
        <v>31800</v>
      </c>
      <c r="O126" s="111">
        <v>32260</v>
      </c>
      <c r="P126" s="111">
        <v>32230</v>
      </c>
      <c r="Q126" s="111">
        <v>31990</v>
      </c>
      <c r="R126" s="111">
        <v>32620</v>
      </c>
      <c r="S126" s="111">
        <v>34400</v>
      </c>
      <c r="T126" s="111">
        <v>35480</v>
      </c>
      <c r="U126" s="111">
        <v>36060</v>
      </c>
      <c r="V126" s="111">
        <v>36540</v>
      </c>
      <c r="W126" s="111">
        <v>36250</v>
      </c>
      <c r="X126" s="111">
        <v>36090</v>
      </c>
      <c r="Y126" s="111">
        <v>35790</v>
      </c>
      <c r="Z126" s="111">
        <v>35440</v>
      </c>
      <c r="AA126" s="111">
        <v>35360</v>
      </c>
      <c r="AB126" s="111">
        <v>35060</v>
      </c>
      <c r="AC126" s="111">
        <v>34820</v>
      </c>
      <c r="AD126" s="111">
        <v>34110</v>
      </c>
      <c r="AE126" s="111">
        <v>34090</v>
      </c>
      <c r="AF126" s="111">
        <v>33450</v>
      </c>
      <c r="AG126" s="111">
        <v>33260</v>
      </c>
      <c r="AH126" s="111">
        <v>33230</v>
      </c>
      <c r="AI126" s="111">
        <v>33170</v>
      </c>
      <c r="AJ126" s="111">
        <v>33080</v>
      </c>
      <c r="AK126" s="111">
        <v>33200</v>
      </c>
      <c r="AL126" s="111">
        <v>33280</v>
      </c>
      <c r="AM126" s="111">
        <v>33340</v>
      </c>
      <c r="AN126" s="111">
        <v>33380</v>
      </c>
      <c r="AO126" s="111">
        <v>33400</v>
      </c>
      <c r="AP126" s="111">
        <v>33430</v>
      </c>
      <c r="AQ126" s="111">
        <v>33460</v>
      </c>
      <c r="AR126" s="111">
        <v>33490</v>
      </c>
      <c r="AS126" s="111">
        <v>33540</v>
      </c>
      <c r="AT126" s="111">
        <v>33610</v>
      </c>
      <c r="AU126" s="111">
        <v>33700</v>
      </c>
      <c r="AV126" s="111">
        <v>33820</v>
      </c>
      <c r="AW126" s="111">
        <v>33960</v>
      </c>
      <c r="AX126" s="111">
        <v>34110</v>
      </c>
      <c r="AY126" s="111">
        <v>34280</v>
      </c>
      <c r="AZ126" s="111">
        <v>34450</v>
      </c>
      <c r="BA126" s="111">
        <v>34600</v>
      </c>
      <c r="BB126" s="111">
        <v>34730</v>
      </c>
      <c r="BC126" s="111">
        <v>34830</v>
      </c>
      <c r="BD126" s="111">
        <v>34900</v>
      </c>
      <c r="BE126" s="111">
        <v>34930</v>
      </c>
      <c r="BF126" s="111">
        <v>34930</v>
      </c>
      <c r="BG126" s="111">
        <v>34900</v>
      </c>
      <c r="BH126" s="111">
        <v>34840</v>
      </c>
      <c r="BI126" s="111">
        <v>34760</v>
      </c>
      <c r="BJ126" s="111">
        <v>34660</v>
      </c>
      <c r="BK126" s="111">
        <v>34560</v>
      </c>
      <c r="BL126" s="111">
        <v>34450</v>
      </c>
      <c r="BM126" s="195">
        <v>34350</v>
      </c>
      <c r="BN126" s="195">
        <v>34260</v>
      </c>
      <c r="BO126" s="195">
        <v>34190</v>
      </c>
      <c r="BP126" s="195">
        <v>34130</v>
      </c>
      <c r="BQ126" s="195">
        <v>34090</v>
      </c>
    </row>
    <row r="127" spans="1:69">
      <c r="A127" s="105">
        <f>$A$34</f>
        <v>17</v>
      </c>
      <c r="B127" s="111">
        <v>31820</v>
      </c>
      <c r="C127" s="111">
        <v>32260</v>
      </c>
      <c r="D127" s="111">
        <v>33160</v>
      </c>
      <c r="E127" s="111">
        <v>32180</v>
      </c>
      <c r="F127" s="111">
        <v>32210</v>
      </c>
      <c r="G127" s="111">
        <v>31800</v>
      </c>
      <c r="H127" s="111">
        <v>32120</v>
      </c>
      <c r="I127" s="111">
        <v>32430</v>
      </c>
      <c r="J127" s="111">
        <v>31980</v>
      </c>
      <c r="K127" s="111">
        <v>32350</v>
      </c>
      <c r="L127" s="111">
        <v>32150</v>
      </c>
      <c r="M127" s="111">
        <v>33250</v>
      </c>
      <c r="N127" s="111">
        <v>33240</v>
      </c>
      <c r="O127" s="111">
        <v>32170</v>
      </c>
      <c r="P127" s="111">
        <v>32590</v>
      </c>
      <c r="Q127" s="111">
        <v>32310</v>
      </c>
      <c r="R127" s="111">
        <v>32220</v>
      </c>
      <c r="S127" s="111">
        <v>32920</v>
      </c>
      <c r="T127" s="111">
        <v>34920</v>
      </c>
      <c r="U127" s="111">
        <v>36000</v>
      </c>
      <c r="V127" s="111">
        <v>36570</v>
      </c>
      <c r="W127" s="111">
        <v>37060</v>
      </c>
      <c r="X127" s="111">
        <v>36760</v>
      </c>
      <c r="Y127" s="111">
        <v>36600</v>
      </c>
      <c r="Z127" s="111">
        <v>36310</v>
      </c>
      <c r="AA127" s="111">
        <v>35950</v>
      </c>
      <c r="AB127" s="111">
        <v>35880</v>
      </c>
      <c r="AC127" s="111">
        <v>35570</v>
      </c>
      <c r="AD127" s="111">
        <v>35330</v>
      </c>
      <c r="AE127" s="111">
        <v>34630</v>
      </c>
      <c r="AF127" s="111">
        <v>34600</v>
      </c>
      <c r="AG127" s="111">
        <v>33960</v>
      </c>
      <c r="AH127" s="111">
        <v>33780</v>
      </c>
      <c r="AI127" s="111">
        <v>33750</v>
      </c>
      <c r="AJ127" s="111">
        <v>33680</v>
      </c>
      <c r="AK127" s="111">
        <v>33590</v>
      </c>
      <c r="AL127" s="111">
        <v>33720</v>
      </c>
      <c r="AM127" s="111">
        <v>33800</v>
      </c>
      <c r="AN127" s="111">
        <v>33860</v>
      </c>
      <c r="AO127" s="111">
        <v>33900</v>
      </c>
      <c r="AP127" s="111">
        <v>33920</v>
      </c>
      <c r="AQ127" s="111">
        <v>33950</v>
      </c>
      <c r="AR127" s="111">
        <v>33980</v>
      </c>
      <c r="AS127" s="111">
        <v>34010</v>
      </c>
      <c r="AT127" s="111">
        <v>34060</v>
      </c>
      <c r="AU127" s="111">
        <v>34130</v>
      </c>
      <c r="AV127" s="111">
        <v>34220</v>
      </c>
      <c r="AW127" s="111">
        <v>34340</v>
      </c>
      <c r="AX127" s="111">
        <v>34480</v>
      </c>
      <c r="AY127" s="111">
        <v>34640</v>
      </c>
      <c r="AZ127" s="111">
        <v>34800</v>
      </c>
      <c r="BA127" s="111">
        <v>34970</v>
      </c>
      <c r="BB127" s="111">
        <v>35120</v>
      </c>
      <c r="BC127" s="111">
        <v>35250</v>
      </c>
      <c r="BD127" s="111">
        <v>35350</v>
      </c>
      <c r="BE127" s="111">
        <v>35420</v>
      </c>
      <c r="BF127" s="111">
        <v>35450</v>
      </c>
      <c r="BG127" s="111">
        <v>35450</v>
      </c>
      <c r="BH127" s="111">
        <v>35420</v>
      </c>
      <c r="BI127" s="111">
        <v>35360</v>
      </c>
      <c r="BJ127" s="111">
        <v>35280</v>
      </c>
      <c r="BK127" s="111">
        <v>35190</v>
      </c>
      <c r="BL127" s="111">
        <v>35080</v>
      </c>
      <c r="BM127" s="195">
        <v>34980</v>
      </c>
      <c r="BN127" s="195">
        <v>34880</v>
      </c>
      <c r="BO127" s="195">
        <v>34790</v>
      </c>
      <c r="BP127" s="195">
        <v>34710</v>
      </c>
      <c r="BQ127" s="195">
        <v>34660</v>
      </c>
    </row>
    <row r="128" spans="1:69">
      <c r="A128" s="105">
        <f>$A$35</f>
        <v>18</v>
      </c>
      <c r="B128" s="111">
        <v>31140</v>
      </c>
      <c r="C128" s="111">
        <v>31370</v>
      </c>
      <c r="D128" s="111">
        <v>31770</v>
      </c>
      <c r="E128" s="111">
        <v>32780</v>
      </c>
      <c r="F128" s="111">
        <v>32130</v>
      </c>
      <c r="G128" s="111">
        <v>32140</v>
      </c>
      <c r="H128" s="111">
        <v>31760</v>
      </c>
      <c r="I128" s="111">
        <v>32160</v>
      </c>
      <c r="J128" s="111">
        <v>32870</v>
      </c>
      <c r="K128" s="111">
        <v>32620</v>
      </c>
      <c r="L128" s="111">
        <v>32910</v>
      </c>
      <c r="M128" s="111">
        <v>32440</v>
      </c>
      <c r="N128" s="111">
        <v>33440</v>
      </c>
      <c r="O128" s="111">
        <v>33440</v>
      </c>
      <c r="P128" s="111">
        <v>32470</v>
      </c>
      <c r="Q128" s="111">
        <v>32690</v>
      </c>
      <c r="R128" s="111">
        <v>32630</v>
      </c>
      <c r="S128" s="111">
        <v>32650</v>
      </c>
      <c r="T128" s="111">
        <v>33680</v>
      </c>
      <c r="U128" s="111">
        <v>35670</v>
      </c>
      <c r="V128" s="111">
        <v>36750</v>
      </c>
      <c r="W128" s="111">
        <v>37330</v>
      </c>
      <c r="X128" s="111">
        <v>37810</v>
      </c>
      <c r="Y128" s="111">
        <v>37520</v>
      </c>
      <c r="Z128" s="111">
        <v>37360</v>
      </c>
      <c r="AA128" s="111">
        <v>37070</v>
      </c>
      <c r="AB128" s="111">
        <v>36710</v>
      </c>
      <c r="AC128" s="111">
        <v>36640</v>
      </c>
      <c r="AD128" s="111">
        <v>36330</v>
      </c>
      <c r="AE128" s="111">
        <v>36090</v>
      </c>
      <c r="AF128" s="111">
        <v>35390</v>
      </c>
      <c r="AG128" s="111">
        <v>35360</v>
      </c>
      <c r="AH128" s="111">
        <v>34730</v>
      </c>
      <c r="AI128" s="111">
        <v>34540</v>
      </c>
      <c r="AJ128" s="111">
        <v>34510</v>
      </c>
      <c r="AK128" s="111">
        <v>34450</v>
      </c>
      <c r="AL128" s="111">
        <v>34360</v>
      </c>
      <c r="AM128" s="111">
        <v>34480</v>
      </c>
      <c r="AN128" s="111">
        <v>34560</v>
      </c>
      <c r="AO128" s="111">
        <v>34620</v>
      </c>
      <c r="AP128" s="111">
        <v>34660</v>
      </c>
      <c r="AQ128" s="111">
        <v>34690</v>
      </c>
      <c r="AR128" s="111">
        <v>34710</v>
      </c>
      <c r="AS128" s="111">
        <v>34740</v>
      </c>
      <c r="AT128" s="111">
        <v>34780</v>
      </c>
      <c r="AU128" s="111">
        <v>34820</v>
      </c>
      <c r="AV128" s="111">
        <v>34890</v>
      </c>
      <c r="AW128" s="111">
        <v>34980</v>
      </c>
      <c r="AX128" s="111">
        <v>35100</v>
      </c>
      <c r="AY128" s="111">
        <v>35240</v>
      </c>
      <c r="AZ128" s="111">
        <v>35400</v>
      </c>
      <c r="BA128" s="111">
        <v>35570</v>
      </c>
      <c r="BB128" s="111">
        <v>35740</v>
      </c>
      <c r="BC128" s="111">
        <v>35890</v>
      </c>
      <c r="BD128" s="111">
        <v>36020</v>
      </c>
      <c r="BE128" s="111">
        <v>36120</v>
      </c>
      <c r="BF128" s="111">
        <v>36190</v>
      </c>
      <c r="BG128" s="111">
        <v>36220</v>
      </c>
      <c r="BH128" s="111">
        <v>36220</v>
      </c>
      <c r="BI128" s="111">
        <v>36190</v>
      </c>
      <c r="BJ128" s="111">
        <v>36130</v>
      </c>
      <c r="BK128" s="111">
        <v>36050</v>
      </c>
      <c r="BL128" s="111">
        <v>35950</v>
      </c>
      <c r="BM128" s="195">
        <v>35850</v>
      </c>
      <c r="BN128" s="195">
        <v>35740</v>
      </c>
      <c r="BO128" s="195">
        <v>35640</v>
      </c>
      <c r="BP128" s="195">
        <v>35550</v>
      </c>
      <c r="BQ128" s="195">
        <v>35480</v>
      </c>
    </row>
    <row r="129" spans="1:69">
      <c r="A129" s="105">
        <f>$A$36</f>
        <v>19</v>
      </c>
      <c r="B129" s="111">
        <v>30250</v>
      </c>
      <c r="C129" s="111">
        <v>30770</v>
      </c>
      <c r="D129" s="111">
        <v>31170</v>
      </c>
      <c r="E129" s="111">
        <v>31800</v>
      </c>
      <c r="F129" s="111">
        <v>33050</v>
      </c>
      <c r="G129" s="111">
        <v>32460</v>
      </c>
      <c r="H129" s="111">
        <v>32470</v>
      </c>
      <c r="I129" s="111">
        <v>32290</v>
      </c>
      <c r="J129" s="111">
        <v>33330</v>
      </c>
      <c r="K129" s="111">
        <v>34170</v>
      </c>
      <c r="L129" s="111">
        <v>33670</v>
      </c>
      <c r="M129" s="111">
        <v>33620</v>
      </c>
      <c r="N129" s="111">
        <v>32890</v>
      </c>
      <c r="O129" s="111">
        <v>33860</v>
      </c>
      <c r="P129" s="111">
        <v>34030</v>
      </c>
      <c r="Q129" s="111">
        <v>32560</v>
      </c>
      <c r="R129" s="111">
        <v>33070</v>
      </c>
      <c r="S129" s="111">
        <v>33160</v>
      </c>
      <c r="T129" s="111">
        <v>33570</v>
      </c>
      <c r="U129" s="111">
        <v>34590</v>
      </c>
      <c r="V129" s="111">
        <v>36590</v>
      </c>
      <c r="W129" s="111">
        <v>37670</v>
      </c>
      <c r="X129" s="111">
        <v>38240</v>
      </c>
      <c r="Y129" s="111">
        <v>38730</v>
      </c>
      <c r="Z129" s="111">
        <v>38430</v>
      </c>
      <c r="AA129" s="111">
        <v>38270</v>
      </c>
      <c r="AB129" s="111">
        <v>37980</v>
      </c>
      <c r="AC129" s="111">
        <v>37630</v>
      </c>
      <c r="AD129" s="111">
        <v>37550</v>
      </c>
      <c r="AE129" s="111">
        <v>37250</v>
      </c>
      <c r="AF129" s="111">
        <v>37010</v>
      </c>
      <c r="AG129" s="111">
        <v>36310</v>
      </c>
      <c r="AH129" s="111">
        <v>36280</v>
      </c>
      <c r="AI129" s="111">
        <v>35640</v>
      </c>
      <c r="AJ129" s="111">
        <v>35460</v>
      </c>
      <c r="AK129" s="111">
        <v>35430</v>
      </c>
      <c r="AL129" s="111">
        <v>35370</v>
      </c>
      <c r="AM129" s="111">
        <v>35280</v>
      </c>
      <c r="AN129" s="111">
        <v>35400</v>
      </c>
      <c r="AO129" s="111">
        <v>35480</v>
      </c>
      <c r="AP129" s="111">
        <v>35540</v>
      </c>
      <c r="AQ129" s="111">
        <v>35580</v>
      </c>
      <c r="AR129" s="111">
        <v>35610</v>
      </c>
      <c r="AS129" s="111">
        <v>35630</v>
      </c>
      <c r="AT129" s="111">
        <v>35660</v>
      </c>
      <c r="AU129" s="111">
        <v>35700</v>
      </c>
      <c r="AV129" s="111">
        <v>35750</v>
      </c>
      <c r="AW129" s="111">
        <v>35810</v>
      </c>
      <c r="AX129" s="111">
        <v>35910</v>
      </c>
      <c r="AY129" s="111">
        <v>36020</v>
      </c>
      <c r="AZ129" s="111">
        <v>36160</v>
      </c>
      <c r="BA129" s="111">
        <v>36320</v>
      </c>
      <c r="BB129" s="111">
        <v>36490</v>
      </c>
      <c r="BC129" s="111">
        <v>36660</v>
      </c>
      <c r="BD129" s="111">
        <v>36810</v>
      </c>
      <c r="BE129" s="111">
        <v>36940</v>
      </c>
      <c r="BF129" s="111">
        <v>37040</v>
      </c>
      <c r="BG129" s="111">
        <v>37110</v>
      </c>
      <c r="BH129" s="111">
        <v>37140</v>
      </c>
      <c r="BI129" s="111">
        <v>37140</v>
      </c>
      <c r="BJ129" s="111">
        <v>37110</v>
      </c>
      <c r="BK129" s="111">
        <v>37050</v>
      </c>
      <c r="BL129" s="111">
        <v>36970</v>
      </c>
      <c r="BM129" s="195">
        <v>36880</v>
      </c>
      <c r="BN129" s="195">
        <v>36770</v>
      </c>
      <c r="BO129" s="195">
        <v>36670</v>
      </c>
      <c r="BP129" s="195">
        <v>36570</v>
      </c>
      <c r="BQ129" s="195">
        <v>36480</v>
      </c>
    </row>
    <row r="130" spans="1:69">
      <c r="A130" s="105">
        <f>$A$37</f>
        <v>20</v>
      </c>
      <c r="B130" s="111">
        <v>29830</v>
      </c>
      <c r="C130" s="111">
        <v>29900</v>
      </c>
      <c r="D130" s="111">
        <v>30470</v>
      </c>
      <c r="E130" s="111">
        <v>31180</v>
      </c>
      <c r="F130" s="111">
        <v>32100</v>
      </c>
      <c r="G130" s="111">
        <v>33380</v>
      </c>
      <c r="H130" s="111">
        <v>32580</v>
      </c>
      <c r="I130" s="111">
        <v>32810</v>
      </c>
      <c r="J130" s="111">
        <v>33350</v>
      </c>
      <c r="K130" s="111">
        <v>34730</v>
      </c>
      <c r="L130" s="111">
        <v>35280</v>
      </c>
      <c r="M130" s="111">
        <v>34300</v>
      </c>
      <c r="N130" s="111">
        <v>34130</v>
      </c>
      <c r="O130" s="111">
        <v>33220</v>
      </c>
      <c r="P130" s="111">
        <v>34630</v>
      </c>
      <c r="Q130" s="111">
        <v>34050</v>
      </c>
      <c r="R130" s="111">
        <v>32770</v>
      </c>
      <c r="S130" s="111">
        <v>33370</v>
      </c>
      <c r="T130" s="111">
        <v>33630</v>
      </c>
      <c r="U130" s="111">
        <v>34040</v>
      </c>
      <c r="V130" s="111">
        <v>35070</v>
      </c>
      <c r="W130" s="111">
        <v>37060</v>
      </c>
      <c r="X130" s="111">
        <v>38140</v>
      </c>
      <c r="Y130" s="111">
        <v>38710</v>
      </c>
      <c r="Z130" s="111">
        <v>39200</v>
      </c>
      <c r="AA130" s="111">
        <v>38910</v>
      </c>
      <c r="AB130" s="111">
        <v>38750</v>
      </c>
      <c r="AC130" s="111">
        <v>38460</v>
      </c>
      <c r="AD130" s="111">
        <v>38100</v>
      </c>
      <c r="AE130" s="111">
        <v>38030</v>
      </c>
      <c r="AF130" s="111">
        <v>37720</v>
      </c>
      <c r="AG130" s="111">
        <v>37480</v>
      </c>
      <c r="AH130" s="111">
        <v>36790</v>
      </c>
      <c r="AI130" s="111">
        <v>36760</v>
      </c>
      <c r="AJ130" s="111">
        <v>36120</v>
      </c>
      <c r="AK130" s="111">
        <v>35940</v>
      </c>
      <c r="AL130" s="111">
        <v>35900</v>
      </c>
      <c r="AM130" s="111">
        <v>35840</v>
      </c>
      <c r="AN130" s="111">
        <v>35750</v>
      </c>
      <c r="AO130" s="111">
        <v>35880</v>
      </c>
      <c r="AP130" s="111">
        <v>35960</v>
      </c>
      <c r="AQ130" s="111">
        <v>36020</v>
      </c>
      <c r="AR130" s="111">
        <v>36060</v>
      </c>
      <c r="AS130" s="111">
        <v>36080</v>
      </c>
      <c r="AT130" s="111">
        <v>36110</v>
      </c>
      <c r="AU130" s="111">
        <v>36140</v>
      </c>
      <c r="AV130" s="111">
        <v>36180</v>
      </c>
      <c r="AW130" s="111">
        <v>36230</v>
      </c>
      <c r="AX130" s="111">
        <v>36290</v>
      </c>
      <c r="AY130" s="111">
        <v>36390</v>
      </c>
      <c r="AZ130" s="111">
        <v>36500</v>
      </c>
      <c r="BA130" s="111">
        <v>36640</v>
      </c>
      <c r="BB130" s="111">
        <v>36800</v>
      </c>
      <c r="BC130" s="111">
        <v>36970</v>
      </c>
      <c r="BD130" s="111">
        <v>37140</v>
      </c>
      <c r="BE130" s="111">
        <v>37290</v>
      </c>
      <c r="BF130" s="111">
        <v>37420</v>
      </c>
      <c r="BG130" s="111">
        <v>37520</v>
      </c>
      <c r="BH130" s="111">
        <v>37590</v>
      </c>
      <c r="BI130" s="111">
        <v>37620</v>
      </c>
      <c r="BJ130" s="111">
        <v>37620</v>
      </c>
      <c r="BK130" s="111">
        <v>37590</v>
      </c>
      <c r="BL130" s="111">
        <v>37530</v>
      </c>
      <c r="BM130" s="195">
        <v>37450</v>
      </c>
      <c r="BN130" s="195">
        <v>37360</v>
      </c>
      <c r="BO130" s="195">
        <v>37250</v>
      </c>
      <c r="BP130" s="195">
        <v>37150</v>
      </c>
      <c r="BQ130" s="195">
        <v>37050</v>
      </c>
    </row>
    <row r="131" spans="1:69">
      <c r="A131" s="105">
        <f>$A$38</f>
        <v>21</v>
      </c>
      <c r="B131" s="111">
        <v>29560</v>
      </c>
      <c r="C131" s="111">
        <v>29170</v>
      </c>
      <c r="D131" s="111">
        <v>29450</v>
      </c>
      <c r="E131" s="111">
        <v>30280</v>
      </c>
      <c r="F131" s="111">
        <v>31170</v>
      </c>
      <c r="G131" s="111">
        <v>32090</v>
      </c>
      <c r="H131" s="111">
        <v>33060</v>
      </c>
      <c r="I131" s="111">
        <v>32490</v>
      </c>
      <c r="J131" s="111">
        <v>33630</v>
      </c>
      <c r="K131" s="111">
        <v>34580</v>
      </c>
      <c r="L131" s="111">
        <v>35650</v>
      </c>
      <c r="M131" s="111">
        <v>35600</v>
      </c>
      <c r="N131" s="111">
        <v>34500</v>
      </c>
      <c r="O131" s="111">
        <v>34510</v>
      </c>
      <c r="P131" s="111">
        <v>33990</v>
      </c>
      <c r="Q131" s="111">
        <v>34590</v>
      </c>
      <c r="R131" s="111">
        <v>34150</v>
      </c>
      <c r="S131" s="111">
        <v>32950</v>
      </c>
      <c r="T131" s="111">
        <v>33500</v>
      </c>
      <c r="U131" s="111">
        <v>33760</v>
      </c>
      <c r="V131" s="111">
        <v>34170</v>
      </c>
      <c r="W131" s="111">
        <v>35190</v>
      </c>
      <c r="X131" s="111">
        <v>37190</v>
      </c>
      <c r="Y131" s="111">
        <v>38270</v>
      </c>
      <c r="Z131" s="111">
        <v>38840</v>
      </c>
      <c r="AA131" s="111">
        <v>39330</v>
      </c>
      <c r="AB131" s="111">
        <v>39030</v>
      </c>
      <c r="AC131" s="111">
        <v>38870</v>
      </c>
      <c r="AD131" s="111">
        <v>38580</v>
      </c>
      <c r="AE131" s="111">
        <v>38230</v>
      </c>
      <c r="AF131" s="111">
        <v>38160</v>
      </c>
      <c r="AG131" s="111">
        <v>37850</v>
      </c>
      <c r="AH131" s="111">
        <v>37610</v>
      </c>
      <c r="AI131" s="111">
        <v>36920</v>
      </c>
      <c r="AJ131" s="111">
        <v>36890</v>
      </c>
      <c r="AK131" s="111">
        <v>36250</v>
      </c>
      <c r="AL131" s="111">
        <v>36070</v>
      </c>
      <c r="AM131" s="111">
        <v>36040</v>
      </c>
      <c r="AN131" s="111">
        <v>35980</v>
      </c>
      <c r="AO131" s="111">
        <v>35890</v>
      </c>
      <c r="AP131" s="111">
        <v>36010</v>
      </c>
      <c r="AQ131" s="111">
        <v>36090</v>
      </c>
      <c r="AR131" s="111">
        <v>36150</v>
      </c>
      <c r="AS131" s="111">
        <v>36190</v>
      </c>
      <c r="AT131" s="111">
        <v>36220</v>
      </c>
      <c r="AU131" s="111">
        <v>36240</v>
      </c>
      <c r="AV131" s="111">
        <v>36270</v>
      </c>
      <c r="AW131" s="111">
        <v>36310</v>
      </c>
      <c r="AX131" s="111">
        <v>36360</v>
      </c>
      <c r="AY131" s="111">
        <v>36430</v>
      </c>
      <c r="AZ131" s="111">
        <v>36520</v>
      </c>
      <c r="BA131" s="111">
        <v>36640</v>
      </c>
      <c r="BB131" s="111">
        <v>36780</v>
      </c>
      <c r="BC131" s="111">
        <v>36940</v>
      </c>
      <c r="BD131" s="111">
        <v>37110</v>
      </c>
      <c r="BE131" s="111">
        <v>37280</v>
      </c>
      <c r="BF131" s="111">
        <v>37430</v>
      </c>
      <c r="BG131" s="111">
        <v>37560</v>
      </c>
      <c r="BH131" s="111">
        <v>37660</v>
      </c>
      <c r="BI131" s="111">
        <v>37730</v>
      </c>
      <c r="BJ131" s="111">
        <v>37760</v>
      </c>
      <c r="BK131" s="111">
        <v>37760</v>
      </c>
      <c r="BL131" s="111">
        <v>37730</v>
      </c>
      <c r="BM131" s="195">
        <v>37670</v>
      </c>
      <c r="BN131" s="195">
        <v>37590</v>
      </c>
      <c r="BO131" s="195">
        <v>37500</v>
      </c>
      <c r="BP131" s="195">
        <v>37390</v>
      </c>
      <c r="BQ131" s="195">
        <v>37290</v>
      </c>
    </row>
    <row r="132" spans="1:69">
      <c r="A132" s="105">
        <f>$A$39</f>
        <v>22</v>
      </c>
      <c r="B132" s="111">
        <v>29400</v>
      </c>
      <c r="C132" s="111">
        <v>28750</v>
      </c>
      <c r="D132" s="111">
        <v>28560</v>
      </c>
      <c r="E132" s="111">
        <v>29170</v>
      </c>
      <c r="F132" s="111">
        <v>30130</v>
      </c>
      <c r="G132" s="111">
        <v>30860</v>
      </c>
      <c r="H132" s="111">
        <v>31510</v>
      </c>
      <c r="I132" s="111">
        <v>32760</v>
      </c>
      <c r="J132" s="111">
        <v>33510</v>
      </c>
      <c r="K132" s="111">
        <v>35140</v>
      </c>
      <c r="L132" s="111">
        <v>35480</v>
      </c>
      <c r="M132" s="111">
        <v>35850</v>
      </c>
      <c r="N132" s="111">
        <v>35600</v>
      </c>
      <c r="O132" s="111">
        <v>34610</v>
      </c>
      <c r="P132" s="111">
        <v>35100</v>
      </c>
      <c r="Q132" s="111">
        <v>33940</v>
      </c>
      <c r="R132" s="111">
        <v>34700</v>
      </c>
      <c r="S132" s="111">
        <v>34340</v>
      </c>
      <c r="T132" s="111">
        <v>33000</v>
      </c>
      <c r="U132" s="111">
        <v>33560</v>
      </c>
      <c r="V132" s="111">
        <v>33820</v>
      </c>
      <c r="W132" s="111">
        <v>34230</v>
      </c>
      <c r="X132" s="111">
        <v>35250</v>
      </c>
      <c r="Y132" s="111">
        <v>37240</v>
      </c>
      <c r="Z132" s="111">
        <v>38320</v>
      </c>
      <c r="AA132" s="111">
        <v>38890</v>
      </c>
      <c r="AB132" s="111">
        <v>39380</v>
      </c>
      <c r="AC132" s="111">
        <v>39090</v>
      </c>
      <c r="AD132" s="111">
        <v>38930</v>
      </c>
      <c r="AE132" s="111">
        <v>38640</v>
      </c>
      <c r="AF132" s="111">
        <v>38290</v>
      </c>
      <c r="AG132" s="111">
        <v>38210</v>
      </c>
      <c r="AH132" s="111">
        <v>37910</v>
      </c>
      <c r="AI132" s="111">
        <v>37670</v>
      </c>
      <c r="AJ132" s="111">
        <v>36970</v>
      </c>
      <c r="AK132" s="111">
        <v>36950</v>
      </c>
      <c r="AL132" s="111">
        <v>36310</v>
      </c>
      <c r="AM132" s="111">
        <v>36130</v>
      </c>
      <c r="AN132" s="111">
        <v>36090</v>
      </c>
      <c r="AO132" s="111">
        <v>36030</v>
      </c>
      <c r="AP132" s="111">
        <v>35950</v>
      </c>
      <c r="AQ132" s="111">
        <v>36070</v>
      </c>
      <c r="AR132" s="111">
        <v>36150</v>
      </c>
      <c r="AS132" s="111">
        <v>36210</v>
      </c>
      <c r="AT132" s="111">
        <v>36250</v>
      </c>
      <c r="AU132" s="111">
        <v>36280</v>
      </c>
      <c r="AV132" s="111">
        <v>36310</v>
      </c>
      <c r="AW132" s="111">
        <v>36330</v>
      </c>
      <c r="AX132" s="111">
        <v>36370</v>
      </c>
      <c r="AY132" s="111">
        <v>36420</v>
      </c>
      <c r="AZ132" s="111">
        <v>36490</v>
      </c>
      <c r="BA132" s="111">
        <v>36580</v>
      </c>
      <c r="BB132" s="111">
        <v>36700</v>
      </c>
      <c r="BC132" s="111">
        <v>36840</v>
      </c>
      <c r="BD132" s="111">
        <v>37000</v>
      </c>
      <c r="BE132" s="111">
        <v>37170</v>
      </c>
      <c r="BF132" s="111">
        <v>37340</v>
      </c>
      <c r="BG132" s="111">
        <v>37490</v>
      </c>
      <c r="BH132" s="111">
        <v>37620</v>
      </c>
      <c r="BI132" s="111">
        <v>37720</v>
      </c>
      <c r="BJ132" s="111">
        <v>37790</v>
      </c>
      <c r="BK132" s="111">
        <v>37820</v>
      </c>
      <c r="BL132" s="111">
        <v>37820</v>
      </c>
      <c r="BM132" s="195">
        <v>37790</v>
      </c>
      <c r="BN132" s="195">
        <v>37740</v>
      </c>
      <c r="BO132" s="195">
        <v>37660</v>
      </c>
      <c r="BP132" s="195">
        <v>37560</v>
      </c>
      <c r="BQ132" s="195">
        <v>37460</v>
      </c>
    </row>
    <row r="133" spans="1:69">
      <c r="A133" s="105">
        <f>$A$40</f>
        <v>23</v>
      </c>
      <c r="B133" s="111">
        <v>29090</v>
      </c>
      <c r="C133" s="111">
        <v>28510</v>
      </c>
      <c r="D133" s="111">
        <v>28050</v>
      </c>
      <c r="E133" s="111">
        <v>28280</v>
      </c>
      <c r="F133" s="111">
        <v>28950</v>
      </c>
      <c r="G133" s="111">
        <v>29690</v>
      </c>
      <c r="H133" s="111">
        <v>30250</v>
      </c>
      <c r="I133" s="111">
        <v>31220</v>
      </c>
      <c r="J133" s="111">
        <v>33600</v>
      </c>
      <c r="K133" s="111">
        <v>35290</v>
      </c>
      <c r="L133" s="111">
        <v>36580</v>
      </c>
      <c r="M133" s="111">
        <v>36120</v>
      </c>
      <c r="N133" s="111">
        <v>36120</v>
      </c>
      <c r="O133" s="111">
        <v>35880</v>
      </c>
      <c r="P133" s="111">
        <v>35420</v>
      </c>
      <c r="Q133" s="111">
        <v>35030</v>
      </c>
      <c r="R133" s="111">
        <v>34060</v>
      </c>
      <c r="S133" s="111">
        <v>34910</v>
      </c>
      <c r="T133" s="111">
        <v>34440</v>
      </c>
      <c r="U133" s="111">
        <v>33100</v>
      </c>
      <c r="V133" s="111">
        <v>33660</v>
      </c>
      <c r="W133" s="111">
        <v>33920</v>
      </c>
      <c r="X133" s="111">
        <v>34320</v>
      </c>
      <c r="Y133" s="111">
        <v>35350</v>
      </c>
      <c r="Z133" s="111">
        <v>37340</v>
      </c>
      <c r="AA133" s="111">
        <v>38420</v>
      </c>
      <c r="AB133" s="111">
        <v>38990</v>
      </c>
      <c r="AC133" s="111">
        <v>39480</v>
      </c>
      <c r="AD133" s="111">
        <v>39190</v>
      </c>
      <c r="AE133" s="111">
        <v>39030</v>
      </c>
      <c r="AF133" s="111">
        <v>38740</v>
      </c>
      <c r="AG133" s="111">
        <v>38390</v>
      </c>
      <c r="AH133" s="111">
        <v>38310</v>
      </c>
      <c r="AI133" s="111">
        <v>38010</v>
      </c>
      <c r="AJ133" s="111">
        <v>37770</v>
      </c>
      <c r="AK133" s="111">
        <v>37080</v>
      </c>
      <c r="AL133" s="111">
        <v>37050</v>
      </c>
      <c r="AM133" s="111">
        <v>36410</v>
      </c>
      <c r="AN133" s="111">
        <v>36230</v>
      </c>
      <c r="AO133" s="111">
        <v>36200</v>
      </c>
      <c r="AP133" s="111">
        <v>36140</v>
      </c>
      <c r="AQ133" s="111">
        <v>36050</v>
      </c>
      <c r="AR133" s="111">
        <v>36170</v>
      </c>
      <c r="AS133" s="111">
        <v>36260</v>
      </c>
      <c r="AT133" s="111">
        <v>36320</v>
      </c>
      <c r="AU133" s="111">
        <v>36360</v>
      </c>
      <c r="AV133" s="111">
        <v>36380</v>
      </c>
      <c r="AW133" s="111">
        <v>36410</v>
      </c>
      <c r="AX133" s="111">
        <v>36440</v>
      </c>
      <c r="AY133" s="111">
        <v>36480</v>
      </c>
      <c r="AZ133" s="111">
        <v>36530</v>
      </c>
      <c r="BA133" s="111">
        <v>36600</v>
      </c>
      <c r="BB133" s="111">
        <v>36690</v>
      </c>
      <c r="BC133" s="111">
        <v>36810</v>
      </c>
      <c r="BD133" s="111">
        <v>36950</v>
      </c>
      <c r="BE133" s="111">
        <v>37110</v>
      </c>
      <c r="BF133" s="111">
        <v>37280</v>
      </c>
      <c r="BG133" s="111">
        <v>37450</v>
      </c>
      <c r="BH133" s="111">
        <v>37600</v>
      </c>
      <c r="BI133" s="111">
        <v>37730</v>
      </c>
      <c r="BJ133" s="111">
        <v>37830</v>
      </c>
      <c r="BK133" s="111">
        <v>37900</v>
      </c>
      <c r="BL133" s="111">
        <v>37930</v>
      </c>
      <c r="BM133" s="195">
        <v>37930</v>
      </c>
      <c r="BN133" s="195">
        <v>37900</v>
      </c>
      <c r="BO133" s="195">
        <v>37840</v>
      </c>
      <c r="BP133" s="195">
        <v>37760</v>
      </c>
      <c r="BQ133" s="195">
        <v>37670</v>
      </c>
    </row>
    <row r="134" spans="1:69">
      <c r="A134" s="105">
        <f>$A$41</f>
        <v>24</v>
      </c>
      <c r="B134" s="111">
        <v>27970</v>
      </c>
      <c r="C134" s="111">
        <v>28320</v>
      </c>
      <c r="D134" s="111">
        <v>27860</v>
      </c>
      <c r="E134" s="111">
        <v>27710</v>
      </c>
      <c r="F134" s="111">
        <v>28100</v>
      </c>
      <c r="G134" s="111">
        <v>28460</v>
      </c>
      <c r="H134" s="111">
        <v>28950</v>
      </c>
      <c r="I134" s="111">
        <v>29910</v>
      </c>
      <c r="J134" s="111">
        <v>32200</v>
      </c>
      <c r="K134" s="111">
        <v>35210</v>
      </c>
      <c r="L134" s="111">
        <v>36830</v>
      </c>
      <c r="M134" s="111">
        <v>37470</v>
      </c>
      <c r="N134" s="111">
        <v>36450</v>
      </c>
      <c r="O134" s="111">
        <v>36400</v>
      </c>
      <c r="P134" s="111">
        <v>36920</v>
      </c>
      <c r="Q134" s="111">
        <v>35330</v>
      </c>
      <c r="R134" s="111">
        <v>35110</v>
      </c>
      <c r="S134" s="111">
        <v>34220</v>
      </c>
      <c r="T134" s="111">
        <v>34950</v>
      </c>
      <c r="U134" s="111">
        <v>34480</v>
      </c>
      <c r="V134" s="111">
        <v>33140</v>
      </c>
      <c r="W134" s="111">
        <v>33700</v>
      </c>
      <c r="X134" s="111">
        <v>33960</v>
      </c>
      <c r="Y134" s="111">
        <v>34370</v>
      </c>
      <c r="Z134" s="111">
        <v>35390</v>
      </c>
      <c r="AA134" s="111">
        <v>37380</v>
      </c>
      <c r="AB134" s="111">
        <v>38460</v>
      </c>
      <c r="AC134" s="111">
        <v>39030</v>
      </c>
      <c r="AD134" s="111">
        <v>39520</v>
      </c>
      <c r="AE134" s="111">
        <v>39230</v>
      </c>
      <c r="AF134" s="111">
        <v>39070</v>
      </c>
      <c r="AG134" s="111">
        <v>38780</v>
      </c>
      <c r="AH134" s="111">
        <v>38430</v>
      </c>
      <c r="AI134" s="111">
        <v>38360</v>
      </c>
      <c r="AJ134" s="111">
        <v>38050</v>
      </c>
      <c r="AK134" s="111">
        <v>37820</v>
      </c>
      <c r="AL134" s="111">
        <v>37120</v>
      </c>
      <c r="AM134" s="111">
        <v>37090</v>
      </c>
      <c r="AN134" s="111">
        <v>36460</v>
      </c>
      <c r="AO134" s="111">
        <v>36280</v>
      </c>
      <c r="AP134" s="111">
        <v>36240</v>
      </c>
      <c r="AQ134" s="111">
        <v>36180</v>
      </c>
      <c r="AR134" s="111">
        <v>36100</v>
      </c>
      <c r="AS134" s="111">
        <v>36220</v>
      </c>
      <c r="AT134" s="111">
        <v>36310</v>
      </c>
      <c r="AU134" s="111">
        <v>36360</v>
      </c>
      <c r="AV134" s="111">
        <v>36400</v>
      </c>
      <c r="AW134" s="111">
        <v>36430</v>
      </c>
      <c r="AX134" s="111">
        <v>36460</v>
      </c>
      <c r="AY134" s="111">
        <v>36490</v>
      </c>
      <c r="AZ134" s="111">
        <v>36530</v>
      </c>
      <c r="BA134" s="111">
        <v>36580</v>
      </c>
      <c r="BB134" s="111">
        <v>36650</v>
      </c>
      <c r="BC134" s="111">
        <v>36740</v>
      </c>
      <c r="BD134" s="111">
        <v>36860</v>
      </c>
      <c r="BE134" s="111">
        <v>37000</v>
      </c>
      <c r="BF134" s="111">
        <v>37160</v>
      </c>
      <c r="BG134" s="111">
        <v>37330</v>
      </c>
      <c r="BH134" s="111">
        <v>37500</v>
      </c>
      <c r="BI134" s="111">
        <v>37650</v>
      </c>
      <c r="BJ134" s="111">
        <v>37780</v>
      </c>
      <c r="BK134" s="111">
        <v>37880</v>
      </c>
      <c r="BL134" s="111">
        <v>37950</v>
      </c>
      <c r="BM134" s="195">
        <v>37980</v>
      </c>
      <c r="BN134" s="195">
        <v>37980</v>
      </c>
      <c r="BO134" s="195">
        <v>37950</v>
      </c>
      <c r="BP134" s="195">
        <v>37900</v>
      </c>
      <c r="BQ134" s="195">
        <v>37820</v>
      </c>
    </row>
    <row r="135" spans="1:69">
      <c r="A135" s="105">
        <f>$A$42</f>
        <v>25</v>
      </c>
      <c r="B135" s="111">
        <v>26850</v>
      </c>
      <c r="C135" s="111">
        <v>27330</v>
      </c>
      <c r="D135" s="111">
        <v>27690</v>
      </c>
      <c r="E135" s="111">
        <v>27550</v>
      </c>
      <c r="F135" s="111">
        <v>27400</v>
      </c>
      <c r="G135" s="111">
        <v>27490</v>
      </c>
      <c r="H135" s="111">
        <v>27780</v>
      </c>
      <c r="I135" s="111">
        <v>28550</v>
      </c>
      <c r="J135" s="111">
        <v>30780</v>
      </c>
      <c r="K135" s="111">
        <v>33850</v>
      </c>
      <c r="L135" s="111">
        <v>36740</v>
      </c>
      <c r="M135" s="111">
        <v>37950</v>
      </c>
      <c r="N135" s="111">
        <v>37990</v>
      </c>
      <c r="O135" s="111">
        <v>36670</v>
      </c>
      <c r="P135" s="111">
        <v>37380</v>
      </c>
      <c r="Q135" s="111">
        <v>36810</v>
      </c>
      <c r="R135" s="111">
        <v>35370</v>
      </c>
      <c r="S135" s="111">
        <v>35240</v>
      </c>
      <c r="T135" s="111">
        <v>34320</v>
      </c>
      <c r="U135" s="111">
        <v>35050</v>
      </c>
      <c r="V135" s="111">
        <v>34580</v>
      </c>
      <c r="W135" s="111">
        <v>33240</v>
      </c>
      <c r="X135" s="111">
        <v>33800</v>
      </c>
      <c r="Y135" s="111">
        <v>34060</v>
      </c>
      <c r="Z135" s="111">
        <v>34470</v>
      </c>
      <c r="AA135" s="111">
        <v>35490</v>
      </c>
      <c r="AB135" s="111">
        <v>37480</v>
      </c>
      <c r="AC135" s="111">
        <v>38560</v>
      </c>
      <c r="AD135" s="111">
        <v>39130</v>
      </c>
      <c r="AE135" s="111">
        <v>39620</v>
      </c>
      <c r="AF135" s="111">
        <v>39330</v>
      </c>
      <c r="AG135" s="111">
        <v>39170</v>
      </c>
      <c r="AH135" s="111">
        <v>38880</v>
      </c>
      <c r="AI135" s="111">
        <v>38530</v>
      </c>
      <c r="AJ135" s="111">
        <v>38460</v>
      </c>
      <c r="AK135" s="111">
        <v>38150</v>
      </c>
      <c r="AL135" s="111">
        <v>37920</v>
      </c>
      <c r="AM135" s="111">
        <v>37220</v>
      </c>
      <c r="AN135" s="111">
        <v>37200</v>
      </c>
      <c r="AO135" s="111">
        <v>36560</v>
      </c>
      <c r="AP135" s="111">
        <v>36380</v>
      </c>
      <c r="AQ135" s="111">
        <v>36350</v>
      </c>
      <c r="AR135" s="111">
        <v>36290</v>
      </c>
      <c r="AS135" s="111">
        <v>36200</v>
      </c>
      <c r="AT135" s="111">
        <v>36320</v>
      </c>
      <c r="AU135" s="111">
        <v>36410</v>
      </c>
      <c r="AV135" s="111">
        <v>36470</v>
      </c>
      <c r="AW135" s="111">
        <v>36510</v>
      </c>
      <c r="AX135" s="111">
        <v>36540</v>
      </c>
      <c r="AY135" s="111">
        <v>36560</v>
      </c>
      <c r="AZ135" s="111">
        <v>36590</v>
      </c>
      <c r="BA135" s="111">
        <v>36630</v>
      </c>
      <c r="BB135" s="111">
        <v>36680</v>
      </c>
      <c r="BC135" s="111">
        <v>36750</v>
      </c>
      <c r="BD135" s="111">
        <v>36840</v>
      </c>
      <c r="BE135" s="111">
        <v>36960</v>
      </c>
      <c r="BF135" s="111">
        <v>37100</v>
      </c>
      <c r="BG135" s="111">
        <v>37260</v>
      </c>
      <c r="BH135" s="111">
        <v>37430</v>
      </c>
      <c r="BI135" s="111">
        <v>37600</v>
      </c>
      <c r="BJ135" s="111">
        <v>37750</v>
      </c>
      <c r="BK135" s="111">
        <v>37880</v>
      </c>
      <c r="BL135" s="111">
        <v>37990</v>
      </c>
      <c r="BM135" s="195">
        <v>38050</v>
      </c>
      <c r="BN135" s="195">
        <v>38090</v>
      </c>
      <c r="BO135" s="195">
        <v>38090</v>
      </c>
      <c r="BP135" s="195">
        <v>38060</v>
      </c>
      <c r="BQ135" s="195">
        <v>38000</v>
      </c>
    </row>
    <row r="136" spans="1:69">
      <c r="A136" s="105">
        <f>$A$43</f>
        <v>26</v>
      </c>
      <c r="B136" s="111">
        <v>25810</v>
      </c>
      <c r="C136" s="111">
        <v>26520</v>
      </c>
      <c r="D136" s="111">
        <v>26680</v>
      </c>
      <c r="E136" s="111">
        <v>27300</v>
      </c>
      <c r="F136" s="111">
        <v>27360</v>
      </c>
      <c r="G136" s="111">
        <v>26870</v>
      </c>
      <c r="H136" s="111">
        <v>26900</v>
      </c>
      <c r="I136" s="111">
        <v>27500</v>
      </c>
      <c r="J136" s="111">
        <v>29480</v>
      </c>
      <c r="K136" s="111">
        <v>32180</v>
      </c>
      <c r="L136" s="111">
        <v>35500</v>
      </c>
      <c r="M136" s="111">
        <v>37790</v>
      </c>
      <c r="N136" s="111">
        <v>38730</v>
      </c>
      <c r="O136" s="111">
        <v>38360</v>
      </c>
      <c r="P136" s="111">
        <v>37800</v>
      </c>
      <c r="Q136" s="111">
        <v>37260</v>
      </c>
      <c r="R136" s="111">
        <v>36850</v>
      </c>
      <c r="S136" s="111">
        <v>35500</v>
      </c>
      <c r="T136" s="111">
        <v>35360</v>
      </c>
      <c r="U136" s="111">
        <v>34450</v>
      </c>
      <c r="V136" s="111">
        <v>35180</v>
      </c>
      <c r="W136" s="111">
        <v>34710</v>
      </c>
      <c r="X136" s="111">
        <v>33380</v>
      </c>
      <c r="Y136" s="111">
        <v>33930</v>
      </c>
      <c r="Z136" s="111">
        <v>34190</v>
      </c>
      <c r="AA136" s="111">
        <v>34600</v>
      </c>
      <c r="AB136" s="111">
        <v>35620</v>
      </c>
      <c r="AC136" s="111">
        <v>37610</v>
      </c>
      <c r="AD136" s="111">
        <v>38690</v>
      </c>
      <c r="AE136" s="111">
        <v>39260</v>
      </c>
      <c r="AF136" s="111">
        <v>39750</v>
      </c>
      <c r="AG136" s="111">
        <v>39460</v>
      </c>
      <c r="AH136" s="111">
        <v>39300</v>
      </c>
      <c r="AI136" s="111">
        <v>39010</v>
      </c>
      <c r="AJ136" s="111">
        <v>38660</v>
      </c>
      <c r="AK136" s="111">
        <v>38590</v>
      </c>
      <c r="AL136" s="111">
        <v>38290</v>
      </c>
      <c r="AM136" s="111">
        <v>38050</v>
      </c>
      <c r="AN136" s="111">
        <v>37360</v>
      </c>
      <c r="AO136" s="111">
        <v>37330</v>
      </c>
      <c r="AP136" s="111">
        <v>36700</v>
      </c>
      <c r="AQ136" s="111">
        <v>36520</v>
      </c>
      <c r="AR136" s="111">
        <v>36480</v>
      </c>
      <c r="AS136" s="111">
        <v>36420</v>
      </c>
      <c r="AT136" s="111">
        <v>36340</v>
      </c>
      <c r="AU136" s="111">
        <v>36460</v>
      </c>
      <c r="AV136" s="111">
        <v>36550</v>
      </c>
      <c r="AW136" s="111">
        <v>36610</v>
      </c>
      <c r="AX136" s="111">
        <v>36640</v>
      </c>
      <c r="AY136" s="111">
        <v>36670</v>
      </c>
      <c r="AZ136" s="111">
        <v>36700</v>
      </c>
      <c r="BA136" s="111">
        <v>36730</v>
      </c>
      <c r="BB136" s="111">
        <v>36770</v>
      </c>
      <c r="BC136" s="111">
        <v>36820</v>
      </c>
      <c r="BD136" s="111">
        <v>36890</v>
      </c>
      <c r="BE136" s="111">
        <v>36980</v>
      </c>
      <c r="BF136" s="111">
        <v>37100</v>
      </c>
      <c r="BG136" s="111">
        <v>37240</v>
      </c>
      <c r="BH136" s="111">
        <v>37400</v>
      </c>
      <c r="BI136" s="111">
        <v>37570</v>
      </c>
      <c r="BJ136" s="111">
        <v>37740</v>
      </c>
      <c r="BK136" s="111">
        <v>37890</v>
      </c>
      <c r="BL136" s="111">
        <v>38020</v>
      </c>
      <c r="BM136" s="195">
        <v>38120</v>
      </c>
      <c r="BN136" s="195">
        <v>38190</v>
      </c>
      <c r="BO136" s="195">
        <v>38230</v>
      </c>
      <c r="BP136" s="195">
        <v>38230</v>
      </c>
      <c r="BQ136" s="195">
        <v>38200</v>
      </c>
    </row>
    <row r="137" spans="1:69">
      <c r="A137" s="105">
        <f>$A$44</f>
        <v>27</v>
      </c>
      <c r="B137" s="111">
        <v>24950</v>
      </c>
      <c r="C137" s="111">
        <v>25500</v>
      </c>
      <c r="D137" s="111">
        <v>26180</v>
      </c>
      <c r="E137" s="111">
        <v>26500</v>
      </c>
      <c r="F137" s="111">
        <v>27160</v>
      </c>
      <c r="G137" s="111">
        <v>26830</v>
      </c>
      <c r="H137" s="111">
        <v>26330</v>
      </c>
      <c r="I137" s="111">
        <v>26710</v>
      </c>
      <c r="J137" s="111">
        <v>28450</v>
      </c>
      <c r="K137" s="111">
        <v>31000</v>
      </c>
      <c r="L137" s="111">
        <v>33600</v>
      </c>
      <c r="M137" s="111">
        <v>36760</v>
      </c>
      <c r="N137" s="111">
        <v>38680</v>
      </c>
      <c r="O137" s="111">
        <v>39190</v>
      </c>
      <c r="P137" s="111">
        <v>39460</v>
      </c>
      <c r="Q137" s="111">
        <v>37670</v>
      </c>
      <c r="R137" s="111">
        <v>37280</v>
      </c>
      <c r="S137" s="111">
        <v>36940</v>
      </c>
      <c r="T137" s="111">
        <v>35620</v>
      </c>
      <c r="U137" s="111">
        <v>35490</v>
      </c>
      <c r="V137" s="111">
        <v>34580</v>
      </c>
      <c r="W137" s="111">
        <v>35310</v>
      </c>
      <c r="X137" s="111">
        <v>34840</v>
      </c>
      <c r="Y137" s="111">
        <v>33510</v>
      </c>
      <c r="Z137" s="111">
        <v>34060</v>
      </c>
      <c r="AA137" s="111">
        <v>34320</v>
      </c>
      <c r="AB137" s="111">
        <v>34730</v>
      </c>
      <c r="AC137" s="111">
        <v>35750</v>
      </c>
      <c r="AD137" s="111">
        <v>37740</v>
      </c>
      <c r="AE137" s="111">
        <v>38820</v>
      </c>
      <c r="AF137" s="111">
        <v>39390</v>
      </c>
      <c r="AG137" s="111">
        <v>39880</v>
      </c>
      <c r="AH137" s="111">
        <v>39590</v>
      </c>
      <c r="AI137" s="111">
        <v>39430</v>
      </c>
      <c r="AJ137" s="111">
        <v>39140</v>
      </c>
      <c r="AK137" s="111">
        <v>38790</v>
      </c>
      <c r="AL137" s="111">
        <v>38720</v>
      </c>
      <c r="AM137" s="111">
        <v>38420</v>
      </c>
      <c r="AN137" s="111">
        <v>38180</v>
      </c>
      <c r="AO137" s="111">
        <v>37490</v>
      </c>
      <c r="AP137" s="111">
        <v>37460</v>
      </c>
      <c r="AQ137" s="111">
        <v>36830</v>
      </c>
      <c r="AR137" s="111">
        <v>36650</v>
      </c>
      <c r="AS137" s="111">
        <v>36620</v>
      </c>
      <c r="AT137" s="111">
        <v>36560</v>
      </c>
      <c r="AU137" s="111">
        <v>36470</v>
      </c>
      <c r="AV137" s="111">
        <v>36600</v>
      </c>
      <c r="AW137" s="111">
        <v>36680</v>
      </c>
      <c r="AX137" s="111">
        <v>36740</v>
      </c>
      <c r="AY137" s="111">
        <v>36780</v>
      </c>
      <c r="AZ137" s="111">
        <v>36810</v>
      </c>
      <c r="BA137" s="111">
        <v>36840</v>
      </c>
      <c r="BB137" s="111">
        <v>36870</v>
      </c>
      <c r="BC137" s="111">
        <v>36910</v>
      </c>
      <c r="BD137" s="111">
        <v>36960</v>
      </c>
      <c r="BE137" s="111">
        <v>37030</v>
      </c>
      <c r="BF137" s="111">
        <v>37120</v>
      </c>
      <c r="BG137" s="111">
        <v>37240</v>
      </c>
      <c r="BH137" s="111">
        <v>37380</v>
      </c>
      <c r="BI137" s="111">
        <v>37540</v>
      </c>
      <c r="BJ137" s="111">
        <v>37710</v>
      </c>
      <c r="BK137" s="111">
        <v>37880</v>
      </c>
      <c r="BL137" s="111">
        <v>38030</v>
      </c>
      <c r="BM137" s="195">
        <v>38160</v>
      </c>
      <c r="BN137" s="195">
        <v>38260</v>
      </c>
      <c r="BO137" s="195">
        <v>38330</v>
      </c>
      <c r="BP137" s="195">
        <v>38370</v>
      </c>
      <c r="BQ137" s="195">
        <v>38370</v>
      </c>
    </row>
    <row r="138" spans="1:69">
      <c r="A138" s="105">
        <f>$A$45</f>
        <v>28</v>
      </c>
      <c r="B138" s="111">
        <v>24310</v>
      </c>
      <c r="C138" s="111">
        <v>25050</v>
      </c>
      <c r="D138" s="111">
        <v>25420</v>
      </c>
      <c r="E138" s="111">
        <v>26210</v>
      </c>
      <c r="F138" s="111">
        <v>26400</v>
      </c>
      <c r="G138" s="111">
        <v>26740</v>
      </c>
      <c r="H138" s="111">
        <v>26420</v>
      </c>
      <c r="I138" s="111">
        <v>26240</v>
      </c>
      <c r="J138" s="111">
        <v>27720</v>
      </c>
      <c r="K138" s="111">
        <v>29910</v>
      </c>
      <c r="L138" s="111">
        <v>32600</v>
      </c>
      <c r="M138" s="111">
        <v>34940</v>
      </c>
      <c r="N138" s="111">
        <v>37910</v>
      </c>
      <c r="O138" s="111">
        <v>39220</v>
      </c>
      <c r="P138" s="111">
        <v>40270</v>
      </c>
      <c r="Q138" s="111">
        <v>39320</v>
      </c>
      <c r="R138" s="111">
        <v>37700</v>
      </c>
      <c r="S138" s="111">
        <v>37380</v>
      </c>
      <c r="T138" s="111">
        <v>37170</v>
      </c>
      <c r="U138" s="111">
        <v>35850</v>
      </c>
      <c r="V138" s="111">
        <v>35720</v>
      </c>
      <c r="W138" s="111">
        <v>34800</v>
      </c>
      <c r="X138" s="111">
        <v>35530</v>
      </c>
      <c r="Y138" s="111">
        <v>35070</v>
      </c>
      <c r="Z138" s="111">
        <v>33740</v>
      </c>
      <c r="AA138" s="111">
        <v>34290</v>
      </c>
      <c r="AB138" s="111">
        <v>34550</v>
      </c>
      <c r="AC138" s="111">
        <v>34960</v>
      </c>
      <c r="AD138" s="111">
        <v>35980</v>
      </c>
      <c r="AE138" s="111">
        <v>37970</v>
      </c>
      <c r="AF138" s="111">
        <v>39040</v>
      </c>
      <c r="AG138" s="111">
        <v>39620</v>
      </c>
      <c r="AH138" s="111">
        <v>40100</v>
      </c>
      <c r="AI138" s="111">
        <v>39810</v>
      </c>
      <c r="AJ138" s="111">
        <v>39660</v>
      </c>
      <c r="AK138" s="111">
        <v>39370</v>
      </c>
      <c r="AL138" s="111">
        <v>39020</v>
      </c>
      <c r="AM138" s="111">
        <v>38950</v>
      </c>
      <c r="AN138" s="111">
        <v>38650</v>
      </c>
      <c r="AO138" s="111">
        <v>38410</v>
      </c>
      <c r="AP138" s="111">
        <v>37720</v>
      </c>
      <c r="AQ138" s="111">
        <v>37690</v>
      </c>
      <c r="AR138" s="111">
        <v>37060</v>
      </c>
      <c r="AS138" s="111">
        <v>36880</v>
      </c>
      <c r="AT138" s="111">
        <v>36850</v>
      </c>
      <c r="AU138" s="111">
        <v>36790</v>
      </c>
      <c r="AV138" s="111">
        <v>36700</v>
      </c>
      <c r="AW138" s="111">
        <v>36830</v>
      </c>
      <c r="AX138" s="111">
        <v>36910</v>
      </c>
      <c r="AY138" s="111">
        <v>36970</v>
      </c>
      <c r="AZ138" s="111">
        <v>37010</v>
      </c>
      <c r="BA138" s="111">
        <v>37040</v>
      </c>
      <c r="BB138" s="111">
        <v>37070</v>
      </c>
      <c r="BC138" s="111">
        <v>37100</v>
      </c>
      <c r="BD138" s="111">
        <v>37140</v>
      </c>
      <c r="BE138" s="111">
        <v>37190</v>
      </c>
      <c r="BF138" s="111">
        <v>37260</v>
      </c>
      <c r="BG138" s="111">
        <v>37350</v>
      </c>
      <c r="BH138" s="111">
        <v>37470</v>
      </c>
      <c r="BI138" s="111">
        <v>37610</v>
      </c>
      <c r="BJ138" s="111">
        <v>37770</v>
      </c>
      <c r="BK138" s="111">
        <v>37940</v>
      </c>
      <c r="BL138" s="111">
        <v>38120</v>
      </c>
      <c r="BM138" s="195">
        <v>38270</v>
      </c>
      <c r="BN138" s="195">
        <v>38400</v>
      </c>
      <c r="BO138" s="195">
        <v>38500</v>
      </c>
      <c r="BP138" s="195">
        <v>38570</v>
      </c>
      <c r="BQ138" s="195">
        <v>38600</v>
      </c>
    </row>
    <row r="139" spans="1:69">
      <c r="A139" s="105">
        <f>$A$46</f>
        <v>29</v>
      </c>
      <c r="B139" s="111">
        <v>24860</v>
      </c>
      <c r="C139" s="111">
        <v>24580</v>
      </c>
      <c r="D139" s="111">
        <v>25170</v>
      </c>
      <c r="E139" s="111">
        <v>25650</v>
      </c>
      <c r="F139" s="111">
        <v>26170</v>
      </c>
      <c r="G139" s="111">
        <v>26150</v>
      </c>
      <c r="H139" s="111">
        <v>26520</v>
      </c>
      <c r="I139" s="111">
        <v>26330</v>
      </c>
      <c r="J139" s="111">
        <v>27110</v>
      </c>
      <c r="K139" s="111">
        <v>29070</v>
      </c>
      <c r="L139" s="111">
        <v>31630</v>
      </c>
      <c r="M139" s="111">
        <v>34150</v>
      </c>
      <c r="N139" s="111">
        <v>36030</v>
      </c>
      <c r="O139" s="111">
        <v>38650</v>
      </c>
      <c r="P139" s="111">
        <v>40470</v>
      </c>
      <c r="Q139" s="111">
        <v>40160</v>
      </c>
      <c r="R139" s="111">
        <v>39400</v>
      </c>
      <c r="S139" s="111">
        <v>37870</v>
      </c>
      <c r="T139" s="111">
        <v>37790</v>
      </c>
      <c r="U139" s="111">
        <v>37570</v>
      </c>
      <c r="V139" s="111">
        <v>36250</v>
      </c>
      <c r="W139" s="111">
        <v>36120</v>
      </c>
      <c r="X139" s="111">
        <v>35210</v>
      </c>
      <c r="Y139" s="111">
        <v>35940</v>
      </c>
      <c r="Z139" s="111">
        <v>35470</v>
      </c>
      <c r="AA139" s="111">
        <v>34140</v>
      </c>
      <c r="AB139" s="111">
        <v>34690</v>
      </c>
      <c r="AC139" s="111">
        <v>34950</v>
      </c>
      <c r="AD139" s="111">
        <v>35360</v>
      </c>
      <c r="AE139" s="111">
        <v>36390</v>
      </c>
      <c r="AF139" s="111">
        <v>38370</v>
      </c>
      <c r="AG139" s="111">
        <v>39450</v>
      </c>
      <c r="AH139" s="111">
        <v>40020</v>
      </c>
      <c r="AI139" s="111">
        <v>40510</v>
      </c>
      <c r="AJ139" s="111">
        <v>40220</v>
      </c>
      <c r="AK139" s="111">
        <v>40060</v>
      </c>
      <c r="AL139" s="111">
        <v>39780</v>
      </c>
      <c r="AM139" s="111">
        <v>39430</v>
      </c>
      <c r="AN139" s="111">
        <v>39360</v>
      </c>
      <c r="AO139" s="111">
        <v>39050</v>
      </c>
      <c r="AP139" s="111">
        <v>38820</v>
      </c>
      <c r="AQ139" s="111">
        <v>38130</v>
      </c>
      <c r="AR139" s="111">
        <v>38100</v>
      </c>
      <c r="AS139" s="111">
        <v>37470</v>
      </c>
      <c r="AT139" s="111">
        <v>37290</v>
      </c>
      <c r="AU139" s="111">
        <v>37260</v>
      </c>
      <c r="AV139" s="111">
        <v>37200</v>
      </c>
      <c r="AW139" s="111">
        <v>37110</v>
      </c>
      <c r="AX139" s="111">
        <v>37240</v>
      </c>
      <c r="AY139" s="111">
        <v>37320</v>
      </c>
      <c r="AZ139" s="111">
        <v>37380</v>
      </c>
      <c r="BA139" s="111">
        <v>37420</v>
      </c>
      <c r="BB139" s="111">
        <v>37450</v>
      </c>
      <c r="BC139" s="111">
        <v>37480</v>
      </c>
      <c r="BD139" s="111">
        <v>37510</v>
      </c>
      <c r="BE139" s="111">
        <v>37550</v>
      </c>
      <c r="BF139" s="111">
        <v>37600</v>
      </c>
      <c r="BG139" s="111">
        <v>37670</v>
      </c>
      <c r="BH139" s="111">
        <v>37760</v>
      </c>
      <c r="BI139" s="111">
        <v>37880</v>
      </c>
      <c r="BJ139" s="111">
        <v>38030</v>
      </c>
      <c r="BK139" s="111">
        <v>38180</v>
      </c>
      <c r="BL139" s="111">
        <v>38360</v>
      </c>
      <c r="BM139" s="195">
        <v>38530</v>
      </c>
      <c r="BN139" s="195">
        <v>38680</v>
      </c>
      <c r="BO139" s="195">
        <v>38810</v>
      </c>
      <c r="BP139" s="195">
        <v>38910</v>
      </c>
      <c r="BQ139" s="195">
        <v>38980</v>
      </c>
    </row>
    <row r="140" spans="1:69">
      <c r="A140" s="105">
        <f>$A$47</f>
        <v>30</v>
      </c>
      <c r="B140" s="111">
        <v>25180</v>
      </c>
      <c r="C140" s="111">
        <v>25160</v>
      </c>
      <c r="D140" s="111">
        <v>24780</v>
      </c>
      <c r="E140" s="111">
        <v>25430</v>
      </c>
      <c r="F140" s="111">
        <v>25770</v>
      </c>
      <c r="G140" s="111">
        <v>26150</v>
      </c>
      <c r="H140" s="111">
        <v>26000</v>
      </c>
      <c r="I140" s="111">
        <v>26530</v>
      </c>
      <c r="J140" s="111">
        <v>27320</v>
      </c>
      <c r="K140" s="111">
        <v>28470</v>
      </c>
      <c r="L140" s="111">
        <v>30500</v>
      </c>
      <c r="M140" s="111">
        <v>33140</v>
      </c>
      <c r="N140" s="111">
        <v>35420</v>
      </c>
      <c r="O140" s="111">
        <v>36810</v>
      </c>
      <c r="P140" s="111">
        <v>39910</v>
      </c>
      <c r="Q140" s="111">
        <v>40370</v>
      </c>
      <c r="R140" s="111">
        <v>40220</v>
      </c>
      <c r="S140" s="111">
        <v>39540</v>
      </c>
      <c r="T140" s="111">
        <v>38270</v>
      </c>
      <c r="U140" s="111">
        <v>38190</v>
      </c>
      <c r="V140" s="111">
        <v>37970</v>
      </c>
      <c r="W140" s="111">
        <v>36660</v>
      </c>
      <c r="X140" s="111">
        <v>36530</v>
      </c>
      <c r="Y140" s="111">
        <v>35610</v>
      </c>
      <c r="Z140" s="111">
        <v>36340</v>
      </c>
      <c r="AA140" s="111">
        <v>35880</v>
      </c>
      <c r="AB140" s="111">
        <v>34550</v>
      </c>
      <c r="AC140" s="111">
        <v>35100</v>
      </c>
      <c r="AD140" s="111">
        <v>35360</v>
      </c>
      <c r="AE140" s="111">
        <v>35770</v>
      </c>
      <c r="AF140" s="111">
        <v>36790</v>
      </c>
      <c r="AG140" s="111">
        <v>38780</v>
      </c>
      <c r="AH140" s="111">
        <v>39850</v>
      </c>
      <c r="AI140" s="111">
        <v>40430</v>
      </c>
      <c r="AJ140" s="111">
        <v>40910</v>
      </c>
      <c r="AK140" s="111">
        <v>40620</v>
      </c>
      <c r="AL140" s="111">
        <v>40470</v>
      </c>
      <c r="AM140" s="111">
        <v>40180</v>
      </c>
      <c r="AN140" s="111">
        <v>39830</v>
      </c>
      <c r="AO140" s="111">
        <v>39760</v>
      </c>
      <c r="AP140" s="111">
        <v>39460</v>
      </c>
      <c r="AQ140" s="111">
        <v>39230</v>
      </c>
      <c r="AR140" s="111">
        <v>38540</v>
      </c>
      <c r="AS140" s="111">
        <v>38510</v>
      </c>
      <c r="AT140" s="111">
        <v>37880</v>
      </c>
      <c r="AU140" s="111">
        <v>37700</v>
      </c>
      <c r="AV140" s="111">
        <v>37670</v>
      </c>
      <c r="AW140" s="111">
        <v>37610</v>
      </c>
      <c r="AX140" s="111">
        <v>37520</v>
      </c>
      <c r="AY140" s="111">
        <v>37650</v>
      </c>
      <c r="AZ140" s="111">
        <v>37730</v>
      </c>
      <c r="BA140" s="111">
        <v>37790</v>
      </c>
      <c r="BB140" s="111">
        <v>37830</v>
      </c>
      <c r="BC140" s="111">
        <v>37860</v>
      </c>
      <c r="BD140" s="111">
        <v>37890</v>
      </c>
      <c r="BE140" s="111">
        <v>37920</v>
      </c>
      <c r="BF140" s="111">
        <v>37960</v>
      </c>
      <c r="BG140" s="111">
        <v>38010</v>
      </c>
      <c r="BH140" s="111">
        <v>38080</v>
      </c>
      <c r="BI140" s="111">
        <v>38180</v>
      </c>
      <c r="BJ140" s="111">
        <v>38300</v>
      </c>
      <c r="BK140" s="111">
        <v>38440</v>
      </c>
      <c r="BL140" s="111">
        <v>38600</v>
      </c>
      <c r="BM140" s="195">
        <v>38770</v>
      </c>
      <c r="BN140" s="195">
        <v>38940</v>
      </c>
      <c r="BO140" s="195">
        <v>39090</v>
      </c>
      <c r="BP140" s="195">
        <v>39220</v>
      </c>
      <c r="BQ140" s="195">
        <v>39320</v>
      </c>
    </row>
    <row r="141" spans="1:69">
      <c r="A141" s="105">
        <f>$A$48</f>
        <v>31</v>
      </c>
      <c r="B141" s="111">
        <v>26120</v>
      </c>
      <c r="C141" s="111">
        <v>25420</v>
      </c>
      <c r="D141" s="111">
        <v>25480</v>
      </c>
      <c r="E141" s="111">
        <v>25060</v>
      </c>
      <c r="F141" s="111">
        <v>25520</v>
      </c>
      <c r="G141" s="111">
        <v>25770</v>
      </c>
      <c r="H141" s="111">
        <v>26110</v>
      </c>
      <c r="I141" s="111">
        <v>26060</v>
      </c>
      <c r="J141" s="111">
        <v>27470</v>
      </c>
      <c r="K141" s="111">
        <v>28550</v>
      </c>
      <c r="L141" s="111">
        <v>29760</v>
      </c>
      <c r="M141" s="111">
        <v>31930</v>
      </c>
      <c r="N141" s="111">
        <v>34380</v>
      </c>
      <c r="O141" s="111">
        <v>36210</v>
      </c>
      <c r="P141" s="111">
        <v>38210</v>
      </c>
      <c r="Q141" s="111">
        <v>39860</v>
      </c>
      <c r="R141" s="111">
        <v>40470</v>
      </c>
      <c r="S141" s="111">
        <v>40400</v>
      </c>
      <c r="T141" s="111">
        <v>40000</v>
      </c>
      <c r="U141" s="111">
        <v>38730</v>
      </c>
      <c r="V141" s="111">
        <v>38650</v>
      </c>
      <c r="W141" s="111">
        <v>38440</v>
      </c>
      <c r="X141" s="111">
        <v>37120</v>
      </c>
      <c r="Y141" s="111">
        <v>36990</v>
      </c>
      <c r="Z141" s="111">
        <v>36080</v>
      </c>
      <c r="AA141" s="111">
        <v>36810</v>
      </c>
      <c r="AB141" s="111">
        <v>36340</v>
      </c>
      <c r="AC141" s="111">
        <v>35010</v>
      </c>
      <c r="AD141" s="111">
        <v>35570</v>
      </c>
      <c r="AE141" s="111">
        <v>35830</v>
      </c>
      <c r="AF141" s="111">
        <v>36240</v>
      </c>
      <c r="AG141" s="111">
        <v>37260</v>
      </c>
      <c r="AH141" s="111">
        <v>39240</v>
      </c>
      <c r="AI141" s="111">
        <v>40320</v>
      </c>
      <c r="AJ141" s="111">
        <v>40890</v>
      </c>
      <c r="AK141" s="111">
        <v>41380</v>
      </c>
      <c r="AL141" s="111">
        <v>41090</v>
      </c>
      <c r="AM141" s="111">
        <v>40930</v>
      </c>
      <c r="AN141" s="111">
        <v>40650</v>
      </c>
      <c r="AO141" s="111">
        <v>40300</v>
      </c>
      <c r="AP141" s="111">
        <v>40230</v>
      </c>
      <c r="AQ141" s="111">
        <v>39930</v>
      </c>
      <c r="AR141" s="111">
        <v>39700</v>
      </c>
      <c r="AS141" s="111">
        <v>39000</v>
      </c>
      <c r="AT141" s="111">
        <v>38980</v>
      </c>
      <c r="AU141" s="111">
        <v>38350</v>
      </c>
      <c r="AV141" s="111">
        <v>38170</v>
      </c>
      <c r="AW141" s="111">
        <v>38140</v>
      </c>
      <c r="AX141" s="111">
        <v>38080</v>
      </c>
      <c r="AY141" s="111">
        <v>37990</v>
      </c>
      <c r="AZ141" s="111">
        <v>38120</v>
      </c>
      <c r="BA141" s="111">
        <v>38210</v>
      </c>
      <c r="BB141" s="111">
        <v>38270</v>
      </c>
      <c r="BC141" s="111">
        <v>38310</v>
      </c>
      <c r="BD141" s="111">
        <v>38340</v>
      </c>
      <c r="BE141" s="111">
        <v>38360</v>
      </c>
      <c r="BF141" s="111">
        <v>38400</v>
      </c>
      <c r="BG141" s="111">
        <v>38430</v>
      </c>
      <c r="BH141" s="111">
        <v>38490</v>
      </c>
      <c r="BI141" s="111">
        <v>38560</v>
      </c>
      <c r="BJ141" s="111">
        <v>38650</v>
      </c>
      <c r="BK141" s="111">
        <v>38770</v>
      </c>
      <c r="BL141" s="111">
        <v>38910</v>
      </c>
      <c r="BM141" s="195">
        <v>39070</v>
      </c>
      <c r="BN141" s="195">
        <v>39240</v>
      </c>
      <c r="BO141" s="195">
        <v>39410</v>
      </c>
      <c r="BP141" s="195">
        <v>39560</v>
      </c>
      <c r="BQ141" s="195">
        <v>39700</v>
      </c>
    </row>
    <row r="142" spans="1:69">
      <c r="A142" s="105">
        <f>$A$49</f>
        <v>32</v>
      </c>
      <c r="B142" s="111">
        <v>27080</v>
      </c>
      <c r="C142" s="111">
        <v>26350</v>
      </c>
      <c r="D142" s="111">
        <v>25550</v>
      </c>
      <c r="E142" s="111">
        <v>25630</v>
      </c>
      <c r="F142" s="111">
        <v>25140</v>
      </c>
      <c r="G142" s="111">
        <v>25470</v>
      </c>
      <c r="H142" s="111">
        <v>25610</v>
      </c>
      <c r="I142" s="111">
        <v>26030</v>
      </c>
      <c r="J142" s="111">
        <v>26900</v>
      </c>
      <c r="K142" s="111">
        <v>28450</v>
      </c>
      <c r="L142" s="111">
        <v>29910</v>
      </c>
      <c r="M142" s="111">
        <v>31030</v>
      </c>
      <c r="N142" s="111">
        <v>33060</v>
      </c>
      <c r="O142" s="111">
        <v>35140</v>
      </c>
      <c r="P142" s="111">
        <v>37430</v>
      </c>
      <c r="Q142" s="111">
        <v>38210</v>
      </c>
      <c r="R142" s="111">
        <v>39990</v>
      </c>
      <c r="S142" s="111">
        <v>40670</v>
      </c>
      <c r="T142" s="111">
        <v>40810</v>
      </c>
      <c r="U142" s="111">
        <v>40410</v>
      </c>
      <c r="V142" s="111">
        <v>39140</v>
      </c>
      <c r="W142" s="111">
        <v>39050</v>
      </c>
      <c r="X142" s="111">
        <v>38840</v>
      </c>
      <c r="Y142" s="111">
        <v>37530</v>
      </c>
      <c r="Z142" s="111">
        <v>37400</v>
      </c>
      <c r="AA142" s="111">
        <v>36480</v>
      </c>
      <c r="AB142" s="111">
        <v>37210</v>
      </c>
      <c r="AC142" s="111">
        <v>36750</v>
      </c>
      <c r="AD142" s="111">
        <v>35420</v>
      </c>
      <c r="AE142" s="111">
        <v>35980</v>
      </c>
      <c r="AF142" s="111">
        <v>36240</v>
      </c>
      <c r="AG142" s="111">
        <v>36650</v>
      </c>
      <c r="AH142" s="111">
        <v>37670</v>
      </c>
      <c r="AI142" s="111">
        <v>39650</v>
      </c>
      <c r="AJ142" s="111">
        <v>40730</v>
      </c>
      <c r="AK142" s="111">
        <v>41300</v>
      </c>
      <c r="AL142" s="111">
        <v>41790</v>
      </c>
      <c r="AM142" s="111">
        <v>41500</v>
      </c>
      <c r="AN142" s="111">
        <v>41340</v>
      </c>
      <c r="AO142" s="111">
        <v>41060</v>
      </c>
      <c r="AP142" s="111">
        <v>40710</v>
      </c>
      <c r="AQ142" s="111">
        <v>40640</v>
      </c>
      <c r="AR142" s="111">
        <v>40340</v>
      </c>
      <c r="AS142" s="111">
        <v>40110</v>
      </c>
      <c r="AT142" s="111">
        <v>39420</v>
      </c>
      <c r="AU142" s="111">
        <v>39390</v>
      </c>
      <c r="AV142" s="111">
        <v>38760</v>
      </c>
      <c r="AW142" s="111">
        <v>38580</v>
      </c>
      <c r="AX142" s="111">
        <v>38550</v>
      </c>
      <c r="AY142" s="111">
        <v>38490</v>
      </c>
      <c r="AZ142" s="111">
        <v>38410</v>
      </c>
      <c r="BA142" s="111">
        <v>38530</v>
      </c>
      <c r="BB142" s="111">
        <v>38620</v>
      </c>
      <c r="BC142" s="111">
        <v>38680</v>
      </c>
      <c r="BD142" s="111">
        <v>38720</v>
      </c>
      <c r="BE142" s="111">
        <v>38750</v>
      </c>
      <c r="BF142" s="111">
        <v>38780</v>
      </c>
      <c r="BG142" s="111">
        <v>38810</v>
      </c>
      <c r="BH142" s="111">
        <v>38850</v>
      </c>
      <c r="BI142" s="111">
        <v>38900</v>
      </c>
      <c r="BJ142" s="111">
        <v>38970</v>
      </c>
      <c r="BK142" s="111">
        <v>39070</v>
      </c>
      <c r="BL142" s="111">
        <v>39190</v>
      </c>
      <c r="BM142" s="195">
        <v>39330</v>
      </c>
      <c r="BN142" s="195">
        <v>39490</v>
      </c>
      <c r="BO142" s="195">
        <v>39660</v>
      </c>
      <c r="BP142" s="195">
        <v>39830</v>
      </c>
      <c r="BQ142" s="195">
        <v>39980</v>
      </c>
    </row>
    <row r="143" spans="1:69">
      <c r="A143" s="105">
        <f>$A$50</f>
        <v>33</v>
      </c>
      <c r="B143" s="111">
        <v>28270</v>
      </c>
      <c r="C143" s="111">
        <v>27360</v>
      </c>
      <c r="D143" s="111">
        <v>26460</v>
      </c>
      <c r="E143" s="111">
        <v>25700</v>
      </c>
      <c r="F143" s="111">
        <v>25670</v>
      </c>
      <c r="G143" s="111">
        <v>25030</v>
      </c>
      <c r="H143" s="111">
        <v>25340</v>
      </c>
      <c r="I143" s="111">
        <v>25570</v>
      </c>
      <c r="J143" s="111">
        <v>26760</v>
      </c>
      <c r="K143" s="111">
        <v>27870</v>
      </c>
      <c r="L143" s="111">
        <v>29600</v>
      </c>
      <c r="M143" s="111">
        <v>31100</v>
      </c>
      <c r="N143" s="111">
        <v>32140</v>
      </c>
      <c r="O143" s="111">
        <v>33820</v>
      </c>
      <c r="P143" s="111">
        <v>36320</v>
      </c>
      <c r="Q143" s="111">
        <v>37450</v>
      </c>
      <c r="R143" s="111">
        <v>38340</v>
      </c>
      <c r="S143" s="111">
        <v>40180</v>
      </c>
      <c r="T143" s="111">
        <v>40980</v>
      </c>
      <c r="U143" s="111">
        <v>41120</v>
      </c>
      <c r="V143" s="111">
        <v>40720</v>
      </c>
      <c r="W143" s="111">
        <v>39450</v>
      </c>
      <c r="X143" s="111">
        <v>39370</v>
      </c>
      <c r="Y143" s="111">
        <v>39160</v>
      </c>
      <c r="Z143" s="111">
        <v>37850</v>
      </c>
      <c r="AA143" s="111">
        <v>37720</v>
      </c>
      <c r="AB143" s="111">
        <v>36810</v>
      </c>
      <c r="AC143" s="111">
        <v>37530</v>
      </c>
      <c r="AD143" s="111">
        <v>37070</v>
      </c>
      <c r="AE143" s="111">
        <v>35750</v>
      </c>
      <c r="AF143" s="111">
        <v>36300</v>
      </c>
      <c r="AG143" s="111">
        <v>36560</v>
      </c>
      <c r="AH143" s="111">
        <v>36970</v>
      </c>
      <c r="AI143" s="111">
        <v>37990</v>
      </c>
      <c r="AJ143" s="111">
        <v>39970</v>
      </c>
      <c r="AK143" s="111">
        <v>41050</v>
      </c>
      <c r="AL143" s="111">
        <v>41620</v>
      </c>
      <c r="AM143" s="111">
        <v>42110</v>
      </c>
      <c r="AN143" s="111">
        <v>41820</v>
      </c>
      <c r="AO143" s="111">
        <v>41670</v>
      </c>
      <c r="AP143" s="111">
        <v>41380</v>
      </c>
      <c r="AQ143" s="111">
        <v>41030</v>
      </c>
      <c r="AR143" s="111">
        <v>40960</v>
      </c>
      <c r="AS143" s="111">
        <v>40660</v>
      </c>
      <c r="AT143" s="111">
        <v>40430</v>
      </c>
      <c r="AU143" s="111">
        <v>39740</v>
      </c>
      <c r="AV143" s="111">
        <v>39720</v>
      </c>
      <c r="AW143" s="111">
        <v>39090</v>
      </c>
      <c r="AX143" s="111">
        <v>38910</v>
      </c>
      <c r="AY143" s="111">
        <v>38880</v>
      </c>
      <c r="AZ143" s="111">
        <v>38820</v>
      </c>
      <c r="BA143" s="111">
        <v>38740</v>
      </c>
      <c r="BB143" s="111">
        <v>38860</v>
      </c>
      <c r="BC143" s="111">
        <v>38950</v>
      </c>
      <c r="BD143" s="111">
        <v>39010</v>
      </c>
      <c r="BE143" s="111">
        <v>39050</v>
      </c>
      <c r="BF143" s="111">
        <v>39080</v>
      </c>
      <c r="BG143" s="111">
        <v>39110</v>
      </c>
      <c r="BH143" s="111">
        <v>39140</v>
      </c>
      <c r="BI143" s="111">
        <v>39180</v>
      </c>
      <c r="BJ143" s="111">
        <v>39230</v>
      </c>
      <c r="BK143" s="111">
        <v>39300</v>
      </c>
      <c r="BL143" s="111">
        <v>39390</v>
      </c>
      <c r="BM143" s="195">
        <v>39510</v>
      </c>
      <c r="BN143" s="195">
        <v>39660</v>
      </c>
      <c r="BO143" s="195">
        <v>39820</v>
      </c>
      <c r="BP143" s="195">
        <v>39990</v>
      </c>
      <c r="BQ143" s="195">
        <v>40160</v>
      </c>
    </row>
    <row r="144" spans="1:69">
      <c r="A144" s="105">
        <f>$A$51</f>
        <v>34</v>
      </c>
      <c r="B144" s="111">
        <v>29670</v>
      </c>
      <c r="C144" s="111">
        <v>28570</v>
      </c>
      <c r="D144" s="111">
        <v>27580</v>
      </c>
      <c r="E144" s="111">
        <v>26650</v>
      </c>
      <c r="F144" s="111">
        <v>25770</v>
      </c>
      <c r="G144" s="111">
        <v>25700</v>
      </c>
      <c r="H144" s="111">
        <v>24980</v>
      </c>
      <c r="I144" s="111">
        <v>25320</v>
      </c>
      <c r="J144" s="111">
        <v>26290</v>
      </c>
      <c r="K144" s="111">
        <v>27680</v>
      </c>
      <c r="L144" s="111">
        <v>28960</v>
      </c>
      <c r="M144" s="111">
        <v>30720</v>
      </c>
      <c r="N144" s="111">
        <v>32190</v>
      </c>
      <c r="O144" s="111">
        <v>32890</v>
      </c>
      <c r="P144" s="111">
        <v>34790</v>
      </c>
      <c r="Q144" s="111">
        <v>36380</v>
      </c>
      <c r="R144" s="111">
        <v>37610</v>
      </c>
      <c r="S144" s="111">
        <v>38560</v>
      </c>
      <c r="T144" s="111">
        <v>40480</v>
      </c>
      <c r="U144" s="111">
        <v>41290</v>
      </c>
      <c r="V144" s="111">
        <v>41430</v>
      </c>
      <c r="W144" s="111">
        <v>41030</v>
      </c>
      <c r="X144" s="111">
        <v>39760</v>
      </c>
      <c r="Y144" s="111">
        <v>39680</v>
      </c>
      <c r="Z144" s="111">
        <v>39470</v>
      </c>
      <c r="AA144" s="111">
        <v>38160</v>
      </c>
      <c r="AB144" s="111">
        <v>38030</v>
      </c>
      <c r="AC144" s="111">
        <v>37120</v>
      </c>
      <c r="AD144" s="111">
        <v>37850</v>
      </c>
      <c r="AE144" s="111">
        <v>37380</v>
      </c>
      <c r="AF144" s="111">
        <v>36060</v>
      </c>
      <c r="AG144" s="111">
        <v>36610</v>
      </c>
      <c r="AH144" s="111">
        <v>36870</v>
      </c>
      <c r="AI144" s="111">
        <v>37280</v>
      </c>
      <c r="AJ144" s="111">
        <v>38300</v>
      </c>
      <c r="AK144" s="111">
        <v>40280</v>
      </c>
      <c r="AL144" s="111">
        <v>41360</v>
      </c>
      <c r="AM144" s="111">
        <v>41930</v>
      </c>
      <c r="AN144" s="111">
        <v>42420</v>
      </c>
      <c r="AO144" s="111">
        <v>42130</v>
      </c>
      <c r="AP144" s="111">
        <v>41980</v>
      </c>
      <c r="AQ144" s="111">
        <v>41690</v>
      </c>
      <c r="AR144" s="111">
        <v>41350</v>
      </c>
      <c r="AS144" s="111">
        <v>41280</v>
      </c>
      <c r="AT144" s="111">
        <v>40980</v>
      </c>
      <c r="AU144" s="111">
        <v>40740</v>
      </c>
      <c r="AV144" s="111">
        <v>40060</v>
      </c>
      <c r="AW144" s="111">
        <v>40030</v>
      </c>
      <c r="AX144" s="111">
        <v>39400</v>
      </c>
      <c r="AY144" s="111">
        <v>39220</v>
      </c>
      <c r="AZ144" s="111">
        <v>39190</v>
      </c>
      <c r="BA144" s="111">
        <v>39140</v>
      </c>
      <c r="BB144" s="111">
        <v>39050</v>
      </c>
      <c r="BC144" s="111">
        <v>39180</v>
      </c>
      <c r="BD144" s="111">
        <v>39260</v>
      </c>
      <c r="BE144" s="111">
        <v>39320</v>
      </c>
      <c r="BF144" s="111">
        <v>39370</v>
      </c>
      <c r="BG144" s="111">
        <v>39400</v>
      </c>
      <c r="BH144" s="111">
        <v>39420</v>
      </c>
      <c r="BI144" s="111">
        <v>39460</v>
      </c>
      <c r="BJ144" s="111">
        <v>39500</v>
      </c>
      <c r="BK144" s="111">
        <v>39550</v>
      </c>
      <c r="BL144" s="111">
        <v>39620</v>
      </c>
      <c r="BM144" s="195">
        <v>39710</v>
      </c>
      <c r="BN144" s="195">
        <v>39830</v>
      </c>
      <c r="BO144" s="195">
        <v>39980</v>
      </c>
      <c r="BP144" s="195">
        <v>40140</v>
      </c>
      <c r="BQ144" s="195">
        <v>40310</v>
      </c>
    </row>
    <row r="145" spans="1:69">
      <c r="A145" s="105">
        <f>$A$52</f>
        <v>35</v>
      </c>
      <c r="B145" s="111">
        <v>30140</v>
      </c>
      <c r="C145" s="111">
        <v>29910</v>
      </c>
      <c r="D145" s="111">
        <v>28640</v>
      </c>
      <c r="E145" s="111">
        <v>27750</v>
      </c>
      <c r="F145" s="111">
        <v>26780</v>
      </c>
      <c r="G145" s="111">
        <v>25730</v>
      </c>
      <c r="H145" s="111">
        <v>25670</v>
      </c>
      <c r="I145" s="111">
        <v>24970</v>
      </c>
      <c r="J145" s="111">
        <v>25970</v>
      </c>
      <c r="K145" s="111">
        <v>27180</v>
      </c>
      <c r="L145" s="111">
        <v>28660</v>
      </c>
      <c r="M145" s="111">
        <v>30040</v>
      </c>
      <c r="N145" s="111">
        <v>31710</v>
      </c>
      <c r="O145" s="111">
        <v>32910</v>
      </c>
      <c r="P145" s="111">
        <v>34070</v>
      </c>
      <c r="Q145" s="111">
        <v>34850</v>
      </c>
      <c r="R145" s="111">
        <v>36540</v>
      </c>
      <c r="S145" s="111">
        <v>37830</v>
      </c>
      <c r="T145" s="111">
        <v>38850</v>
      </c>
      <c r="U145" s="111">
        <v>40770</v>
      </c>
      <c r="V145" s="111">
        <v>41580</v>
      </c>
      <c r="W145" s="111">
        <v>41710</v>
      </c>
      <c r="X145" s="111">
        <v>41320</v>
      </c>
      <c r="Y145" s="111">
        <v>40050</v>
      </c>
      <c r="Z145" s="111">
        <v>39970</v>
      </c>
      <c r="AA145" s="111">
        <v>39760</v>
      </c>
      <c r="AB145" s="111">
        <v>38450</v>
      </c>
      <c r="AC145" s="111">
        <v>38320</v>
      </c>
      <c r="AD145" s="111">
        <v>37410</v>
      </c>
      <c r="AE145" s="111">
        <v>38140</v>
      </c>
      <c r="AF145" s="111">
        <v>37680</v>
      </c>
      <c r="AG145" s="111">
        <v>36350</v>
      </c>
      <c r="AH145" s="111">
        <v>36910</v>
      </c>
      <c r="AI145" s="111">
        <v>37170</v>
      </c>
      <c r="AJ145" s="111">
        <v>37580</v>
      </c>
      <c r="AK145" s="111">
        <v>38600</v>
      </c>
      <c r="AL145" s="111">
        <v>40580</v>
      </c>
      <c r="AM145" s="111">
        <v>41650</v>
      </c>
      <c r="AN145" s="111">
        <v>42230</v>
      </c>
      <c r="AO145" s="111">
        <v>42710</v>
      </c>
      <c r="AP145" s="111">
        <v>42430</v>
      </c>
      <c r="AQ145" s="111">
        <v>42270</v>
      </c>
      <c r="AR145" s="111">
        <v>41990</v>
      </c>
      <c r="AS145" s="111">
        <v>41640</v>
      </c>
      <c r="AT145" s="111">
        <v>41570</v>
      </c>
      <c r="AU145" s="111">
        <v>41280</v>
      </c>
      <c r="AV145" s="111">
        <v>41040</v>
      </c>
      <c r="AW145" s="111">
        <v>40350</v>
      </c>
      <c r="AX145" s="111">
        <v>40330</v>
      </c>
      <c r="AY145" s="111">
        <v>39700</v>
      </c>
      <c r="AZ145" s="111">
        <v>39520</v>
      </c>
      <c r="BA145" s="111">
        <v>39490</v>
      </c>
      <c r="BB145" s="111">
        <v>39440</v>
      </c>
      <c r="BC145" s="111">
        <v>39350</v>
      </c>
      <c r="BD145" s="111">
        <v>39480</v>
      </c>
      <c r="BE145" s="111">
        <v>39570</v>
      </c>
      <c r="BF145" s="111">
        <v>39630</v>
      </c>
      <c r="BG145" s="111">
        <v>39670</v>
      </c>
      <c r="BH145" s="111">
        <v>39700</v>
      </c>
      <c r="BI145" s="111">
        <v>39730</v>
      </c>
      <c r="BJ145" s="111">
        <v>39760</v>
      </c>
      <c r="BK145" s="111">
        <v>39800</v>
      </c>
      <c r="BL145" s="111">
        <v>39850</v>
      </c>
      <c r="BM145" s="195">
        <v>39920</v>
      </c>
      <c r="BN145" s="195">
        <v>40020</v>
      </c>
      <c r="BO145" s="195">
        <v>40140</v>
      </c>
      <c r="BP145" s="195">
        <v>40280</v>
      </c>
      <c r="BQ145" s="195">
        <v>40440</v>
      </c>
    </row>
    <row r="146" spans="1:69">
      <c r="A146" s="105">
        <f>$A$53</f>
        <v>36</v>
      </c>
      <c r="B146" s="111">
        <v>29680</v>
      </c>
      <c r="C146" s="111">
        <v>30320</v>
      </c>
      <c r="D146" s="111">
        <v>30070</v>
      </c>
      <c r="E146" s="111">
        <v>28790</v>
      </c>
      <c r="F146" s="111">
        <v>27890</v>
      </c>
      <c r="G146" s="111">
        <v>26800</v>
      </c>
      <c r="H146" s="111">
        <v>25710</v>
      </c>
      <c r="I146" s="111">
        <v>25740</v>
      </c>
      <c r="J146" s="111">
        <v>25560</v>
      </c>
      <c r="K146" s="111">
        <v>26820</v>
      </c>
      <c r="L146" s="111">
        <v>28100</v>
      </c>
      <c r="M146" s="111">
        <v>29660</v>
      </c>
      <c r="N146" s="111">
        <v>31090</v>
      </c>
      <c r="O146" s="111">
        <v>32530</v>
      </c>
      <c r="P146" s="111">
        <v>33920</v>
      </c>
      <c r="Q146" s="111">
        <v>34130</v>
      </c>
      <c r="R146" s="111">
        <v>35020</v>
      </c>
      <c r="S146" s="111">
        <v>36760</v>
      </c>
      <c r="T146" s="111">
        <v>38100</v>
      </c>
      <c r="U146" s="111">
        <v>39120</v>
      </c>
      <c r="V146" s="111">
        <v>41040</v>
      </c>
      <c r="W146" s="111">
        <v>41850</v>
      </c>
      <c r="X146" s="111">
        <v>41980</v>
      </c>
      <c r="Y146" s="111">
        <v>41590</v>
      </c>
      <c r="Z146" s="111">
        <v>40320</v>
      </c>
      <c r="AA146" s="111">
        <v>40240</v>
      </c>
      <c r="AB146" s="111">
        <v>40030</v>
      </c>
      <c r="AC146" s="111">
        <v>38720</v>
      </c>
      <c r="AD146" s="111">
        <v>38600</v>
      </c>
      <c r="AE146" s="111">
        <v>37690</v>
      </c>
      <c r="AF146" s="111">
        <v>38420</v>
      </c>
      <c r="AG146" s="111">
        <v>37960</v>
      </c>
      <c r="AH146" s="111">
        <v>36630</v>
      </c>
      <c r="AI146" s="111">
        <v>37190</v>
      </c>
      <c r="AJ146" s="111">
        <v>37450</v>
      </c>
      <c r="AK146" s="111">
        <v>37860</v>
      </c>
      <c r="AL146" s="111">
        <v>38880</v>
      </c>
      <c r="AM146" s="111">
        <v>40860</v>
      </c>
      <c r="AN146" s="111">
        <v>41930</v>
      </c>
      <c r="AO146" s="111">
        <v>42500</v>
      </c>
      <c r="AP146" s="111">
        <v>42990</v>
      </c>
      <c r="AQ146" s="111">
        <v>42700</v>
      </c>
      <c r="AR146" s="111">
        <v>42550</v>
      </c>
      <c r="AS146" s="111">
        <v>42270</v>
      </c>
      <c r="AT146" s="111">
        <v>41920</v>
      </c>
      <c r="AU146" s="111">
        <v>41850</v>
      </c>
      <c r="AV146" s="111">
        <v>41550</v>
      </c>
      <c r="AW146" s="111">
        <v>41320</v>
      </c>
      <c r="AX146" s="111">
        <v>40630</v>
      </c>
      <c r="AY146" s="111">
        <v>40610</v>
      </c>
      <c r="AZ146" s="111">
        <v>39980</v>
      </c>
      <c r="BA146" s="111">
        <v>39810</v>
      </c>
      <c r="BB146" s="111">
        <v>39780</v>
      </c>
      <c r="BC146" s="111">
        <v>39720</v>
      </c>
      <c r="BD146" s="111">
        <v>39640</v>
      </c>
      <c r="BE146" s="111">
        <v>39760</v>
      </c>
      <c r="BF146" s="111">
        <v>39850</v>
      </c>
      <c r="BG146" s="111">
        <v>39910</v>
      </c>
      <c r="BH146" s="111">
        <v>39950</v>
      </c>
      <c r="BI146" s="111">
        <v>39980</v>
      </c>
      <c r="BJ146" s="111">
        <v>40010</v>
      </c>
      <c r="BK146" s="111">
        <v>40040</v>
      </c>
      <c r="BL146" s="111">
        <v>40080</v>
      </c>
      <c r="BM146" s="195">
        <v>40140</v>
      </c>
      <c r="BN146" s="195">
        <v>40210</v>
      </c>
      <c r="BO146" s="195">
        <v>40300</v>
      </c>
      <c r="BP146" s="195">
        <v>40420</v>
      </c>
      <c r="BQ146" s="195">
        <v>40570</v>
      </c>
    </row>
    <row r="147" spans="1:69">
      <c r="A147" s="105">
        <f>$A$54</f>
        <v>37</v>
      </c>
      <c r="B147" s="111">
        <v>30040</v>
      </c>
      <c r="C147" s="111">
        <v>29860</v>
      </c>
      <c r="D147" s="111">
        <v>30480</v>
      </c>
      <c r="E147" s="111">
        <v>30200</v>
      </c>
      <c r="F147" s="111">
        <v>28920</v>
      </c>
      <c r="G147" s="111">
        <v>27960</v>
      </c>
      <c r="H147" s="111">
        <v>26770</v>
      </c>
      <c r="I147" s="111">
        <v>25830</v>
      </c>
      <c r="J147" s="111">
        <v>26230</v>
      </c>
      <c r="K147" s="111">
        <v>26270</v>
      </c>
      <c r="L147" s="111">
        <v>27710</v>
      </c>
      <c r="M147" s="111">
        <v>29130</v>
      </c>
      <c r="N147" s="111">
        <v>30600</v>
      </c>
      <c r="O147" s="111">
        <v>31940</v>
      </c>
      <c r="P147" s="111">
        <v>33580</v>
      </c>
      <c r="Q147" s="111">
        <v>33980</v>
      </c>
      <c r="R147" s="111">
        <v>34290</v>
      </c>
      <c r="S147" s="111">
        <v>35220</v>
      </c>
      <c r="T147" s="111">
        <v>37010</v>
      </c>
      <c r="U147" s="111">
        <v>38350</v>
      </c>
      <c r="V147" s="111">
        <v>39370</v>
      </c>
      <c r="W147" s="111">
        <v>41290</v>
      </c>
      <c r="X147" s="111">
        <v>42100</v>
      </c>
      <c r="Y147" s="111">
        <v>42230</v>
      </c>
      <c r="Z147" s="111">
        <v>41840</v>
      </c>
      <c r="AA147" s="111">
        <v>40580</v>
      </c>
      <c r="AB147" s="111">
        <v>40500</v>
      </c>
      <c r="AC147" s="111">
        <v>40280</v>
      </c>
      <c r="AD147" s="111">
        <v>38980</v>
      </c>
      <c r="AE147" s="111">
        <v>38850</v>
      </c>
      <c r="AF147" s="111">
        <v>37940</v>
      </c>
      <c r="AG147" s="111">
        <v>38670</v>
      </c>
      <c r="AH147" s="111">
        <v>38210</v>
      </c>
      <c r="AI147" s="111">
        <v>36890</v>
      </c>
      <c r="AJ147" s="111">
        <v>37440</v>
      </c>
      <c r="AK147" s="111">
        <v>37700</v>
      </c>
      <c r="AL147" s="111">
        <v>38110</v>
      </c>
      <c r="AM147" s="111">
        <v>39130</v>
      </c>
      <c r="AN147" s="111">
        <v>41110</v>
      </c>
      <c r="AO147" s="111">
        <v>42180</v>
      </c>
      <c r="AP147" s="111">
        <v>42760</v>
      </c>
      <c r="AQ147" s="111">
        <v>43240</v>
      </c>
      <c r="AR147" s="111">
        <v>42960</v>
      </c>
      <c r="AS147" s="111">
        <v>42810</v>
      </c>
      <c r="AT147" s="111">
        <v>42530</v>
      </c>
      <c r="AU147" s="111">
        <v>42180</v>
      </c>
      <c r="AV147" s="111">
        <v>42110</v>
      </c>
      <c r="AW147" s="111">
        <v>41810</v>
      </c>
      <c r="AX147" s="111">
        <v>41580</v>
      </c>
      <c r="AY147" s="111">
        <v>40890</v>
      </c>
      <c r="AZ147" s="111">
        <v>40870</v>
      </c>
      <c r="BA147" s="111">
        <v>40240</v>
      </c>
      <c r="BB147" s="111">
        <v>40070</v>
      </c>
      <c r="BC147" s="111">
        <v>40040</v>
      </c>
      <c r="BD147" s="111">
        <v>39980</v>
      </c>
      <c r="BE147" s="111">
        <v>39900</v>
      </c>
      <c r="BF147" s="111">
        <v>40020</v>
      </c>
      <c r="BG147" s="111">
        <v>40110</v>
      </c>
      <c r="BH147" s="111">
        <v>40170</v>
      </c>
      <c r="BI147" s="111">
        <v>40210</v>
      </c>
      <c r="BJ147" s="111">
        <v>40250</v>
      </c>
      <c r="BK147" s="111">
        <v>40280</v>
      </c>
      <c r="BL147" s="111">
        <v>40310</v>
      </c>
      <c r="BM147" s="195">
        <v>40350</v>
      </c>
      <c r="BN147" s="195">
        <v>40400</v>
      </c>
      <c r="BO147" s="195">
        <v>40470</v>
      </c>
      <c r="BP147" s="195">
        <v>40570</v>
      </c>
      <c r="BQ147" s="195">
        <v>40690</v>
      </c>
    </row>
    <row r="148" spans="1:69">
      <c r="A148" s="105">
        <f>$A$55</f>
        <v>38</v>
      </c>
      <c r="B148" s="111">
        <v>29710</v>
      </c>
      <c r="C148" s="111">
        <v>30220</v>
      </c>
      <c r="D148" s="111">
        <v>29910</v>
      </c>
      <c r="E148" s="111">
        <v>30610</v>
      </c>
      <c r="F148" s="111">
        <v>30300</v>
      </c>
      <c r="G148" s="111">
        <v>28910</v>
      </c>
      <c r="H148" s="111">
        <v>27940</v>
      </c>
      <c r="I148" s="111">
        <v>26840</v>
      </c>
      <c r="J148" s="111">
        <v>26360</v>
      </c>
      <c r="K148" s="111">
        <v>26880</v>
      </c>
      <c r="L148" s="111">
        <v>27070</v>
      </c>
      <c r="M148" s="111">
        <v>28630</v>
      </c>
      <c r="N148" s="111">
        <v>30040</v>
      </c>
      <c r="O148" s="111">
        <v>31230</v>
      </c>
      <c r="P148" s="111">
        <v>32800</v>
      </c>
      <c r="Q148" s="111">
        <v>33650</v>
      </c>
      <c r="R148" s="111">
        <v>34130</v>
      </c>
      <c r="S148" s="111">
        <v>34500</v>
      </c>
      <c r="T148" s="111">
        <v>35460</v>
      </c>
      <c r="U148" s="111">
        <v>37250</v>
      </c>
      <c r="V148" s="111">
        <v>38590</v>
      </c>
      <c r="W148" s="111">
        <v>39610</v>
      </c>
      <c r="X148" s="111">
        <v>41530</v>
      </c>
      <c r="Y148" s="111">
        <v>42330</v>
      </c>
      <c r="Z148" s="111">
        <v>42470</v>
      </c>
      <c r="AA148" s="111">
        <v>42070</v>
      </c>
      <c r="AB148" s="111">
        <v>40810</v>
      </c>
      <c r="AC148" s="111">
        <v>40730</v>
      </c>
      <c r="AD148" s="111">
        <v>40520</v>
      </c>
      <c r="AE148" s="111">
        <v>39220</v>
      </c>
      <c r="AF148" s="111">
        <v>39090</v>
      </c>
      <c r="AG148" s="111">
        <v>38180</v>
      </c>
      <c r="AH148" s="111">
        <v>38910</v>
      </c>
      <c r="AI148" s="111">
        <v>38450</v>
      </c>
      <c r="AJ148" s="111">
        <v>37130</v>
      </c>
      <c r="AK148" s="111">
        <v>37690</v>
      </c>
      <c r="AL148" s="111">
        <v>37950</v>
      </c>
      <c r="AM148" s="111">
        <v>38360</v>
      </c>
      <c r="AN148" s="111">
        <v>39380</v>
      </c>
      <c r="AO148" s="111">
        <v>41360</v>
      </c>
      <c r="AP148" s="111">
        <v>42430</v>
      </c>
      <c r="AQ148" s="111">
        <v>43000</v>
      </c>
      <c r="AR148" s="111">
        <v>43490</v>
      </c>
      <c r="AS148" s="111">
        <v>43200</v>
      </c>
      <c r="AT148" s="111">
        <v>43050</v>
      </c>
      <c r="AU148" s="111">
        <v>42770</v>
      </c>
      <c r="AV148" s="111">
        <v>42420</v>
      </c>
      <c r="AW148" s="111">
        <v>42360</v>
      </c>
      <c r="AX148" s="111">
        <v>42060</v>
      </c>
      <c r="AY148" s="111">
        <v>41830</v>
      </c>
      <c r="AZ148" s="111">
        <v>41140</v>
      </c>
      <c r="BA148" s="111">
        <v>41120</v>
      </c>
      <c r="BB148" s="111">
        <v>40490</v>
      </c>
      <c r="BC148" s="111">
        <v>40320</v>
      </c>
      <c r="BD148" s="111">
        <v>40290</v>
      </c>
      <c r="BE148" s="111">
        <v>40230</v>
      </c>
      <c r="BF148" s="111">
        <v>40150</v>
      </c>
      <c r="BG148" s="111">
        <v>40270</v>
      </c>
      <c r="BH148" s="111">
        <v>40360</v>
      </c>
      <c r="BI148" s="111">
        <v>40420</v>
      </c>
      <c r="BJ148" s="111">
        <v>40470</v>
      </c>
      <c r="BK148" s="111">
        <v>40500</v>
      </c>
      <c r="BL148" s="111">
        <v>40530</v>
      </c>
      <c r="BM148" s="195">
        <v>40560</v>
      </c>
      <c r="BN148" s="195">
        <v>40600</v>
      </c>
      <c r="BO148" s="195">
        <v>40650</v>
      </c>
      <c r="BP148" s="195">
        <v>40730</v>
      </c>
      <c r="BQ148" s="195">
        <v>40820</v>
      </c>
    </row>
    <row r="149" spans="1:69">
      <c r="A149" s="105">
        <f>$A$56</f>
        <v>39</v>
      </c>
      <c r="B149" s="111">
        <v>29570</v>
      </c>
      <c r="C149" s="111">
        <v>29890</v>
      </c>
      <c r="D149" s="111">
        <v>30260</v>
      </c>
      <c r="E149" s="111">
        <v>30030</v>
      </c>
      <c r="F149" s="111">
        <v>30640</v>
      </c>
      <c r="G149" s="111">
        <v>30250</v>
      </c>
      <c r="H149" s="111">
        <v>28910</v>
      </c>
      <c r="I149" s="111">
        <v>28120</v>
      </c>
      <c r="J149" s="111">
        <v>27300</v>
      </c>
      <c r="K149" s="111">
        <v>27000</v>
      </c>
      <c r="L149" s="111">
        <v>27580</v>
      </c>
      <c r="M149" s="111">
        <v>27860</v>
      </c>
      <c r="N149" s="111">
        <v>29500</v>
      </c>
      <c r="O149" s="111">
        <v>30760</v>
      </c>
      <c r="P149" s="111">
        <v>32150</v>
      </c>
      <c r="Q149" s="111">
        <v>32860</v>
      </c>
      <c r="R149" s="111">
        <v>33790</v>
      </c>
      <c r="S149" s="111">
        <v>34320</v>
      </c>
      <c r="T149" s="111">
        <v>34700</v>
      </c>
      <c r="U149" s="111">
        <v>35670</v>
      </c>
      <c r="V149" s="111">
        <v>37450</v>
      </c>
      <c r="W149" s="111">
        <v>38800</v>
      </c>
      <c r="X149" s="111">
        <v>39810</v>
      </c>
      <c r="Y149" s="111">
        <v>41730</v>
      </c>
      <c r="Z149" s="111">
        <v>42530</v>
      </c>
      <c r="AA149" s="111">
        <v>42670</v>
      </c>
      <c r="AB149" s="111">
        <v>42280</v>
      </c>
      <c r="AC149" s="111">
        <v>41020</v>
      </c>
      <c r="AD149" s="111">
        <v>40940</v>
      </c>
      <c r="AE149" s="111">
        <v>40730</v>
      </c>
      <c r="AF149" s="111">
        <v>39430</v>
      </c>
      <c r="AG149" s="111">
        <v>39300</v>
      </c>
      <c r="AH149" s="111">
        <v>38400</v>
      </c>
      <c r="AI149" s="111">
        <v>39120</v>
      </c>
      <c r="AJ149" s="111">
        <v>38670</v>
      </c>
      <c r="AK149" s="111">
        <v>37350</v>
      </c>
      <c r="AL149" s="111">
        <v>37900</v>
      </c>
      <c r="AM149" s="111">
        <v>38160</v>
      </c>
      <c r="AN149" s="111">
        <v>38570</v>
      </c>
      <c r="AO149" s="111">
        <v>39590</v>
      </c>
      <c r="AP149" s="111">
        <v>41570</v>
      </c>
      <c r="AQ149" s="111">
        <v>42640</v>
      </c>
      <c r="AR149" s="111">
        <v>43210</v>
      </c>
      <c r="AS149" s="111">
        <v>43700</v>
      </c>
      <c r="AT149" s="111">
        <v>43420</v>
      </c>
      <c r="AU149" s="111">
        <v>43270</v>
      </c>
      <c r="AV149" s="111">
        <v>42990</v>
      </c>
      <c r="AW149" s="111">
        <v>42640</v>
      </c>
      <c r="AX149" s="111">
        <v>42570</v>
      </c>
      <c r="AY149" s="111">
        <v>42280</v>
      </c>
      <c r="AZ149" s="111">
        <v>42050</v>
      </c>
      <c r="BA149" s="111">
        <v>41360</v>
      </c>
      <c r="BB149" s="111">
        <v>41340</v>
      </c>
      <c r="BC149" s="111">
        <v>40710</v>
      </c>
      <c r="BD149" s="111">
        <v>40540</v>
      </c>
      <c r="BE149" s="111">
        <v>40510</v>
      </c>
      <c r="BF149" s="111">
        <v>40450</v>
      </c>
      <c r="BG149" s="111">
        <v>40370</v>
      </c>
      <c r="BH149" s="111">
        <v>40490</v>
      </c>
      <c r="BI149" s="111">
        <v>40580</v>
      </c>
      <c r="BJ149" s="111">
        <v>40650</v>
      </c>
      <c r="BK149" s="111">
        <v>40690</v>
      </c>
      <c r="BL149" s="111">
        <v>40720</v>
      </c>
      <c r="BM149" s="195">
        <v>40750</v>
      </c>
      <c r="BN149" s="195">
        <v>40780</v>
      </c>
      <c r="BO149" s="195">
        <v>40820</v>
      </c>
      <c r="BP149" s="195">
        <v>40880</v>
      </c>
      <c r="BQ149" s="195">
        <v>40950</v>
      </c>
    </row>
    <row r="150" spans="1:69">
      <c r="A150" s="105">
        <f>$A$57</f>
        <v>40</v>
      </c>
      <c r="B150" s="111">
        <v>29920</v>
      </c>
      <c r="C150" s="111">
        <v>29750</v>
      </c>
      <c r="D150" s="111">
        <v>29950</v>
      </c>
      <c r="E150" s="111">
        <v>30360</v>
      </c>
      <c r="F150" s="111">
        <v>30050</v>
      </c>
      <c r="G150" s="111">
        <v>30610</v>
      </c>
      <c r="H150" s="111">
        <v>30210</v>
      </c>
      <c r="I150" s="111">
        <v>29000</v>
      </c>
      <c r="J150" s="111">
        <v>28550</v>
      </c>
      <c r="K150" s="111">
        <v>27880</v>
      </c>
      <c r="L150" s="111">
        <v>27730</v>
      </c>
      <c r="M150" s="111">
        <v>28340</v>
      </c>
      <c r="N150" s="111">
        <v>28670</v>
      </c>
      <c r="O150" s="111">
        <v>30170</v>
      </c>
      <c r="P150" s="111">
        <v>31600</v>
      </c>
      <c r="Q150" s="111">
        <v>32200</v>
      </c>
      <c r="R150" s="111">
        <v>33000</v>
      </c>
      <c r="S150" s="111">
        <v>33970</v>
      </c>
      <c r="T150" s="111">
        <v>34500</v>
      </c>
      <c r="U150" s="111">
        <v>34880</v>
      </c>
      <c r="V150" s="111">
        <v>35840</v>
      </c>
      <c r="W150" s="111">
        <v>37630</v>
      </c>
      <c r="X150" s="111">
        <v>38970</v>
      </c>
      <c r="Y150" s="111">
        <v>39980</v>
      </c>
      <c r="Z150" s="111">
        <v>41900</v>
      </c>
      <c r="AA150" s="111">
        <v>42710</v>
      </c>
      <c r="AB150" s="111">
        <v>42850</v>
      </c>
      <c r="AC150" s="111">
        <v>42450</v>
      </c>
      <c r="AD150" s="111">
        <v>41190</v>
      </c>
      <c r="AE150" s="111">
        <v>41120</v>
      </c>
      <c r="AF150" s="111">
        <v>40910</v>
      </c>
      <c r="AG150" s="111">
        <v>39600</v>
      </c>
      <c r="AH150" s="111">
        <v>39480</v>
      </c>
      <c r="AI150" s="111">
        <v>38570</v>
      </c>
      <c r="AJ150" s="111">
        <v>39300</v>
      </c>
      <c r="AK150" s="111">
        <v>38850</v>
      </c>
      <c r="AL150" s="111">
        <v>37530</v>
      </c>
      <c r="AM150" s="111">
        <v>38080</v>
      </c>
      <c r="AN150" s="111">
        <v>38340</v>
      </c>
      <c r="AO150" s="111">
        <v>38750</v>
      </c>
      <c r="AP150" s="111">
        <v>39770</v>
      </c>
      <c r="AQ150" s="111">
        <v>41750</v>
      </c>
      <c r="AR150" s="111">
        <v>42820</v>
      </c>
      <c r="AS150" s="111">
        <v>43390</v>
      </c>
      <c r="AT150" s="111">
        <v>43880</v>
      </c>
      <c r="AU150" s="111">
        <v>43600</v>
      </c>
      <c r="AV150" s="111">
        <v>43450</v>
      </c>
      <c r="AW150" s="111">
        <v>43170</v>
      </c>
      <c r="AX150" s="111">
        <v>42820</v>
      </c>
      <c r="AY150" s="111">
        <v>42760</v>
      </c>
      <c r="AZ150" s="111">
        <v>42460</v>
      </c>
      <c r="BA150" s="111">
        <v>42230</v>
      </c>
      <c r="BB150" s="111">
        <v>41540</v>
      </c>
      <c r="BC150" s="111">
        <v>41520</v>
      </c>
      <c r="BD150" s="111">
        <v>40900</v>
      </c>
      <c r="BE150" s="111">
        <v>40720</v>
      </c>
      <c r="BF150" s="111">
        <v>40690</v>
      </c>
      <c r="BG150" s="111">
        <v>40640</v>
      </c>
      <c r="BH150" s="111">
        <v>40560</v>
      </c>
      <c r="BI150" s="111">
        <v>40680</v>
      </c>
      <c r="BJ150" s="111">
        <v>40770</v>
      </c>
      <c r="BK150" s="111">
        <v>40830</v>
      </c>
      <c r="BL150" s="111">
        <v>40880</v>
      </c>
      <c r="BM150" s="195">
        <v>40910</v>
      </c>
      <c r="BN150" s="195">
        <v>40940</v>
      </c>
      <c r="BO150" s="195">
        <v>40970</v>
      </c>
      <c r="BP150" s="195">
        <v>41010</v>
      </c>
      <c r="BQ150" s="195">
        <v>41070</v>
      </c>
    </row>
    <row r="151" spans="1:69">
      <c r="A151" s="105">
        <f>$A$58</f>
        <v>41</v>
      </c>
      <c r="B151" s="111">
        <v>30380</v>
      </c>
      <c r="C151" s="111">
        <v>30040</v>
      </c>
      <c r="D151" s="111">
        <v>29780</v>
      </c>
      <c r="E151" s="111">
        <v>30010</v>
      </c>
      <c r="F151" s="111">
        <v>30420</v>
      </c>
      <c r="G151" s="111">
        <v>30010</v>
      </c>
      <c r="H151" s="111">
        <v>30580</v>
      </c>
      <c r="I151" s="111">
        <v>30270</v>
      </c>
      <c r="J151" s="111">
        <v>29570</v>
      </c>
      <c r="K151" s="111">
        <v>29040</v>
      </c>
      <c r="L151" s="111">
        <v>28500</v>
      </c>
      <c r="M151" s="111">
        <v>28400</v>
      </c>
      <c r="N151" s="111">
        <v>29020</v>
      </c>
      <c r="O151" s="111">
        <v>29210</v>
      </c>
      <c r="P151" s="111">
        <v>30950</v>
      </c>
      <c r="Q151" s="111">
        <v>31650</v>
      </c>
      <c r="R151" s="111">
        <v>32330</v>
      </c>
      <c r="S151" s="111">
        <v>33170</v>
      </c>
      <c r="T151" s="111">
        <v>34130</v>
      </c>
      <c r="U151" s="111">
        <v>34670</v>
      </c>
      <c r="V151" s="111">
        <v>35050</v>
      </c>
      <c r="W151" s="111">
        <v>36010</v>
      </c>
      <c r="X151" s="111">
        <v>37790</v>
      </c>
      <c r="Y151" s="111">
        <v>39130</v>
      </c>
      <c r="Z151" s="111">
        <v>40150</v>
      </c>
      <c r="AA151" s="111">
        <v>42060</v>
      </c>
      <c r="AB151" s="111">
        <v>42870</v>
      </c>
      <c r="AC151" s="111">
        <v>43010</v>
      </c>
      <c r="AD151" s="111">
        <v>42610</v>
      </c>
      <c r="AE151" s="111">
        <v>41360</v>
      </c>
      <c r="AF151" s="111">
        <v>41280</v>
      </c>
      <c r="AG151" s="111">
        <v>41070</v>
      </c>
      <c r="AH151" s="111">
        <v>39770</v>
      </c>
      <c r="AI151" s="111">
        <v>39650</v>
      </c>
      <c r="AJ151" s="111">
        <v>38740</v>
      </c>
      <c r="AK151" s="111">
        <v>39470</v>
      </c>
      <c r="AL151" s="111">
        <v>39020</v>
      </c>
      <c r="AM151" s="111">
        <v>37700</v>
      </c>
      <c r="AN151" s="111">
        <v>38250</v>
      </c>
      <c r="AO151" s="111">
        <v>38520</v>
      </c>
      <c r="AP151" s="111">
        <v>38930</v>
      </c>
      <c r="AQ151" s="111">
        <v>39940</v>
      </c>
      <c r="AR151" s="111">
        <v>41920</v>
      </c>
      <c r="AS151" s="111">
        <v>42990</v>
      </c>
      <c r="AT151" s="111">
        <v>43570</v>
      </c>
      <c r="AU151" s="111">
        <v>44050</v>
      </c>
      <c r="AV151" s="111">
        <v>43770</v>
      </c>
      <c r="AW151" s="111">
        <v>43620</v>
      </c>
      <c r="AX151" s="111">
        <v>43340</v>
      </c>
      <c r="AY151" s="111">
        <v>43000</v>
      </c>
      <c r="AZ151" s="111">
        <v>42930</v>
      </c>
      <c r="BA151" s="111">
        <v>42630</v>
      </c>
      <c r="BB151" s="111">
        <v>42410</v>
      </c>
      <c r="BC151" s="111">
        <v>41720</v>
      </c>
      <c r="BD151" s="111">
        <v>41700</v>
      </c>
      <c r="BE151" s="111">
        <v>41080</v>
      </c>
      <c r="BF151" s="111">
        <v>40900</v>
      </c>
      <c r="BG151" s="111">
        <v>40870</v>
      </c>
      <c r="BH151" s="111">
        <v>40820</v>
      </c>
      <c r="BI151" s="111">
        <v>40740</v>
      </c>
      <c r="BJ151" s="111">
        <v>40860</v>
      </c>
      <c r="BK151" s="111">
        <v>40950</v>
      </c>
      <c r="BL151" s="111">
        <v>41010</v>
      </c>
      <c r="BM151" s="195">
        <v>41060</v>
      </c>
      <c r="BN151" s="195">
        <v>41090</v>
      </c>
      <c r="BO151" s="195">
        <v>41120</v>
      </c>
      <c r="BP151" s="195">
        <v>41150</v>
      </c>
      <c r="BQ151" s="195">
        <v>41200</v>
      </c>
    </row>
    <row r="152" spans="1:69">
      <c r="A152" s="105">
        <f>$A$59</f>
        <v>42</v>
      </c>
      <c r="B152" s="111">
        <v>31600</v>
      </c>
      <c r="C152" s="111">
        <v>30480</v>
      </c>
      <c r="D152" s="111">
        <v>30040</v>
      </c>
      <c r="E152" s="111">
        <v>29810</v>
      </c>
      <c r="F152" s="111">
        <v>30060</v>
      </c>
      <c r="G152" s="111">
        <v>30400</v>
      </c>
      <c r="H152" s="111">
        <v>29940</v>
      </c>
      <c r="I152" s="111">
        <v>30650</v>
      </c>
      <c r="J152" s="111">
        <v>30720</v>
      </c>
      <c r="K152" s="111">
        <v>30130</v>
      </c>
      <c r="L152" s="111">
        <v>29630</v>
      </c>
      <c r="M152" s="111">
        <v>29150</v>
      </c>
      <c r="N152" s="111">
        <v>29050</v>
      </c>
      <c r="O152" s="111">
        <v>29650</v>
      </c>
      <c r="P152" s="111">
        <v>29940</v>
      </c>
      <c r="Q152" s="111">
        <v>31000</v>
      </c>
      <c r="R152" s="111">
        <v>31770</v>
      </c>
      <c r="S152" s="111">
        <v>32490</v>
      </c>
      <c r="T152" s="111">
        <v>33310</v>
      </c>
      <c r="U152" s="111">
        <v>34270</v>
      </c>
      <c r="V152" s="111">
        <v>34800</v>
      </c>
      <c r="W152" s="111">
        <v>35180</v>
      </c>
      <c r="X152" s="111">
        <v>36150</v>
      </c>
      <c r="Y152" s="111">
        <v>37920</v>
      </c>
      <c r="Z152" s="111">
        <v>39270</v>
      </c>
      <c r="AA152" s="111">
        <v>40280</v>
      </c>
      <c r="AB152" s="111">
        <v>42200</v>
      </c>
      <c r="AC152" s="111">
        <v>43000</v>
      </c>
      <c r="AD152" s="111">
        <v>43140</v>
      </c>
      <c r="AE152" s="111">
        <v>42750</v>
      </c>
      <c r="AF152" s="111">
        <v>41490</v>
      </c>
      <c r="AG152" s="111">
        <v>41420</v>
      </c>
      <c r="AH152" s="111">
        <v>41210</v>
      </c>
      <c r="AI152" s="111">
        <v>39910</v>
      </c>
      <c r="AJ152" s="111">
        <v>39790</v>
      </c>
      <c r="AK152" s="111">
        <v>38880</v>
      </c>
      <c r="AL152" s="111">
        <v>39610</v>
      </c>
      <c r="AM152" s="111">
        <v>39160</v>
      </c>
      <c r="AN152" s="111">
        <v>37840</v>
      </c>
      <c r="AO152" s="111">
        <v>38400</v>
      </c>
      <c r="AP152" s="111">
        <v>38660</v>
      </c>
      <c r="AQ152" s="111">
        <v>39070</v>
      </c>
      <c r="AR152" s="111">
        <v>40090</v>
      </c>
      <c r="AS152" s="111">
        <v>42060</v>
      </c>
      <c r="AT152" s="111">
        <v>43130</v>
      </c>
      <c r="AU152" s="111">
        <v>43710</v>
      </c>
      <c r="AV152" s="111">
        <v>44190</v>
      </c>
      <c r="AW152" s="111">
        <v>43910</v>
      </c>
      <c r="AX152" s="111">
        <v>43760</v>
      </c>
      <c r="AY152" s="111">
        <v>43480</v>
      </c>
      <c r="AZ152" s="111">
        <v>43140</v>
      </c>
      <c r="BA152" s="111">
        <v>43080</v>
      </c>
      <c r="BB152" s="111">
        <v>42780</v>
      </c>
      <c r="BC152" s="111">
        <v>42550</v>
      </c>
      <c r="BD152" s="111">
        <v>41870</v>
      </c>
      <c r="BE152" s="111">
        <v>41850</v>
      </c>
      <c r="BF152" s="111">
        <v>41220</v>
      </c>
      <c r="BG152" s="111">
        <v>41050</v>
      </c>
      <c r="BH152" s="111">
        <v>41020</v>
      </c>
      <c r="BI152" s="111">
        <v>40970</v>
      </c>
      <c r="BJ152" s="111">
        <v>40890</v>
      </c>
      <c r="BK152" s="111">
        <v>41010</v>
      </c>
      <c r="BL152" s="111">
        <v>41100</v>
      </c>
      <c r="BM152" s="195">
        <v>41170</v>
      </c>
      <c r="BN152" s="195">
        <v>41210</v>
      </c>
      <c r="BO152" s="195">
        <v>41240</v>
      </c>
      <c r="BP152" s="195">
        <v>41270</v>
      </c>
      <c r="BQ152" s="195">
        <v>41310</v>
      </c>
    </row>
    <row r="153" spans="1:69">
      <c r="A153" s="105">
        <f>$A$60</f>
        <v>43</v>
      </c>
      <c r="B153" s="111">
        <v>31940</v>
      </c>
      <c r="C153" s="111">
        <v>31630</v>
      </c>
      <c r="D153" s="111">
        <v>30470</v>
      </c>
      <c r="E153" s="111">
        <v>30040</v>
      </c>
      <c r="F153" s="111">
        <v>29760</v>
      </c>
      <c r="G153" s="111">
        <v>30010</v>
      </c>
      <c r="H153" s="111">
        <v>30300</v>
      </c>
      <c r="I153" s="111">
        <v>29990</v>
      </c>
      <c r="J153" s="111">
        <v>31090</v>
      </c>
      <c r="K153" s="111">
        <v>31290</v>
      </c>
      <c r="L153" s="111">
        <v>30810</v>
      </c>
      <c r="M153" s="111">
        <v>30240</v>
      </c>
      <c r="N153" s="111">
        <v>29770</v>
      </c>
      <c r="O153" s="111">
        <v>29570</v>
      </c>
      <c r="P153" s="111">
        <v>30320</v>
      </c>
      <c r="Q153" s="111">
        <v>29980</v>
      </c>
      <c r="R153" s="111">
        <v>31110</v>
      </c>
      <c r="S153" s="111">
        <v>31910</v>
      </c>
      <c r="T153" s="111">
        <v>32600</v>
      </c>
      <c r="U153" s="111">
        <v>33410</v>
      </c>
      <c r="V153" s="111">
        <v>34380</v>
      </c>
      <c r="W153" s="111">
        <v>34910</v>
      </c>
      <c r="X153" s="111">
        <v>35290</v>
      </c>
      <c r="Y153" s="111">
        <v>36250</v>
      </c>
      <c r="Z153" s="111">
        <v>38030</v>
      </c>
      <c r="AA153" s="111">
        <v>39370</v>
      </c>
      <c r="AB153" s="111">
        <v>40380</v>
      </c>
      <c r="AC153" s="111">
        <v>42300</v>
      </c>
      <c r="AD153" s="111">
        <v>43100</v>
      </c>
      <c r="AE153" s="111">
        <v>43240</v>
      </c>
      <c r="AF153" s="111">
        <v>42850</v>
      </c>
      <c r="AG153" s="111">
        <v>41600</v>
      </c>
      <c r="AH153" s="111">
        <v>41520</v>
      </c>
      <c r="AI153" s="111">
        <v>41320</v>
      </c>
      <c r="AJ153" s="111">
        <v>40020</v>
      </c>
      <c r="AK153" s="111">
        <v>39890</v>
      </c>
      <c r="AL153" s="111">
        <v>38990</v>
      </c>
      <c r="AM153" s="111">
        <v>39720</v>
      </c>
      <c r="AN153" s="111">
        <v>39270</v>
      </c>
      <c r="AO153" s="111">
        <v>37960</v>
      </c>
      <c r="AP153" s="111">
        <v>38510</v>
      </c>
      <c r="AQ153" s="111">
        <v>38770</v>
      </c>
      <c r="AR153" s="111">
        <v>39180</v>
      </c>
      <c r="AS153" s="111">
        <v>40200</v>
      </c>
      <c r="AT153" s="111">
        <v>42170</v>
      </c>
      <c r="AU153" s="111">
        <v>43240</v>
      </c>
      <c r="AV153" s="111">
        <v>43820</v>
      </c>
      <c r="AW153" s="111">
        <v>44310</v>
      </c>
      <c r="AX153" s="111">
        <v>44030</v>
      </c>
      <c r="AY153" s="111">
        <v>43880</v>
      </c>
      <c r="AZ153" s="111">
        <v>43600</v>
      </c>
      <c r="BA153" s="111">
        <v>43260</v>
      </c>
      <c r="BB153" s="111">
        <v>43190</v>
      </c>
      <c r="BC153" s="111">
        <v>42900</v>
      </c>
      <c r="BD153" s="111">
        <v>42670</v>
      </c>
      <c r="BE153" s="111">
        <v>41990</v>
      </c>
      <c r="BF153" s="111">
        <v>41970</v>
      </c>
      <c r="BG153" s="111">
        <v>41340</v>
      </c>
      <c r="BH153" s="111">
        <v>41170</v>
      </c>
      <c r="BI153" s="111">
        <v>41140</v>
      </c>
      <c r="BJ153" s="111">
        <v>41090</v>
      </c>
      <c r="BK153" s="111">
        <v>41010</v>
      </c>
      <c r="BL153" s="111">
        <v>41130</v>
      </c>
      <c r="BM153" s="195">
        <v>41220</v>
      </c>
      <c r="BN153" s="195">
        <v>41290</v>
      </c>
      <c r="BO153" s="195">
        <v>41330</v>
      </c>
      <c r="BP153" s="195">
        <v>41370</v>
      </c>
      <c r="BQ153" s="195">
        <v>41400</v>
      </c>
    </row>
    <row r="154" spans="1:69">
      <c r="A154" s="105">
        <f>$A$61</f>
        <v>44</v>
      </c>
      <c r="B154" s="111">
        <v>32110</v>
      </c>
      <c r="C154" s="111">
        <v>31970</v>
      </c>
      <c r="D154" s="111">
        <v>31540</v>
      </c>
      <c r="E154" s="111">
        <v>30420</v>
      </c>
      <c r="F154" s="111">
        <v>30060</v>
      </c>
      <c r="G154" s="111">
        <v>29670</v>
      </c>
      <c r="H154" s="111">
        <v>29920</v>
      </c>
      <c r="I154" s="111">
        <v>30260</v>
      </c>
      <c r="J154" s="111">
        <v>30460</v>
      </c>
      <c r="K154" s="111">
        <v>31550</v>
      </c>
      <c r="L154" s="111">
        <v>31920</v>
      </c>
      <c r="M154" s="111">
        <v>31420</v>
      </c>
      <c r="N154" s="111">
        <v>30790</v>
      </c>
      <c r="O154" s="111">
        <v>30210</v>
      </c>
      <c r="P154" s="111">
        <v>30150</v>
      </c>
      <c r="Q154" s="111">
        <v>30360</v>
      </c>
      <c r="R154" s="111">
        <v>30090</v>
      </c>
      <c r="S154" s="111">
        <v>31240</v>
      </c>
      <c r="T154" s="111">
        <v>32000</v>
      </c>
      <c r="U154" s="111">
        <v>32680</v>
      </c>
      <c r="V154" s="111">
        <v>33500</v>
      </c>
      <c r="W154" s="111">
        <v>34460</v>
      </c>
      <c r="X154" s="111">
        <v>34990</v>
      </c>
      <c r="Y154" s="111">
        <v>35370</v>
      </c>
      <c r="Z154" s="111">
        <v>36330</v>
      </c>
      <c r="AA154" s="111">
        <v>38110</v>
      </c>
      <c r="AB154" s="111">
        <v>39450</v>
      </c>
      <c r="AC154" s="111">
        <v>40460</v>
      </c>
      <c r="AD154" s="111">
        <v>42380</v>
      </c>
      <c r="AE154" s="111">
        <v>43180</v>
      </c>
      <c r="AF154" s="111">
        <v>43320</v>
      </c>
      <c r="AG154" s="111">
        <v>42930</v>
      </c>
      <c r="AH154" s="111">
        <v>41680</v>
      </c>
      <c r="AI154" s="111">
        <v>41610</v>
      </c>
      <c r="AJ154" s="111">
        <v>41400</v>
      </c>
      <c r="AK154" s="111">
        <v>40110</v>
      </c>
      <c r="AL154" s="111">
        <v>39980</v>
      </c>
      <c r="AM154" s="111">
        <v>39080</v>
      </c>
      <c r="AN154" s="111">
        <v>39810</v>
      </c>
      <c r="AO154" s="111">
        <v>39360</v>
      </c>
      <c r="AP154" s="111">
        <v>38050</v>
      </c>
      <c r="AQ154" s="111">
        <v>38600</v>
      </c>
      <c r="AR154" s="111">
        <v>38870</v>
      </c>
      <c r="AS154" s="111">
        <v>39280</v>
      </c>
      <c r="AT154" s="111">
        <v>40290</v>
      </c>
      <c r="AU154" s="111">
        <v>42260</v>
      </c>
      <c r="AV154" s="111">
        <v>43340</v>
      </c>
      <c r="AW154" s="111">
        <v>43910</v>
      </c>
      <c r="AX154" s="111">
        <v>44400</v>
      </c>
      <c r="AY154" s="111">
        <v>44120</v>
      </c>
      <c r="AZ154" s="111">
        <v>43970</v>
      </c>
      <c r="BA154" s="111">
        <v>43690</v>
      </c>
      <c r="BB154" s="111">
        <v>43350</v>
      </c>
      <c r="BC154" s="111">
        <v>43290</v>
      </c>
      <c r="BD154" s="111">
        <v>42990</v>
      </c>
      <c r="BE154" s="111">
        <v>42770</v>
      </c>
      <c r="BF154" s="111">
        <v>42090</v>
      </c>
      <c r="BG154" s="111">
        <v>42060</v>
      </c>
      <c r="BH154" s="111">
        <v>41440</v>
      </c>
      <c r="BI154" s="111">
        <v>41270</v>
      </c>
      <c r="BJ154" s="111">
        <v>41240</v>
      </c>
      <c r="BK154" s="111">
        <v>41190</v>
      </c>
      <c r="BL154" s="111">
        <v>41110</v>
      </c>
      <c r="BM154" s="195">
        <v>41240</v>
      </c>
      <c r="BN154" s="195">
        <v>41330</v>
      </c>
      <c r="BO154" s="195">
        <v>41390</v>
      </c>
      <c r="BP154" s="195">
        <v>41440</v>
      </c>
      <c r="BQ154" s="195">
        <v>41470</v>
      </c>
    </row>
    <row r="155" spans="1:69">
      <c r="A155" s="105">
        <f>$A$62</f>
        <v>45</v>
      </c>
      <c r="B155" s="111">
        <v>31490</v>
      </c>
      <c r="C155" s="111">
        <v>32140</v>
      </c>
      <c r="D155" s="111">
        <v>31920</v>
      </c>
      <c r="E155" s="111">
        <v>31530</v>
      </c>
      <c r="F155" s="111">
        <v>30400</v>
      </c>
      <c r="G155" s="111">
        <v>29970</v>
      </c>
      <c r="H155" s="111">
        <v>29530</v>
      </c>
      <c r="I155" s="111">
        <v>29930</v>
      </c>
      <c r="J155" s="111">
        <v>30650</v>
      </c>
      <c r="K155" s="111">
        <v>30930</v>
      </c>
      <c r="L155" s="111">
        <v>32040</v>
      </c>
      <c r="M155" s="111">
        <v>32500</v>
      </c>
      <c r="N155" s="111">
        <v>32030</v>
      </c>
      <c r="O155" s="111">
        <v>31160</v>
      </c>
      <c r="P155" s="111">
        <v>30690</v>
      </c>
      <c r="Q155" s="111">
        <v>30190</v>
      </c>
      <c r="R155" s="111">
        <v>30450</v>
      </c>
      <c r="S155" s="111">
        <v>30200</v>
      </c>
      <c r="T155" s="111">
        <v>31290</v>
      </c>
      <c r="U155" s="111">
        <v>32050</v>
      </c>
      <c r="V155" s="111">
        <v>32730</v>
      </c>
      <c r="W155" s="111">
        <v>33550</v>
      </c>
      <c r="X155" s="111">
        <v>34510</v>
      </c>
      <c r="Y155" s="111">
        <v>35040</v>
      </c>
      <c r="Z155" s="111">
        <v>35420</v>
      </c>
      <c r="AA155" s="111">
        <v>36380</v>
      </c>
      <c r="AB155" s="111">
        <v>38160</v>
      </c>
      <c r="AC155" s="111">
        <v>39500</v>
      </c>
      <c r="AD155" s="111">
        <v>40510</v>
      </c>
      <c r="AE155" s="111">
        <v>42420</v>
      </c>
      <c r="AF155" s="111">
        <v>43220</v>
      </c>
      <c r="AG155" s="111">
        <v>43370</v>
      </c>
      <c r="AH155" s="111">
        <v>42980</v>
      </c>
      <c r="AI155" s="111">
        <v>41730</v>
      </c>
      <c r="AJ155" s="111">
        <v>41660</v>
      </c>
      <c r="AK155" s="111">
        <v>41450</v>
      </c>
      <c r="AL155" s="111">
        <v>40160</v>
      </c>
      <c r="AM155" s="111">
        <v>40040</v>
      </c>
      <c r="AN155" s="111">
        <v>39140</v>
      </c>
      <c r="AO155" s="111">
        <v>39870</v>
      </c>
      <c r="AP155" s="111">
        <v>39420</v>
      </c>
      <c r="AQ155" s="111">
        <v>38110</v>
      </c>
      <c r="AR155" s="111">
        <v>38660</v>
      </c>
      <c r="AS155" s="111">
        <v>38930</v>
      </c>
      <c r="AT155" s="111">
        <v>39340</v>
      </c>
      <c r="AU155" s="111">
        <v>40350</v>
      </c>
      <c r="AV155" s="111">
        <v>42320</v>
      </c>
      <c r="AW155" s="111">
        <v>43390</v>
      </c>
      <c r="AX155" s="111">
        <v>43970</v>
      </c>
      <c r="AY155" s="111">
        <v>44460</v>
      </c>
      <c r="AZ155" s="111">
        <v>44180</v>
      </c>
      <c r="BA155" s="111">
        <v>44030</v>
      </c>
      <c r="BB155" s="111">
        <v>43750</v>
      </c>
      <c r="BC155" s="111">
        <v>43410</v>
      </c>
      <c r="BD155" s="111">
        <v>43350</v>
      </c>
      <c r="BE155" s="111">
        <v>43060</v>
      </c>
      <c r="BF155" s="111">
        <v>42830</v>
      </c>
      <c r="BG155" s="111">
        <v>42150</v>
      </c>
      <c r="BH155" s="111">
        <v>42130</v>
      </c>
      <c r="BI155" s="111">
        <v>41510</v>
      </c>
      <c r="BJ155" s="111">
        <v>41340</v>
      </c>
      <c r="BK155" s="111">
        <v>41310</v>
      </c>
      <c r="BL155" s="111">
        <v>41260</v>
      </c>
      <c r="BM155" s="195">
        <v>41180</v>
      </c>
      <c r="BN155" s="195">
        <v>41310</v>
      </c>
      <c r="BO155" s="195">
        <v>41400</v>
      </c>
      <c r="BP155" s="195">
        <v>41460</v>
      </c>
      <c r="BQ155" s="195">
        <v>41510</v>
      </c>
    </row>
    <row r="156" spans="1:69">
      <c r="A156" s="105">
        <f>$A$63</f>
        <v>46</v>
      </c>
      <c r="B156" s="111">
        <v>30540</v>
      </c>
      <c r="C156" s="111">
        <v>31420</v>
      </c>
      <c r="D156" s="111">
        <v>32070</v>
      </c>
      <c r="E156" s="111">
        <v>31870</v>
      </c>
      <c r="F156" s="111">
        <v>31460</v>
      </c>
      <c r="G156" s="111">
        <v>30290</v>
      </c>
      <c r="H156" s="111">
        <v>29820</v>
      </c>
      <c r="I156" s="111">
        <v>29520</v>
      </c>
      <c r="J156" s="111">
        <v>30230</v>
      </c>
      <c r="K156" s="111">
        <v>31080</v>
      </c>
      <c r="L156" s="111">
        <v>31450</v>
      </c>
      <c r="M156" s="111">
        <v>32550</v>
      </c>
      <c r="N156" s="111">
        <v>33000</v>
      </c>
      <c r="O156" s="111">
        <v>32380</v>
      </c>
      <c r="P156" s="111">
        <v>31620</v>
      </c>
      <c r="Q156" s="111">
        <v>30730</v>
      </c>
      <c r="R156" s="111">
        <v>30270</v>
      </c>
      <c r="S156" s="111">
        <v>30550</v>
      </c>
      <c r="T156" s="111">
        <v>30220</v>
      </c>
      <c r="U156" s="111">
        <v>31310</v>
      </c>
      <c r="V156" s="111">
        <v>32070</v>
      </c>
      <c r="W156" s="111">
        <v>32750</v>
      </c>
      <c r="X156" s="111">
        <v>33560</v>
      </c>
      <c r="Y156" s="111">
        <v>34520</v>
      </c>
      <c r="Z156" s="111">
        <v>35050</v>
      </c>
      <c r="AA156" s="111">
        <v>35440</v>
      </c>
      <c r="AB156" s="111">
        <v>36400</v>
      </c>
      <c r="AC156" s="111">
        <v>38170</v>
      </c>
      <c r="AD156" s="111">
        <v>39510</v>
      </c>
      <c r="AE156" s="111">
        <v>40520</v>
      </c>
      <c r="AF156" s="111">
        <v>42430</v>
      </c>
      <c r="AG156" s="111">
        <v>43230</v>
      </c>
      <c r="AH156" s="111">
        <v>43380</v>
      </c>
      <c r="AI156" s="111">
        <v>42990</v>
      </c>
      <c r="AJ156" s="111">
        <v>41740</v>
      </c>
      <c r="AK156" s="111">
        <v>41670</v>
      </c>
      <c r="AL156" s="111">
        <v>41470</v>
      </c>
      <c r="AM156" s="111">
        <v>40180</v>
      </c>
      <c r="AN156" s="111">
        <v>40060</v>
      </c>
      <c r="AO156" s="111">
        <v>39160</v>
      </c>
      <c r="AP156" s="111">
        <v>39890</v>
      </c>
      <c r="AQ156" s="111">
        <v>39440</v>
      </c>
      <c r="AR156" s="111">
        <v>38130</v>
      </c>
      <c r="AS156" s="111">
        <v>38690</v>
      </c>
      <c r="AT156" s="111">
        <v>38950</v>
      </c>
      <c r="AU156" s="111">
        <v>39360</v>
      </c>
      <c r="AV156" s="111">
        <v>40380</v>
      </c>
      <c r="AW156" s="111">
        <v>42350</v>
      </c>
      <c r="AX156" s="111">
        <v>43420</v>
      </c>
      <c r="AY156" s="111">
        <v>43990</v>
      </c>
      <c r="AZ156" s="111">
        <v>44480</v>
      </c>
      <c r="BA156" s="111">
        <v>44200</v>
      </c>
      <c r="BB156" s="111">
        <v>44050</v>
      </c>
      <c r="BC156" s="111">
        <v>43780</v>
      </c>
      <c r="BD156" s="111">
        <v>43440</v>
      </c>
      <c r="BE156" s="111">
        <v>43380</v>
      </c>
      <c r="BF156" s="111">
        <v>43090</v>
      </c>
      <c r="BG156" s="111">
        <v>42860</v>
      </c>
      <c r="BH156" s="111">
        <v>42180</v>
      </c>
      <c r="BI156" s="111">
        <v>42160</v>
      </c>
      <c r="BJ156" s="111">
        <v>41540</v>
      </c>
      <c r="BK156" s="111">
        <v>41370</v>
      </c>
      <c r="BL156" s="111">
        <v>41340</v>
      </c>
      <c r="BM156" s="195">
        <v>41290</v>
      </c>
      <c r="BN156" s="195">
        <v>41210</v>
      </c>
      <c r="BO156" s="195">
        <v>41340</v>
      </c>
      <c r="BP156" s="195">
        <v>41430</v>
      </c>
      <c r="BQ156" s="195">
        <v>41500</v>
      </c>
    </row>
    <row r="157" spans="1:69">
      <c r="A157" s="105">
        <f>$A$64</f>
        <v>47</v>
      </c>
      <c r="B157" s="111">
        <v>30080</v>
      </c>
      <c r="C157" s="111">
        <v>30470</v>
      </c>
      <c r="D157" s="111">
        <v>31270</v>
      </c>
      <c r="E157" s="111">
        <v>31960</v>
      </c>
      <c r="F157" s="111">
        <v>31720</v>
      </c>
      <c r="G157" s="111">
        <v>31300</v>
      </c>
      <c r="H157" s="111">
        <v>30150</v>
      </c>
      <c r="I157" s="111">
        <v>29680</v>
      </c>
      <c r="J157" s="111">
        <v>29770</v>
      </c>
      <c r="K157" s="111">
        <v>30580</v>
      </c>
      <c r="L157" s="111">
        <v>31480</v>
      </c>
      <c r="M157" s="111">
        <v>31910</v>
      </c>
      <c r="N157" s="111">
        <v>33000</v>
      </c>
      <c r="O157" s="111">
        <v>33330</v>
      </c>
      <c r="P157" s="111">
        <v>32820</v>
      </c>
      <c r="Q157" s="111">
        <v>31650</v>
      </c>
      <c r="R157" s="111">
        <v>30800</v>
      </c>
      <c r="S157" s="111">
        <v>30370</v>
      </c>
      <c r="T157" s="111">
        <v>30540</v>
      </c>
      <c r="U157" s="111">
        <v>30210</v>
      </c>
      <c r="V157" s="111">
        <v>31290</v>
      </c>
      <c r="W157" s="111">
        <v>32050</v>
      </c>
      <c r="X157" s="111">
        <v>32730</v>
      </c>
      <c r="Y157" s="111">
        <v>33550</v>
      </c>
      <c r="Z157" s="111">
        <v>34510</v>
      </c>
      <c r="AA157" s="111">
        <v>35040</v>
      </c>
      <c r="AB157" s="111">
        <v>35420</v>
      </c>
      <c r="AC157" s="111">
        <v>36380</v>
      </c>
      <c r="AD157" s="111">
        <v>38150</v>
      </c>
      <c r="AE157" s="111">
        <v>39490</v>
      </c>
      <c r="AF157" s="111">
        <v>40500</v>
      </c>
      <c r="AG157" s="111">
        <v>42410</v>
      </c>
      <c r="AH157" s="111">
        <v>43210</v>
      </c>
      <c r="AI157" s="111">
        <v>43360</v>
      </c>
      <c r="AJ157" s="111">
        <v>42970</v>
      </c>
      <c r="AK157" s="111">
        <v>41730</v>
      </c>
      <c r="AL157" s="111">
        <v>41660</v>
      </c>
      <c r="AM157" s="111">
        <v>41450</v>
      </c>
      <c r="AN157" s="111">
        <v>40170</v>
      </c>
      <c r="AO157" s="111">
        <v>40050</v>
      </c>
      <c r="AP157" s="111">
        <v>39150</v>
      </c>
      <c r="AQ157" s="111">
        <v>39880</v>
      </c>
      <c r="AR157" s="111">
        <v>39430</v>
      </c>
      <c r="AS157" s="111">
        <v>38130</v>
      </c>
      <c r="AT157" s="111">
        <v>38680</v>
      </c>
      <c r="AU157" s="111">
        <v>38950</v>
      </c>
      <c r="AV157" s="111">
        <v>39360</v>
      </c>
      <c r="AW157" s="111">
        <v>40380</v>
      </c>
      <c r="AX157" s="111">
        <v>42340</v>
      </c>
      <c r="AY157" s="111">
        <v>43410</v>
      </c>
      <c r="AZ157" s="111">
        <v>43990</v>
      </c>
      <c r="BA157" s="111">
        <v>44470</v>
      </c>
      <c r="BB157" s="111">
        <v>44200</v>
      </c>
      <c r="BC157" s="111">
        <v>44050</v>
      </c>
      <c r="BD157" s="111">
        <v>43780</v>
      </c>
      <c r="BE157" s="111">
        <v>43440</v>
      </c>
      <c r="BF157" s="111">
        <v>43380</v>
      </c>
      <c r="BG157" s="111">
        <v>43090</v>
      </c>
      <c r="BH157" s="111">
        <v>42860</v>
      </c>
      <c r="BI157" s="111">
        <v>42180</v>
      </c>
      <c r="BJ157" s="111">
        <v>42170</v>
      </c>
      <c r="BK157" s="111">
        <v>41550</v>
      </c>
      <c r="BL157" s="111">
        <v>41380</v>
      </c>
      <c r="BM157" s="195">
        <v>41350</v>
      </c>
      <c r="BN157" s="195">
        <v>41300</v>
      </c>
      <c r="BO157" s="195">
        <v>41220</v>
      </c>
      <c r="BP157" s="195">
        <v>41350</v>
      </c>
      <c r="BQ157" s="195">
        <v>41440</v>
      </c>
    </row>
    <row r="158" spans="1:69">
      <c r="A158" s="105">
        <f>$A$65</f>
        <v>48</v>
      </c>
      <c r="B158" s="111">
        <v>28610</v>
      </c>
      <c r="C158" s="111">
        <v>30010</v>
      </c>
      <c r="D158" s="111">
        <v>30340</v>
      </c>
      <c r="E158" s="111">
        <v>31240</v>
      </c>
      <c r="F158" s="111">
        <v>31890</v>
      </c>
      <c r="G158" s="111">
        <v>31530</v>
      </c>
      <c r="H158" s="111">
        <v>31110</v>
      </c>
      <c r="I158" s="111">
        <v>30000</v>
      </c>
      <c r="J158" s="111">
        <v>29890</v>
      </c>
      <c r="K158" s="111">
        <v>30070</v>
      </c>
      <c r="L158" s="111">
        <v>31020</v>
      </c>
      <c r="M158" s="111">
        <v>31890</v>
      </c>
      <c r="N158" s="111">
        <v>32290</v>
      </c>
      <c r="O158" s="111">
        <v>33260</v>
      </c>
      <c r="P158" s="111">
        <v>33690</v>
      </c>
      <c r="Q158" s="111">
        <v>32840</v>
      </c>
      <c r="R158" s="111">
        <v>31710</v>
      </c>
      <c r="S158" s="111">
        <v>30880</v>
      </c>
      <c r="T158" s="111">
        <v>30320</v>
      </c>
      <c r="U158" s="111">
        <v>30500</v>
      </c>
      <c r="V158" s="111">
        <v>30170</v>
      </c>
      <c r="W158" s="111">
        <v>31250</v>
      </c>
      <c r="X158" s="111">
        <v>32010</v>
      </c>
      <c r="Y158" s="111">
        <v>32690</v>
      </c>
      <c r="Z158" s="111">
        <v>33500</v>
      </c>
      <c r="AA158" s="111">
        <v>34470</v>
      </c>
      <c r="AB158" s="111">
        <v>35000</v>
      </c>
      <c r="AC158" s="111">
        <v>35380</v>
      </c>
      <c r="AD158" s="111">
        <v>36340</v>
      </c>
      <c r="AE158" s="111">
        <v>38110</v>
      </c>
      <c r="AF158" s="111">
        <v>39450</v>
      </c>
      <c r="AG158" s="111">
        <v>40460</v>
      </c>
      <c r="AH158" s="111">
        <v>42360</v>
      </c>
      <c r="AI158" s="111">
        <v>43160</v>
      </c>
      <c r="AJ158" s="111">
        <v>43310</v>
      </c>
      <c r="AK158" s="111">
        <v>42920</v>
      </c>
      <c r="AL158" s="111">
        <v>41690</v>
      </c>
      <c r="AM158" s="111">
        <v>41610</v>
      </c>
      <c r="AN158" s="111">
        <v>41410</v>
      </c>
      <c r="AO158" s="111">
        <v>40130</v>
      </c>
      <c r="AP158" s="111">
        <v>40010</v>
      </c>
      <c r="AQ158" s="111">
        <v>39120</v>
      </c>
      <c r="AR158" s="111">
        <v>39850</v>
      </c>
      <c r="AS158" s="111">
        <v>39400</v>
      </c>
      <c r="AT158" s="111">
        <v>38100</v>
      </c>
      <c r="AU158" s="111">
        <v>38650</v>
      </c>
      <c r="AV158" s="111">
        <v>38920</v>
      </c>
      <c r="AW158" s="111">
        <v>39330</v>
      </c>
      <c r="AX158" s="111">
        <v>40340</v>
      </c>
      <c r="AY158" s="111">
        <v>42310</v>
      </c>
      <c r="AZ158" s="111">
        <v>43380</v>
      </c>
      <c r="BA158" s="111">
        <v>43950</v>
      </c>
      <c r="BB158" s="111">
        <v>44440</v>
      </c>
      <c r="BC158" s="111">
        <v>44170</v>
      </c>
      <c r="BD158" s="111">
        <v>44020</v>
      </c>
      <c r="BE158" s="111">
        <v>43750</v>
      </c>
      <c r="BF158" s="111">
        <v>43410</v>
      </c>
      <c r="BG158" s="111">
        <v>43350</v>
      </c>
      <c r="BH158" s="111">
        <v>43060</v>
      </c>
      <c r="BI158" s="111">
        <v>42840</v>
      </c>
      <c r="BJ158" s="111">
        <v>42160</v>
      </c>
      <c r="BK158" s="111">
        <v>42140</v>
      </c>
      <c r="BL158" s="111">
        <v>41530</v>
      </c>
      <c r="BM158" s="195">
        <v>41360</v>
      </c>
      <c r="BN158" s="195">
        <v>41330</v>
      </c>
      <c r="BO158" s="195">
        <v>41280</v>
      </c>
      <c r="BP158" s="195">
        <v>41200</v>
      </c>
      <c r="BQ158" s="195">
        <v>41330</v>
      </c>
    </row>
    <row r="159" spans="1:69">
      <c r="A159" s="105">
        <f>$A$66</f>
        <v>49</v>
      </c>
      <c r="B159" s="111">
        <v>28400</v>
      </c>
      <c r="C159" s="111">
        <v>28490</v>
      </c>
      <c r="D159" s="111">
        <v>29860</v>
      </c>
      <c r="E159" s="111">
        <v>30220</v>
      </c>
      <c r="F159" s="111">
        <v>31130</v>
      </c>
      <c r="G159" s="111">
        <v>31760</v>
      </c>
      <c r="H159" s="111">
        <v>31330</v>
      </c>
      <c r="I159" s="111">
        <v>30960</v>
      </c>
      <c r="J159" s="111">
        <v>30200</v>
      </c>
      <c r="K159" s="111">
        <v>30120</v>
      </c>
      <c r="L159" s="111">
        <v>30340</v>
      </c>
      <c r="M159" s="111">
        <v>31360</v>
      </c>
      <c r="N159" s="111">
        <v>32290</v>
      </c>
      <c r="O159" s="111">
        <v>32520</v>
      </c>
      <c r="P159" s="111">
        <v>33590</v>
      </c>
      <c r="Q159" s="111">
        <v>33700</v>
      </c>
      <c r="R159" s="111">
        <v>32880</v>
      </c>
      <c r="S159" s="111">
        <v>31760</v>
      </c>
      <c r="T159" s="111">
        <v>30800</v>
      </c>
      <c r="U159" s="111">
        <v>30250</v>
      </c>
      <c r="V159" s="111">
        <v>30420</v>
      </c>
      <c r="W159" s="111">
        <v>30100</v>
      </c>
      <c r="X159" s="111">
        <v>31180</v>
      </c>
      <c r="Y159" s="111">
        <v>31940</v>
      </c>
      <c r="Z159" s="111">
        <v>32620</v>
      </c>
      <c r="AA159" s="111">
        <v>33430</v>
      </c>
      <c r="AB159" s="111">
        <v>34390</v>
      </c>
      <c r="AC159" s="111">
        <v>34920</v>
      </c>
      <c r="AD159" s="111">
        <v>35300</v>
      </c>
      <c r="AE159" s="111">
        <v>36260</v>
      </c>
      <c r="AF159" s="111">
        <v>38030</v>
      </c>
      <c r="AG159" s="111">
        <v>39370</v>
      </c>
      <c r="AH159" s="111">
        <v>40380</v>
      </c>
      <c r="AI159" s="111">
        <v>42280</v>
      </c>
      <c r="AJ159" s="111">
        <v>43080</v>
      </c>
      <c r="AK159" s="111">
        <v>43230</v>
      </c>
      <c r="AL159" s="111">
        <v>42850</v>
      </c>
      <c r="AM159" s="111">
        <v>41610</v>
      </c>
      <c r="AN159" s="111">
        <v>41540</v>
      </c>
      <c r="AO159" s="111">
        <v>41340</v>
      </c>
      <c r="AP159" s="111">
        <v>40060</v>
      </c>
      <c r="AQ159" s="111">
        <v>39940</v>
      </c>
      <c r="AR159" s="111">
        <v>39050</v>
      </c>
      <c r="AS159" s="111">
        <v>39780</v>
      </c>
      <c r="AT159" s="111">
        <v>39330</v>
      </c>
      <c r="AU159" s="111">
        <v>38030</v>
      </c>
      <c r="AV159" s="111">
        <v>38590</v>
      </c>
      <c r="AW159" s="111">
        <v>38850</v>
      </c>
      <c r="AX159" s="111">
        <v>39270</v>
      </c>
      <c r="AY159" s="111">
        <v>40280</v>
      </c>
      <c r="AZ159" s="111">
        <v>42250</v>
      </c>
      <c r="BA159" s="111">
        <v>43320</v>
      </c>
      <c r="BB159" s="111">
        <v>43890</v>
      </c>
      <c r="BC159" s="111">
        <v>44380</v>
      </c>
      <c r="BD159" s="111">
        <v>44100</v>
      </c>
      <c r="BE159" s="111">
        <v>43960</v>
      </c>
      <c r="BF159" s="111">
        <v>43690</v>
      </c>
      <c r="BG159" s="111">
        <v>43350</v>
      </c>
      <c r="BH159" s="111">
        <v>43290</v>
      </c>
      <c r="BI159" s="111">
        <v>43000</v>
      </c>
      <c r="BJ159" s="111">
        <v>42780</v>
      </c>
      <c r="BK159" s="111">
        <v>42110</v>
      </c>
      <c r="BL159" s="111">
        <v>42090</v>
      </c>
      <c r="BM159" s="195">
        <v>41470</v>
      </c>
      <c r="BN159" s="195">
        <v>41300</v>
      </c>
      <c r="BO159" s="195">
        <v>41280</v>
      </c>
      <c r="BP159" s="195">
        <v>41230</v>
      </c>
      <c r="BQ159" s="195">
        <v>41150</v>
      </c>
    </row>
    <row r="160" spans="1:69">
      <c r="A160" s="105">
        <f>$A$67</f>
        <v>50</v>
      </c>
      <c r="B160" s="111">
        <v>27750</v>
      </c>
      <c r="C160" s="111">
        <v>28300</v>
      </c>
      <c r="D160" s="111">
        <v>28330</v>
      </c>
      <c r="E160" s="111">
        <v>29730</v>
      </c>
      <c r="F160" s="111">
        <v>30080</v>
      </c>
      <c r="G160" s="111">
        <v>30940</v>
      </c>
      <c r="H160" s="111">
        <v>31520</v>
      </c>
      <c r="I160" s="111">
        <v>31200</v>
      </c>
      <c r="J160" s="111">
        <v>31140</v>
      </c>
      <c r="K160" s="111">
        <v>30470</v>
      </c>
      <c r="L160" s="111">
        <v>30430</v>
      </c>
      <c r="M160" s="111">
        <v>30640</v>
      </c>
      <c r="N160" s="111">
        <v>31660</v>
      </c>
      <c r="O160" s="111">
        <v>32420</v>
      </c>
      <c r="P160" s="111">
        <v>32840</v>
      </c>
      <c r="Q160" s="111">
        <v>33590</v>
      </c>
      <c r="R160" s="111">
        <v>33730</v>
      </c>
      <c r="S160" s="111">
        <v>32920</v>
      </c>
      <c r="T160" s="111">
        <v>31660</v>
      </c>
      <c r="U160" s="111">
        <v>30700</v>
      </c>
      <c r="V160" s="111">
        <v>30150</v>
      </c>
      <c r="W160" s="111">
        <v>30320</v>
      </c>
      <c r="X160" s="111">
        <v>30000</v>
      </c>
      <c r="Y160" s="111">
        <v>31080</v>
      </c>
      <c r="Z160" s="111">
        <v>31840</v>
      </c>
      <c r="AA160" s="111">
        <v>32520</v>
      </c>
      <c r="AB160" s="111">
        <v>33330</v>
      </c>
      <c r="AC160" s="111">
        <v>34290</v>
      </c>
      <c r="AD160" s="111">
        <v>34820</v>
      </c>
      <c r="AE160" s="111">
        <v>35200</v>
      </c>
      <c r="AF160" s="111">
        <v>36160</v>
      </c>
      <c r="AG160" s="111">
        <v>37930</v>
      </c>
      <c r="AH160" s="111">
        <v>39260</v>
      </c>
      <c r="AI160" s="111">
        <v>40270</v>
      </c>
      <c r="AJ160" s="111">
        <v>42170</v>
      </c>
      <c r="AK160" s="111">
        <v>42980</v>
      </c>
      <c r="AL160" s="111">
        <v>43120</v>
      </c>
      <c r="AM160" s="111">
        <v>42740</v>
      </c>
      <c r="AN160" s="111">
        <v>41510</v>
      </c>
      <c r="AO160" s="111">
        <v>41440</v>
      </c>
      <c r="AP160" s="111">
        <v>41240</v>
      </c>
      <c r="AQ160" s="111">
        <v>39970</v>
      </c>
      <c r="AR160" s="111">
        <v>39850</v>
      </c>
      <c r="AS160" s="111">
        <v>38960</v>
      </c>
      <c r="AT160" s="111">
        <v>39690</v>
      </c>
      <c r="AU160" s="111">
        <v>39250</v>
      </c>
      <c r="AV160" s="111">
        <v>37950</v>
      </c>
      <c r="AW160" s="111">
        <v>38500</v>
      </c>
      <c r="AX160" s="111">
        <v>38770</v>
      </c>
      <c r="AY160" s="111">
        <v>39180</v>
      </c>
      <c r="AZ160" s="111">
        <v>40200</v>
      </c>
      <c r="BA160" s="111">
        <v>42160</v>
      </c>
      <c r="BB160" s="111">
        <v>43230</v>
      </c>
      <c r="BC160" s="111">
        <v>43800</v>
      </c>
      <c r="BD160" s="111">
        <v>44290</v>
      </c>
      <c r="BE160" s="111">
        <v>44020</v>
      </c>
      <c r="BF160" s="111">
        <v>43880</v>
      </c>
      <c r="BG160" s="111">
        <v>43610</v>
      </c>
      <c r="BH160" s="111">
        <v>43270</v>
      </c>
      <c r="BI160" s="111">
        <v>43210</v>
      </c>
      <c r="BJ160" s="111">
        <v>42920</v>
      </c>
      <c r="BK160" s="111">
        <v>42700</v>
      </c>
      <c r="BL160" s="111">
        <v>42030</v>
      </c>
      <c r="BM160" s="195">
        <v>42010</v>
      </c>
      <c r="BN160" s="195">
        <v>41400</v>
      </c>
      <c r="BO160" s="195">
        <v>41230</v>
      </c>
      <c r="BP160" s="195">
        <v>41210</v>
      </c>
      <c r="BQ160" s="195">
        <v>41160</v>
      </c>
    </row>
    <row r="161" spans="1:69">
      <c r="A161" s="105">
        <f>$A$68</f>
        <v>51</v>
      </c>
      <c r="B161" s="111">
        <v>26550</v>
      </c>
      <c r="C161" s="111">
        <v>27630</v>
      </c>
      <c r="D161" s="111">
        <v>28160</v>
      </c>
      <c r="E161" s="111">
        <v>28190</v>
      </c>
      <c r="F161" s="111">
        <v>29630</v>
      </c>
      <c r="G161" s="111">
        <v>29880</v>
      </c>
      <c r="H161" s="111">
        <v>30740</v>
      </c>
      <c r="I161" s="111">
        <v>31370</v>
      </c>
      <c r="J161" s="111">
        <v>31360</v>
      </c>
      <c r="K161" s="111">
        <v>31280</v>
      </c>
      <c r="L161" s="111">
        <v>30700</v>
      </c>
      <c r="M161" s="111">
        <v>30650</v>
      </c>
      <c r="N161" s="111">
        <v>30900</v>
      </c>
      <c r="O161" s="111">
        <v>31690</v>
      </c>
      <c r="P161" s="111">
        <v>32660</v>
      </c>
      <c r="Q161" s="111">
        <v>32830</v>
      </c>
      <c r="R161" s="111">
        <v>33590</v>
      </c>
      <c r="S161" s="111">
        <v>33740</v>
      </c>
      <c r="T161" s="111">
        <v>32790</v>
      </c>
      <c r="U161" s="111">
        <v>31540</v>
      </c>
      <c r="V161" s="111">
        <v>30580</v>
      </c>
      <c r="W161" s="111">
        <v>30030</v>
      </c>
      <c r="X161" s="111">
        <v>30210</v>
      </c>
      <c r="Y161" s="111">
        <v>29890</v>
      </c>
      <c r="Z161" s="111">
        <v>30970</v>
      </c>
      <c r="AA161" s="111">
        <v>31720</v>
      </c>
      <c r="AB161" s="111">
        <v>32400</v>
      </c>
      <c r="AC161" s="111">
        <v>33220</v>
      </c>
      <c r="AD161" s="111">
        <v>34170</v>
      </c>
      <c r="AE161" s="111">
        <v>34710</v>
      </c>
      <c r="AF161" s="111">
        <v>35090</v>
      </c>
      <c r="AG161" s="111">
        <v>36050</v>
      </c>
      <c r="AH161" s="111">
        <v>37810</v>
      </c>
      <c r="AI161" s="111">
        <v>39140</v>
      </c>
      <c r="AJ161" s="111">
        <v>40150</v>
      </c>
      <c r="AK161" s="111">
        <v>42050</v>
      </c>
      <c r="AL161" s="111">
        <v>42850</v>
      </c>
      <c r="AM161" s="111">
        <v>43000</v>
      </c>
      <c r="AN161" s="111">
        <v>42620</v>
      </c>
      <c r="AO161" s="111">
        <v>41400</v>
      </c>
      <c r="AP161" s="111">
        <v>41330</v>
      </c>
      <c r="AQ161" s="111">
        <v>41130</v>
      </c>
      <c r="AR161" s="111">
        <v>39860</v>
      </c>
      <c r="AS161" s="111">
        <v>39740</v>
      </c>
      <c r="AT161" s="111">
        <v>38860</v>
      </c>
      <c r="AU161" s="111">
        <v>39580</v>
      </c>
      <c r="AV161" s="111">
        <v>39140</v>
      </c>
      <c r="AW161" s="111">
        <v>37850</v>
      </c>
      <c r="AX161" s="111">
        <v>38400</v>
      </c>
      <c r="AY161" s="111">
        <v>38670</v>
      </c>
      <c r="AZ161" s="111">
        <v>39080</v>
      </c>
      <c r="BA161" s="111">
        <v>40100</v>
      </c>
      <c r="BB161" s="111">
        <v>42060</v>
      </c>
      <c r="BC161" s="111">
        <v>43130</v>
      </c>
      <c r="BD161" s="111">
        <v>43700</v>
      </c>
      <c r="BE161" s="111">
        <v>44190</v>
      </c>
      <c r="BF161" s="111">
        <v>43920</v>
      </c>
      <c r="BG161" s="111">
        <v>43780</v>
      </c>
      <c r="BH161" s="111">
        <v>43510</v>
      </c>
      <c r="BI161" s="111">
        <v>43170</v>
      </c>
      <c r="BJ161" s="111">
        <v>43120</v>
      </c>
      <c r="BK161" s="111">
        <v>42830</v>
      </c>
      <c r="BL161" s="111">
        <v>42610</v>
      </c>
      <c r="BM161" s="195">
        <v>41940</v>
      </c>
      <c r="BN161" s="195">
        <v>41920</v>
      </c>
      <c r="BO161" s="195">
        <v>41310</v>
      </c>
      <c r="BP161" s="195">
        <v>41140</v>
      </c>
      <c r="BQ161" s="195">
        <v>41120</v>
      </c>
    </row>
    <row r="162" spans="1:69">
      <c r="A162" s="105">
        <f>$A$69</f>
        <v>52</v>
      </c>
      <c r="B162" s="111">
        <v>25810</v>
      </c>
      <c r="C162" s="111">
        <v>26450</v>
      </c>
      <c r="D162" s="111">
        <v>27420</v>
      </c>
      <c r="E162" s="111">
        <v>27980</v>
      </c>
      <c r="F162" s="111">
        <v>28050</v>
      </c>
      <c r="G162" s="111">
        <v>29430</v>
      </c>
      <c r="H162" s="111">
        <v>29630</v>
      </c>
      <c r="I162" s="111">
        <v>30570</v>
      </c>
      <c r="J162" s="111">
        <v>31440</v>
      </c>
      <c r="K162" s="111">
        <v>31600</v>
      </c>
      <c r="L162" s="111">
        <v>31540</v>
      </c>
      <c r="M162" s="111">
        <v>30950</v>
      </c>
      <c r="N162" s="111">
        <v>30800</v>
      </c>
      <c r="O162" s="111">
        <v>30900</v>
      </c>
      <c r="P162" s="111">
        <v>31870</v>
      </c>
      <c r="Q162" s="111">
        <v>32640</v>
      </c>
      <c r="R162" s="111">
        <v>32810</v>
      </c>
      <c r="S162" s="111">
        <v>33590</v>
      </c>
      <c r="T162" s="111">
        <v>33600</v>
      </c>
      <c r="U162" s="111">
        <v>32650</v>
      </c>
      <c r="V162" s="111">
        <v>31400</v>
      </c>
      <c r="W162" s="111">
        <v>30450</v>
      </c>
      <c r="X162" s="111">
        <v>29910</v>
      </c>
      <c r="Y162" s="111">
        <v>30090</v>
      </c>
      <c r="Z162" s="111">
        <v>29760</v>
      </c>
      <c r="AA162" s="111">
        <v>30840</v>
      </c>
      <c r="AB162" s="111">
        <v>31600</v>
      </c>
      <c r="AC162" s="111">
        <v>32280</v>
      </c>
      <c r="AD162" s="111">
        <v>33090</v>
      </c>
      <c r="AE162" s="111">
        <v>34050</v>
      </c>
      <c r="AF162" s="111">
        <v>34580</v>
      </c>
      <c r="AG162" s="111">
        <v>34960</v>
      </c>
      <c r="AH162" s="111">
        <v>35920</v>
      </c>
      <c r="AI162" s="111">
        <v>37680</v>
      </c>
      <c r="AJ162" s="111">
        <v>39020</v>
      </c>
      <c r="AK162" s="111">
        <v>40020</v>
      </c>
      <c r="AL162" s="111">
        <v>41920</v>
      </c>
      <c r="AM162" s="111">
        <v>42720</v>
      </c>
      <c r="AN162" s="111">
        <v>42870</v>
      </c>
      <c r="AO162" s="111">
        <v>42500</v>
      </c>
      <c r="AP162" s="111">
        <v>41270</v>
      </c>
      <c r="AQ162" s="111">
        <v>41210</v>
      </c>
      <c r="AR162" s="111">
        <v>41010</v>
      </c>
      <c r="AS162" s="111">
        <v>39740</v>
      </c>
      <c r="AT162" s="111">
        <v>39620</v>
      </c>
      <c r="AU162" s="111">
        <v>38740</v>
      </c>
      <c r="AV162" s="111">
        <v>39470</v>
      </c>
      <c r="AW162" s="111">
        <v>39030</v>
      </c>
      <c r="AX162" s="111">
        <v>37740</v>
      </c>
      <c r="AY162" s="111">
        <v>38300</v>
      </c>
      <c r="AZ162" s="111">
        <v>38560</v>
      </c>
      <c r="BA162" s="111">
        <v>38980</v>
      </c>
      <c r="BB162" s="111">
        <v>39990</v>
      </c>
      <c r="BC162" s="111">
        <v>41950</v>
      </c>
      <c r="BD162" s="111">
        <v>43020</v>
      </c>
      <c r="BE162" s="111">
        <v>43590</v>
      </c>
      <c r="BF162" s="111">
        <v>44080</v>
      </c>
      <c r="BG162" s="111">
        <v>43810</v>
      </c>
      <c r="BH162" s="111">
        <v>43670</v>
      </c>
      <c r="BI162" s="111">
        <v>43400</v>
      </c>
      <c r="BJ162" s="111">
        <v>43070</v>
      </c>
      <c r="BK162" s="111">
        <v>43020</v>
      </c>
      <c r="BL162" s="111">
        <v>42730</v>
      </c>
      <c r="BM162" s="195">
        <v>42510</v>
      </c>
      <c r="BN162" s="195">
        <v>41840</v>
      </c>
      <c r="BO162" s="195">
        <v>41830</v>
      </c>
      <c r="BP162" s="195">
        <v>41210</v>
      </c>
      <c r="BQ162" s="195">
        <v>41050</v>
      </c>
    </row>
    <row r="163" spans="1:69">
      <c r="A163" s="105">
        <f>$A$70</f>
        <v>53</v>
      </c>
      <c r="B163" s="111">
        <v>25070</v>
      </c>
      <c r="C163" s="111">
        <v>25680</v>
      </c>
      <c r="D163" s="111">
        <v>26270</v>
      </c>
      <c r="E163" s="111">
        <v>27290</v>
      </c>
      <c r="F163" s="111">
        <v>27870</v>
      </c>
      <c r="G163" s="111">
        <v>27840</v>
      </c>
      <c r="H163" s="111">
        <v>29190</v>
      </c>
      <c r="I163" s="111">
        <v>29500</v>
      </c>
      <c r="J163" s="111">
        <v>30590</v>
      </c>
      <c r="K163" s="111">
        <v>31540</v>
      </c>
      <c r="L163" s="111">
        <v>31790</v>
      </c>
      <c r="M163" s="111">
        <v>31730</v>
      </c>
      <c r="N163" s="111">
        <v>31150</v>
      </c>
      <c r="O163" s="111">
        <v>30810</v>
      </c>
      <c r="P163" s="111">
        <v>31160</v>
      </c>
      <c r="Q163" s="111">
        <v>31840</v>
      </c>
      <c r="R163" s="111">
        <v>32620</v>
      </c>
      <c r="S163" s="111">
        <v>32800</v>
      </c>
      <c r="T163" s="111">
        <v>33450</v>
      </c>
      <c r="U163" s="111">
        <v>33460</v>
      </c>
      <c r="V163" s="111">
        <v>32520</v>
      </c>
      <c r="W163" s="111">
        <v>31270</v>
      </c>
      <c r="X163" s="111">
        <v>30330</v>
      </c>
      <c r="Y163" s="111">
        <v>29790</v>
      </c>
      <c r="Z163" s="111">
        <v>29960</v>
      </c>
      <c r="AA163" s="111">
        <v>29650</v>
      </c>
      <c r="AB163" s="111">
        <v>30720</v>
      </c>
      <c r="AC163" s="111">
        <v>31480</v>
      </c>
      <c r="AD163" s="111">
        <v>32160</v>
      </c>
      <c r="AE163" s="111">
        <v>32970</v>
      </c>
      <c r="AF163" s="111">
        <v>33930</v>
      </c>
      <c r="AG163" s="111">
        <v>34460</v>
      </c>
      <c r="AH163" s="111">
        <v>34840</v>
      </c>
      <c r="AI163" s="111">
        <v>35800</v>
      </c>
      <c r="AJ163" s="111">
        <v>37560</v>
      </c>
      <c r="AK163" s="111">
        <v>38890</v>
      </c>
      <c r="AL163" s="111">
        <v>39900</v>
      </c>
      <c r="AM163" s="111">
        <v>41790</v>
      </c>
      <c r="AN163" s="111">
        <v>42590</v>
      </c>
      <c r="AO163" s="111">
        <v>42740</v>
      </c>
      <c r="AP163" s="111">
        <v>42370</v>
      </c>
      <c r="AQ163" s="111">
        <v>41150</v>
      </c>
      <c r="AR163" s="111">
        <v>41090</v>
      </c>
      <c r="AS163" s="111">
        <v>40890</v>
      </c>
      <c r="AT163" s="111">
        <v>39620</v>
      </c>
      <c r="AU163" s="111">
        <v>39510</v>
      </c>
      <c r="AV163" s="111">
        <v>38630</v>
      </c>
      <c r="AW163" s="111">
        <v>39360</v>
      </c>
      <c r="AX163" s="111">
        <v>38920</v>
      </c>
      <c r="AY163" s="111">
        <v>37640</v>
      </c>
      <c r="AZ163" s="111">
        <v>38190</v>
      </c>
      <c r="BA163" s="111">
        <v>38460</v>
      </c>
      <c r="BB163" s="111">
        <v>38870</v>
      </c>
      <c r="BC163" s="111">
        <v>39890</v>
      </c>
      <c r="BD163" s="111">
        <v>41840</v>
      </c>
      <c r="BE163" s="111">
        <v>42910</v>
      </c>
      <c r="BF163" s="111">
        <v>43490</v>
      </c>
      <c r="BG163" s="111">
        <v>43980</v>
      </c>
      <c r="BH163" s="111">
        <v>43710</v>
      </c>
      <c r="BI163" s="111">
        <v>43570</v>
      </c>
      <c r="BJ163" s="111">
        <v>43300</v>
      </c>
      <c r="BK163" s="111">
        <v>42970</v>
      </c>
      <c r="BL163" s="111">
        <v>42920</v>
      </c>
      <c r="BM163" s="195">
        <v>42630</v>
      </c>
      <c r="BN163" s="195">
        <v>42410</v>
      </c>
      <c r="BO163" s="195">
        <v>41750</v>
      </c>
      <c r="BP163" s="195">
        <v>41730</v>
      </c>
      <c r="BQ163" s="195">
        <v>41120</v>
      </c>
    </row>
    <row r="164" spans="1:69">
      <c r="A164" s="105">
        <f>$A$71</f>
        <v>54</v>
      </c>
      <c r="B164" s="111">
        <v>24750</v>
      </c>
      <c r="C164" s="111">
        <v>24910</v>
      </c>
      <c r="D164" s="111">
        <v>25610</v>
      </c>
      <c r="E164" s="111">
        <v>26170</v>
      </c>
      <c r="F164" s="111">
        <v>27170</v>
      </c>
      <c r="G164" s="111">
        <v>27700</v>
      </c>
      <c r="H164" s="111">
        <v>27670</v>
      </c>
      <c r="I164" s="111">
        <v>29030</v>
      </c>
      <c r="J164" s="111">
        <v>29500</v>
      </c>
      <c r="K164" s="111">
        <v>30650</v>
      </c>
      <c r="L164" s="111">
        <v>31690</v>
      </c>
      <c r="M164" s="111">
        <v>31970</v>
      </c>
      <c r="N164" s="111">
        <v>31840</v>
      </c>
      <c r="O164" s="111">
        <v>31150</v>
      </c>
      <c r="P164" s="111">
        <v>31030</v>
      </c>
      <c r="Q164" s="111">
        <v>31110</v>
      </c>
      <c r="R164" s="111">
        <v>31810</v>
      </c>
      <c r="S164" s="111">
        <v>32590</v>
      </c>
      <c r="T164" s="111">
        <v>32670</v>
      </c>
      <c r="U164" s="111">
        <v>33320</v>
      </c>
      <c r="V164" s="111">
        <v>33330</v>
      </c>
      <c r="W164" s="111">
        <v>32390</v>
      </c>
      <c r="X164" s="111">
        <v>31150</v>
      </c>
      <c r="Y164" s="111">
        <v>30210</v>
      </c>
      <c r="Z164" s="111">
        <v>29670</v>
      </c>
      <c r="AA164" s="111">
        <v>29850</v>
      </c>
      <c r="AB164" s="111">
        <v>29540</v>
      </c>
      <c r="AC164" s="111">
        <v>30610</v>
      </c>
      <c r="AD164" s="111">
        <v>31370</v>
      </c>
      <c r="AE164" s="111">
        <v>32050</v>
      </c>
      <c r="AF164" s="111">
        <v>32860</v>
      </c>
      <c r="AG164" s="111">
        <v>33810</v>
      </c>
      <c r="AH164" s="111">
        <v>34350</v>
      </c>
      <c r="AI164" s="111">
        <v>34730</v>
      </c>
      <c r="AJ164" s="111">
        <v>35690</v>
      </c>
      <c r="AK164" s="111">
        <v>37440</v>
      </c>
      <c r="AL164" s="111">
        <v>38770</v>
      </c>
      <c r="AM164" s="111">
        <v>39780</v>
      </c>
      <c r="AN164" s="111">
        <v>41670</v>
      </c>
      <c r="AO164" s="111">
        <v>42470</v>
      </c>
      <c r="AP164" s="111">
        <v>42630</v>
      </c>
      <c r="AQ164" s="111">
        <v>42260</v>
      </c>
      <c r="AR164" s="111">
        <v>41040</v>
      </c>
      <c r="AS164" s="111">
        <v>40980</v>
      </c>
      <c r="AT164" s="111">
        <v>40780</v>
      </c>
      <c r="AU164" s="111">
        <v>39520</v>
      </c>
      <c r="AV164" s="111">
        <v>39410</v>
      </c>
      <c r="AW164" s="111">
        <v>38530</v>
      </c>
      <c r="AX164" s="111">
        <v>39260</v>
      </c>
      <c r="AY164" s="111">
        <v>38820</v>
      </c>
      <c r="AZ164" s="111">
        <v>37540</v>
      </c>
      <c r="BA164" s="111">
        <v>38100</v>
      </c>
      <c r="BB164" s="111">
        <v>38370</v>
      </c>
      <c r="BC164" s="111">
        <v>38780</v>
      </c>
      <c r="BD164" s="111">
        <v>39790</v>
      </c>
      <c r="BE164" s="111">
        <v>41750</v>
      </c>
      <c r="BF164" s="111">
        <v>42820</v>
      </c>
      <c r="BG164" s="111">
        <v>43390</v>
      </c>
      <c r="BH164" s="111">
        <v>43880</v>
      </c>
      <c r="BI164" s="111">
        <v>43620</v>
      </c>
      <c r="BJ164" s="111">
        <v>43480</v>
      </c>
      <c r="BK164" s="111">
        <v>43210</v>
      </c>
      <c r="BL164" s="111">
        <v>42880</v>
      </c>
      <c r="BM164" s="195">
        <v>42830</v>
      </c>
      <c r="BN164" s="195">
        <v>42550</v>
      </c>
      <c r="BO164" s="195">
        <v>42330</v>
      </c>
      <c r="BP164" s="195">
        <v>41660</v>
      </c>
      <c r="BQ164" s="195">
        <v>41650</v>
      </c>
    </row>
    <row r="165" spans="1:69">
      <c r="A165" s="105">
        <f>$A$72</f>
        <v>55</v>
      </c>
      <c r="B165" s="111">
        <v>24160</v>
      </c>
      <c r="C165" s="111">
        <v>24590</v>
      </c>
      <c r="D165" s="111">
        <v>24710</v>
      </c>
      <c r="E165" s="111">
        <v>25530</v>
      </c>
      <c r="F165" s="111">
        <v>26030</v>
      </c>
      <c r="G165" s="111">
        <v>26960</v>
      </c>
      <c r="H165" s="111">
        <v>27520</v>
      </c>
      <c r="I165" s="111">
        <v>27530</v>
      </c>
      <c r="J165" s="111">
        <v>29050</v>
      </c>
      <c r="K165" s="111">
        <v>29620</v>
      </c>
      <c r="L165" s="111">
        <v>30700</v>
      </c>
      <c r="M165" s="111">
        <v>31760</v>
      </c>
      <c r="N165" s="111">
        <v>32110</v>
      </c>
      <c r="O165" s="111">
        <v>31790</v>
      </c>
      <c r="P165" s="111">
        <v>31360</v>
      </c>
      <c r="Q165" s="111">
        <v>30970</v>
      </c>
      <c r="R165" s="111">
        <v>31070</v>
      </c>
      <c r="S165" s="111">
        <v>31770</v>
      </c>
      <c r="T165" s="111">
        <v>32470</v>
      </c>
      <c r="U165" s="111">
        <v>32550</v>
      </c>
      <c r="V165" s="111">
        <v>33190</v>
      </c>
      <c r="W165" s="111">
        <v>33210</v>
      </c>
      <c r="X165" s="111">
        <v>32280</v>
      </c>
      <c r="Y165" s="111">
        <v>31050</v>
      </c>
      <c r="Z165" s="111">
        <v>30110</v>
      </c>
      <c r="AA165" s="111">
        <v>29570</v>
      </c>
      <c r="AB165" s="111">
        <v>29750</v>
      </c>
      <c r="AC165" s="111">
        <v>29440</v>
      </c>
      <c r="AD165" s="111">
        <v>30510</v>
      </c>
      <c r="AE165" s="111">
        <v>31270</v>
      </c>
      <c r="AF165" s="111">
        <v>31950</v>
      </c>
      <c r="AG165" s="111">
        <v>32760</v>
      </c>
      <c r="AH165" s="111">
        <v>33710</v>
      </c>
      <c r="AI165" s="111">
        <v>34250</v>
      </c>
      <c r="AJ165" s="111">
        <v>34630</v>
      </c>
      <c r="AK165" s="111">
        <v>35590</v>
      </c>
      <c r="AL165" s="111">
        <v>37340</v>
      </c>
      <c r="AM165" s="111">
        <v>38670</v>
      </c>
      <c r="AN165" s="111">
        <v>39680</v>
      </c>
      <c r="AO165" s="111">
        <v>41560</v>
      </c>
      <c r="AP165" s="111">
        <v>42370</v>
      </c>
      <c r="AQ165" s="111">
        <v>42520</v>
      </c>
      <c r="AR165" s="111">
        <v>42150</v>
      </c>
      <c r="AS165" s="111">
        <v>40940</v>
      </c>
      <c r="AT165" s="111">
        <v>40880</v>
      </c>
      <c r="AU165" s="111">
        <v>40690</v>
      </c>
      <c r="AV165" s="111">
        <v>39430</v>
      </c>
      <c r="AW165" s="111">
        <v>39320</v>
      </c>
      <c r="AX165" s="111">
        <v>38450</v>
      </c>
      <c r="AY165" s="111">
        <v>39180</v>
      </c>
      <c r="AZ165" s="111">
        <v>38740</v>
      </c>
      <c r="BA165" s="111">
        <v>37460</v>
      </c>
      <c r="BB165" s="111">
        <v>38020</v>
      </c>
      <c r="BC165" s="111">
        <v>38290</v>
      </c>
      <c r="BD165" s="111">
        <v>38700</v>
      </c>
      <c r="BE165" s="111">
        <v>39710</v>
      </c>
      <c r="BF165" s="111">
        <v>41670</v>
      </c>
      <c r="BG165" s="111">
        <v>42730</v>
      </c>
      <c r="BH165" s="111">
        <v>43310</v>
      </c>
      <c r="BI165" s="111">
        <v>43800</v>
      </c>
      <c r="BJ165" s="111">
        <v>43540</v>
      </c>
      <c r="BK165" s="111">
        <v>43400</v>
      </c>
      <c r="BL165" s="111">
        <v>43140</v>
      </c>
      <c r="BM165" s="195">
        <v>42810</v>
      </c>
      <c r="BN165" s="195">
        <v>42760</v>
      </c>
      <c r="BO165" s="195">
        <v>42480</v>
      </c>
      <c r="BP165" s="195">
        <v>42260</v>
      </c>
      <c r="BQ165" s="195">
        <v>41600</v>
      </c>
    </row>
    <row r="166" spans="1:69">
      <c r="A166" s="105">
        <f>$A$73</f>
        <v>56</v>
      </c>
      <c r="B166" s="111">
        <v>24180</v>
      </c>
      <c r="C166" s="111">
        <v>24100</v>
      </c>
      <c r="D166" s="111">
        <v>24450</v>
      </c>
      <c r="E166" s="111">
        <v>24570</v>
      </c>
      <c r="F166" s="111">
        <v>25410</v>
      </c>
      <c r="G166" s="111">
        <v>25870</v>
      </c>
      <c r="H166" s="111">
        <v>26760</v>
      </c>
      <c r="I166" s="111">
        <v>27380</v>
      </c>
      <c r="J166" s="111">
        <v>27590</v>
      </c>
      <c r="K166" s="111">
        <v>29120</v>
      </c>
      <c r="L166" s="111">
        <v>29720</v>
      </c>
      <c r="M166" s="111">
        <v>30720</v>
      </c>
      <c r="N166" s="111">
        <v>31810</v>
      </c>
      <c r="O166" s="111">
        <v>32030</v>
      </c>
      <c r="P166" s="111">
        <v>31970</v>
      </c>
      <c r="Q166" s="111">
        <v>31290</v>
      </c>
      <c r="R166" s="111">
        <v>30920</v>
      </c>
      <c r="S166" s="111">
        <v>31030</v>
      </c>
      <c r="T166" s="111">
        <v>31660</v>
      </c>
      <c r="U166" s="111">
        <v>32350</v>
      </c>
      <c r="V166" s="111">
        <v>32430</v>
      </c>
      <c r="W166" s="111">
        <v>33080</v>
      </c>
      <c r="X166" s="111">
        <v>33100</v>
      </c>
      <c r="Y166" s="111">
        <v>32170</v>
      </c>
      <c r="Z166" s="111">
        <v>30950</v>
      </c>
      <c r="AA166" s="111">
        <v>30010</v>
      </c>
      <c r="AB166" s="111">
        <v>29480</v>
      </c>
      <c r="AC166" s="111">
        <v>29660</v>
      </c>
      <c r="AD166" s="111">
        <v>29350</v>
      </c>
      <c r="AE166" s="111">
        <v>30430</v>
      </c>
      <c r="AF166" s="111">
        <v>31180</v>
      </c>
      <c r="AG166" s="111">
        <v>31860</v>
      </c>
      <c r="AH166" s="111">
        <v>32670</v>
      </c>
      <c r="AI166" s="111">
        <v>33620</v>
      </c>
      <c r="AJ166" s="111">
        <v>34160</v>
      </c>
      <c r="AK166" s="111">
        <v>34540</v>
      </c>
      <c r="AL166" s="111">
        <v>35500</v>
      </c>
      <c r="AM166" s="111">
        <v>37250</v>
      </c>
      <c r="AN166" s="111">
        <v>38580</v>
      </c>
      <c r="AO166" s="111">
        <v>39580</v>
      </c>
      <c r="AP166" s="111">
        <v>41470</v>
      </c>
      <c r="AQ166" s="111">
        <v>42270</v>
      </c>
      <c r="AR166" s="111">
        <v>42420</v>
      </c>
      <c r="AS166" s="111">
        <v>42060</v>
      </c>
      <c r="AT166" s="111">
        <v>40850</v>
      </c>
      <c r="AU166" s="111">
        <v>40790</v>
      </c>
      <c r="AV166" s="111">
        <v>40600</v>
      </c>
      <c r="AW166" s="111">
        <v>39350</v>
      </c>
      <c r="AX166" s="111">
        <v>39240</v>
      </c>
      <c r="AY166" s="111">
        <v>38370</v>
      </c>
      <c r="AZ166" s="111">
        <v>39100</v>
      </c>
      <c r="BA166" s="111">
        <v>38670</v>
      </c>
      <c r="BB166" s="111">
        <v>37390</v>
      </c>
      <c r="BC166" s="111">
        <v>37950</v>
      </c>
      <c r="BD166" s="111">
        <v>38220</v>
      </c>
      <c r="BE166" s="111">
        <v>38640</v>
      </c>
      <c r="BF166" s="111">
        <v>39650</v>
      </c>
      <c r="BG166" s="111">
        <v>41600</v>
      </c>
      <c r="BH166" s="111">
        <v>42660</v>
      </c>
      <c r="BI166" s="111">
        <v>43240</v>
      </c>
      <c r="BJ166" s="111">
        <v>43730</v>
      </c>
      <c r="BK166" s="111">
        <v>43470</v>
      </c>
      <c r="BL166" s="111">
        <v>43340</v>
      </c>
      <c r="BM166" s="195">
        <v>43080</v>
      </c>
      <c r="BN166" s="195">
        <v>42750</v>
      </c>
      <c r="BO166" s="195">
        <v>42700</v>
      </c>
      <c r="BP166" s="195">
        <v>42420</v>
      </c>
      <c r="BQ166" s="195">
        <v>42200</v>
      </c>
    </row>
    <row r="167" spans="1:69">
      <c r="A167" s="105">
        <f>$A$74</f>
        <v>57</v>
      </c>
      <c r="B167" s="111">
        <v>23830</v>
      </c>
      <c r="C167" s="111">
        <v>24030</v>
      </c>
      <c r="D167" s="111">
        <v>23970</v>
      </c>
      <c r="E167" s="111">
        <v>24310</v>
      </c>
      <c r="F167" s="111">
        <v>24480</v>
      </c>
      <c r="G167" s="111">
        <v>25290</v>
      </c>
      <c r="H167" s="111">
        <v>25730</v>
      </c>
      <c r="I167" s="111">
        <v>26620</v>
      </c>
      <c r="J167" s="111">
        <v>27330</v>
      </c>
      <c r="K167" s="111">
        <v>27670</v>
      </c>
      <c r="L167" s="111">
        <v>29230</v>
      </c>
      <c r="M167" s="111">
        <v>29840</v>
      </c>
      <c r="N167" s="111">
        <v>30770</v>
      </c>
      <c r="O167" s="111">
        <v>31690</v>
      </c>
      <c r="P167" s="111">
        <v>32250</v>
      </c>
      <c r="Q167" s="111">
        <v>31880</v>
      </c>
      <c r="R167" s="111">
        <v>31230</v>
      </c>
      <c r="S167" s="111">
        <v>30870</v>
      </c>
      <c r="T167" s="111">
        <v>30920</v>
      </c>
      <c r="U167" s="111">
        <v>31550</v>
      </c>
      <c r="V167" s="111">
        <v>32250</v>
      </c>
      <c r="W167" s="111">
        <v>32330</v>
      </c>
      <c r="X167" s="111">
        <v>32980</v>
      </c>
      <c r="Y167" s="111">
        <v>33000</v>
      </c>
      <c r="Z167" s="111">
        <v>32080</v>
      </c>
      <c r="AA167" s="111">
        <v>30860</v>
      </c>
      <c r="AB167" s="111">
        <v>29930</v>
      </c>
      <c r="AC167" s="111">
        <v>29400</v>
      </c>
      <c r="AD167" s="111">
        <v>29590</v>
      </c>
      <c r="AE167" s="111">
        <v>29280</v>
      </c>
      <c r="AF167" s="111">
        <v>30350</v>
      </c>
      <c r="AG167" s="111">
        <v>31100</v>
      </c>
      <c r="AH167" s="111">
        <v>31780</v>
      </c>
      <c r="AI167" s="111">
        <v>32590</v>
      </c>
      <c r="AJ167" s="111">
        <v>33540</v>
      </c>
      <c r="AK167" s="111">
        <v>34080</v>
      </c>
      <c r="AL167" s="111">
        <v>34470</v>
      </c>
      <c r="AM167" s="111">
        <v>35420</v>
      </c>
      <c r="AN167" s="111">
        <v>37170</v>
      </c>
      <c r="AO167" s="111">
        <v>38490</v>
      </c>
      <c r="AP167" s="111">
        <v>39500</v>
      </c>
      <c r="AQ167" s="111">
        <v>41380</v>
      </c>
      <c r="AR167" s="111">
        <v>42180</v>
      </c>
      <c r="AS167" s="111">
        <v>42340</v>
      </c>
      <c r="AT167" s="111">
        <v>41980</v>
      </c>
      <c r="AU167" s="111">
        <v>40770</v>
      </c>
      <c r="AV167" s="111">
        <v>40720</v>
      </c>
      <c r="AW167" s="111">
        <v>40530</v>
      </c>
      <c r="AX167" s="111">
        <v>39280</v>
      </c>
      <c r="AY167" s="111">
        <v>39180</v>
      </c>
      <c r="AZ167" s="111">
        <v>38310</v>
      </c>
      <c r="BA167" s="111">
        <v>39040</v>
      </c>
      <c r="BB167" s="111">
        <v>38610</v>
      </c>
      <c r="BC167" s="111">
        <v>37340</v>
      </c>
      <c r="BD167" s="111">
        <v>37890</v>
      </c>
      <c r="BE167" s="111">
        <v>38170</v>
      </c>
      <c r="BF167" s="111">
        <v>38580</v>
      </c>
      <c r="BG167" s="111">
        <v>39590</v>
      </c>
      <c r="BH167" s="111">
        <v>41540</v>
      </c>
      <c r="BI167" s="111">
        <v>42610</v>
      </c>
      <c r="BJ167" s="111">
        <v>43190</v>
      </c>
      <c r="BK167" s="111">
        <v>43680</v>
      </c>
      <c r="BL167" s="111">
        <v>43420</v>
      </c>
      <c r="BM167" s="195">
        <v>43280</v>
      </c>
      <c r="BN167" s="195">
        <v>43020</v>
      </c>
      <c r="BO167" s="195">
        <v>42700</v>
      </c>
      <c r="BP167" s="195">
        <v>42650</v>
      </c>
      <c r="BQ167" s="195">
        <v>42370</v>
      </c>
    </row>
    <row r="168" spans="1:69">
      <c r="A168" s="105">
        <f>$A$75</f>
        <v>58</v>
      </c>
      <c r="B168" s="111">
        <v>23890</v>
      </c>
      <c r="C168" s="111">
        <v>23710</v>
      </c>
      <c r="D168" s="111">
        <v>23900</v>
      </c>
      <c r="E168" s="111">
        <v>23870</v>
      </c>
      <c r="F168" s="111">
        <v>24240</v>
      </c>
      <c r="G168" s="111">
        <v>24350</v>
      </c>
      <c r="H168" s="111">
        <v>25160</v>
      </c>
      <c r="I168" s="111">
        <v>25610</v>
      </c>
      <c r="J168" s="111">
        <v>26590</v>
      </c>
      <c r="K168" s="111">
        <v>27230</v>
      </c>
      <c r="L168" s="111">
        <v>27740</v>
      </c>
      <c r="M168" s="111">
        <v>29270</v>
      </c>
      <c r="N168" s="111">
        <v>29880</v>
      </c>
      <c r="O168" s="111">
        <v>30680</v>
      </c>
      <c r="P168" s="111">
        <v>31870</v>
      </c>
      <c r="Q168" s="111">
        <v>32150</v>
      </c>
      <c r="R168" s="111">
        <v>31800</v>
      </c>
      <c r="S168" s="111">
        <v>31160</v>
      </c>
      <c r="T168" s="111">
        <v>30770</v>
      </c>
      <c r="U168" s="111">
        <v>30830</v>
      </c>
      <c r="V168" s="111">
        <v>31460</v>
      </c>
      <c r="W168" s="111">
        <v>32150</v>
      </c>
      <c r="X168" s="111">
        <v>32240</v>
      </c>
      <c r="Y168" s="111">
        <v>32880</v>
      </c>
      <c r="Z168" s="111">
        <v>32910</v>
      </c>
      <c r="AA168" s="111">
        <v>31990</v>
      </c>
      <c r="AB168" s="111">
        <v>30780</v>
      </c>
      <c r="AC168" s="111">
        <v>29860</v>
      </c>
      <c r="AD168" s="111">
        <v>29340</v>
      </c>
      <c r="AE168" s="111">
        <v>29520</v>
      </c>
      <c r="AF168" s="111">
        <v>29220</v>
      </c>
      <c r="AG168" s="111">
        <v>30290</v>
      </c>
      <c r="AH168" s="111">
        <v>31040</v>
      </c>
      <c r="AI168" s="111">
        <v>31720</v>
      </c>
      <c r="AJ168" s="111">
        <v>32530</v>
      </c>
      <c r="AK168" s="111">
        <v>33480</v>
      </c>
      <c r="AL168" s="111">
        <v>34010</v>
      </c>
      <c r="AM168" s="111">
        <v>34400</v>
      </c>
      <c r="AN168" s="111">
        <v>35360</v>
      </c>
      <c r="AO168" s="111">
        <v>37100</v>
      </c>
      <c r="AP168" s="111">
        <v>38420</v>
      </c>
      <c r="AQ168" s="111">
        <v>39430</v>
      </c>
      <c r="AR168" s="111">
        <v>41310</v>
      </c>
      <c r="AS168" s="111">
        <v>42110</v>
      </c>
      <c r="AT168" s="111">
        <v>42270</v>
      </c>
      <c r="AU168" s="111">
        <v>41910</v>
      </c>
      <c r="AV168" s="111">
        <v>40710</v>
      </c>
      <c r="AW168" s="111">
        <v>40650</v>
      </c>
      <c r="AX168" s="111">
        <v>40470</v>
      </c>
      <c r="AY168" s="111">
        <v>39230</v>
      </c>
      <c r="AZ168" s="111">
        <v>39120</v>
      </c>
      <c r="BA168" s="111">
        <v>38260</v>
      </c>
      <c r="BB168" s="111">
        <v>38990</v>
      </c>
      <c r="BC168" s="111">
        <v>38560</v>
      </c>
      <c r="BD168" s="111">
        <v>37300</v>
      </c>
      <c r="BE168" s="111">
        <v>37850</v>
      </c>
      <c r="BF168" s="111">
        <v>38130</v>
      </c>
      <c r="BG168" s="111">
        <v>38540</v>
      </c>
      <c r="BH168" s="111">
        <v>39550</v>
      </c>
      <c r="BI168" s="111">
        <v>41500</v>
      </c>
      <c r="BJ168" s="111">
        <v>42570</v>
      </c>
      <c r="BK168" s="111">
        <v>43150</v>
      </c>
      <c r="BL168" s="111">
        <v>43640</v>
      </c>
      <c r="BM168" s="195">
        <v>43380</v>
      </c>
      <c r="BN168" s="195">
        <v>43250</v>
      </c>
      <c r="BO168" s="195">
        <v>42990</v>
      </c>
      <c r="BP168" s="195">
        <v>42670</v>
      </c>
      <c r="BQ168" s="195">
        <v>42620</v>
      </c>
    </row>
    <row r="169" spans="1:69">
      <c r="A169" s="105">
        <f>$A$76</f>
        <v>59</v>
      </c>
      <c r="B169" s="111">
        <v>24020</v>
      </c>
      <c r="C169" s="111">
        <v>23810</v>
      </c>
      <c r="D169" s="111">
        <v>23610</v>
      </c>
      <c r="E169" s="111">
        <v>23740</v>
      </c>
      <c r="F169" s="111">
        <v>23780</v>
      </c>
      <c r="G169" s="111">
        <v>24060</v>
      </c>
      <c r="H169" s="111">
        <v>24210</v>
      </c>
      <c r="I169" s="111">
        <v>25030</v>
      </c>
      <c r="J169" s="111">
        <v>25560</v>
      </c>
      <c r="K169" s="111">
        <v>26530</v>
      </c>
      <c r="L169" s="111">
        <v>27240</v>
      </c>
      <c r="M169" s="111">
        <v>27790</v>
      </c>
      <c r="N169" s="111">
        <v>29260</v>
      </c>
      <c r="O169" s="111">
        <v>29790</v>
      </c>
      <c r="P169" s="111">
        <v>30820</v>
      </c>
      <c r="Q169" s="111">
        <v>31760</v>
      </c>
      <c r="R169" s="111">
        <v>32060</v>
      </c>
      <c r="S169" s="111">
        <v>31730</v>
      </c>
      <c r="T169" s="111">
        <v>31070</v>
      </c>
      <c r="U169" s="111">
        <v>30680</v>
      </c>
      <c r="V169" s="111">
        <v>30750</v>
      </c>
      <c r="W169" s="111">
        <v>31370</v>
      </c>
      <c r="X169" s="111">
        <v>32070</v>
      </c>
      <c r="Y169" s="111">
        <v>32160</v>
      </c>
      <c r="Z169" s="111">
        <v>32800</v>
      </c>
      <c r="AA169" s="111">
        <v>32830</v>
      </c>
      <c r="AB169" s="111">
        <v>31920</v>
      </c>
      <c r="AC169" s="111">
        <v>30720</v>
      </c>
      <c r="AD169" s="111">
        <v>29800</v>
      </c>
      <c r="AE169" s="111">
        <v>29280</v>
      </c>
      <c r="AF169" s="111">
        <v>29470</v>
      </c>
      <c r="AG169" s="111">
        <v>29170</v>
      </c>
      <c r="AH169" s="111">
        <v>30240</v>
      </c>
      <c r="AI169" s="111">
        <v>30990</v>
      </c>
      <c r="AJ169" s="111">
        <v>31670</v>
      </c>
      <c r="AK169" s="111">
        <v>32480</v>
      </c>
      <c r="AL169" s="111">
        <v>33430</v>
      </c>
      <c r="AM169" s="111">
        <v>33960</v>
      </c>
      <c r="AN169" s="111">
        <v>34350</v>
      </c>
      <c r="AO169" s="111">
        <v>35300</v>
      </c>
      <c r="AP169" s="111">
        <v>37040</v>
      </c>
      <c r="AQ169" s="111">
        <v>38360</v>
      </c>
      <c r="AR169" s="111">
        <v>39370</v>
      </c>
      <c r="AS169" s="111">
        <v>41240</v>
      </c>
      <c r="AT169" s="111">
        <v>42050</v>
      </c>
      <c r="AU169" s="111">
        <v>42210</v>
      </c>
      <c r="AV169" s="111">
        <v>41850</v>
      </c>
      <c r="AW169" s="111">
        <v>40660</v>
      </c>
      <c r="AX169" s="111">
        <v>40610</v>
      </c>
      <c r="AY169" s="111">
        <v>40430</v>
      </c>
      <c r="AZ169" s="111">
        <v>39190</v>
      </c>
      <c r="BA169" s="111">
        <v>39090</v>
      </c>
      <c r="BB169" s="111">
        <v>38230</v>
      </c>
      <c r="BC169" s="111">
        <v>38960</v>
      </c>
      <c r="BD169" s="111">
        <v>38530</v>
      </c>
      <c r="BE169" s="111">
        <v>37270</v>
      </c>
      <c r="BF169" s="111">
        <v>37830</v>
      </c>
      <c r="BG169" s="111">
        <v>38100</v>
      </c>
      <c r="BH169" s="111">
        <v>38520</v>
      </c>
      <c r="BI169" s="111">
        <v>39530</v>
      </c>
      <c r="BJ169" s="111">
        <v>41470</v>
      </c>
      <c r="BK169" s="111">
        <v>42540</v>
      </c>
      <c r="BL169" s="111">
        <v>43120</v>
      </c>
      <c r="BM169" s="195">
        <v>43610</v>
      </c>
      <c r="BN169" s="195">
        <v>43350</v>
      </c>
      <c r="BO169" s="195">
        <v>43220</v>
      </c>
      <c r="BP169" s="195">
        <v>42970</v>
      </c>
      <c r="BQ169" s="195">
        <v>42650</v>
      </c>
    </row>
    <row r="170" spans="1:69">
      <c r="A170" s="105">
        <f>$A$77</f>
        <v>60</v>
      </c>
      <c r="B170" s="111">
        <v>20160</v>
      </c>
      <c r="C170" s="111">
        <v>23860</v>
      </c>
      <c r="D170" s="111">
        <v>23690</v>
      </c>
      <c r="E170" s="111">
        <v>23510</v>
      </c>
      <c r="F170" s="111">
        <v>23680</v>
      </c>
      <c r="G170" s="111">
        <v>23700</v>
      </c>
      <c r="H170" s="111">
        <v>23950</v>
      </c>
      <c r="I170" s="111">
        <v>24120</v>
      </c>
      <c r="J170" s="111">
        <v>24970</v>
      </c>
      <c r="K170" s="111">
        <v>25600</v>
      </c>
      <c r="L170" s="111">
        <v>26520</v>
      </c>
      <c r="M170" s="111">
        <v>27210</v>
      </c>
      <c r="N170" s="111">
        <v>27840</v>
      </c>
      <c r="O170" s="111">
        <v>29200</v>
      </c>
      <c r="P170" s="111">
        <v>29950</v>
      </c>
      <c r="Q170" s="111">
        <v>30700</v>
      </c>
      <c r="R170" s="111">
        <v>31660</v>
      </c>
      <c r="S170" s="111">
        <v>31970</v>
      </c>
      <c r="T170" s="111">
        <v>31630</v>
      </c>
      <c r="U170" s="111">
        <v>30980</v>
      </c>
      <c r="V170" s="111">
        <v>30600</v>
      </c>
      <c r="W170" s="111">
        <v>30660</v>
      </c>
      <c r="X170" s="111">
        <v>31290</v>
      </c>
      <c r="Y170" s="111">
        <v>31990</v>
      </c>
      <c r="Z170" s="111">
        <v>32080</v>
      </c>
      <c r="AA170" s="111">
        <v>32720</v>
      </c>
      <c r="AB170" s="111">
        <v>32750</v>
      </c>
      <c r="AC170" s="111">
        <v>31850</v>
      </c>
      <c r="AD170" s="111">
        <v>30660</v>
      </c>
      <c r="AE170" s="111">
        <v>29750</v>
      </c>
      <c r="AF170" s="111">
        <v>29230</v>
      </c>
      <c r="AG170" s="111">
        <v>29420</v>
      </c>
      <c r="AH170" s="111">
        <v>29120</v>
      </c>
      <c r="AI170" s="111">
        <v>30190</v>
      </c>
      <c r="AJ170" s="111">
        <v>30940</v>
      </c>
      <c r="AK170" s="111">
        <v>31620</v>
      </c>
      <c r="AL170" s="111">
        <v>32430</v>
      </c>
      <c r="AM170" s="111">
        <v>33380</v>
      </c>
      <c r="AN170" s="111">
        <v>33910</v>
      </c>
      <c r="AO170" s="111">
        <v>34300</v>
      </c>
      <c r="AP170" s="111">
        <v>35250</v>
      </c>
      <c r="AQ170" s="111">
        <v>36990</v>
      </c>
      <c r="AR170" s="111">
        <v>38310</v>
      </c>
      <c r="AS170" s="111">
        <v>39310</v>
      </c>
      <c r="AT170" s="111">
        <v>41190</v>
      </c>
      <c r="AU170" s="111">
        <v>41990</v>
      </c>
      <c r="AV170" s="111">
        <v>42150</v>
      </c>
      <c r="AW170" s="111">
        <v>41800</v>
      </c>
      <c r="AX170" s="111">
        <v>40610</v>
      </c>
      <c r="AY170" s="111">
        <v>40560</v>
      </c>
      <c r="AZ170" s="111">
        <v>40390</v>
      </c>
      <c r="BA170" s="111">
        <v>39150</v>
      </c>
      <c r="BB170" s="111">
        <v>39050</v>
      </c>
      <c r="BC170" s="111">
        <v>38200</v>
      </c>
      <c r="BD170" s="111">
        <v>38930</v>
      </c>
      <c r="BE170" s="111">
        <v>38510</v>
      </c>
      <c r="BF170" s="111">
        <v>37250</v>
      </c>
      <c r="BG170" s="111">
        <v>37810</v>
      </c>
      <c r="BH170" s="111">
        <v>38080</v>
      </c>
      <c r="BI170" s="111">
        <v>38500</v>
      </c>
      <c r="BJ170" s="111">
        <v>39510</v>
      </c>
      <c r="BK170" s="111">
        <v>41450</v>
      </c>
      <c r="BL170" s="111">
        <v>42520</v>
      </c>
      <c r="BM170" s="195">
        <v>43100</v>
      </c>
      <c r="BN170" s="195">
        <v>43590</v>
      </c>
      <c r="BO170" s="195">
        <v>43340</v>
      </c>
      <c r="BP170" s="195">
        <v>43210</v>
      </c>
      <c r="BQ170" s="195">
        <v>42960</v>
      </c>
    </row>
    <row r="171" spans="1:69">
      <c r="A171" s="105">
        <f>$A$78</f>
        <v>61</v>
      </c>
      <c r="B171" s="111">
        <v>19140</v>
      </c>
      <c r="C171" s="111">
        <v>20030</v>
      </c>
      <c r="D171" s="111">
        <v>23700</v>
      </c>
      <c r="E171" s="111">
        <v>23550</v>
      </c>
      <c r="F171" s="111">
        <v>23420</v>
      </c>
      <c r="G171" s="111">
        <v>23540</v>
      </c>
      <c r="H171" s="111">
        <v>23580</v>
      </c>
      <c r="I171" s="111">
        <v>23850</v>
      </c>
      <c r="J171" s="111">
        <v>24100</v>
      </c>
      <c r="K171" s="111">
        <v>24960</v>
      </c>
      <c r="L171" s="111">
        <v>25620</v>
      </c>
      <c r="M171" s="111">
        <v>26500</v>
      </c>
      <c r="N171" s="111">
        <v>27110</v>
      </c>
      <c r="O171" s="111">
        <v>27780</v>
      </c>
      <c r="P171" s="111">
        <v>29370</v>
      </c>
      <c r="Q171" s="111">
        <v>29820</v>
      </c>
      <c r="R171" s="111">
        <v>30590</v>
      </c>
      <c r="S171" s="111">
        <v>31560</v>
      </c>
      <c r="T171" s="111">
        <v>31870</v>
      </c>
      <c r="U171" s="111">
        <v>31540</v>
      </c>
      <c r="V171" s="111">
        <v>30900</v>
      </c>
      <c r="W171" s="111">
        <v>30520</v>
      </c>
      <c r="X171" s="111">
        <v>30590</v>
      </c>
      <c r="Y171" s="111">
        <v>31220</v>
      </c>
      <c r="Z171" s="111">
        <v>31910</v>
      </c>
      <c r="AA171" s="111">
        <v>32000</v>
      </c>
      <c r="AB171" s="111">
        <v>32650</v>
      </c>
      <c r="AC171" s="111">
        <v>32680</v>
      </c>
      <c r="AD171" s="111">
        <v>31790</v>
      </c>
      <c r="AE171" s="111">
        <v>30600</v>
      </c>
      <c r="AF171" s="111">
        <v>29700</v>
      </c>
      <c r="AG171" s="111">
        <v>29190</v>
      </c>
      <c r="AH171" s="111">
        <v>29380</v>
      </c>
      <c r="AI171" s="111">
        <v>29090</v>
      </c>
      <c r="AJ171" s="111">
        <v>30150</v>
      </c>
      <c r="AK171" s="111">
        <v>30900</v>
      </c>
      <c r="AL171" s="111">
        <v>31580</v>
      </c>
      <c r="AM171" s="111">
        <v>32390</v>
      </c>
      <c r="AN171" s="111">
        <v>33340</v>
      </c>
      <c r="AO171" s="111">
        <v>33870</v>
      </c>
      <c r="AP171" s="111">
        <v>34260</v>
      </c>
      <c r="AQ171" s="111">
        <v>35210</v>
      </c>
      <c r="AR171" s="111">
        <v>36950</v>
      </c>
      <c r="AS171" s="111">
        <v>38270</v>
      </c>
      <c r="AT171" s="111">
        <v>39270</v>
      </c>
      <c r="AU171" s="111">
        <v>41140</v>
      </c>
      <c r="AV171" s="111">
        <v>41940</v>
      </c>
      <c r="AW171" s="111">
        <v>42100</v>
      </c>
      <c r="AX171" s="111">
        <v>41760</v>
      </c>
      <c r="AY171" s="111">
        <v>40580</v>
      </c>
      <c r="AZ171" s="111">
        <v>40530</v>
      </c>
      <c r="BA171" s="111">
        <v>40350</v>
      </c>
      <c r="BB171" s="111">
        <v>39120</v>
      </c>
      <c r="BC171" s="111">
        <v>39030</v>
      </c>
      <c r="BD171" s="111">
        <v>38180</v>
      </c>
      <c r="BE171" s="111">
        <v>38910</v>
      </c>
      <c r="BF171" s="111">
        <v>38490</v>
      </c>
      <c r="BG171" s="111">
        <v>37240</v>
      </c>
      <c r="BH171" s="111">
        <v>37800</v>
      </c>
      <c r="BI171" s="111">
        <v>38070</v>
      </c>
      <c r="BJ171" s="111">
        <v>38490</v>
      </c>
      <c r="BK171" s="111">
        <v>39500</v>
      </c>
      <c r="BL171" s="111">
        <v>41440</v>
      </c>
      <c r="BM171" s="195">
        <v>42510</v>
      </c>
      <c r="BN171" s="195">
        <v>43090</v>
      </c>
      <c r="BO171" s="195">
        <v>43580</v>
      </c>
      <c r="BP171" s="195">
        <v>43330</v>
      </c>
      <c r="BQ171" s="195">
        <v>43200</v>
      </c>
    </row>
    <row r="172" spans="1:69">
      <c r="A172" s="105">
        <f>$A$79</f>
        <v>62</v>
      </c>
      <c r="B172" s="111">
        <v>18400</v>
      </c>
      <c r="C172" s="111">
        <v>19020</v>
      </c>
      <c r="D172" s="111">
        <v>19890</v>
      </c>
      <c r="E172" s="111">
        <v>23560</v>
      </c>
      <c r="F172" s="111">
        <v>23450</v>
      </c>
      <c r="G172" s="111">
        <v>23330</v>
      </c>
      <c r="H172" s="111">
        <v>23410</v>
      </c>
      <c r="I172" s="111">
        <v>23520</v>
      </c>
      <c r="J172" s="111">
        <v>23830</v>
      </c>
      <c r="K172" s="111">
        <v>24110</v>
      </c>
      <c r="L172" s="111">
        <v>24920</v>
      </c>
      <c r="M172" s="111">
        <v>25600</v>
      </c>
      <c r="N172" s="111">
        <v>26400</v>
      </c>
      <c r="O172" s="111">
        <v>27040</v>
      </c>
      <c r="P172" s="111">
        <v>28020</v>
      </c>
      <c r="Q172" s="111">
        <v>29230</v>
      </c>
      <c r="R172" s="111">
        <v>29700</v>
      </c>
      <c r="S172" s="111">
        <v>30480</v>
      </c>
      <c r="T172" s="111">
        <v>31460</v>
      </c>
      <c r="U172" s="111">
        <v>31770</v>
      </c>
      <c r="V172" s="111">
        <v>31450</v>
      </c>
      <c r="W172" s="111">
        <v>30820</v>
      </c>
      <c r="X172" s="111">
        <v>30450</v>
      </c>
      <c r="Y172" s="111">
        <v>30520</v>
      </c>
      <c r="Z172" s="111">
        <v>31140</v>
      </c>
      <c r="AA172" s="111">
        <v>31840</v>
      </c>
      <c r="AB172" s="111">
        <v>31930</v>
      </c>
      <c r="AC172" s="111">
        <v>32580</v>
      </c>
      <c r="AD172" s="111">
        <v>32620</v>
      </c>
      <c r="AE172" s="111">
        <v>31730</v>
      </c>
      <c r="AF172" s="111">
        <v>30550</v>
      </c>
      <c r="AG172" s="111">
        <v>29660</v>
      </c>
      <c r="AH172" s="111">
        <v>29150</v>
      </c>
      <c r="AI172" s="111">
        <v>29340</v>
      </c>
      <c r="AJ172" s="111">
        <v>29050</v>
      </c>
      <c r="AK172" s="111">
        <v>30120</v>
      </c>
      <c r="AL172" s="111">
        <v>30870</v>
      </c>
      <c r="AM172" s="111">
        <v>31550</v>
      </c>
      <c r="AN172" s="111">
        <v>32350</v>
      </c>
      <c r="AO172" s="111">
        <v>33300</v>
      </c>
      <c r="AP172" s="111">
        <v>33840</v>
      </c>
      <c r="AQ172" s="111">
        <v>34230</v>
      </c>
      <c r="AR172" s="111">
        <v>35180</v>
      </c>
      <c r="AS172" s="111">
        <v>36910</v>
      </c>
      <c r="AT172" s="111">
        <v>38220</v>
      </c>
      <c r="AU172" s="111">
        <v>39230</v>
      </c>
      <c r="AV172" s="111">
        <v>41090</v>
      </c>
      <c r="AW172" s="111">
        <v>41890</v>
      </c>
      <c r="AX172" s="111">
        <v>42060</v>
      </c>
      <c r="AY172" s="111">
        <v>41720</v>
      </c>
      <c r="AZ172" s="111">
        <v>40540</v>
      </c>
      <c r="BA172" s="111">
        <v>40500</v>
      </c>
      <c r="BB172" s="111">
        <v>40330</v>
      </c>
      <c r="BC172" s="111">
        <v>39100</v>
      </c>
      <c r="BD172" s="111">
        <v>39010</v>
      </c>
      <c r="BE172" s="111">
        <v>38170</v>
      </c>
      <c r="BF172" s="111">
        <v>38900</v>
      </c>
      <c r="BG172" s="111">
        <v>38480</v>
      </c>
      <c r="BH172" s="111">
        <v>37240</v>
      </c>
      <c r="BI172" s="111">
        <v>37790</v>
      </c>
      <c r="BJ172" s="111">
        <v>38070</v>
      </c>
      <c r="BK172" s="111">
        <v>38490</v>
      </c>
      <c r="BL172" s="111">
        <v>39500</v>
      </c>
      <c r="BM172" s="195">
        <v>41440</v>
      </c>
      <c r="BN172" s="195">
        <v>42500</v>
      </c>
      <c r="BO172" s="195">
        <v>43080</v>
      </c>
      <c r="BP172" s="195">
        <v>43580</v>
      </c>
      <c r="BQ172" s="195">
        <v>43330</v>
      </c>
    </row>
    <row r="173" spans="1:69">
      <c r="A173" s="105">
        <f>$A$80</f>
        <v>63</v>
      </c>
      <c r="B173" s="111">
        <v>16270</v>
      </c>
      <c r="C173" s="111">
        <v>18230</v>
      </c>
      <c r="D173" s="111">
        <v>18890</v>
      </c>
      <c r="E173" s="111">
        <v>19760</v>
      </c>
      <c r="F173" s="111">
        <v>23410</v>
      </c>
      <c r="G173" s="111">
        <v>23320</v>
      </c>
      <c r="H173" s="111">
        <v>23240</v>
      </c>
      <c r="I173" s="111">
        <v>23270</v>
      </c>
      <c r="J173" s="111">
        <v>23450</v>
      </c>
      <c r="K173" s="111">
        <v>23790</v>
      </c>
      <c r="L173" s="111">
        <v>24060</v>
      </c>
      <c r="M173" s="111">
        <v>24890</v>
      </c>
      <c r="N173" s="111">
        <v>25430</v>
      </c>
      <c r="O173" s="111">
        <v>26330</v>
      </c>
      <c r="P173" s="111">
        <v>27240</v>
      </c>
      <c r="Q173" s="111">
        <v>27870</v>
      </c>
      <c r="R173" s="111">
        <v>29090</v>
      </c>
      <c r="S173" s="111">
        <v>29570</v>
      </c>
      <c r="T173" s="111">
        <v>30370</v>
      </c>
      <c r="U173" s="111">
        <v>31350</v>
      </c>
      <c r="V173" s="111">
        <v>31660</v>
      </c>
      <c r="W173" s="111">
        <v>31350</v>
      </c>
      <c r="X173" s="111">
        <v>30720</v>
      </c>
      <c r="Y173" s="111">
        <v>30360</v>
      </c>
      <c r="Z173" s="111">
        <v>30430</v>
      </c>
      <c r="AA173" s="111">
        <v>31060</v>
      </c>
      <c r="AB173" s="111">
        <v>31750</v>
      </c>
      <c r="AC173" s="111">
        <v>31850</v>
      </c>
      <c r="AD173" s="111">
        <v>32500</v>
      </c>
      <c r="AE173" s="111">
        <v>32540</v>
      </c>
      <c r="AF173" s="111">
        <v>31660</v>
      </c>
      <c r="AG173" s="111">
        <v>30490</v>
      </c>
      <c r="AH173" s="111">
        <v>29600</v>
      </c>
      <c r="AI173" s="111">
        <v>29110</v>
      </c>
      <c r="AJ173" s="111">
        <v>29300</v>
      </c>
      <c r="AK173" s="111">
        <v>29010</v>
      </c>
      <c r="AL173" s="111">
        <v>30070</v>
      </c>
      <c r="AM173" s="111">
        <v>30830</v>
      </c>
      <c r="AN173" s="111">
        <v>31500</v>
      </c>
      <c r="AO173" s="111">
        <v>32310</v>
      </c>
      <c r="AP173" s="111">
        <v>33260</v>
      </c>
      <c r="AQ173" s="111">
        <v>33790</v>
      </c>
      <c r="AR173" s="111">
        <v>34190</v>
      </c>
      <c r="AS173" s="111">
        <v>35140</v>
      </c>
      <c r="AT173" s="111">
        <v>36860</v>
      </c>
      <c r="AU173" s="111">
        <v>38170</v>
      </c>
      <c r="AV173" s="111">
        <v>39180</v>
      </c>
      <c r="AW173" s="111">
        <v>41040</v>
      </c>
      <c r="AX173" s="111">
        <v>41840</v>
      </c>
      <c r="AY173" s="111">
        <v>42010</v>
      </c>
      <c r="AZ173" s="111">
        <v>41670</v>
      </c>
      <c r="BA173" s="111">
        <v>40500</v>
      </c>
      <c r="BB173" s="111">
        <v>40460</v>
      </c>
      <c r="BC173" s="111">
        <v>40290</v>
      </c>
      <c r="BD173" s="111">
        <v>39080</v>
      </c>
      <c r="BE173" s="111">
        <v>38990</v>
      </c>
      <c r="BF173" s="111">
        <v>38150</v>
      </c>
      <c r="BG173" s="111">
        <v>38880</v>
      </c>
      <c r="BH173" s="111">
        <v>38470</v>
      </c>
      <c r="BI173" s="111">
        <v>37230</v>
      </c>
      <c r="BJ173" s="111">
        <v>37790</v>
      </c>
      <c r="BK173" s="111">
        <v>38060</v>
      </c>
      <c r="BL173" s="111">
        <v>38490</v>
      </c>
      <c r="BM173" s="195">
        <v>39490</v>
      </c>
      <c r="BN173" s="195">
        <v>41430</v>
      </c>
      <c r="BO173" s="195">
        <v>42490</v>
      </c>
      <c r="BP173" s="195">
        <v>43070</v>
      </c>
      <c r="BQ173" s="195">
        <v>43570</v>
      </c>
    </row>
    <row r="174" spans="1:69">
      <c r="A174" s="105">
        <f>$A$81</f>
        <v>64</v>
      </c>
      <c r="B174" s="111">
        <v>17930</v>
      </c>
      <c r="C174" s="111">
        <v>16110</v>
      </c>
      <c r="D174" s="111">
        <v>18080</v>
      </c>
      <c r="E174" s="111">
        <v>18740</v>
      </c>
      <c r="F174" s="111">
        <v>19670</v>
      </c>
      <c r="G174" s="111">
        <v>23280</v>
      </c>
      <c r="H174" s="111">
        <v>23190</v>
      </c>
      <c r="I174" s="111">
        <v>23140</v>
      </c>
      <c r="J174" s="111">
        <v>23170</v>
      </c>
      <c r="K174" s="111">
        <v>23350</v>
      </c>
      <c r="L174" s="111">
        <v>23770</v>
      </c>
      <c r="M174" s="111">
        <v>24040</v>
      </c>
      <c r="N174" s="111">
        <v>24810</v>
      </c>
      <c r="O174" s="111">
        <v>25440</v>
      </c>
      <c r="P174" s="111">
        <v>26490</v>
      </c>
      <c r="Q174" s="111">
        <v>27070</v>
      </c>
      <c r="R174" s="111">
        <v>27720</v>
      </c>
      <c r="S174" s="111">
        <v>28950</v>
      </c>
      <c r="T174" s="111">
        <v>29450</v>
      </c>
      <c r="U174" s="111">
        <v>30240</v>
      </c>
      <c r="V174" s="111">
        <v>31220</v>
      </c>
      <c r="W174" s="111">
        <v>31540</v>
      </c>
      <c r="X174" s="111">
        <v>31230</v>
      </c>
      <c r="Y174" s="111">
        <v>30610</v>
      </c>
      <c r="Z174" s="111">
        <v>30250</v>
      </c>
      <c r="AA174" s="111">
        <v>30330</v>
      </c>
      <c r="AB174" s="111">
        <v>30960</v>
      </c>
      <c r="AC174" s="111">
        <v>31650</v>
      </c>
      <c r="AD174" s="111">
        <v>31750</v>
      </c>
      <c r="AE174" s="111">
        <v>32400</v>
      </c>
      <c r="AF174" s="111">
        <v>32440</v>
      </c>
      <c r="AG174" s="111">
        <v>31580</v>
      </c>
      <c r="AH174" s="111">
        <v>30420</v>
      </c>
      <c r="AI174" s="111">
        <v>29540</v>
      </c>
      <c r="AJ174" s="111">
        <v>29050</v>
      </c>
      <c r="AK174" s="111">
        <v>29240</v>
      </c>
      <c r="AL174" s="111">
        <v>28960</v>
      </c>
      <c r="AM174" s="111">
        <v>30020</v>
      </c>
      <c r="AN174" s="111">
        <v>30770</v>
      </c>
      <c r="AO174" s="111">
        <v>31450</v>
      </c>
      <c r="AP174" s="111">
        <v>32250</v>
      </c>
      <c r="AQ174" s="111">
        <v>33200</v>
      </c>
      <c r="AR174" s="111">
        <v>33730</v>
      </c>
      <c r="AS174" s="111">
        <v>34130</v>
      </c>
      <c r="AT174" s="111">
        <v>35080</v>
      </c>
      <c r="AU174" s="111">
        <v>36800</v>
      </c>
      <c r="AV174" s="111">
        <v>38110</v>
      </c>
      <c r="AW174" s="111">
        <v>39110</v>
      </c>
      <c r="AX174" s="111">
        <v>40970</v>
      </c>
      <c r="AY174" s="111">
        <v>41770</v>
      </c>
      <c r="AZ174" s="111">
        <v>41940</v>
      </c>
      <c r="BA174" s="111">
        <v>41610</v>
      </c>
      <c r="BB174" s="111">
        <v>40450</v>
      </c>
      <c r="BC174" s="111">
        <v>40410</v>
      </c>
      <c r="BD174" s="111">
        <v>40240</v>
      </c>
      <c r="BE174" s="111">
        <v>39030</v>
      </c>
      <c r="BF174" s="111">
        <v>38950</v>
      </c>
      <c r="BG174" s="111">
        <v>38110</v>
      </c>
      <c r="BH174" s="111">
        <v>38840</v>
      </c>
      <c r="BI174" s="111">
        <v>38440</v>
      </c>
      <c r="BJ174" s="111">
        <v>37200</v>
      </c>
      <c r="BK174" s="111">
        <v>37760</v>
      </c>
      <c r="BL174" s="111">
        <v>38040</v>
      </c>
      <c r="BM174" s="195">
        <v>38470</v>
      </c>
      <c r="BN174" s="195">
        <v>39470</v>
      </c>
      <c r="BO174" s="195">
        <v>41400</v>
      </c>
      <c r="BP174" s="195">
        <v>42470</v>
      </c>
      <c r="BQ174" s="195">
        <v>43050</v>
      </c>
    </row>
    <row r="175" spans="1:69">
      <c r="A175" s="105">
        <f>$A$82</f>
        <v>65</v>
      </c>
      <c r="B175" s="111">
        <v>17660</v>
      </c>
      <c r="C175" s="111">
        <v>17780</v>
      </c>
      <c r="D175" s="111">
        <v>15980</v>
      </c>
      <c r="E175" s="111">
        <v>17930</v>
      </c>
      <c r="F175" s="111">
        <v>18590</v>
      </c>
      <c r="G175" s="111">
        <v>19590</v>
      </c>
      <c r="H175" s="111">
        <v>23200</v>
      </c>
      <c r="I175" s="111">
        <v>23070</v>
      </c>
      <c r="J175" s="111">
        <v>23050</v>
      </c>
      <c r="K175" s="111">
        <v>23090</v>
      </c>
      <c r="L175" s="111">
        <v>23270</v>
      </c>
      <c r="M175" s="111">
        <v>23700</v>
      </c>
      <c r="N175" s="111">
        <v>24020</v>
      </c>
      <c r="O175" s="111">
        <v>24710</v>
      </c>
      <c r="P175" s="111">
        <v>25640</v>
      </c>
      <c r="Q175" s="111">
        <v>26310</v>
      </c>
      <c r="R175" s="111">
        <v>26900</v>
      </c>
      <c r="S175" s="111">
        <v>27560</v>
      </c>
      <c r="T175" s="111">
        <v>28800</v>
      </c>
      <c r="U175" s="111">
        <v>29300</v>
      </c>
      <c r="V175" s="111">
        <v>30090</v>
      </c>
      <c r="W175" s="111">
        <v>31060</v>
      </c>
      <c r="X175" s="111">
        <v>31390</v>
      </c>
      <c r="Y175" s="111">
        <v>31080</v>
      </c>
      <c r="Z175" s="111">
        <v>30480</v>
      </c>
      <c r="AA175" s="111">
        <v>30130</v>
      </c>
      <c r="AB175" s="111">
        <v>30210</v>
      </c>
      <c r="AC175" s="111">
        <v>30840</v>
      </c>
      <c r="AD175" s="111">
        <v>31530</v>
      </c>
      <c r="AE175" s="111">
        <v>31630</v>
      </c>
      <c r="AF175" s="111">
        <v>32280</v>
      </c>
      <c r="AG175" s="111">
        <v>32330</v>
      </c>
      <c r="AH175" s="111">
        <v>31470</v>
      </c>
      <c r="AI175" s="111">
        <v>30320</v>
      </c>
      <c r="AJ175" s="111">
        <v>29450</v>
      </c>
      <c r="AK175" s="111">
        <v>28970</v>
      </c>
      <c r="AL175" s="111">
        <v>29160</v>
      </c>
      <c r="AM175" s="111">
        <v>28890</v>
      </c>
      <c r="AN175" s="111">
        <v>29940</v>
      </c>
      <c r="AO175" s="111">
        <v>30690</v>
      </c>
      <c r="AP175" s="111">
        <v>31370</v>
      </c>
      <c r="AQ175" s="111">
        <v>32170</v>
      </c>
      <c r="AR175" s="111">
        <v>33120</v>
      </c>
      <c r="AS175" s="111">
        <v>33660</v>
      </c>
      <c r="AT175" s="111">
        <v>34050</v>
      </c>
      <c r="AU175" s="111">
        <v>35000</v>
      </c>
      <c r="AV175" s="111">
        <v>36720</v>
      </c>
      <c r="AW175" s="111">
        <v>38030</v>
      </c>
      <c r="AX175" s="111">
        <v>39020</v>
      </c>
      <c r="AY175" s="111">
        <v>40880</v>
      </c>
      <c r="AZ175" s="111">
        <v>41680</v>
      </c>
      <c r="BA175" s="111">
        <v>41860</v>
      </c>
      <c r="BB175" s="111">
        <v>41530</v>
      </c>
      <c r="BC175" s="111">
        <v>40370</v>
      </c>
      <c r="BD175" s="111">
        <v>40340</v>
      </c>
      <c r="BE175" s="111">
        <v>40180</v>
      </c>
      <c r="BF175" s="111">
        <v>38980</v>
      </c>
      <c r="BG175" s="111">
        <v>38890</v>
      </c>
      <c r="BH175" s="111">
        <v>38070</v>
      </c>
      <c r="BI175" s="111">
        <v>38800</v>
      </c>
      <c r="BJ175" s="111">
        <v>38390</v>
      </c>
      <c r="BK175" s="111">
        <v>37170</v>
      </c>
      <c r="BL175" s="111">
        <v>37730</v>
      </c>
      <c r="BM175" s="195">
        <v>38010</v>
      </c>
      <c r="BN175" s="195">
        <v>38430</v>
      </c>
      <c r="BO175" s="195">
        <v>39440</v>
      </c>
      <c r="BP175" s="195">
        <v>41370</v>
      </c>
      <c r="BQ175" s="195">
        <v>42430</v>
      </c>
    </row>
    <row r="176" spans="1:69">
      <c r="A176" s="105">
        <f>$A$83</f>
        <v>66</v>
      </c>
      <c r="B176" s="111">
        <v>16280</v>
      </c>
      <c r="C176" s="111">
        <v>17430</v>
      </c>
      <c r="D176" s="111">
        <v>17580</v>
      </c>
      <c r="E176" s="111">
        <v>15830</v>
      </c>
      <c r="F176" s="111">
        <v>17790</v>
      </c>
      <c r="G176" s="111">
        <v>18420</v>
      </c>
      <c r="H176" s="111">
        <v>19390</v>
      </c>
      <c r="I176" s="111">
        <v>23050</v>
      </c>
      <c r="J176" s="111">
        <v>22850</v>
      </c>
      <c r="K176" s="111">
        <v>22820</v>
      </c>
      <c r="L176" s="111">
        <v>22950</v>
      </c>
      <c r="M176" s="111">
        <v>23100</v>
      </c>
      <c r="N176" s="111">
        <v>23520</v>
      </c>
      <c r="O176" s="111">
        <v>23880</v>
      </c>
      <c r="P176" s="111">
        <v>24860</v>
      </c>
      <c r="Q176" s="111">
        <v>25430</v>
      </c>
      <c r="R176" s="111">
        <v>26120</v>
      </c>
      <c r="S176" s="111">
        <v>26710</v>
      </c>
      <c r="T176" s="111">
        <v>27400</v>
      </c>
      <c r="U176" s="111">
        <v>28630</v>
      </c>
      <c r="V176" s="111">
        <v>29130</v>
      </c>
      <c r="W176" s="111">
        <v>29920</v>
      </c>
      <c r="X176" s="111">
        <v>30890</v>
      </c>
      <c r="Y176" s="111">
        <v>31210</v>
      </c>
      <c r="Z176" s="111">
        <v>30920</v>
      </c>
      <c r="AA176" s="111">
        <v>30320</v>
      </c>
      <c r="AB176" s="111">
        <v>29980</v>
      </c>
      <c r="AC176" s="111">
        <v>30060</v>
      </c>
      <c r="AD176" s="111">
        <v>30690</v>
      </c>
      <c r="AE176" s="111">
        <v>31380</v>
      </c>
      <c r="AF176" s="111">
        <v>31490</v>
      </c>
      <c r="AG176" s="111">
        <v>32140</v>
      </c>
      <c r="AH176" s="111">
        <v>32190</v>
      </c>
      <c r="AI176" s="111">
        <v>31340</v>
      </c>
      <c r="AJ176" s="111">
        <v>30210</v>
      </c>
      <c r="AK176" s="111">
        <v>29340</v>
      </c>
      <c r="AL176" s="111">
        <v>28870</v>
      </c>
      <c r="AM176" s="111">
        <v>29070</v>
      </c>
      <c r="AN176" s="111">
        <v>28800</v>
      </c>
      <c r="AO176" s="111">
        <v>29850</v>
      </c>
      <c r="AP176" s="111">
        <v>30600</v>
      </c>
      <c r="AQ176" s="111">
        <v>31280</v>
      </c>
      <c r="AR176" s="111">
        <v>32080</v>
      </c>
      <c r="AS176" s="111">
        <v>33020</v>
      </c>
      <c r="AT176" s="111">
        <v>33560</v>
      </c>
      <c r="AU176" s="111">
        <v>33960</v>
      </c>
      <c r="AV176" s="111">
        <v>34900</v>
      </c>
      <c r="AW176" s="111">
        <v>36620</v>
      </c>
      <c r="AX176" s="111">
        <v>37920</v>
      </c>
      <c r="AY176" s="111">
        <v>38920</v>
      </c>
      <c r="AZ176" s="111">
        <v>40770</v>
      </c>
      <c r="BA176" s="111">
        <v>41570</v>
      </c>
      <c r="BB176" s="111">
        <v>41750</v>
      </c>
      <c r="BC176" s="111">
        <v>41430</v>
      </c>
      <c r="BD176" s="111">
        <v>40280</v>
      </c>
      <c r="BE176" s="111">
        <v>40250</v>
      </c>
      <c r="BF176" s="111">
        <v>40090</v>
      </c>
      <c r="BG176" s="111">
        <v>38900</v>
      </c>
      <c r="BH176" s="111">
        <v>38820</v>
      </c>
      <c r="BI176" s="111">
        <v>38000</v>
      </c>
      <c r="BJ176" s="111">
        <v>38730</v>
      </c>
      <c r="BK176" s="111">
        <v>38330</v>
      </c>
      <c r="BL176" s="111">
        <v>37110</v>
      </c>
      <c r="BM176" s="195">
        <v>37670</v>
      </c>
      <c r="BN176" s="195">
        <v>37960</v>
      </c>
      <c r="BO176" s="195">
        <v>38380</v>
      </c>
      <c r="BP176" s="195">
        <v>39390</v>
      </c>
      <c r="BQ176" s="195">
        <v>41310</v>
      </c>
    </row>
    <row r="177" spans="1:69">
      <c r="A177" s="105">
        <f>$A$84</f>
        <v>67</v>
      </c>
      <c r="B177" s="111">
        <v>14490</v>
      </c>
      <c r="C177" s="111">
        <v>16080</v>
      </c>
      <c r="D177" s="111">
        <v>17200</v>
      </c>
      <c r="E177" s="111">
        <v>17370</v>
      </c>
      <c r="F177" s="111">
        <v>15630</v>
      </c>
      <c r="G177" s="111">
        <v>17630</v>
      </c>
      <c r="H177" s="111">
        <v>18190</v>
      </c>
      <c r="I177" s="111">
        <v>19250</v>
      </c>
      <c r="J177" s="111">
        <v>22790</v>
      </c>
      <c r="K177" s="111">
        <v>22620</v>
      </c>
      <c r="L177" s="111">
        <v>22630</v>
      </c>
      <c r="M177" s="111">
        <v>22780</v>
      </c>
      <c r="N177" s="111">
        <v>22870</v>
      </c>
      <c r="O177" s="111">
        <v>23360</v>
      </c>
      <c r="P177" s="111">
        <v>23920</v>
      </c>
      <c r="Q177" s="111">
        <v>24630</v>
      </c>
      <c r="R177" s="111">
        <v>25210</v>
      </c>
      <c r="S177" s="111">
        <v>25900</v>
      </c>
      <c r="T177" s="111">
        <v>26510</v>
      </c>
      <c r="U177" s="111">
        <v>27190</v>
      </c>
      <c r="V177" s="111">
        <v>28420</v>
      </c>
      <c r="W177" s="111">
        <v>28920</v>
      </c>
      <c r="X177" s="111">
        <v>29710</v>
      </c>
      <c r="Y177" s="111">
        <v>30680</v>
      </c>
      <c r="Z177" s="111">
        <v>31000</v>
      </c>
      <c r="AA177" s="111">
        <v>30720</v>
      </c>
      <c r="AB177" s="111">
        <v>30130</v>
      </c>
      <c r="AC177" s="111">
        <v>29790</v>
      </c>
      <c r="AD177" s="111">
        <v>29880</v>
      </c>
      <c r="AE177" s="111">
        <v>30510</v>
      </c>
      <c r="AF177" s="111">
        <v>31200</v>
      </c>
      <c r="AG177" s="111">
        <v>31320</v>
      </c>
      <c r="AH177" s="111">
        <v>31970</v>
      </c>
      <c r="AI177" s="111">
        <v>32020</v>
      </c>
      <c r="AJ177" s="111">
        <v>31180</v>
      </c>
      <c r="AK177" s="111">
        <v>30060</v>
      </c>
      <c r="AL177" s="111">
        <v>29210</v>
      </c>
      <c r="AM177" s="111">
        <v>28740</v>
      </c>
      <c r="AN177" s="111">
        <v>28940</v>
      </c>
      <c r="AO177" s="111">
        <v>28670</v>
      </c>
      <c r="AP177" s="111">
        <v>29720</v>
      </c>
      <c r="AQ177" s="111">
        <v>30470</v>
      </c>
      <c r="AR177" s="111">
        <v>31150</v>
      </c>
      <c r="AS177" s="111">
        <v>31950</v>
      </c>
      <c r="AT177" s="111">
        <v>32890</v>
      </c>
      <c r="AU177" s="111">
        <v>33430</v>
      </c>
      <c r="AV177" s="111">
        <v>33830</v>
      </c>
      <c r="AW177" s="111">
        <v>34780</v>
      </c>
      <c r="AX177" s="111">
        <v>36480</v>
      </c>
      <c r="AY177" s="111">
        <v>37790</v>
      </c>
      <c r="AZ177" s="111">
        <v>38780</v>
      </c>
      <c r="BA177" s="111">
        <v>40630</v>
      </c>
      <c r="BB177" s="111">
        <v>41430</v>
      </c>
      <c r="BC177" s="111">
        <v>41610</v>
      </c>
      <c r="BD177" s="111">
        <v>41290</v>
      </c>
      <c r="BE177" s="111">
        <v>40160</v>
      </c>
      <c r="BF177" s="111">
        <v>40130</v>
      </c>
      <c r="BG177" s="111">
        <v>39980</v>
      </c>
      <c r="BH177" s="111">
        <v>38790</v>
      </c>
      <c r="BI177" s="111">
        <v>38720</v>
      </c>
      <c r="BJ177" s="111">
        <v>37900</v>
      </c>
      <c r="BK177" s="111">
        <v>38630</v>
      </c>
      <c r="BL177" s="111">
        <v>38240</v>
      </c>
      <c r="BM177" s="195">
        <v>37030</v>
      </c>
      <c r="BN177" s="195">
        <v>37590</v>
      </c>
      <c r="BO177" s="195">
        <v>37880</v>
      </c>
      <c r="BP177" s="195">
        <v>38300</v>
      </c>
      <c r="BQ177" s="195">
        <v>39310</v>
      </c>
    </row>
    <row r="178" spans="1:69">
      <c r="A178" s="105">
        <f>$A$85</f>
        <v>68</v>
      </c>
      <c r="B178" s="111">
        <v>13990</v>
      </c>
      <c r="C178" s="111">
        <v>14260</v>
      </c>
      <c r="D178" s="111">
        <v>15840</v>
      </c>
      <c r="E178" s="111">
        <v>16980</v>
      </c>
      <c r="F178" s="111">
        <v>17180</v>
      </c>
      <c r="G178" s="111">
        <v>15460</v>
      </c>
      <c r="H178" s="111">
        <v>17420</v>
      </c>
      <c r="I178" s="111">
        <v>18010</v>
      </c>
      <c r="J178" s="111">
        <v>19030</v>
      </c>
      <c r="K178" s="111">
        <v>22450</v>
      </c>
      <c r="L178" s="111">
        <v>22420</v>
      </c>
      <c r="M178" s="111">
        <v>22400</v>
      </c>
      <c r="N178" s="111">
        <v>22540</v>
      </c>
      <c r="O178" s="111">
        <v>22670</v>
      </c>
      <c r="P178" s="111">
        <v>23390</v>
      </c>
      <c r="Q178" s="111">
        <v>23670</v>
      </c>
      <c r="R178" s="111">
        <v>24380</v>
      </c>
      <c r="S178" s="111">
        <v>24970</v>
      </c>
      <c r="T178" s="111">
        <v>25670</v>
      </c>
      <c r="U178" s="111">
        <v>26280</v>
      </c>
      <c r="V178" s="111">
        <v>26950</v>
      </c>
      <c r="W178" s="111">
        <v>28170</v>
      </c>
      <c r="X178" s="111">
        <v>28680</v>
      </c>
      <c r="Y178" s="111">
        <v>29460</v>
      </c>
      <c r="Z178" s="111">
        <v>30430</v>
      </c>
      <c r="AA178" s="111">
        <v>30760</v>
      </c>
      <c r="AB178" s="111">
        <v>30480</v>
      </c>
      <c r="AC178" s="111">
        <v>29900</v>
      </c>
      <c r="AD178" s="111">
        <v>29580</v>
      </c>
      <c r="AE178" s="111">
        <v>29670</v>
      </c>
      <c r="AF178" s="111">
        <v>30300</v>
      </c>
      <c r="AG178" s="111">
        <v>30990</v>
      </c>
      <c r="AH178" s="111">
        <v>31110</v>
      </c>
      <c r="AI178" s="111">
        <v>31760</v>
      </c>
      <c r="AJ178" s="111">
        <v>31820</v>
      </c>
      <c r="AK178" s="111">
        <v>30990</v>
      </c>
      <c r="AL178" s="111">
        <v>29880</v>
      </c>
      <c r="AM178" s="111">
        <v>29040</v>
      </c>
      <c r="AN178" s="111">
        <v>28580</v>
      </c>
      <c r="AO178" s="111">
        <v>28780</v>
      </c>
      <c r="AP178" s="111">
        <v>28520</v>
      </c>
      <c r="AQ178" s="111">
        <v>29570</v>
      </c>
      <c r="AR178" s="111">
        <v>30320</v>
      </c>
      <c r="AS178" s="111">
        <v>30990</v>
      </c>
      <c r="AT178" s="111">
        <v>31790</v>
      </c>
      <c r="AU178" s="111">
        <v>32730</v>
      </c>
      <c r="AV178" s="111">
        <v>33270</v>
      </c>
      <c r="AW178" s="111">
        <v>33670</v>
      </c>
      <c r="AX178" s="111">
        <v>34620</v>
      </c>
      <c r="AY178" s="111">
        <v>36320</v>
      </c>
      <c r="AZ178" s="111">
        <v>37620</v>
      </c>
      <c r="BA178" s="111">
        <v>38610</v>
      </c>
      <c r="BB178" s="111">
        <v>40450</v>
      </c>
      <c r="BC178" s="111">
        <v>41260</v>
      </c>
      <c r="BD178" s="111">
        <v>41440</v>
      </c>
      <c r="BE178" s="111">
        <v>41130</v>
      </c>
      <c r="BF178" s="111">
        <v>40000</v>
      </c>
      <c r="BG178" s="111">
        <v>39980</v>
      </c>
      <c r="BH178" s="111">
        <v>39830</v>
      </c>
      <c r="BI178" s="111">
        <v>38660</v>
      </c>
      <c r="BJ178" s="111">
        <v>38590</v>
      </c>
      <c r="BK178" s="111">
        <v>37780</v>
      </c>
      <c r="BL178" s="111">
        <v>38510</v>
      </c>
      <c r="BM178" s="195">
        <v>38120</v>
      </c>
      <c r="BN178" s="195">
        <v>36920</v>
      </c>
      <c r="BO178" s="195">
        <v>37480</v>
      </c>
      <c r="BP178" s="195">
        <v>37770</v>
      </c>
      <c r="BQ178" s="195">
        <v>38200</v>
      </c>
    </row>
    <row r="179" spans="1:69">
      <c r="A179" s="105">
        <f>$A$86</f>
        <v>69</v>
      </c>
      <c r="B179" s="111">
        <v>13200</v>
      </c>
      <c r="C179" s="111">
        <v>13760</v>
      </c>
      <c r="D179" s="111">
        <v>14020</v>
      </c>
      <c r="E179" s="111">
        <v>15590</v>
      </c>
      <c r="F179" s="111">
        <v>16690</v>
      </c>
      <c r="G179" s="111">
        <v>16960</v>
      </c>
      <c r="H179" s="111">
        <v>15240</v>
      </c>
      <c r="I179" s="111">
        <v>17190</v>
      </c>
      <c r="J179" s="111">
        <v>17740</v>
      </c>
      <c r="K179" s="111">
        <v>18760</v>
      </c>
      <c r="L179" s="111">
        <v>22150</v>
      </c>
      <c r="M179" s="111">
        <v>22090</v>
      </c>
      <c r="N179" s="111">
        <v>22140</v>
      </c>
      <c r="O179" s="111">
        <v>22300</v>
      </c>
      <c r="P179" s="111">
        <v>22710</v>
      </c>
      <c r="Q179" s="111">
        <v>23110</v>
      </c>
      <c r="R179" s="111">
        <v>23390</v>
      </c>
      <c r="S179" s="111">
        <v>24110</v>
      </c>
      <c r="T179" s="111">
        <v>24700</v>
      </c>
      <c r="U179" s="111">
        <v>25400</v>
      </c>
      <c r="V179" s="111">
        <v>26010</v>
      </c>
      <c r="W179" s="111">
        <v>26680</v>
      </c>
      <c r="X179" s="111">
        <v>27890</v>
      </c>
      <c r="Y179" s="111">
        <v>28400</v>
      </c>
      <c r="Z179" s="111">
        <v>29180</v>
      </c>
      <c r="AA179" s="111">
        <v>30140</v>
      </c>
      <c r="AB179" s="111">
        <v>30470</v>
      </c>
      <c r="AC179" s="111">
        <v>30210</v>
      </c>
      <c r="AD179" s="111">
        <v>29640</v>
      </c>
      <c r="AE179" s="111">
        <v>29320</v>
      </c>
      <c r="AF179" s="111">
        <v>29420</v>
      </c>
      <c r="AG179" s="111">
        <v>30050</v>
      </c>
      <c r="AH179" s="111">
        <v>30740</v>
      </c>
      <c r="AI179" s="111">
        <v>30870</v>
      </c>
      <c r="AJ179" s="111">
        <v>31510</v>
      </c>
      <c r="AK179" s="111">
        <v>31580</v>
      </c>
      <c r="AL179" s="111">
        <v>30760</v>
      </c>
      <c r="AM179" s="111">
        <v>29670</v>
      </c>
      <c r="AN179" s="111">
        <v>28840</v>
      </c>
      <c r="AO179" s="111">
        <v>28390</v>
      </c>
      <c r="AP179" s="111">
        <v>28590</v>
      </c>
      <c r="AQ179" s="111">
        <v>28340</v>
      </c>
      <c r="AR179" s="111">
        <v>29380</v>
      </c>
      <c r="AS179" s="111">
        <v>30130</v>
      </c>
      <c r="AT179" s="111">
        <v>30810</v>
      </c>
      <c r="AU179" s="111">
        <v>31610</v>
      </c>
      <c r="AV179" s="111">
        <v>32540</v>
      </c>
      <c r="AW179" s="111">
        <v>33090</v>
      </c>
      <c r="AX179" s="111">
        <v>33490</v>
      </c>
      <c r="AY179" s="111">
        <v>34430</v>
      </c>
      <c r="AZ179" s="111">
        <v>36120</v>
      </c>
      <c r="BA179" s="111">
        <v>37420</v>
      </c>
      <c r="BB179" s="111">
        <v>38420</v>
      </c>
      <c r="BC179" s="111">
        <v>40250</v>
      </c>
      <c r="BD179" s="111">
        <v>41050</v>
      </c>
      <c r="BE179" s="111">
        <v>41240</v>
      </c>
      <c r="BF179" s="111">
        <v>40930</v>
      </c>
      <c r="BG179" s="111">
        <v>39820</v>
      </c>
      <c r="BH179" s="111">
        <v>39800</v>
      </c>
      <c r="BI179" s="111">
        <v>39660</v>
      </c>
      <c r="BJ179" s="111">
        <v>38490</v>
      </c>
      <c r="BK179" s="111">
        <v>38430</v>
      </c>
      <c r="BL179" s="111">
        <v>37630</v>
      </c>
      <c r="BM179" s="195">
        <v>38360</v>
      </c>
      <c r="BN179" s="195">
        <v>37980</v>
      </c>
      <c r="BO179" s="195">
        <v>36780</v>
      </c>
      <c r="BP179" s="195">
        <v>37350</v>
      </c>
      <c r="BQ179" s="195">
        <v>37640</v>
      </c>
    </row>
    <row r="180" spans="1:69">
      <c r="A180" s="105">
        <f>$A$87</f>
        <v>70</v>
      </c>
      <c r="B180" s="111">
        <v>12400</v>
      </c>
      <c r="C180" s="111">
        <v>12920</v>
      </c>
      <c r="D180" s="111">
        <v>13480</v>
      </c>
      <c r="E180" s="111">
        <v>13750</v>
      </c>
      <c r="F180" s="111">
        <v>15340</v>
      </c>
      <c r="G180" s="111">
        <v>16390</v>
      </c>
      <c r="H180" s="111">
        <v>16680</v>
      </c>
      <c r="I180" s="111">
        <v>14990</v>
      </c>
      <c r="J180" s="111">
        <v>16920</v>
      </c>
      <c r="K180" s="111">
        <v>17460</v>
      </c>
      <c r="L180" s="111">
        <v>18500</v>
      </c>
      <c r="M180" s="111">
        <v>21800</v>
      </c>
      <c r="N180" s="111">
        <v>21730</v>
      </c>
      <c r="O180" s="111">
        <v>21840</v>
      </c>
      <c r="P180" s="111">
        <v>22220</v>
      </c>
      <c r="Q180" s="111">
        <v>22400</v>
      </c>
      <c r="R180" s="111">
        <v>22800</v>
      </c>
      <c r="S180" s="111">
        <v>23090</v>
      </c>
      <c r="T180" s="111">
        <v>23810</v>
      </c>
      <c r="U180" s="111">
        <v>24400</v>
      </c>
      <c r="V180" s="111">
        <v>25100</v>
      </c>
      <c r="W180" s="111">
        <v>25700</v>
      </c>
      <c r="X180" s="111">
        <v>26380</v>
      </c>
      <c r="Y180" s="111">
        <v>27580</v>
      </c>
      <c r="Z180" s="111">
        <v>28090</v>
      </c>
      <c r="AA180" s="111">
        <v>28870</v>
      </c>
      <c r="AB180" s="111">
        <v>29820</v>
      </c>
      <c r="AC180" s="111">
        <v>30160</v>
      </c>
      <c r="AD180" s="111">
        <v>29900</v>
      </c>
      <c r="AE180" s="111">
        <v>29350</v>
      </c>
      <c r="AF180" s="111">
        <v>29040</v>
      </c>
      <c r="AG180" s="111">
        <v>29150</v>
      </c>
      <c r="AH180" s="111">
        <v>29770</v>
      </c>
      <c r="AI180" s="111">
        <v>30460</v>
      </c>
      <c r="AJ180" s="111">
        <v>30590</v>
      </c>
      <c r="AK180" s="111">
        <v>31240</v>
      </c>
      <c r="AL180" s="111">
        <v>31310</v>
      </c>
      <c r="AM180" s="111">
        <v>30510</v>
      </c>
      <c r="AN180" s="111">
        <v>29430</v>
      </c>
      <c r="AO180" s="111">
        <v>28610</v>
      </c>
      <c r="AP180" s="111">
        <v>28170</v>
      </c>
      <c r="AQ180" s="111">
        <v>28380</v>
      </c>
      <c r="AR180" s="111">
        <v>28130</v>
      </c>
      <c r="AS180" s="111">
        <v>29170</v>
      </c>
      <c r="AT180" s="111">
        <v>29920</v>
      </c>
      <c r="AU180" s="111">
        <v>30590</v>
      </c>
      <c r="AV180" s="111">
        <v>31390</v>
      </c>
      <c r="AW180" s="111">
        <v>32330</v>
      </c>
      <c r="AX180" s="111">
        <v>32870</v>
      </c>
      <c r="AY180" s="111">
        <v>33270</v>
      </c>
      <c r="AZ180" s="111">
        <v>34210</v>
      </c>
      <c r="BA180" s="111">
        <v>35900</v>
      </c>
      <c r="BB180" s="111">
        <v>37190</v>
      </c>
      <c r="BC180" s="111">
        <v>38190</v>
      </c>
      <c r="BD180" s="111">
        <v>40010</v>
      </c>
      <c r="BE180" s="111">
        <v>40810</v>
      </c>
      <c r="BF180" s="111">
        <v>41010</v>
      </c>
      <c r="BG180" s="111">
        <v>40710</v>
      </c>
      <c r="BH180" s="111">
        <v>39610</v>
      </c>
      <c r="BI180" s="111">
        <v>39590</v>
      </c>
      <c r="BJ180" s="111">
        <v>39460</v>
      </c>
      <c r="BK180" s="111">
        <v>38300</v>
      </c>
      <c r="BL180" s="111">
        <v>38240</v>
      </c>
      <c r="BM180" s="195">
        <v>37450</v>
      </c>
      <c r="BN180" s="195">
        <v>38180</v>
      </c>
      <c r="BO180" s="195">
        <v>37810</v>
      </c>
      <c r="BP180" s="195">
        <v>36620</v>
      </c>
      <c r="BQ180" s="195">
        <v>37190</v>
      </c>
    </row>
    <row r="181" spans="1:69">
      <c r="A181" s="105">
        <f>$A$88</f>
        <v>71</v>
      </c>
      <c r="B181" s="111">
        <v>11940</v>
      </c>
      <c r="C181" s="111">
        <v>12080</v>
      </c>
      <c r="D181" s="111">
        <v>12600</v>
      </c>
      <c r="E181" s="111">
        <v>13170</v>
      </c>
      <c r="F181" s="111">
        <v>13490</v>
      </c>
      <c r="G181" s="111">
        <v>15030</v>
      </c>
      <c r="H181" s="111">
        <v>16060</v>
      </c>
      <c r="I181" s="111">
        <v>16410</v>
      </c>
      <c r="J181" s="111">
        <v>14730</v>
      </c>
      <c r="K181" s="111">
        <v>16570</v>
      </c>
      <c r="L181" s="111">
        <v>17180</v>
      </c>
      <c r="M181" s="111">
        <v>18210</v>
      </c>
      <c r="N181" s="111">
        <v>21400</v>
      </c>
      <c r="O181" s="111">
        <v>21450</v>
      </c>
      <c r="P181" s="111">
        <v>21710</v>
      </c>
      <c r="Q181" s="111">
        <v>21870</v>
      </c>
      <c r="R181" s="111">
        <v>22050</v>
      </c>
      <c r="S181" s="111">
        <v>22460</v>
      </c>
      <c r="T181" s="111">
        <v>22760</v>
      </c>
      <c r="U181" s="111">
        <v>23480</v>
      </c>
      <c r="V181" s="111">
        <v>24070</v>
      </c>
      <c r="W181" s="111">
        <v>24760</v>
      </c>
      <c r="X181" s="111">
        <v>25360</v>
      </c>
      <c r="Y181" s="111">
        <v>26040</v>
      </c>
      <c r="Z181" s="111">
        <v>27230</v>
      </c>
      <c r="AA181" s="111">
        <v>27740</v>
      </c>
      <c r="AB181" s="111">
        <v>28520</v>
      </c>
      <c r="AC181" s="111">
        <v>29470</v>
      </c>
      <c r="AD181" s="111">
        <v>29800</v>
      </c>
      <c r="AE181" s="111">
        <v>29560</v>
      </c>
      <c r="AF181" s="111">
        <v>29020</v>
      </c>
      <c r="AG181" s="111">
        <v>28720</v>
      </c>
      <c r="AH181" s="111">
        <v>28830</v>
      </c>
      <c r="AI181" s="111">
        <v>29460</v>
      </c>
      <c r="AJ181" s="111">
        <v>30150</v>
      </c>
      <c r="AK181" s="111">
        <v>30280</v>
      </c>
      <c r="AL181" s="111">
        <v>30930</v>
      </c>
      <c r="AM181" s="111">
        <v>31000</v>
      </c>
      <c r="AN181" s="111">
        <v>30220</v>
      </c>
      <c r="AO181" s="111">
        <v>29160</v>
      </c>
      <c r="AP181" s="111">
        <v>28350</v>
      </c>
      <c r="AQ181" s="111">
        <v>27920</v>
      </c>
      <c r="AR181" s="111">
        <v>28130</v>
      </c>
      <c r="AS181" s="111">
        <v>27900</v>
      </c>
      <c r="AT181" s="111">
        <v>28930</v>
      </c>
      <c r="AU181" s="111">
        <v>29670</v>
      </c>
      <c r="AV181" s="111">
        <v>30350</v>
      </c>
      <c r="AW181" s="111">
        <v>31150</v>
      </c>
      <c r="AX181" s="111">
        <v>32080</v>
      </c>
      <c r="AY181" s="111">
        <v>32620</v>
      </c>
      <c r="AZ181" s="111">
        <v>33030</v>
      </c>
      <c r="BA181" s="111">
        <v>33970</v>
      </c>
      <c r="BB181" s="111">
        <v>35640</v>
      </c>
      <c r="BC181" s="111">
        <v>36930</v>
      </c>
      <c r="BD181" s="111">
        <v>37920</v>
      </c>
      <c r="BE181" s="111">
        <v>39740</v>
      </c>
      <c r="BF181" s="111">
        <v>40540</v>
      </c>
      <c r="BG181" s="111">
        <v>40740</v>
      </c>
      <c r="BH181" s="111">
        <v>40450</v>
      </c>
      <c r="BI181" s="111">
        <v>39360</v>
      </c>
      <c r="BJ181" s="111">
        <v>39350</v>
      </c>
      <c r="BK181" s="111">
        <v>39220</v>
      </c>
      <c r="BL181" s="111">
        <v>38080</v>
      </c>
      <c r="BM181" s="195">
        <v>38030</v>
      </c>
      <c r="BN181" s="195">
        <v>37250</v>
      </c>
      <c r="BO181" s="195">
        <v>37980</v>
      </c>
      <c r="BP181" s="195">
        <v>37610</v>
      </c>
      <c r="BQ181" s="195">
        <v>36430</v>
      </c>
    </row>
    <row r="182" spans="1:69">
      <c r="A182" s="105">
        <f>$A$89</f>
        <v>72</v>
      </c>
      <c r="B182" s="111">
        <v>11370</v>
      </c>
      <c r="C182" s="111">
        <v>11660</v>
      </c>
      <c r="D182" s="111">
        <v>11800</v>
      </c>
      <c r="E182" s="111">
        <v>12290</v>
      </c>
      <c r="F182" s="111">
        <v>12880</v>
      </c>
      <c r="G182" s="111">
        <v>13170</v>
      </c>
      <c r="H182" s="111">
        <v>14710</v>
      </c>
      <c r="I182" s="111">
        <v>15750</v>
      </c>
      <c r="J182" s="111">
        <v>16060</v>
      </c>
      <c r="K182" s="111">
        <v>14420</v>
      </c>
      <c r="L182" s="111">
        <v>16250</v>
      </c>
      <c r="M182" s="111">
        <v>16840</v>
      </c>
      <c r="N182" s="111">
        <v>17870</v>
      </c>
      <c r="O182" s="111">
        <v>21020</v>
      </c>
      <c r="P182" s="111">
        <v>21320</v>
      </c>
      <c r="Q182" s="111">
        <v>21330</v>
      </c>
      <c r="R182" s="111">
        <v>21490</v>
      </c>
      <c r="S182" s="111">
        <v>21690</v>
      </c>
      <c r="T182" s="111">
        <v>22100</v>
      </c>
      <c r="U182" s="111">
        <v>22400</v>
      </c>
      <c r="V182" s="111">
        <v>23110</v>
      </c>
      <c r="W182" s="111">
        <v>23700</v>
      </c>
      <c r="X182" s="111">
        <v>24390</v>
      </c>
      <c r="Y182" s="111">
        <v>24990</v>
      </c>
      <c r="Z182" s="111">
        <v>25660</v>
      </c>
      <c r="AA182" s="111">
        <v>26850</v>
      </c>
      <c r="AB182" s="111">
        <v>27350</v>
      </c>
      <c r="AC182" s="111">
        <v>28130</v>
      </c>
      <c r="AD182" s="111">
        <v>29070</v>
      </c>
      <c r="AE182" s="111">
        <v>29420</v>
      </c>
      <c r="AF182" s="111">
        <v>29180</v>
      </c>
      <c r="AG182" s="111">
        <v>28660</v>
      </c>
      <c r="AH182" s="111">
        <v>28370</v>
      </c>
      <c r="AI182" s="111">
        <v>28490</v>
      </c>
      <c r="AJ182" s="111">
        <v>29110</v>
      </c>
      <c r="AK182" s="111">
        <v>29800</v>
      </c>
      <c r="AL182" s="111">
        <v>29940</v>
      </c>
      <c r="AM182" s="111">
        <v>30590</v>
      </c>
      <c r="AN182" s="111">
        <v>30670</v>
      </c>
      <c r="AO182" s="111">
        <v>29900</v>
      </c>
      <c r="AP182" s="111">
        <v>28850</v>
      </c>
      <c r="AQ182" s="111">
        <v>28070</v>
      </c>
      <c r="AR182" s="111">
        <v>27640</v>
      </c>
      <c r="AS182" s="111">
        <v>27860</v>
      </c>
      <c r="AT182" s="111">
        <v>27630</v>
      </c>
      <c r="AU182" s="111">
        <v>28660</v>
      </c>
      <c r="AV182" s="111">
        <v>29400</v>
      </c>
      <c r="AW182" s="111">
        <v>30080</v>
      </c>
      <c r="AX182" s="111">
        <v>30870</v>
      </c>
      <c r="AY182" s="111">
        <v>31800</v>
      </c>
      <c r="AZ182" s="111">
        <v>32350</v>
      </c>
      <c r="BA182" s="111">
        <v>32750</v>
      </c>
      <c r="BB182" s="111">
        <v>33690</v>
      </c>
      <c r="BC182" s="111">
        <v>35360</v>
      </c>
      <c r="BD182" s="111">
        <v>36640</v>
      </c>
      <c r="BE182" s="111">
        <v>37630</v>
      </c>
      <c r="BF182" s="111">
        <v>39440</v>
      </c>
      <c r="BG182" s="111">
        <v>40240</v>
      </c>
      <c r="BH182" s="111">
        <v>40450</v>
      </c>
      <c r="BI182" s="111">
        <v>40160</v>
      </c>
      <c r="BJ182" s="111">
        <v>39090</v>
      </c>
      <c r="BK182" s="111">
        <v>39090</v>
      </c>
      <c r="BL182" s="111">
        <v>38960</v>
      </c>
      <c r="BM182" s="195">
        <v>37840</v>
      </c>
      <c r="BN182" s="195">
        <v>37780</v>
      </c>
      <c r="BO182" s="195">
        <v>37010</v>
      </c>
      <c r="BP182" s="195">
        <v>37740</v>
      </c>
      <c r="BQ182" s="195">
        <v>37380</v>
      </c>
    </row>
    <row r="183" spans="1:69">
      <c r="A183" s="105">
        <f>$A$90</f>
        <v>73</v>
      </c>
      <c r="B183" s="111">
        <v>10890</v>
      </c>
      <c r="C183" s="111">
        <v>11030</v>
      </c>
      <c r="D183" s="111">
        <v>11360</v>
      </c>
      <c r="E183" s="111">
        <v>11460</v>
      </c>
      <c r="F183" s="111">
        <v>11980</v>
      </c>
      <c r="G183" s="111">
        <v>12540</v>
      </c>
      <c r="H183" s="111">
        <v>12830</v>
      </c>
      <c r="I183" s="111">
        <v>14360</v>
      </c>
      <c r="J183" s="111">
        <v>15350</v>
      </c>
      <c r="K183" s="111">
        <v>15660</v>
      </c>
      <c r="L183" s="111">
        <v>14090</v>
      </c>
      <c r="M183" s="111">
        <v>15890</v>
      </c>
      <c r="N183" s="111">
        <v>16460</v>
      </c>
      <c r="O183" s="111">
        <v>17490</v>
      </c>
      <c r="P183" s="111">
        <v>20800</v>
      </c>
      <c r="Q183" s="111">
        <v>20900</v>
      </c>
      <c r="R183" s="111">
        <v>20910</v>
      </c>
      <c r="S183" s="111">
        <v>21080</v>
      </c>
      <c r="T183" s="111">
        <v>21290</v>
      </c>
      <c r="U183" s="111">
        <v>21700</v>
      </c>
      <c r="V183" s="111">
        <v>22010</v>
      </c>
      <c r="W183" s="111">
        <v>22710</v>
      </c>
      <c r="X183" s="111">
        <v>23300</v>
      </c>
      <c r="Y183" s="111">
        <v>23990</v>
      </c>
      <c r="Z183" s="111">
        <v>24590</v>
      </c>
      <c r="AA183" s="111">
        <v>25250</v>
      </c>
      <c r="AB183" s="111">
        <v>26430</v>
      </c>
      <c r="AC183" s="111">
        <v>26930</v>
      </c>
      <c r="AD183" s="111">
        <v>27710</v>
      </c>
      <c r="AE183" s="111">
        <v>28640</v>
      </c>
      <c r="AF183" s="111">
        <v>28990</v>
      </c>
      <c r="AG183" s="111">
        <v>28770</v>
      </c>
      <c r="AH183" s="111">
        <v>28260</v>
      </c>
      <c r="AI183" s="111">
        <v>27990</v>
      </c>
      <c r="AJ183" s="111">
        <v>28110</v>
      </c>
      <c r="AK183" s="111">
        <v>28730</v>
      </c>
      <c r="AL183" s="111">
        <v>29420</v>
      </c>
      <c r="AM183" s="111">
        <v>29560</v>
      </c>
      <c r="AN183" s="111">
        <v>30210</v>
      </c>
      <c r="AO183" s="111">
        <v>30300</v>
      </c>
      <c r="AP183" s="111">
        <v>29550</v>
      </c>
      <c r="AQ183" s="111">
        <v>28520</v>
      </c>
      <c r="AR183" s="111">
        <v>27750</v>
      </c>
      <c r="AS183" s="111">
        <v>27340</v>
      </c>
      <c r="AT183" s="111">
        <v>27560</v>
      </c>
      <c r="AU183" s="111">
        <v>27340</v>
      </c>
      <c r="AV183" s="111">
        <v>28360</v>
      </c>
      <c r="AW183" s="111">
        <v>29100</v>
      </c>
      <c r="AX183" s="111">
        <v>29780</v>
      </c>
      <c r="AY183" s="111">
        <v>30570</v>
      </c>
      <c r="AZ183" s="111">
        <v>31490</v>
      </c>
      <c r="BA183" s="111">
        <v>32040</v>
      </c>
      <c r="BB183" s="111">
        <v>32450</v>
      </c>
      <c r="BC183" s="111">
        <v>33380</v>
      </c>
      <c r="BD183" s="111">
        <v>35040</v>
      </c>
      <c r="BE183" s="111">
        <v>36320</v>
      </c>
      <c r="BF183" s="111">
        <v>37310</v>
      </c>
      <c r="BG183" s="111">
        <v>39110</v>
      </c>
      <c r="BH183" s="111">
        <v>39910</v>
      </c>
      <c r="BI183" s="111">
        <v>40120</v>
      </c>
      <c r="BJ183" s="111">
        <v>39840</v>
      </c>
      <c r="BK183" s="111">
        <v>38780</v>
      </c>
      <c r="BL183" s="111">
        <v>38790</v>
      </c>
      <c r="BM183" s="195">
        <v>38670</v>
      </c>
      <c r="BN183" s="195">
        <v>37560</v>
      </c>
      <c r="BO183" s="195">
        <v>37510</v>
      </c>
      <c r="BP183" s="195">
        <v>36750</v>
      </c>
      <c r="BQ183" s="195">
        <v>37480</v>
      </c>
    </row>
    <row r="184" spans="1:69">
      <c r="A184" s="105">
        <f>$A$91</f>
        <v>74</v>
      </c>
      <c r="B184" s="111">
        <v>10790</v>
      </c>
      <c r="C184" s="111">
        <v>10530</v>
      </c>
      <c r="D184" s="111">
        <v>10700</v>
      </c>
      <c r="E184" s="111">
        <v>11010</v>
      </c>
      <c r="F184" s="111">
        <v>11130</v>
      </c>
      <c r="G184" s="111">
        <v>11670</v>
      </c>
      <c r="H184" s="111">
        <v>12190</v>
      </c>
      <c r="I184" s="111">
        <v>12520</v>
      </c>
      <c r="J184" s="111">
        <v>13980</v>
      </c>
      <c r="K184" s="111">
        <v>14970</v>
      </c>
      <c r="L184" s="111">
        <v>15200</v>
      </c>
      <c r="M184" s="111">
        <v>13760</v>
      </c>
      <c r="N184" s="111">
        <v>15520</v>
      </c>
      <c r="O184" s="111">
        <v>16110</v>
      </c>
      <c r="P184" s="111">
        <v>17250</v>
      </c>
      <c r="Q184" s="111">
        <v>20330</v>
      </c>
      <c r="R184" s="111">
        <v>20440</v>
      </c>
      <c r="S184" s="111">
        <v>20470</v>
      </c>
      <c r="T184" s="111">
        <v>20650</v>
      </c>
      <c r="U184" s="111">
        <v>20860</v>
      </c>
      <c r="V184" s="111">
        <v>21270</v>
      </c>
      <c r="W184" s="111">
        <v>21580</v>
      </c>
      <c r="X184" s="111">
        <v>22280</v>
      </c>
      <c r="Y184" s="111">
        <v>22860</v>
      </c>
      <c r="Z184" s="111">
        <v>23540</v>
      </c>
      <c r="AA184" s="111">
        <v>24140</v>
      </c>
      <c r="AB184" s="111">
        <v>24810</v>
      </c>
      <c r="AC184" s="111">
        <v>25970</v>
      </c>
      <c r="AD184" s="111">
        <v>26470</v>
      </c>
      <c r="AE184" s="111">
        <v>27240</v>
      </c>
      <c r="AF184" s="111">
        <v>28170</v>
      </c>
      <c r="AG184" s="111">
        <v>28520</v>
      </c>
      <c r="AH184" s="111">
        <v>28310</v>
      </c>
      <c r="AI184" s="111">
        <v>27820</v>
      </c>
      <c r="AJ184" s="111">
        <v>27560</v>
      </c>
      <c r="AK184" s="111">
        <v>27690</v>
      </c>
      <c r="AL184" s="111">
        <v>28310</v>
      </c>
      <c r="AM184" s="111">
        <v>29000</v>
      </c>
      <c r="AN184" s="111">
        <v>29150</v>
      </c>
      <c r="AO184" s="111">
        <v>29790</v>
      </c>
      <c r="AP184" s="111">
        <v>29890</v>
      </c>
      <c r="AQ184" s="111">
        <v>29150</v>
      </c>
      <c r="AR184" s="111">
        <v>28150</v>
      </c>
      <c r="AS184" s="111">
        <v>27400</v>
      </c>
      <c r="AT184" s="111">
        <v>27000</v>
      </c>
      <c r="AU184" s="111">
        <v>27220</v>
      </c>
      <c r="AV184" s="111">
        <v>27010</v>
      </c>
      <c r="AW184" s="111">
        <v>28030</v>
      </c>
      <c r="AX184" s="111">
        <v>28770</v>
      </c>
      <c r="AY184" s="111">
        <v>29440</v>
      </c>
      <c r="AZ184" s="111">
        <v>30230</v>
      </c>
      <c r="BA184" s="111">
        <v>31150</v>
      </c>
      <c r="BB184" s="111">
        <v>31700</v>
      </c>
      <c r="BC184" s="111">
        <v>32110</v>
      </c>
      <c r="BD184" s="111">
        <v>33040</v>
      </c>
      <c r="BE184" s="111">
        <v>34690</v>
      </c>
      <c r="BF184" s="111">
        <v>35960</v>
      </c>
      <c r="BG184" s="111">
        <v>36950</v>
      </c>
      <c r="BH184" s="111">
        <v>38730</v>
      </c>
      <c r="BI184" s="111">
        <v>39540</v>
      </c>
      <c r="BJ184" s="111">
        <v>39750</v>
      </c>
      <c r="BK184" s="111">
        <v>39480</v>
      </c>
      <c r="BL184" s="111">
        <v>38440</v>
      </c>
      <c r="BM184" s="195">
        <v>38450</v>
      </c>
      <c r="BN184" s="195">
        <v>38340</v>
      </c>
      <c r="BO184" s="195">
        <v>37250</v>
      </c>
      <c r="BP184" s="195">
        <v>37210</v>
      </c>
      <c r="BQ184" s="195">
        <v>36460</v>
      </c>
    </row>
    <row r="185" spans="1:69">
      <c r="A185" s="105">
        <f>$A$92</f>
        <v>75</v>
      </c>
      <c r="B185" s="111">
        <v>10770</v>
      </c>
      <c r="C185" s="111">
        <v>10450</v>
      </c>
      <c r="D185" s="111">
        <v>10190</v>
      </c>
      <c r="E185" s="111">
        <v>10350</v>
      </c>
      <c r="F185" s="111">
        <v>10640</v>
      </c>
      <c r="G185" s="111">
        <v>10790</v>
      </c>
      <c r="H185" s="111">
        <v>11310</v>
      </c>
      <c r="I185" s="111">
        <v>11820</v>
      </c>
      <c r="J185" s="111">
        <v>12190</v>
      </c>
      <c r="K185" s="111">
        <v>13560</v>
      </c>
      <c r="L185" s="111">
        <v>14520</v>
      </c>
      <c r="M185" s="111">
        <v>14800</v>
      </c>
      <c r="N185" s="111">
        <v>13350</v>
      </c>
      <c r="O185" s="111">
        <v>15150</v>
      </c>
      <c r="P185" s="111">
        <v>15840</v>
      </c>
      <c r="Q185" s="111">
        <v>16820</v>
      </c>
      <c r="R185" s="111">
        <v>19830</v>
      </c>
      <c r="S185" s="111">
        <v>19950</v>
      </c>
      <c r="T185" s="111">
        <v>19990</v>
      </c>
      <c r="U185" s="111">
        <v>20180</v>
      </c>
      <c r="V185" s="111">
        <v>20390</v>
      </c>
      <c r="W185" s="111">
        <v>20800</v>
      </c>
      <c r="X185" s="111">
        <v>21110</v>
      </c>
      <c r="Y185" s="111">
        <v>21800</v>
      </c>
      <c r="Z185" s="111">
        <v>22390</v>
      </c>
      <c r="AA185" s="111">
        <v>23060</v>
      </c>
      <c r="AB185" s="111">
        <v>23660</v>
      </c>
      <c r="AC185" s="111">
        <v>24320</v>
      </c>
      <c r="AD185" s="111">
        <v>25460</v>
      </c>
      <c r="AE185" s="111">
        <v>25970</v>
      </c>
      <c r="AF185" s="111">
        <v>26730</v>
      </c>
      <c r="AG185" s="111">
        <v>27660</v>
      </c>
      <c r="AH185" s="111">
        <v>28010</v>
      </c>
      <c r="AI185" s="111">
        <v>27810</v>
      </c>
      <c r="AJ185" s="111">
        <v>27340</v>
      </c>
      <c r="AK185" s="111">
        <v>27090</v>
      </c>
      <c r="AL185" s="111">
        <v>27230</v>
      </c>
      <c r="AM185" s="111">
        <v>27850</v>
      </c>
      <c r="AN185" s="111">
        <v>28530</v>
      </c>
      <c r="AO185" s="111">
        <v>28690</v>
      </c>
      <c r="AP185" s="111">
        <v>29330</v>
      </c>
      <c r="AQ185" s="111">
        <v>29440</v>
      </c>
      <c r="AR185" s="111">
        <v>28720</v>
      </c>
      <c r="AS185" s="111">
        <v>27740</v>
      </c>
      <c r="AT185" s="111">
        <v>27010</v>
      </c>
      <c r="AU185" s="111">
        <v>26620</v>
      </c>
      <c r="AV185" s="111">
        <v>26850</v>
      </c>
      <c r="AW185" s="111">
        <v>26650</v>
      </c>
      <c r="AX185" s="111">
        <v>27660</v>
      </c>
      <c r="AY185" s="111">
        <v>28400</v>
      </c>
      <c r="AZ185" s="111">
        <v>29070</v>
      </c>
      <c r="BA185" s="111">
        <v>29850</v>
      </c>
      <c r="BB185" s="111">
        <v>30770</v>
      </c>
      <c r="BC185" s="111">
        <v>31320</v>
      </c>
      <c r="BD185" s="111">
        <v>31730</v>
      </c>
      <c r="BE185" s="111">
        <v>32660</v>
      </c>
      <c r="BF185" s="111">
        <v>34300</v>
      </c>
      <c r="BG185" s="111">
        <v>35560</v>
      </c>
      <c r="BH185" s="111">
        <v>36540</v>
      </c>
      <c r="BI185" s="111">
        <v>38320</v>
      </c>
      <c r="BJ185" s="111">
        <v>39120</v>
      </c>
      <c r="BK185" s="111">
        <v>39340</v>
      </c>
      <c r="BL185" s="111">
        <v>39080</v>
      </c>
      <c r="BM185" s="195">
        <v>38060</v>
      </c>
      <c r="BN185" s="195">
        <v>38080</v>
      </c>
      <c r="BO185" s="195">
        <v>37980</v>
      </c>
      <c r="BP185" s="195">
        <v>36900</v>
      </c>
      <c r="BQ185" s="195">
        <v>36870</v>
      </c>
    </row>
    <row r="186" spans="1:69">
      <c r="A186" s="105">
        <f>$A$93</f>
        <v>76</v>
      </c>
      <c r="B186" s="111">
        <v>10040</v>
      </c>
      <c r="C186" s="111">
        <v>10380</v>
      </c>
      <c r="D186" s="111">
        <v>10070</v>
      </c>
      <c r="E186" s="111">
        <v>9830</v>
      </c>
      <c r="F186" s="111">
        <v>9980</v>
      </c>
      <c r="G186" s="111">
        <v>10290</v>
      </c>
      <c r="H186" s="111">
        <v>10410</v>
      </c>
      <c r="I186" s="111">
        <v>10910</v>
      </c>
      <c r="J186" s="111">
        <v>11440</v>
      </c>
      <c r="K186" s="111">
        <v>11770</v>
      </c>
      <c r="L186" s="111">
        <v>13110</v>
      </c>
      <c r="M186" s="111">
        <v>14050</v>
      </c>
      <c r="N186" s="111">
        <v>14300</v>
      </c>
      <c r="O186" s="111">
        <v>12960</v>
      </c>
      <c r="P186" s="111">
        <v>14850</v>
      </c>
      <c r="Q186" s="111">
        <v>15390</v>
      </c>
      <c r="R186" s="111">
        <v>16360</v>
      </c>
      <c r="S186" s="111">
        <v>19290</v>
      </c>
      <c r="T186" s="111">
        <v>19420</v>
      </c>
      <c r="U186" s="111">
        <v>19470</v>
      </c>
      <c r="V186" s="111">
        <v>19660</v>
      </c>
      <c r="W186" s="111">
        <v>19880</v>
      </c>
      <c r="X186" s="111">
        <v>20290</v>
      </c>
      <c r="Y186" s="111">
        <v>20610</v>
      </c>
      <c r="Z186" s="111">
        <v>21290</v>
      </c>
      <c r="AA186" s="111">
        <v>21870</v>
      </c>
      <c r="AB186" s="111">
        <v>22540</v>
      </c>
      <c r="AC186" s="111">
        <v>23130</v>
      </c>
      <c r="AD186" s="111">
        <v>23780</v>
      </c>
      <c r="AE186" s="111">
        <v>24910</v>
      </c>
      <c r="AF186" s="111">
        <v>25420</v>
      </c>
      <c r="AG186" s="111">
        <v>26180</v>
      </c>
      <c r="AH186" s="111">
        <v>27090</v>
      </c>
      <c r="AI186" s="111">
        <v>27450</v>
      </c>
      <c r="AJ186" s="111">
        <v>27260</v>
      </c>
      <c r="AK186" s="111">
        <v>26810</v>
      </c>
      <c r="AL186" s="111">
        <v>26580</v>
      </c>
      <c r="AM186" s="111">
        <v>26720</v>
      </c>
      <c r="AN186" s="111">
        <v>27340</v>
      </c>
      <c r="AO186" s="111">
        <v>28020</v>
      </c>
      <c r="AP186" s="111">
        <v>28180</v>
      </c>
      <c r="AQ186" s="111">
        <v>28830</v>
      </c>
      <c r="AR186" s="111">
        <v>28940</v>
      </c>
      <c r="AS186" s="111">
        <v>28240</v>
      </c>
      <c r="AT186" s="111">
        <v>27290</v>
      </c>
      <c r="AU186" s="111">
        <v>26580</v>
      </c>
      <c r="AV186" s="111">
        <v>26200</v>
      </c>
      <c r="AW186" s="111">
        <v>26440</v>
      </c>
      <c r="AX186" s="111">
        <v>26250</v>
      </c>
      <c r="AY186" s="111">
        <v>27250</v>
      </c>
      <c r="AZ186" s="111">
        <v>27980</v>
      </c>
      <c r="BA186" s="111">
        <v>28650</v>
      </c>
      <c r="BB186" s="111">
        <v>29430</v>
      </c>
      <c r="BC186" s="111">
        <v>30350</v>
      </c>
      <c r="BD186" s="111">
        <v>30890</v>
      </c>
      <c r="BE186" s="111">
        <v>31310</v>
      </c>
      <c r="BF186" s="111">
        <v>32230</v>
      </c>
      <c r="BG186" s="111">
        <v>33860</v>
      </c>
      <c r="BH186" s="111">
        <v>35110</v>
      </c>
      <c r="BI186" s="111">
        <v>36090</v>
      </c>
      <c r="BJ186" s="111">
        <v>37850</v>
      </c>
      <c r="BK186" s="111">
        <v>38650</v>
      </c>
      <c r="BL186" s="111">
        <v>38880</v>
      </c>
      <c r="BM186" s="195">
        <v>38630</v>
      </c>
      <c r="BN186" s="195">
        <v>37630</v>
      </c>
      <c r="BO186" s="195">
        <v>37660</v>
      </c>
      <c r="BP186" s="195">
        <v>37570</v>
      </c>
      <c r="BQ186" s="195">
        <v>36510</v>
      </c>
    </row>
    <row r="187" spans="1:69">
      <c r="A187" s="105">
        <f>$A$94</f>
        <v>77</v>
      </c>
      <c r="B187" s="111">
        <v>9480</v>
      </c>
      <c r="C187" s="111">
        <v>9590</v>
      </c>
      <c r="D187" s="111">
        <v>9950</v>
      </c>
      <c r="E187" s="111">
        <v>9670</v>
      </c>
      <c r="F187" s="111">
        <v>9460</v>
      </c>
      <c r="G187" s="111">
        <v>9610</v>
      </c>
      <c r="H187" s="111">
        <v>9880</v>
      </c>
      <c r="I187" s="111">
        <v>10020</v>
      </c>
      <c r="J187" s="111">
        <v>10540</v>
      </c>
      <c r="K187" s="111">
        <v>11040</v>
      </c>
      <c r="L187" s="111">
        <v>11370</v>
      </c>
      <c r="M187" s="111">
        <v>12630</v>
      </c>
      <c r="N187" s="111">
        <v>13550</v>
      </c>
      <c r="O187" s="111">
        <v>13870</v>
      </c>
      <c r="P187" s="111">
        <v>12640</v>
      </c>
      <c r="Q187" s="111">
        <v>14380</v>
      </c>
      <c r="R187" s="111">
        <v>14910</v>
      </c>
      <c r="S187" s="111">
        <v>15860</v>
      </c>
      <c r="T187" s="111">
        <v>18720</v>
      </c>
      <c r="U187" s="111">
        <v>18850</v>
      </c>
      <c r="V187" s="111">
        <v>18910</v>
      </c>
      <c r="W187" s="111">
        <v>19100</v>
      </c>
      <c r="X187" s="111">
        <v>19330</v>
      </c>
      <c r="Y187" s="111">
        <v>19740</v>
      </c>
      <c r="Z187" s="111">
        <v>20050</v>
      </c>
      <c r="AA187" s="111">
        <v>20730</v>
      </c>
      <c r="AB187" s="111">
        <v>21300</v>
      </c>
      <c r="AC187" s="111">
        <v>21960</v>
      </c>
      <c r="AD187" s="111">
        <v>22550</v>
      </c>
      <c r="AE187" s="111">
        <v>23200</v>
      </c>
      <c r="AF187" s="111">
        <v>24310</v>
      </c>
      <c r="AG187" s="111">
        <v>24820</v>
      </c>
      <c r="AH187" s="111">
        <v>25570</v>
      </c>
      <c r="AI187" s="111">
        <v>26470</v>
      </c>
      <c r="AJ187" s="111">
        <v>26830</v>
      </c>
      <c r="AK187" s="111">
        <v>26660</v>
      </c>
      <c r="AL187" s="111">
        <v>26230</v>
      </c>
      <c r="AM187" s="111">
        <v>26010</v>
      </c>
      <c r="AN187" s="111">
        <v>26160</v>
      </c>
      <c r="AO187" s="111">
        <v>26780</v>
      </c>
      <c r="AP187" s="111">
        <v>27450</v>
      </c>
      <c r="AQ187" s="111">
        <v>27620</v>
      </c>
      <c r="AR187" s="111">
        <v>28260</v>
      </c>
      <c r="AS187" s="111">
        <v>28380</v>
      </c>
      <c r="AT187" s="111">
        <v>27710</v>
      </c>
      <c r="AU187" s="111">
        <v>26780</v>
      </c>
      <c r="AV187" s="111">
        <v>26090</v>
      </c>
      <c r="AW187" s="111">
        <v>25740</v>
      </c>
      <c r="AX187" s="111">
        <v>25970</v>
      </c>
      <c r="AY187" s="111">
        <v>25800</v>
      </c>
      <c r="AZ187" s="111">
        <v>26790</v>
      </c>
      <c r="BA187" s="111">
        <v>27520</v>
      </c>
      <c r="BB187" s="111">
        <v>28180</v>
      </c>
      <c r="BC187" s="111">
        <v>28960</v>
      </c>
      <c r="BD187" s="111">
        <v>29870</v>
      </c>
      <c r="BE187" s="111">
        <v>30410</v>
      </c>
      <c r="BF187" s="111">
        <v>30840</v>
      </c>
      <c r="BG187" s="111">
        <v>31750</v>
      </c>
      <c r="BH187" s="111">
        <v>33360</v>
      </c>
      <c r="BI187" s="111">
        <v>34610</v>
      </c>
      <c r="BJ187" s="111">
        <v>35580</v>
      </c>
      <c r="BK187" s="111">
        <v>37320</v>
      </c>
      <c r="BL187" s="111">
        <v>38120</v>
      </c>
      <c r="BM187" s="195">
        <v>38350</v>
      </c>
      <c r="BN187" s="195">
        <v>38120</v>
      </c>
      <c r="BO187" s="195">
        <v>37140</v>
      </c>
      <c r="BP187" s="195">
        <v>37180</v>
      </c>
      <c r="BQ187" s="195">
        <v>37100</v>
      </c>
    </row>
    <row r="188" spans="1:69">
      <c r="A188" s="105">
        <f>$A$95</f>
        <v>78</v>
      </c>
      <c r="B188" s="111">
        <v>9060</v>
      </c>
      <c r="C188" s="111">
        <v>9040</v>
      </c>
      <c r="D188" s="111">
        <v>9120</v>
      </c>
      <c r="E188" s="111">
        <v>9480</v>
      </c>
      <c r="F188" s="111">
        <v>9290</v>
      </c>
      <c r="G188" s="111">
        <v>8990</v>
      </c>
      <c r="H188" s="111">
        <v>9200</v>
      </c>
      <c r="I188" s="111">
        <v>9480</v>
      </c>
      <c r="J188" s="111">
        <v>9600</v>
      </c>
      <c r="K188" s="111">
        <v>10100</v>
      </c>
      <c r="L188" s="111">
        <v>10560</v>
      </c>
      <c r="M188" s="111">
        <v>10970</v>
      </c>
      <c r="N188" s="111">
        <v>12090</v>
      </c>
      <c r="O188" s="111">
        <v>13060</v>
      </c>
      <c r="P188" s="111">
        <v>13460</v>
      </c>
      <c r="Q188" s="111">
        <v>12180</v>
      </c>
      <c r="R188" s="111">
        <v>13870</v>
      </c>
      <c r="S188" s="111">
        <v>14400</v>
      </c>
      <c r="T188" s="111">
        <v>15320</v>
      </c>
      <c r="U188" s="111">
        <v>18090</v>
      </c>
      <c r="V188" s="111">
        <v>18230</v>
      </c>
      <c r="W188" s="111">
        <v>18300</v>
      </c>
      <c r="X188" s="111">
        <v>18500</v>
      </c>
      <c r="Y188" s="111">
        <v>18720</v>
      </c>
      <c r="Z188" s="111">
        <v>19130</v>
      </c>
      <c r="AA188" s="111">
        <v>19450</v>
      </c>
      <c r="AB188" s="111">
        <v>20110</v>
      </c>
      <c r="AC188" s="111">
        <v>20680</v>
      </c>
      <c r="AD188" s="111">
        <v>21330</v>
      </c>
      <c r="AE188" s="111">
        <v>21910</v>
      </c>
      <c r="AF188" s="111">
        <v>22560</v>
      </c>
      <c r="AG188" s="111">
        <v>23650</v>
      </c>
      <c r="AH188" s="111">
        <v>24150</v>
      </c>
      <c r="AI188" s="111">
        <v>24890</v>
      </c>
      <c r="AJ188" s="111">
        <v>25790</v>
      </c>
      <c r="AK188" s="111">
        <v>26150</v>
      </c>
      <c r="AL188" s="111">
        <v>26000</v>
      </c>
      <c r="AM188" s="111">
        <v>25590</v>
      </c>
      <c r="AN188" s="111">
        <v>25390</v>
      </c>
      <c r="AO188" s="111">
        <v>25540</v>
      </c>
      <c r="AP188" s="111">
        <v>26160</v>
      </c>
      <c r="AQ188" s="111">
        <v>26820</v>
      </c>
      <c r="AR188" s="111">
        <v>27000</v>
      </c>
      <c r="AS188" s="111">
        <v>27640</v>
      </c>
      <c r="AT188" s="111">
        <v>27760</v>
      </c>
      <c r="AU188" s="111">
        <v>27120</v>
      </c>
      <c r="AV188" s="111">
        <v>26220</v>
      </c>
      <c r="AW188" s="111">
        <v>25560</v>
      </c>
      <c r="AX188" s="111">
        <v>25210</v>
      </c>
      <c r="AY188" s="111">
        <v>25460</v>
      </c>
      <c r="AZ188" s="111">
        <v>25290</v>
      </c>
      <c r="BA188" s="111">
        <v>26270</v>
      </c>
      <c r="BB188" s="111">
        <v>27000</v>
      </c>
      <c r="BC188" s="111">
        <v>27660</v>
      </c>
      <c r="BD188" s="111">
        <v>28430</v>
      </c>
      <c r="BE188" s="111">
        <v>29330</v>
      </c>
      <c r="BF188" s="111">
        <v>29880</v>
      </c>
      <c r="BG188" s="111">
        <v>30300</v>
      </c>
      <c r="BH188" s="111">
        <v>31210</v>
      </c>
      <c r="BI188" s="111">
        <v>32800</v>
      </c>
      <c r="BJ188" s="111">
        <v>34040</v>
      </c>
      <c r="BK188" s="111">
        <v>35000</v>
      </c>
      <c r="BL188" s="111">
        <v>36730</v>
      </c>
      <c r="BM188" s="195">
        <v>37530</v>
      </c>
      <c r="BN188" s="195">
        <v>37760</v>
      </c>
      <c r="BO188" s="195">
        <v>37550</v>
      </c>
      <c r="BP188" s="195">
        <v>36590</v>
      </c>
      <c r="BQ188" s="195">
        <v>36630</v>
      </c>
    </row>
    <row r="189" spans="1:69">
      <c r="A189" s="105">
        <f>$A$96</f>
        <v>79</v>
      </c>
      <c r="B189" s="111">
        <v>8220</v>
      </c>
      <c r="C189" s="111">
        <v>8550</v>
      </c>
      <c r="D189" s="111">
        <v>8580</v>
      </c>
      <c r="E189" s="111">
        <v>8610</v>
      </c>
      <c r="F189" s="111">
        <v>9030</v>
      </c>
      <c r="G189" s="111">
        <v>8850</v>
      </c>
      <c r="H189" s="111">
        <v>8550</v>
      </c>
      <c r="I189" s="111">
        <v>8780</v>
      </c>
      <c r="J189" s="111">
        <v>9030</v>
      </c>
      <c r="K189" s="111">
        <v>9180</v>
      </c>
      <c r="L189" s="111">
        <v>9640</v>
      </c>
      <c r="M189" s="111">
        <v>10060</v>
      </c>
      <c r="N189" s="111">
        <v>10510</v>
      </c>
      <c r="O189" s="111">
        <v>11590</v>
      </c>
      <c r="P189" s="111">
        <v>12600</v>
      </c>
      <c r="Q189" s="111">
        <v>12920</v>
      </c>
      <c r="R189" s="111">
        <v>11700</v>
      </c>
      <c r="S189" s="111">
        <v>13330</v>
      </c>
      <c r="T189" s="111">
        <v>13840</v>
      </c>
      <c r="U189" s="111">
        <v>14740</v>
      </c>
      <c r="V189" s="111">
        <v>17420</v>
      </c>
      <c r="W189" s="111">
        <v>17560</v>
      </c>
      <c r="X189" s="111">
        <v>17640</v>
      </c>
      <c r="Y189" s="111">
        <v>17840</v>
      </c>
      <c r="Z189" s="111">
        <v>18070</v>
      </c>
      <c r="AA189" s="111">
        <v>18470</v>
      </c>
      <c r="AB189" s="111">
        <v>18790</v>
      </c>
      <c r="AC189" s="111">
        <v>19440</v>
      </c>
      <c r="AD189" s="111">
        <v>20000</v>
      </c>
      <c r="AE189" s="111">
        <v>20650</v>
      </c>
      <c r="AF189" s="111">
        <v>21220</v>
      </c>
      <c r="AG189" s="111">
        <v>21850</v>
      </c>
      <c r="AH189" s="111">
        <v>22930</v>
      </c>
      <c r="AI189" s="111">
        <v>23420</v>
      </c>
      <c r="AJ189" s="111">
        <v>24160</v>
      </c>
      <c r="AK189" s="111">
        <v>25030</v>
      </c>
      <c r="AL189" s="111">
        <v>25400</v>
      </c>
      <c r="AM189" s="111">
        <v>25260</v>
      </c>
      <c r="AN189" s="111">
        <v>24880</v>
      </c>
      <c r="AO189" s="111">
        <v>24690</v>
      </c>
      <c r="AP189" s="111">
        <v>24860</v>
      </c>
      <c r="AQ189" s="111">
        <v>25460</v>
      </c>
      <c r="AR189" s="111">
        <v>26130</v>
      </c>
      <c r="AS189" s="111">
        <v>26310</v>
      </c>
      <c r="AT189" s="111">
        <v>26940</v>
      </c>
      <c r="AU189" s="111">
        <v>27080</v>
      </c>
      <c r="AV189" s="111">
        <v>26460</v>
      </c>
      <c r="AW189" s="111">
        <v>25600</v>
      </c>
      <c r="AX189" s="111">
        <v>24950</v>
      </c>
      <c r="AY189" s="111">
        <v>24630</v>
      </c>
      <c r="AZ189" s="111">
        <v>24880</v>
      </c>
      <c r="BA189" s="111">
        <v>24720</v>
      </c>
      <c r="BB189" s="111">
        <v>25690</v>
      </c>
      <c r="BC189" s="111">
        <v>26410</v>
      </c>
      <c r="BD189" s="111">
        <v>27070</v>
      </c>
      <c r="BE189" s="111">
        <v>27840</v>
      </c>
      <c r="BF189" s="111">
        <v>28730</v>
      </c>
      <c r="BG189" s="111">
        <v>29270</v>
      </c>
      <c r="BH189" s="111">
        <v>29690</v>
      </c>
      <c r="BI189" s="111">
        <v>30590</v>
      </c>
      <c r="BJ189" s="111">
        <v>32170</v>
      </c>
      <c r="BK189" s="111">
        <v>33390</v>
      </c>
      <c r="BL189" s="111">
        <v>34350</v>
      </c>
      <c r="BM189" s="195">
        <v>36050</v>
      </c>
      <c r="BN189" s="195">
        <v>36850</v>
      </c>
      <c r="BO189" s="195">
        <v>37090</v>
      </c>
      <c r="BP189" s="195">
        <v>36890</v>
      </c>
      <c r="BQ189" s="195">
        <v>35960</v>
      </c>
    </row>
    <row r="190" spans="1:69">
      <c r="A190" s="105">
        <f>$A$97</f>
        <v>80</v>
      </c>
      <c r="B190" s="111">
        <v>7520</v>
      </c>
      <c r="C190" s="111">
        <v>7750</v>
      </c>
      <c r="D190" s="111">
        <v>8010</v>
      </c>
      <c r="E190" s="111">
        <v>8070</v>
      </c>
      <c r="F190" s="111">
        <v>8120</v>
      </c>
      <c r="G190" s="111">
        <v>8560</v>
      </c>
      <c r="H190" s="111">
        <v>8390</v>
      </c>
      <c r="I190" s="111">
        <v>8100</v>
      </c>
      <c r="J190" s="111">
        <v>8340</v>
      </c>
      <c r="K190" s="111">
        <v>8550</v>
      </c>
      <c r="L190" s="111">
        <v>8720</v>
      </c>
      <c r="M190" s="111">
        <v>9160</v>
      </c>
      <c r="N190" s="111">
        <v>9570</v>
      </c>
      <c r="O190" s="111">
        <v>10050</v>
      </c>
      <c r="P190" s="111">
        <v>11130</v>
      </c>
      <c r="Q190" s="111">
        <v>12030</v>
      </c>
      <c r="R190" s="111">
        <v>12340</v>
      </c>
      <c r="S190" s="111">
        <v>11180</v>
      </c>
      <c r="T190" s="111">
        <v>12750</v>
      </c>
      <c r="U190" s="111">
        <v>13250</v>
      </c>
      <c r="V190" s="111">
        <v>14120</v>
      </c>
      <c r="W190" s="111">
        <v>16690</v>
      </c>
      <c r="X190" s="111">
        <v>16840</v>
      </c>
      <c r="Y190" s="111">
        <v>16920</v>
      </c>
      <c r="Z190" s="111">
        <v>17130</v>
      </c>
      <c r="AA190" s="111">
        <v>17360</v>
      </c>
      <c r="AB190" s="111">
        <v>17760</v>
      </c>
      <c r="AC190" s="111">
        <v>18080</v>
      </c>
      <c r="AD190" s="111">
        <v>18720</v>
      </c>
      <c r="AE190" s="111">
        <v>19270</v>
      </c>
      <c r="AF190" s="111">
        <v>19900</v>
      </c>
      <c r="AG190" s="111">
        <v>20460</v>
      </c>
      <c r="AH190" s="111">
        <v>21090</v>
      </c>
      <c r="AI190" s="111">
        <v>22130</v>
      </c>
      <c r="AJ190" s="111">
        <v>22630</v>
      </c>
      <c r="AK190" s="111">
        <v>23350</v>
      </c>
      <c r="AL190" s="111">
        <v>24210</v>
      </c>
      <c r="AM190" s="111">
        <v>24570</v>
      </c>
      <c r="AN190" s="111">
        <v>24460</v>
      </c>
      <c r="AO190" s="111">
        <v>24090</v>
      </c>
      <c r="AP190" s="111">
        <v>23930</v>
      </c>
      <c r="AQ190" s="111">
        <v>24100</v>
      </c>
      <c r="AR190" s="111">
        <v>24700</v>
      </c>
      <c r="AS190" s="111">
        <v>25360</v>
      </c>
      <c r="AT190" s="111">
        <v>25550</v>
      </c>
      <c r="AU190" s="111">
        <v>26170</v>
      </c>
      <c r="AV190" s="111">
        <v>26320</v>
      </c>
      <c r="AW190" s="111">
        <v>25730</v>
      </c>
      <c r="AX190" s="111">
        <v>24900</v>
      </c>
      <c r="AY190" s="111">
        <v>24280</v>
      </c>
      <c r="AZ190" s="111">
        <v>23980</v>
      </c>
      <c r="BA190" s="111">
        <v>24230</v>
      </c>
      <c r="BB190" s="111">
        <v>24090</v>
      </c>
      <c r="BC190" s="111">
        <v>25050</v>
      </c>
      <c r="BD190" s="111">
        <v>25760</v>
      </c>
      <c r="BE190" s="111">
        <v>26410</v>
      </c>
      <c r="BF190" s="111">
        <v>27170</v>
      </c>
      <c r="BG190" s="111">
        <v>28050</v>
      </c>
      <c r="BH190" s="111">
        <v>28590</v>
      </c>
      <c r="BI190" s="111">
        <v>29010</v>
      </c>
      <c r="BJ190" s="111">
        <v>29900</v>
      </c>
      <c r="BK190" s="111">
        <v>31450</v>
      </c>
      <c r="BL190" s="111">
        <v>32660</v>
      </c>
      <c r="BM190" s="195">
        <v>33600</v>
      </c>
      <c r="BN190" s="195">
        <v>35290</v>
      </c>
      <c r="BO190" s="195">
        <v>36070</v>
      </c>
      <c r="BP190" s="195">
        <v>36330</v>
      </c>
      <c r="BQ190" s="195">
        <v>36140</v>
      </c>
    </row>
    <row r="191" spans="1:69">
      <c r="A191" s="105">
        <f>$A$98</f>
        <v>81</v>
      </c>
      <c r="B191" s="111">
        <v>6900</v>
      </c>
      <c r="C191" s="111">
        <v>6990</v>
      </c>
      <c r="D191" s="111">
        <v>7210</v>
      </c>
      <c r="E191" s="111">
        <v>7500</v>
      </c>
      <c r="F191" s="111">
        <v>7560</v>
      </c>
      <c r="G191" s="111">
        <v>7650</v>
      </c>
      <c r="H191" s="111">
        <v>8040</v>
      </c>
      <c r="I191" s="111">
        <v>7900</v>
      </c>
      <c r="J191" s="111">
        <v>7640</v>
      </c>
      <c r="K191" s="111">
        <v>7860</v>
      </c>
      <c r="L191" s="111">
        <v>8080</v>
      </c>
      <c r="M191" s="111">
        <v>8180</v>
      </c>
      <c r="N191" s="111">
        <v>8610</v>
      </c>
      <c r="O191" s="111">
        <v>9060</v>
      </c>
      <c r="P191" s="111">
        <v>9580</v>
      </c>
      <c r="Q191" s="111">
        <v>10560</v>
      </c>
      <c r="R191" s="111">
        <v>11410</v>
      </c>
      <c r="S191" s="111">
        <v>11720</v>
      </c>
      <c r="T191" s="111">
        <v>10630</v>
      </c>
      <c r="U191" s="111">
        <v>12130</v>
      </c>
      <c r="V191" s="111">
        <v>12610</v>
      </c>
      <c r="W191" s="111">
        <v>13450</v>
      </c>
      <c r="X191" s="111">
        <v>15910</v>
      </c>
      <c r="Y191" s="111">
        <v>16070</v>
      </c>
      <c r="Z191" s="111">
        <v>16160</v>
      </c>
      <c r="AA191" s="111">
        <v>16370</v>
      </c>
      <c r="AB191" s="111">
        <v>16600</v>
      </c>
      <c r="AC191" s="111">
        <v>16990</v>
      </c>
      <c r="AD191" s="111">
        <v>17300</v>
      </c>
      <c r="AE191" s="111">
        <v>17930</v>
      </c>
      <c r="AF191" s="111">
        <v>18470</v>
      </c>
      <c r="AG191" s="111">
        <v>19090</v>
      </c>
      <c r="AH191" s="111">
        <v>19640</v>
      </c>
      <c r="AI191" s="111">
        <v>20250</v>
      </c>
      <c r="AJ191" s="111">
        <v>21270</v>
      </c>
      <c r="AK191" s="111">
        <v>21760</v>
      </c>
      <c r="AL191" s="111">
        <v>22460</v>
      </c>
      <c r="AM191" s="111">
        <v>23300</v>
      </c>
      <c r="AN191" s="111">
        <v>23670</v>
      </c>
      <c r="AO191" s="111">
        <v>23570</v>
      </c>
      <c r="AP191" s="111">
        <v>23230</v>
      </c>
      <c r="AQ191" s="111">
        <v>23090</v>
      </c>
      <c r="AR191" s="111">
        <v>23260</v>
      </c>
      <c r="AS191" s="111">
        <v>23860</v>
      </c>
      <c r="AT191" s="111">
        <v>24500</v>
      </c>
      <c r="AU191" s="111">
        <v>24700</v>
      </c>
      <c r="AV191" s="111">
        <v>25320</v>
      </c>
      <c r="AW191" s="111">
        <v>25470</v>
      </c>
      <c r="AX191" s="111">
        <v>24910</v>
      </c>
      <c r="AY191" s="111">
        <v>24120</v>
      </c>
      <c r="AZ191" s="111">
        <v>23540</v>
      </c>
      <c r="BA191" s="111">
        <v>23250</v>
      </c>
      <c r="BB191" s="111">
        <v>23500</v>
      </c>
      <c r="BC191" s="111">
        <v>23380</v>
      </c>
      <c r="BD191" s="111">
        <v>24320</v>
      </c>
      <c r="BE191" s="111">
        <v>25020</v>
      </c>
      <c r="BF191" s="111">
        <v>25660</v>
      </c>
      <c r="BG191" s="111">
        <v>26410</v>
      </c>
      <c r="BH191" s="111">
        <v>27280</v>
      </c>
      <c r="BI191" s="111">
        <v>27820</v>
      </c>
      <c r="BJ191" s="111">
        <v>28240</v>
      </c>
      <c r="BK191" s="111">
        <v>29120</v>
      </c>
      <c r="BL191" s="111">
        <v>30640</v>
      </c>
      <c r="BM191" s="195">
        <v>31830</v>
      </c>
      <c r="BN191" s="195">
        <v>32760</v>
      </c>
      <c r="BO191" s="195">
        <v>34410</v>
      </c>
      <c r="BP191" s="195">
        <v>35200</v>
      </c>
      <c r="BQ191" s="195">
        <v>35460</v>
      </c>
    </row>
    <row r="192" spans="1:69">
      <c r="A192" s="105">
        <f>$A$99</f>
        <v>82</v>
      </c>
      <c r="B192" s="111">
        <v>5900</v>
      </c>
      <c r="C192" s="111">
        <v>6400</v>
      </c>
      <c r="D192" s="111">
        <v>6460</v>
      </c>
      <c r="E192" s="111">
        <v>6720</v>
      </c>
      <c r="F192" s="111">
        <v>6960</v>
      </c>
      <c r="G192" s="111">
        <v>7040</v>
      </c>
      <c r="H192" s="111">
        <v>7130</v>
      </c>
      <c r="I192" s="111">
        <v>7540</v>
      </c>
      <c r="J192" s="111">
        <v>7360</v>
      </c>
      <c r="K192" s="111">
        <v>7100</v>
      </c>
      <c r="L192" s="111">
        <v>7370</v>
      </c>
      <c r="M192" s="111">
        <v>7560</v>
      </c>
      <c r="N192" s="111">
        <v>7630</v>
      </c>
      <c r="O192" s="111">
        <v>8090</v>
      </c>
      <c r="P192" s="111">
        <v>8560</v>
      </c>
      <c r="Q192" s="111">
        <v>9030</v>
      </c>
      <c r="R192" s="111">
        <v>9950</v>
      </c>
      <c r="S192" s="111">
        <v>10770</v>
      </c>
      <c r="T192" s="111">
        <v>11070</v>
      </c>
      <c r="U192" s="111">
        <v>10040</v>
      </c>
      <c r="V192" s="111">
        <v>11470</v>
      </c>
      <c r="W192" s="111">
        <v>11940</v>
      </c>
      <c r="X192" s="111">
        <v>12730</v>
      </c>
      <c r="Y192" s="111">
        <v>15080</v>
      </c>
      <c r="Z192" s="111">
        <v>15240</v>
      </c>
      <c r="AA192" s="111">
        <v>15340</v>
      </c>
      <c r="AB192" s="111">
        <v>15550</v>
      </c>
      <c r="AC192" s="111">
        <v>15780</v>
      </c>
      <c r="AD192" s="111">
        <v>16160</v>
      </c>
      <c r="AE192" s="111">
        <v>16470</v>
      </c>
      <c r="AF192" s="111">
        <v>17080</v>
      </c>
      <c r="AG192" s="111">
        <v>17600</v>
      </c>
      <c r="AH192" s="111">
        <v>18210</v>
      </c>
      <c r="AI192" s="111">
        <v>18750</v>
      </c>
      <c r="AJ192" s="111">
        <v>19340</v>
      </c>
      <c r="AK192" s="111">
        <v>20330</v>
      </c>
      <c r="AL192" s="111">
        <v>20810</v>
      </c>
      <c r="AM192" s="111">
        <v>21490</v>
      </c>
      <c r="AN192" s="111">
        <v>22310</v>
      </c>
      <c r="AO192" s="111">
        <v>22680</v>
      </c>
      <c r="AP192" s="111">
        <v>22600</v>
      </c>
      <c r="AQ192" s="111">
        <v>22290</v>
      </c>
      <c r="AR192" s="111">
        <v>22160</v>
      </c>
      <c r="AS192" s="111">
        <v>22340</v>
      </c>
      <c r="AT192" s="111">
        <v>22930</v>
      </c>
      <c r="AU192" s="111">
        <v>23560</v>
      </c>
      <c r="AV192" s="111">
        <v>23760</v>
      </c>
      <c r="AW192" s="111">
        <v>24370</v>
      </c>
      <c r="AX192" s="111">
        <v>24530</v>
      </c>
      <c r="AY192" s="111">
        <v>24000</v>
      </c>
      <c r="AZ192" s="111">
        <v>23250</v>
      </c>
      <c r="BA192" s="111">
        <v>22700</v>
      </c>
      <c r="BB192" s="111">
        <v>22440</v>
      </c>
      <c r="BC192" s="111">
        <v>22700</v>
      </c>
      <c r="BD192" s="111">
        <v>22590</v>
      </c>
      <c r="BE192" s="111">
        <v>23510</v>
      </c>
      <c r="BF192" s="111">
        <v>24190</v>
      </c>
      <c r="BG192" s="111">
        <v>24830</v>
      </c>
      <c r="BH192" s="111">
        <v>25560</v>
      </c>
      <c r="BI192" s="111">
        <v>26410</v>
      </c>
      <c r="BJ192" s="111">
        <v>26950</v>
      </c>
      <c r="BK192" s="111">
        <v>27370</v>
      </c>
      <c r="BL192" s="111">
        <v>28240</v>
      </c>
      <c r="BM192" s="195">
        <v>29720</v>
      </c>
      <c r="BN192" s="195">
        <v>30890</v>
      </c>
      <c r="BO192" s="195">
        <v>31810</v>
      </c>
      <c r="BP192" s="195">
        <v>33430</v>
      </c>
      <c r="BQ192" s="195">
        <v>34200</v>
      </c>
    </row>
    <row r="193" spans="1:69">
      <c r="A193" s="105">
        <f>$A$100</f>
        <v>83</v>
      </c>
      <c r="B193" s="111">
        <v>5210</v>
      </c>
      <c r="C193" s="111">
        <v>5440</v>
      </c>
      <c r="D193" s="111">
        <v>5830</v>
      </c>
      <c r="E193" s="111">
        <v>5940</v>
      </c>
      <c r="F193" s="111">
        <v>6210</v>
      </c>
      <c r="G193" s="111">
        <v>6400</v>
      </c>
      <c r="H193" s="111">
        <v>6540</v>
      </c>
      <c r="I193" s="111">
        <v>6570</v>
      </c>
      <c r="J193" s="111">
        <v>7000</v>
      </c>
      <c r="K193" s="111">
        <v>6820</v>
      </c>
      <c r="L193" s="111">
        <v>6600</v>
      </c>
      <c r="M193" s="111">
        <v>6860</v>
      </c>
      <c r="N193" s="111">
        <v>7010</v>
      </c>
      <c r="O193" s="111">
        <v>7070</v>
      </c>
      <c r="P193" s="111">
        <v>7600</v>
      </c>
      <c r="Q193" s="111">
        <v>7990</v>
      </c>
      <c r="R193" s="111">
        <v>8440</v>
      </c>
      <c r="S193" s="111">
        <v>9310</v>
      </c>
      <c r="T193" s="111">
        <v>10080</v>
      </c>
      <c r="U193" s="111">
        <v>10370</v>
      </c>
      <c r="V193" s="111">
        <v>9420</v>
      </c>
      <c r="W193" s="111">
        <v>10770</v>
      </c>
      <c r="X193" s="111">
        <v>11210</v>
      </c>
      <c r="Y193" s="111">
        <v>11980</v>
      </c>
      <c r="Z193" s="111">
        <v>14190</v>
      </c>
      <c r="AA193" s="111">
        <v>14350</v>
      </c>
      <c r="AB193" s="111">
        <v>14460</v>
      </c>
      <c r="AC193" s="111">
        <v>14670</v>
      </c>
      <c r="AD193" s="111">
        <v>14900</v>
      </c>
      <c r="AE193" s="111">
        <v>15270</v>
      </c>
      <c r="AF193" s="111">
        <v>15580</v>
      </c>
      <c r="AG193" s="111">
        <v>16160</v>
      </c>
      <c r="AH193" s="111">
        <v>16670</v>
      </c>
      <c r="AI193" s="111">
        <v>17250</v>
      </c>
      <c r="AJ193" s="111">
        <v>17780</v>
      </c>
      <c r="AK193" s="111">
        <v>18360</v>
      </c>
      <c r="AL193" s="111">
        <v>19300</v>
      </c>
      <c r="AM193" s="111">
        <v>19770</v>
      </c>
      <c r="AN193" s="111">
        <v>20440</v>
      </c>
      <c r="AO193" s="111">
        <v>21240</v>
      </c>
      <c r="AP193" s="111">
        <v>21600</v>
      </c>
      <c r="AQ193" s="111">
        <v>21530</v>
      </c>
      <c r="AR193" s="111">
        <v>21250</v>
      </c>
      <c r="AS193" s="111">
        <v>21140</v>
      </c>
      <c r="AT193" s="111">
        <v>21330</v>
      </c>
      <c r="AU193" s="111">
        <v>21900</v>
      </c>
      <c r="AV193" s="111">
        <v>22520</v>
      </c>
      <c r="AW193" s="111">
        <v>22730</v>
      </c>
      <c r="AX193" s="111">
        <v>23320</v>
      </c>
      <c r="AY193" s="111">
        <v>23490</v>
      </c>
      <c r="AZ193" s="111">
        <v>23000</v>
      </c>
      <c r="BA193" s="111">
        <v>22290</v>
      </c>
      <c r="BB193" s="111">
        <v>21780</v>
      </c>
      <c r="BC193" s="111">
        <v>21540</v>
      </c>
      <c r="BD193" s="111">
        <v>21800</v>
      </c>
      <c r="BE193" s="111">
        <v>21700</v>
      </c>
      <c r="BF193" s="111">
        <v>22600</v>
      </c>
      <c r="BG193" s="111">
        <v>23270</v>
      </c>
      <c r="BH193" s="111">
        <v>23890</v>
      </c>
      <c r="BI193" s="111">
        <v>24610</v>
      </c>
      <c r="BJ193" s="111">
        <v>25450</v>
      </c>
      <c r="BK193" s="111">
        <v>25970</v>
      </c>
      <c r="BL193" s="111">
        <v>26390</v>
      </c>
      <c r="BM193" s="195">
        <v>27240</v>
      </c>
      <c r="BN193" s="195">
        <v>28690</v>
      </c>
      <c r="BO193" s="195">
        <v>29830</v>
      </c>
      <c r="BP193" s="195">
        <v>30730</v>
      </c>
      <c r="BQ193" s="195">
        <v>32310</v>
      </c>
    </row>
    <row r="194" spans="1:69">
      <c r="A194" s="105">
        <f>$A$101</f>
        <v>84</v>
      </c>
      <c r="B194" s="111">
        <v>4650</v>
      </c>
      <c r="C194" s="111">
        <v>4730</v>
      </c>
      <c r="D194" s="111">
        <v>4950</v>
      </c>
      <c r="E194" s="111">
        <v>5290</v>
      </c>
      <c r="F194" s="111">
        <v>5380</v>
      </c>
      <c r="G194" s="111">
        <v>5700</v>
      </c>
      <c r="H194" s="111">
        <v>5860</v>
      </c>
      <c r="I194" s="111">
        <v>6000</v>
      </c>
      <c r="J194" s="111">
        <v>5990</v>
      </c>
      <c r="K194" s="111">
        <v>6480</v>
      </c>
      <c r="L194" s="111">
        <v>6250</v>
      </c>
      <c r="M194" s="111">
        <v>6040</v>
      </c>
      <c r="N194" s="111">
        <v>6300</v>
      </c>
      <c r="O194" s="111">
        <v>6480</v>
      </c>
      <c r="P194" s="111">
        <v>6600</v>
      </c>
      <c r="Q194" s="111">
        <v>7040</v>
      </c>
      <c r="R194" s="111">
        <v>7410</v>
      </c>
      <c r="S194" s="111">
        <v>7820</v>
      </c>
      <c r="T194" s="111">
        <v>8640</v>
      </c>
      <c r="U194" s="111">
        <v>9370</v>
      </c>
      <c r="V194" s="111">
        <v>9640</v>
      </c>
      <c r="W194" s="111">
        <v>8770</v>
      </c>
      <c r="X194" s="111">
        <v>10030</v>
      </c>
      <c r="Y194" s="111">
        <v>10450</v>
      </c>
      <c r="Z194" s="111">
        <v>11170</v>
      </c>
      <c r="AA194" s="111">
        <v>13250</v>
      </c>
      <c r="AB194" s="111">
        <v>13410</v>
      </c>
      <c r="AC194" s="111">
        <v>13520</v>
      </c>
      <c r="AD194" s="111">
        <v>13730</v>
      </c>
      <c r="AE194" s="111">
        <v>13960</v>
      </c>
      <c r="AF194" s="111">
        <v>14320</v>
      </c>
      <c r="AG194" s="111">
        <v>14620</v>
      </c>
      <c r="AH194" s="111">
        <v>15180</v>
      </c>
      <c r="AI194" s="111">
        <v>15670</v>
      </c>
      <c r="AJ194" s="111">
        <v>16230</v>
      </c>
      <c r="AK194" s="111">
        <v>16740</v>
      </c>
      <c r="AL194" s="111">
        <v>17290</v>
      </c>
      <c r="AM194" s="111">
        <v>18200</v>
      </c>
      <c r="AN194" s="111">
        <v>18660</v>
      </c>
      <c r="AO194" s="111">
        <v>19300</v>
      </c>
      <c r="AP194" s="111">
        <v>20060</v>
      </c>
      <c r="AQ194" s="111">
        <v>20420</v>
      </c>
      <c r="AR194" s="111">
        <v>20370</v>
      </c>
      <c r="AS194" s="111">
        <v>20120</v>
      </c>
      <c r="AT194" s="111">
        <v>20030</v>
      </c>
      <c r="AU194" s="111">
        <v>20220</v>
      </c>
      <c r="AV194" s="111">
        <v>20780</v>
      </c>
      <c r="AW194" s="111">
        <v>21380</v>
      </c>
      <c r="AX194" s="111">
        <v>21590</v>
      </c>
      <c r="AY194" s="111">
        <v>22170</v>
      </c>
      <c r="AZ194" s="111">
        <v>22340</v>
      </c>
      <c r="BA194" s="111">
        <v>21890</v>
      </c>
      <c r="BB194" s="111">
        <v>21230</v>
      </c>
      <c r="BC194" s="111">
        <v>20750</v>
      </c>
      <c r="BD194" s="111">
        <v>20540</v>
      </c>
      <c r="BE194" s="111">
        <v>20800</v>
      </c>
      <c r="BF194" s="111">
        <v>20720</v>
      </c>
      <c r="BG194" s="111">
        <v>21590</v>
      </c>
      <c r="BH194" s="111">
        <v>22240</v>
      </c>
      <c r="BI194" s="111">
        <v>22850</v>
      </c>
      <c r="BJ194" s="111">
        <v>23550</v>
      </c>
      <c r="BK194" s="111">
        <v>24360</v>
      </c>
      <c r="BL194" s="111">
        <v>24880</v>
      </c>
      <c r="BM194" s="195">
        <v>25300</v>
      </c>
      <c r="BN194" s="195">
        <v>26120</v>
      </c>
      <c r="BO194" s="195">
        <v>27520</v>
      </c>
      <c r="BP194" s="195">
        <v>28630</v>
      </c>
      <c r="BQ194" s="195">
        <v>29510</v>
      </c>
    </row>
    <row r="195" spans="1:69">
      <c r="A195" s="105">
        <f>$A$102</f>
        <v>85</v>
      </c>
      <c r="B195" s="111">
        <v>3850</v>
      </c>
      <c r="C195" s="111">
        <v>4140</v>
      </c>
      <c r="D195" s="111">
        <v>4250</v>
      </c>
      <c r="E195" s="111">
        <v>4440</v>
      </c>
      <c r="F195" s="111">
        <v>4760</v>
      </c>
      <c r="G195" s="111">
        <v>4830</v>
      </c>
      <c r="H195" s="111">
        <v>5160</v>
      </c>
      <c r="I195" s="111">
        <v>5280</v>
      </c>
      <c r="J195" s="111">
        <v>5440</v>
      </c>
      <c r="K195" s="111">
        <v>5450</v>
      </c>
      <c r="L195" s="111">
        <v>5910</v>
      </c>
      <c r="M195" s="111">
        <v>5620</v>
      </c>
      <c r="N195" s="111">
        <v>5480</v>
      </c>
      <c r="O195" s="111">
        <v>5760</v>
      </c>
      <c r="P195" s="111">
        <v>5970</v>
      </c>
      <c r="Q195" s="111">
        <v>6050</v>
      </c>
      <c r="R195" s="111">
        <v>6450</v>
      </c>
      <c r="S195" s="111">
        <v>6800</v>
      </c>
      <c r="T195" s="111">
        <v>7190</v>
      </c>
      <c r="U195" s="111">
        <v>7950</v>
      </c>
      <c r="V195" s="111">
        <v>8620</v>
      </c>
      <c r="W195" s="111">
        <v>8880</v>
      </c>
      <c r="X195" s="111">
        <v>8080</v>
      </c>
      <c r="Y195" s="111">
        <v>9250</v>
      </c>
      <c r="Z195" s="111">
        <v>9650</v>
      </c>
      <c r="AA195" s="111">
        <v>10330</v>
      </c>
      <c r="AB195" s="111">
        <v>12260</v>
      </c>
      <c r="AC195" s="111">
        <v>12420</v>
      </c>
      <c r="AD195" s="111">
        <v>12530</v>
      </c>
      <c r="AE195" s="111">
        <v>12740</v>
      </c>
      <c r="AF195" s="111">
        <v>12960</v>
      </c>
      <c r="AG195" s="111">
        <v>13310</v>
      </c>
      <c r="AH195" s="111">
        <v>13600</v>
      </c>
      <c r="AI195" s="111">
        <v>14130</v>
      </c>
      <c r="AJ195" s="111">
        <v>14600</v>
      </c>
      <c r="AK195" s="111">
        <v>15130</v>
      </c>
      <c r="AL195" s="111">
        <v>15620</v>
      </c>
      <c r="AM195" s="111">
        <v>16150</v>
      </c>
      <c r="AN195" s="111">
        <v>17010</v>
      </c>
      <c r="AO195" s="111">
        <v>17450</v>
      </c>
      <c r="AP195" s="111">
        <v>18070</v>
      </c>
      <c r="AQ195" s="111">
        <v>18800</v>
      </c>
      <c r="AR195" s="111">
        <v>19150</v>
      </c>
      <c r="AS195" s="111">
        <v>19120</v>
      </c>
      <c r="AT195" s="111">
        <v>18900</v>
      </c>
      <c r="AU195" s="111">
        <v>18830</v>
      </c>
      <c r="AV195" s="111">
        <v>19020</v>
      </c>
      <c r="AW195" s="111">
        <v>19560</v>
      </c>
      <c r="AX195" s="111">
        <v>20140</v>
      </c>
      <c r="AY195" s="111">
        <v>20350</v>
      </c>
      <c r="AZ195" s="111">
        <v>20910</v>
      </c>
      <c r="BA195" s="111">
        <v>21090</v>
      </c>
      <c r="BB195" s="111">
        <v>20670</v>
      </c>
      <c r="BC195" s="111">
        <v>20060</v>
      </c>
      <c r="BD195" s="111">
        <v>19630</v>
      </c>
      <c r="BE195" s="111">
        <v>19440</v>
      </c>
      <c r="BF195" s="111">
        <v>19690</v>
      </c>
      <c r="BG195" s="111">
        <v>19630</v>
      </c>
      <c r="BH195" s="111">
        <v>20470</v>
      </c>
      <c r="BI195" s="111">
        <v>21100</v>
      </c>
      <c r="BJ195" s="111">
        <v>21690</v>
      </c>
      <c r="BK195" s="111">
        <v>22370</v>
      </c>
      <c r="BL195" s="111">
        <v>23150</v>
      </c>
      <c r="BM195" s="195">
        <v>23660</v>
      </c>
      <c r="BN195" s="195">
        <v>24070</v>
      </c>
      <c r="BO195" s="195">
        <v>24870</v>
      </c>
      <c r="BP195" s="195">
        <v>26220</v>
      </c>
      <c r="BQ195" s="195">
        <v>27290</v>
      </c>
    </row>
    <row r="196" spans="1:69">
      <c r="A196" s="105">
        <f>$A$103</f>
        <v>86</v>
      </c>
      <c r="B196" s="111">
        <v>3290</v>
      </c>
      <c r="C196" s="111">
        <v>3420</v>
      </c>
      <c r="D196" s="111">
        <v>3640</v>
      </c>
      <c r="E196" s="111">
        <v>3790</v>
      </c>
      <c r="F196" s="111">
        <v>3970</v>
      </c>
      <c r="G196" s="111">
        <v>4250</v>
      </c>
      <c r="H196" s="111">
        <v>4310</v>
      </c>
      <c r="I196" s="111">
        <v>4610</v>
      </c>
      <c r="J196" s="111">
        <v>4730</v>
      </c>
      <c r="K196" s="111">
        <v>4860</v>
      </c>
      <c r="L196" s="111">
        <v>4890</v>
      </c>
      <c r="M196" s="111">
        <v>5290</v>
      </c>
      <c r="N196" s="111">
        <v>5020</v>
      </c>
      <c r="O196" s="111">
        <v>4980</v>
      </c>
      <c r="P196" s="111">
        <v>5240</v>
      </c>
      <c r="Q196" s="111">
        <v>5400</v>
      </c>
      <c r="R196" s="111">
        <v>5480</v>
      </c>
      <c r="S196" s="111">
        <v>5850</v>
      </c>
      <c r="T196" s="111">
        <v>6170</v>
      </c>
      <c r="U196" s="111">
        <v>6530</v>
      </c>
      <c r="V196" s="111">
        <v>7230</v>
      </c>
      <c r="W196" s="111">
        <v>7850</v>
      </c>
      <c r="X196" s="111">
        <v>8090</v>
      </c>
      <c r="Y196" s="111">
        <v>7370</v>
      </c>
      <c r="Z196" s="111">
        <v>8450</v>
      </c>
      <c r="AA196" s="111">
        <v>8820</v>
      </c>
      <c r="AB196" s="111">
        <v>9450</v>
      </c>
      <c r="AC196" s="111">
        <v>11230</v>
      </c>
      <c r="AD196" s="111">
        <v>11390</v>
      </c>
      <c r="AE196" s="111">
        <v>11500</v>
      </c>
      <c r="AF196" s="111">
        <v>11700</v>
      </c>
      <c r="AG196" s="111">
        <v>11910</v>
      </c>
      <c r="AH196" s="111">
        <v>12240</v>
      </c>
      <c r="AI196" s="111">
        <v>12520</v>
      </c>
      <c r="AJ196" s="111">
        <v>13020</v>
      </c>
      <c r="AK196" s="111">
        <v>13470</v>
      </c>
      <c r="AL196" s="111">
        <v>13970</v>
      </c>
      <c r="AM196" s="111">
        <v>14430</v>
      </c>
      <c r="AN196" s="111">
        <v>14940</v>
      </c>
      <c r="AO196" s="111">
        <v>15750</v>
      </c>
      <c r="AP196" s="111">
        <v>16170</v>
      </c>
      <c r="AQ196" s="111">
        <v>16750</v>
      </c>
      <c r="AR196" s="111">
        <v>17440</v>
      </c>
      <c r="AS196" s="111">
        <v>17780</v>
      </c>
      <c r="AT196" s="111">
        <v>17770</v>
      </c>
      <c r="AU196" s="111">
        <v>17580</v>
      </c>
      <c r="AV196" s="111">
        <v>17520</v>
      </c>
      <c r="AW196" s="111">
        <v>17720</v>
      </c>
      <c r="AX196" s="111">
        <v>18230</v>
      </c>
      <c r="AY196" s="111">
        <v>18790</v>
      </c>
      <c r="AZ196" s="111">
        <v>19000</v>
      </c>
      <c r="BA196" s="111">
        <v>19540</v>
      </c>
      <c r="BB196" s="111">
        <v>19720</v>
      </c>
      <c r="BC196" s="111">
        <v>19350</v>
      </c>
      <c r="BD196" s="111">
        <v>18790</v>
      </c>
      <c r="BE196" s="111">
        <v>18390</v>
      </c>
      <c r="BF196" s="111">
        <v>18230</v>
      </c>
      <c r="BG196" s="111">
        <v>18480</v>
      </c>
      <c r="BH196" s="111">
        <v>18440</v>
      </c>
      <c r="BI196" s="111">
        <v>19230</v>
      </c>
      <c r="BJ196" s="111">
        <v>19840</v>
      </c>
      <c r="BK196" s="111">
        <v>20410</v>
      </c>
      <c r="BL196" s="111">
        <v>21060</v>
      </c>
      <c r="BM196" s="195">
        <v>21810</v>
      </c>
      <c r="BN196" s="195">
        <v>22310</v>
      </c>
      <c r="BO196" s="195">
        <v>22710</v>
      </c>
      <c r="BP196" s="195">
        <v>23480</v>
      </c>
      <c r="BQ196" s="195">
        <v>24760</v>
      </c>
    </row>
    <row r="197" spans="1:69">
      <c r="A197" s="105">
        <f>$A$104</f>
        <v>87</v>
      </c>
      <c r="B197" s="111">
        <v>2380</v>
      </c>
      <c r="C197" s="111">
        <v>2850</v>
      </c>
      <c r="D197" s="111">
        <v>2980</v>
      </c>
      <c r="E197" s="111">
        <v>3200</v>
      </c>
      <c r="F197" s="111">
        <v>3330</v>
      </c>
      <c r="G197" s="111">
        <v>3480</v>
      </c>
      <c r="H197" s="111">
        <v>3760</v>
      </c>
      <c r="I197" s="111">
        <v>3760</v>
      </c>
      <c r="J197" s="111">
        <v>4060</v>
      </c>
      <c r="K197" s="111">
        <v>4120</v>
      </c>
      <c r="L197" s="111">
        <v>4320</v>
      </c>
      <c r="M197" s="111">
        <v>4350</v>
      </c>
      <c r="N197" s="111">
        <v>4640</v>
      </c>
      <c r="O197" s="111">
        <v>4490</v>
      </c>
      <c r="P197" s="111">
        <v>4440</v>
      </c>
      <c r="Q197" s="111">
        <v>4680</v>
      </c>
      <c r="R197" s="111">
        <v>4830</v>
      </c>
      <c r="S197" s="111">
        <v>4900</v>
      </c>
      <c r="T197" s="111">
        <v>5240</v>
      </c>
      <c r="U197" s="111">
        <v>5530</v>
      </c>
      <c r="V197" s="111">
        <v>5860</v>
      </c>
      <c r="W197" s="111">
        <v>6490</v>
      </c>
      <c r="X197" s="111">
        <v>7060</v>
      </c>
      <c r="Y197" s="111">
        <v>7290</v>
      </c>
      <c r="Z197" s="111">
        <v>6650</v>
      </c>
      <c r="AA197" s="111">
        <v>7620</v>
      </c>
      <c r="AB197" s="111">
        <v>7970</v>
      </c>
      <c r="AC197" s="111">
        <v>8540</v>
      </c>
      <c r="AD197" s="111">
        <v>10160</v>
      </c>
      <c r="AE197" s="111">
        <v>10310</v>
      </c>
      <c r="AF197" s="111">
        <v>10430</v>
      </c>
      <c r="AG197" s="111">
        <v>10610</v>
      </c>
      <c r="AH197" s="111">
        <v>10820</v>
      </c>
      <c r="AI197" s="111">
        <v>11130</v>
      </c>
      <c r="AJ197" s="111">
        <v>11390</v>
      </c>
      <c r="AK197" s="111">
        <v>11860</v>
      </c>
      <c r="AL197" s="111">
        <v>12280</v>
      </c>
      <c r="AM197" s="111">
        <v>12750</v>
      </c>
      <c r="AN197" s="111">
        <v>13180</v>
      </c>
      <c r="AO197" s="111">
        <v>13660</v>
      </c>
      <c r="AP197" s="111">
        <v>14410</v>
      </c>
      <c r="AQ197" s="111">
        <v>14810</v>
      </c>
      <c r="AR197" s="111">
        <v>15360</v>
      </c>
      <c r="AS197" s="111">
        <v>16010</v>
      </c>
      <c r="AT197" s="111">
        <v>16330</v>
      </c>
      <c r="AU197" s="111">
        <v>16330</v>
      </c>
      <c r="AV197" s="111">
        <v>16170</v>
      </c>
      <c r="AW197" s="111">
        <v>16130</v>
      </c>
      <c r="AX197" s="111">
        <v>16330</v>
      </c>
      <c r="AY197" s="111">
        <v>16810</v>
      </c>
      <c r="AZ197" s="111">
        <v>17340</v>
      </c>
      <c r="BA197" s="111">
        <v>17550</v>
      </c>
      <c r="BB197" s="111">
        <v>18060</v>
      </c>
      <c r="BC197" s="111">
        <v>18240</v>
      </c>
      <c r="BD197" s="111">
        <v>17910</v>
      </c>
      <c r="BE197" s="111">
        <v>17410</v>
      </c>
      <c r="BF197" s="111">
        <v>17050</v>
      </c>
      <c r="BG197" s="111">
        <v>16910</v>
      </c>
      <c r="BH197" s="111">
        <v>17160</v>
      </c>
      <c r="BI197" s="111">
        <v>17130</v>
      </c>
      <c r="BJ197" s="111">
        <v>17880</v>
      </c>
      <c r="BK197" s="111">
        <v>18460</v>
      </c>
      <c r="BL197" s="111">
        <v>19010</v>
      </c>
      <c r="BM197" s="195">
        <v>19630</v>
      </c>
      <c r="BN197" s="195">
        <v>20340</v>
      </c>
      <c r="BO197" s="195">
        <v>20820</v>
      </c>
      <c r="BP197" s="195">
        <v>21200</v>
      </c>
      <c r="BQ197" s="195">
        <v>21940</v>
      </c>
    </row>
    <row r="198" spans="1:69">
      <c r="A198" s="105">
        <f>$A$105</f>
        <v>88</v>
      </c>
      <c r="B198" s="111">
        <v>1930</v>
      </c>
      <c r="C198" s="111">
        <v>2020</v>
      </c>
      <c r="D198" s="111">
        <v>2480</v>
      </c>
      <c r="E198" s="111">
        <v>2590</v>
      </c>
      <c r="F198" s="111">
        <v>2790</v>
      </c>
      <c r="G198" s="111">
        <v>2920</v>
      </c>
      <c r="H198" s="111">
        <v>2990</v>
      </c>
      <c r="I198" s="111">
        <v>3210</v>
      </c>
      <c r="J198" s="111">
        <v>3300</v>
      </c>
      <c r="K198" s="111">
        <v>3500</v>
      </c>
      <c r="L198" s="111">
        <v>3610</v>
      </c>
      <c r="M198" s="111">
        <v>3770</v>
      </c>
      <c r="N198" s="111">
        <v>3780</v>
      </c>
      <c r="O198" s="111">
        <v>4050</v>
      </c>
      <c r="P198" s="111">
        <v>3940</v>
      </c>
      <c r="Q198" s="111">
        <v>3910</v>
      </c>
      <c r="R198" s="111">
        <v>4120</v>
      </c>
      <c r="S198" s="111">
        <v>4260</v>
      </c>
      <c r="T198" s="111">
        <v>4330</v>
      </c>
      <c r="U198" s="111">
        <v>4630</v>
      </c>
      <c r="V198" s="111">
        <v>4890</v>
      </c>
      <c r="W198" s="111">
        <v>5190</v>
      </c>
      <c r="X198" s="111">
        <v>5750</v>
      </c>
      <c r="Y198" s="111">
        <v>6260</v>
      </c>
      <c r="Z198" s="111">
        <v>6470</v>
      </c>
      <c r="AA198" s="111">
        <v>5910</v>
      </c>
      <c r="AB198" s="111">
        <v>6780</v>
      </c>
      <c r="AC198" s="111">
        <v>7100</v>
      </c>
      <c r="AD198" s="111">
        <v>7620</v>
      </c>
      <c r="AE198" s="111">
        <v>9070</v>
      </c>
      <c r="AF198" s="111">
        <v>9220</v>
      </c>
      <c r="AG198" s="111">
        <v>9330</v>
      </c>
      <c r="AH198" s="111">
        <v>9500</v>
      </c>
      <c r="AI198" s="111">
        <v>9700</v>
      </c>
      <c r="AJ198" s="111">
        <v>9990</v>
      </c>
      <c r="AK198" s="111">
        <v>10230</v>
      </c>
      <c r="AL198" s="111">
        <v>10670</v>
      </c>
      <c r="AM198" s="111">
        <v>11050</v>
      </c>
      <c r="AN198" s="111">
        <v>11490</v>
      </c>
      <c r="AO198" s="111">
        <v>11890</v>
      </c>
      <c r="AP198" s="111">
        <v>12320</v>
      </c>
      <c r="AQ198" s="111">
        <v>13020</v>
      </c>
      <c r="AR198" s="111">
        <v>13390</v>
      </c>
      <c r="AS198" s="111">
        <v>13900</v>
      </c>
      <c r="AT198" s="111">
        <v>14500</v>
      </c>
      <c r="AU198" s="111">
        <v>14800</v>
      </c>
      <c r="AV198" s="111">
        <v>14820</v>
      </c>
      <c r="AW198" s="111">
        <v>14680</v>
      </c>
      <c r="AX198" s="111">
        <v>14660</v>
      </c>
      <c r="AY198" s="111">
        <v>14850</v>
      </c>
      <c r="AZ198" s="111">
        <v>15310</v>
      </c>
      <c r="BA198" s="111">
        <v>15800</v>
      </c>
      <c r="BB198" s="111">
        <v>16000</v>
      </c>
      <c r="BC198" s="111">
        <v>16480</v>
      </c>
      <c r="BD198" s="111">
        <v>16660</v>
      </c>
      <c r="BE198" s="111">
        <v>16370</v>
      </c>
      <c r="BF198" s="111">
        <v>15930</v>
      </c>
      <c r="BG198" s="111">
        <v>15620</v>
      </c>
      <c r="BH198" s="111">
        <v>15500</v>
      </c>
      <c r="BI198" s="111">
        <v>15740</v>
      </c>
      <c r="BJ198" s="111">
        <v>15720</v>
      </c>
      <c r="BK198" s="111">
        <v>16430</v>
      </c>
      <c r="BL198" s="111">
        <v>16970</v>
      </c>
      <c r="BM198" s="195">
        <v>17480</v>
      </c>
      <c r="BN198" s="195">
        <v>18070</v>
      </c>
      <c r="BO198" s="195">
        <v>18740</v>
      </c>
      <c r="BP198" s="195">
        <v>19190</v>
      </c>
      <c r="BQ198" s="195">
        <v>19570</v>
      </c>
    </row>
    <row r="199" spans="1:69">
      <c r="A199" s="105">
        <f>$A$106</f>
        <v>89</v>
      </c>
      <c r="B199" s="111">
        <v>1720</v>
      </c>
      <c r="C199" s="111">
        <v>1620</v>
      </c>
      <c r="D199" s="111">
        <v>1720</v>
      </c>
      <c r="E199" s="111">
        <v>2130</v>
      </c>
      <c r="F199" s="111">
        <v>2190</v>
      </c>
      <c r="G199" s="111">
        <v>2360</v>
      </c>
      <c r="H199" s="111">
        <v>2460</v>
      </c>
      <c r="I199" s="111">
        <v>2470</v>
      </c>
      <c r="J199" s="111">
        <v>2760</v>
      </c>
      <c r="K199" s="111">
        <v>2810</v>
      </c>
      <c r="L199" s="111">
        <v>3010</v>
      </c>
      <c r="M199" s="111">
        <v>3100</v>
      </c>
      <c r="N199" s="111">
        <v>3260</v>
      </c>
      <c r="O199" s="111">
        <v>3250</v>
      </c>
      <c r="P199" s="111">
        <v>3480</v>
      </c>
      <c r="Q199" s="111">
        <v>3410</v>
      </c>
      <c r="R199" s="111">
        <v>3390</v>
      </c>
      <c r="S199" s="111">
        <v>3570</v>
      </c>
      <c r="T199" s="111">
        <v>3700</v>
      </c>
      <c r="U199" s="111">
        <v>3760</v>
      </c>
      <c r="V199" s="111">
        <v>4030</v>
      </c>
      <c r="W199" s="111">
        <v>4260</v>
      </c>
      <c r="X199" s="111">
        <v>4520</v>
      </c>
      <c r="Y199" s="111">
        <v>5020</v>
      </c>
      <c r="Z199" s="111">
        <v>5470</v>
      </c>
      <c r="AA199" s="111">
        <v>5660</v>
      </c>
      <c r="AB199" s="111">
        <v>5170</v>
      </c>
      <c r="AC199" s="111">
        <v>5950</v>
      </c>
      <c r="AD199" s="111">
        <v>6230</v>
      </c>
      <c r="AE199" s="111">
        <v>6690</v>
      </c>
      <c r="AF199" s="111">
        <v>7970</v>
      </c>
      <c r="AG199" s="111">
        <v>8110</v>
      </c>
      <c r="AH199" s="111">
        <v>8220</v>
      </c>
      <c r="AI199" s="111">
        <v>8380</v>
      </c>
      <c r="AJ199" s="111">
        <v>8560</v>
      </c>
      <c r="AK199" s="111">
        <v>8830</v>
      </c>
      <c r="AL199" s="111">
        <v>9050</v>
      </c>
      <c r="AM199" s="111">
        <v>9440</v>
      </c>
      <c r="AN199" s="111">
        <v>9790</v>
      </c>
      <c r="AO199" s="111">
        <v>10190</v>
      </c>
      <c r="AP199" s="111">
        <v>10560</v>
      </c>
      <c r="AQ199" s="111">
        <v>10960</v>
      </c>
      <c r="AR199" s="111">
        <v>11580</v>
      </c>
      <c r="AS199" s="111">
        <v>11920</v>
      </c>
      <c r="AT199" s="111">
        <v>12390</v>
      </c>
      <c r="AU199" s="111">
        <v>12930</v>
      </c>
      <c r="AV199" s="111">
        <v>13220</v>
      </c>
      <c r="AW199" s="111">
        <v>13240</v>
      </c>
      <c r="AX199" s="111">
        <v>13140</v>
      </c>
      <c r="AY199" s="111">
        <v>13130</v>
      </c>
      <c r="AZ199" s="111">
        <v>13310</v>
      </c>
      <c r="BA199" s="111">
        <v>13730</v>
      </c>
      <c r="BB199" s="111">
        <v>14190</v>
      </c>
      <c r="BC199" s="111">
        <v>14380</v>
      </c>
      <c r="BD199" s="111">
        <v>14830</v>
      </c>
      <c r="BE199" s="111">
        <v>15000</v>
      </c>
      <c r="BF199" s="111">
        <v>14750</v>
      </c>
      <c r="BG199" s="111">
        <v>14360</v>
      </c>
      <c r="BH199" s="111">
        <v>14090</v>
      </c>
      <c r="BI199" s="111">
        <v>14000</v>
      </c>
      <c r="BJ199" s="111">
        <v>14230</v>
      </c>
      <c r="BK199" s="111">
        <v>14230</v>
      </c>
      <c r="BL199" s="111">
        <v>14880</v>
      </c>
      <c r="BM199" s="195">
        <v>15380</v>
      </c>
      <c r="BN199" s="195">
        <v>15860</v>
      </c>
      <c r="BO199" s="195">
        <v>16400</v>
      </c>
      <c r="BP199" s="195">
        <v>17030</v>
      </c>
      <c r="BQ199" s="195">
        <v>17450</v>
      </c>
    </row>
    <row r="200" spans="1:69">
      <c r="A200" s="105" t="str">
        <f>$A$107</f>
        <v>90 &amp; over</v>
      </c>
      <c r="B200" s="111">
        <v>5020</v>
      </c>
      <c r="C200" s="111">
        <v>5290</v>
      </c>
      <c r="D200" s="111">
        <v>5460</v>
      </c>
      <c r="E200" s="111">
        <v>5640</v>
      </c>
      <c r="F200" s="111">
        <v>6100</v>
      </c>
      <c r="G200" s="111">
        <v>6550</v>
      </c>
      <c r="H200" s="111">
        <v>7010</v>
      </c>
      <c r="I200" s="111">
        <v>7500</v>
      </c>
      <c r="J200" s="111">
        <v>8050</v>
      </c>
      <c r="K200" s="111">
        <v>8540</v>
      </c>
      <c r="L200" s="111">
        <v>9040</v>
      </c>
      <c r="M200" s="111">
        <v>9630</v>
      </c>
      <c r="N200" s="111">
        <v>10000</v>
      </c>
      <c r="O200" s="111">
        <v>10620</v>
      </c>
      <c r="P200" s="111">
        <v>11240</v>
      </c>
      <c r="Q200" s="111">
        <v>11800</v>
      </c>
      <c r="R200" s="111">
        <v>12200</v>
      </c>
      <c r="S200" s="111">
        <v>12490</v>
      </c>
      <c r="T200" s="111">
        <v>12880</v>
      </c>
      <c r="U200" s="111">
        <v>13300</v>
      </c>
      <c r="V200" s="111">
        <v>13670</v>
      </c>
      <c r="W200" s="111">
        <v>14230</v>
      </c>
      <c r="X200" s="111">
        <v>14860</v>
      </c>
      <c r="Y200" s="111">
        <v>15620</v>
      </c>
      <c r="Z200" s="111">
        <v>16660</v>
      </c>
      <c r="AA200" s="111">
        <v>17930</v>
      </c>
      <c r="AB200" s="111">
        <v>19100</v>
      </c>
      <c r="AC200" s="111">
        <v>19650</v>
      </c>
      <c r="AD200" s="111">
        <v>20760</v>
      </c>
      <c r="AE200" s="111">
        <v>21890</v>
      </c>
      <c r="AF200" s="111">
        <v>23210</v>
      </c>
      <c r="AG200" s="111">
        <v>25400</v>
      </c>
      <c r="AH200" s="111">
        <v>27330</v>
      </c>
      <c r="AI200" s="111">
        <v>29020</v>
      </c>
      <c r="AJ200" s="111">
        <v>30520</v>
      </c>
      <c r="AK200" s="111">
        <v>31880</v>
      </c>
      <c r="AL200" s="111">
        <v>33200</v>
      </c>
      <c r="AM200" s="111">
        <v>34460</v>
      </c>
      <c r="AN200" s="111">
        <v>35820</v>
      </c>
      <c r="AO200" s="111">
        <v>37210</v>
      </c>
      <c r="AP200" s="111">
        <v>38730</v>
      </c>
      <c r="AQ200" s="111">
        <v>40280</v>
      </c>
      <c r="AR200" s="111">
        <v>41880</v>
      </c>
      <c r="AS200" s="111">
        <v>43790</v>
      </c>
      <c r="AT200" s="111">
        <v>45660</v>
      </c>
      <c r="AU200" s="111">
        <v>47620</v>
      </c>
      <c r="AV200" s="111">
        <v>49730</v>
      </c>
      <c r="AW200" s="111">
        <v>51700</v>
      </c>
      <c r="AX200" s="111">
        <v>53370</v>
      </c>
      <c r="AY200" s="111">
        <v>54630</v>
      </c>
      <c r="AZ200" s="111">
        <v>55630</v>
      </c>
      <c r="BA200" s="111">
        <v>56600</v>
      </c>
      <c r="BB200" s="111">
        <v>57770</v>
      </c>
      <c r="BC200" s="111">
        <v>59150</v>
      </c>
      <c r="BD200" s="111">
        <v>60460</v>
      </c>
      <c r="BE200" s="111">
        <v>61990</v>
      </c>
      <c r="BF200" s="111">
        <v>63430</v>
      </c>
      <c r="BG200" s="111">
        <v>64420</v>
      </c>
      <c r="BH200" s="111">
        <v>64910</v>
      </c>
      <c r="BI200" s="111">
        <v>65060</v>
      </c>
      <c r="BJ200" s="111">
        <v>65100</v>
      </c>
      <c r="BK200" s="111">
        <v>65320</v>
      </c>
      <c r="BL200" s="111">
        <v>65510</v>
      </c>
      <c r="BM200" s="195">
        <v>66310</v>
      </c>
      <c r="BN200" s="195">
        <v>67470</v>
      </c>
      <c r="BO200" s="195">
        <v>68950</v>
      </c>
      <c r="BP200" s="195">
        <v>70730</v>
      </c>
      <c r="BQ200" s="195">
        <v>72850</v>
      </c>
    </row>
    <row r="201" spans="1:69">
      <c r="A201" s="71" t="s">
        <v>3</v>
      </c>
      <c r="B201" s="114">
        <f t="shared" ref="B201:AG201" si="29">SUM(B$110:B$200)</f>
        <v>2048380</v>
      </c>
      <c r="C201" s="114">
        <f t="shared" si="29"/>
        <v>2066490</v>
      </c>
      <c r="D201" s="114">
        <f t="shared" si="29"/>
        <v>2083420</v>
      </c>
      <c r="E201" s="114">
        <f t="shared" si="29"/>
        <v>2104650</v>
      </c>
      <c r="F201" s="114">
        <f t="shared" si="29"/>
        <v>2127750</v>
      </c>
      <c r="G201" s="114">
        <f t="shared" si="29"/>
        <v>2143560</v>
      </c>
      <c r="H201" s="114">
        <f t="shared" si="29"/>
        <v>2154980</v>
      </c>
      <c r="I201" s="114">
        <f t="shared" si="29"/>
        <v>2172160</v>
      </c>
      <c r="J201" s="114">
        <f t="shared" si="29"/>
        <v>2215460</v>
      </c>
      <c r="K201" s="114">
        <f t="shared" si="29"/>
        <v>2269810</v>
      </c>
      <c r="L201" s="114">
        <f t="shared" si="29"/>
        <v>2328220</v>
      </c>
      <c r="M201" s="114">
        <f t="shared" si="29"/>
        <v>2382440</v>
      </c>
      <c r="N201" s="114">
        <f t="shared" si="29"/>
        <v>2430150</v>
      </c>
      <c r="O201" s="114">
        <f t="shared" si="29"/>
        <v>2471100</v>
      </c>
      <c r="P201" s="114">
        <f t="shared" si="29"/>
        <v>2529590</v>
      </c>
      <c r="Q201" s="114">
        <f t="shared" si="29"/>
        <v>2546880</v>
      </c>
      <c r="R201" s="114">
        <f t="shared" si="29"/>
        <v>2569100</v>
      </c>
      <c r="S201" s="114">
        <f t="shared" si="29"/>
        <v>2593760</v>
      </c>
      <c r="T201" s="114">
        <f t="shared" si="29"/>
        <v>2618000</v>
      </c>
      <c r="U201" s="114">
        <f t="shared" si="29"/>
        <v>2641960</v>
      </c>
      <c r="V201" s="114">
        <f t="shared" si="29"/>
        <v>2665570</v>
      </c>
      <c r="W201" s="114">
        <f t="shared" si="29"/>
        <v>2688830</v>
      </c>
      <c r="X201" s="114">
        <f t="shared" si="29"/>
        <v>2711720</v>
      </c>
      <c r="Y201" s="114">
        <f t="shared" si="29"/>
        <v>2734180</v>
      </c>
      <c r="Z201" s="114">
        <f t="shared" si="29"/>
        <v>2756220</v>
      </c>
      <c r="AA201" s="114">
        <f t="shared" si="29"/>
        <v>2777860</v>
      </c>
      <c r="AB201" s="114">
        <f t="shared" si="29"/>
        <v>2799000</v>
      </c>
      <c r="AC201" s="114">
        <f t="shared" si="29"/>
        <v>2819730</v>
      </c>
      <c r="AD201" s="114">
        <f t="shared" si="29"/>
        <v>2840050</v>
      </c>
      <c r="AE201" s="114">
        <f t="shared" si="29"/>
        <v>2860070</v>
      </c>
      <c r="AF201" s="114">
        <f t="shared" si="29"/>
        <v>2879640</v>
      </c>
      <c r="AG201" s="114">
        <f t="shared" si="29"/>
        <v>2898910</v>
      </c>
      <c r="AH201" s="114">
        <f t="shared" ref="AH201:BQ201" si="30">SUM(AH$110:AH$200)</f>
        <v>2917820</v>
      </c>
      <c r="AI201" s="114">
        <f t="shared" si="30"/>
        <v>2936530</v>
      </c>
      <c r="AJ201" s="114">
        <f t="shared" si="30"/>
        <v>2954940</v>
      </c>
      <c r="AK201" s="114">
        <f t="shared" si="30"/>
        <v>2973080</v>
      </c>
      <c r="AL201" s="114">
        <f t="shared" si="30"/>
        <v>2990920</v>
      </c>
      <c r="AM201" s="114">
        <f t="shared" si="30"/>
        <v>3008410</v>
      </c>
      <c r="AN201" s="114">
        <f t="shared" si="30"/>
        <v>3025670</v>
      </c>
      <c r="AO201" s="114">
        <f t="shared" si="30"/>
        <v>3042540</v>
      </c>
      <c r="AP201" s="114">
        <f t="shared" si="30"/>
        <v>3059120</v>
      </c>
      <c r="AQ201" s="114">
        <f t="shared" si="30"/>
        <v>3075270</v>
      </c>
      <c r="AR201" s="114">
        <f t="shared" si="30"/>
        <v>3090980</v>
      </c>
      <c r="AS201" s="114">
        <f t="shared" si="30"/>
        <v>3106330</v>
      </c>
      <c r="AT201" s="114">
        <f t="shared" si="30"/>
        <v>3121300</v>
      </c>
      <c r="AU201" s="114">
        <f t="shared" si="30"/>
        <v>3135810</v>
      </c>
      <c r="AV201" s="114">
        <f t="shared" si="30"/>
        <v>3150060</v>
      </c>
      <c r="AW201" s="114">
        <f t="shared" si="30"/>
        <v>3163920</v>
      </c>
      <c r="AX201" s="114">
        <f t="shared" si="30"/>
        <v>3177410</v>
      </c>
      <c r="AY201" s="114">
        <f t="shared" si="30"/>
        <v>3190740</v>
      </c>
      <c r="AZ201" s="114">
        <f t="shared" si="30"/>
        <v>3203720</v>
      </c>
      <c r="BA201" s="114">
        <f t="shared" si="30"/>
        <v>3216580</v>
      </c>
      <c r="BB201" s="114">
        <f t="shared" si="30"/>
        <v>3229290</v>
      </c>
      <c r="BC201" s="114">
        <f t="shared" si="30"/>
        <v>3241900</v>
      </c>
      <c r="BD201" s="114">
        <f t="shared" si="30"/>
        <v>3254360</v>
      </c>
      <c r="BE201" s="114">
        <f t="shared" si="30"/>
        <v>3266790</v>
      </c>
      <c r="BF201" s="114">
        <f t="shared" si="30"/>
        <v>3279190</v>
      </c>
      <c r="BG201" s="114">
        <f t="shared" si="30"/>
        <v>3291380</v>
      </c>
      <c r="BH201" s="114">
        <f t="shared" si="30"/>
        <v>3303630</v>
      </c>
      <c r="BI201" s="114">
        <f t="shared" si="30"/>
        <v>3315840</v>
      </c>
      <c r="BJ201" s="114">
        <f t="shared" si="30"/>
        <v>3328020</v>
      </c>
      <c r="BK201" s="114">
        <f t="shared" si="30"/>
        <v>3340060</v>
      </c>
      <c r="BL201" s="114">
        <f t="shared" si="30"/>
        <v>3352000</v>
      </c>
      <c r="BM201" s="200">
        <f t="shared" si="30"/>
        <v>3363810</v>
      </c>
      <c r="BN201" s="200">
        <f t="shared" si="30"/>
        <v>3375450</v>
      </c>
      <c r="BO201" s="200">
        <f t="shared" si="30"/>
        <v>3386860</v>
      </c>
      <c r="BP201" s="200">
        <f t="shared" si="30"/>
        <v>3397990</v>
      </c>
      <c r="BQ201" s="200">
        <f t="shared" si="30"/>
        <v>3408820</v>
      </c>
    </row>
    <row r="202" spans="1:69" s="105" customFormat="1">
      <c r="A202" s="108" t="s">
        <v>1016</v>
      </c>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c r="AU202" s="114"/>
      <c r="AV202" s="114"/>
      <c r="AW202" s="114"/>
      <c r="AX202" s="114"/>
      <c r="AY202" s="114"/>
      <c r="AZ202" s="114"/>
      <c r="BA202" s="114"/>
      <c r="BB202" s="114"/>
      <c r="BC202" s="114"/>
      <c r="BD202" s="114"/>
      <c r="BE202" s="114"/>
      <c r="BF202" s="114"/>
      <c r="BG202" s="114"/>
      <c r="BH202" s="114"/>
      <c r="BI202" s="114"/>
      <c r="BJ202" s="114"/>
      <c r="BK202" s="114"/>
      <c r="BL202" s="114"/>
      <c r="BM202" s="200"/>
      <c r="BN202" s="200"/>
      <c r="BO202" s="200"/>
      <c r="BP202" s="200"/>
      <c r="BQ202" s="200"/>
    </row>
    <row r="203" spans="1:69" s="105" customFormat="1">
      <c r="A203" s="105">
        <f>$A$32</f>
        <v>15</v>
      </c>
      <c r="B203" s="114"/>
      <c r="C203" s="114"/>
      <c r="D203" s="114"/>
      <c r="E203" s="114"/>
      <c r="F203" s="114"/>
      <c r="G203" s="114"/>
      <c r="H203" s="114"/>
      <c r="I203" s="114"/>
      <c r="J203" s="114"/>
      <c r="K203" s="114"/>
      <c r="L203" s="114"/>
      <c r="M203" s="111">
        <f>M$32*M$339</f>
        <v>5972.0557851239673</v>
      </c>
      <c r="N203" s="195">
        <f t="shared" ref="N203:BQ203" si="31">N$32*N$339</f>
        <v>5827.724757952974</v>
      </c>
      <c r="O203" s="195">
        <f t="shared" si="31"/>
        <v>5849.7359512525391</v>
      </c>
      <c r="P203" s="195">
        <f t="shared" si="31"/>
        <v>5815.2476255088195</v>
      </c>
      <c r="Q203" s="195">
        <f t="shared" si="31"/>
        <v>5815.4620735342824</v>
      </c>
      <c r="R203" s="195">
        <f t="shared" si="31"/>
        <v>5989.3742058449807</v>
      </c>
      <c r="S203" s="195">
        <f t="shared" si="31"/>
        <v>6110.9730722154227</v>
      </c>
      <c r="T203" s="195">
        <f t="shared" si="31"/>
        <v>6014.1150990099004</v>
      </c>
      <c r="U203" s="195">
        <f t="shared" si="31"/>
        <v>6129.2168674698796</v>
      </c>
      <c r="V203" s="195">
        <f t="shared" si="31"/>
        <v>6044.5462878093495</v>
      </c>
      <c r="W203" s="195">
        <f t="shared" si="31"/>
        <v>5968.8868217054269</v>
      </c>
      <c r="X203" s="195">
        <f t="shared" si="31"/>
        <v>5891.3697769399942</v>
      </c>
      <c r="Y203" s="195">
        <f t="shared" si="31"/>
        <v>5647.2256393654898</v>
      </c>
      <c r="Z203" s="195">
        <f t="shared" si="31"/>
        <v>5606.4568462037632</v>
      </c>
      <c r="AA203" s="195">
        <f t="shared" si="31"/>
        <v>5502.9406037000981</v>
      </c>
      <c r="AB203" s="195">
        <f t="shared" si="31"/>
        <v>5503.9078989446753</v>
      </c>
      <c r="AC203" s="195">
        <f t="shared" si="31"/>
        <v>5328.354271356784</v>
      </c>
      <c r="AD203" s="195">
        <f t="shared" si="31"/>
        <v>5223.9227202472957</v>
      </c>
      <c r="AE203" s="195">
        <f t="shared" si="31"/>
        <v>5228.2001220256252</v>
      </c>
      <c r="AF203" s="195">
        <f t="shared" si="31"/>
        <v>5098.4606097192873</v>
      </c>
      <c r="AG203" s="195">
        <f t="shared" si="31"/>
        <v>5077.0143884892086</v>
      </c>
      <c r="AH203" s="195">
        <f t="shared" si="31"/>
        <v>5036.7761194029845</v>
      </c>
      <c r="AI203" s="195">
        <f t="shared" si="31"/>
        <v>5007.19904648391</v>
      </c>
      <c r="AJ203" s="195">
        <f t="shared" si="31"/>
        <v>5014.2984807864168</v>
      </c>
      <c r="AK203" s="195">
        <f t="shared" si="31"/>
        <v>5008.4153983885408</v>
      </c>
      <c r="AL203" s="195">
        <f t="shared" si="31"/>
        <v>4998.8140161725069</v>
      </c>
      <c r="AM203" s="195">
        <f t="shared" si="31"/>
        <v>4998.0776173285203</v>
      </c>
      <c r="AN203" s="195">
        <f t="shared" si="31"/>
        <v>4985.9564164648909</v>
      </c>
      <c r="AO203" s="195">
        <f t="shared" si="31"/>
        <v>4984.5460085313834</v>
      </c>
      <c r="AP203" s="195">
        <f t="shared" si="31"/>
        <v>4976.6032525314513</v>
      </c>
      <c r="AQ203" s="195">
        <f t="shared" si="31"/>
        <v>4978.1211372064272</v>
      </c>
      <c r="AR203" s="195">
        <f t="shared" si="31"/>
        <v>4969.9222395023326</v>
      </c>
      <c r="AS203" s="195">
        <f t="shared" si="31"/>
        <v>4978.0200187675946</v>
      </c>
      <c r="AT203" s="195">
        <f t="shared" si="31"/>
        <v>4982.9971724787938</v>
      </c>
      <c r="AU203" s="195">
        <f t="shared" si="31"/>
        <v>4996.2759924385628</v>
      </c>
      <c r="AV203" s="195">
        <f t="shared" si="31"/>
        <v>5013.1608832807578</v>
      </c>
      <c r="AW203" s="195">
        <f t="shared" si="31"/>
        <v>5036.8675078864353</v>
      </c>
      <c r="AX203" s="195">
        <f t="shared" si="31"/>
        <v>5064.2708661417319</v>
      </c>
      <c r="AY203" s="195">
        <f t="shared" si="31"/>
        <v>5088.4883720930229</v>
      </c>
      <c r="AZ203" s="195">
        <f t="shared" si="31"/>
        <v>5106.336571607646</v>
      </c>
      <c r="BA203" s="195">
        <f t="shared" si="31"/>
        <v>5119.4158075601381</v>
      </c>
      <c r="BB203" s="195">
        <f t="shared" si="31"/>
        <v>5139.4953271028044</v>
      </c>
      <c r="BC203" s="195">
        <f t="shared" si="31"/>
        <v>5144.6832298136651</v>
      </c>
      <c r="BD203" s="195">
        <f t="shared" si="31"/>
        <v>5155.2802725301954</v>
      </c>
      <c r="BE203" s="195">
        <f t="shared" si="31"/>
        <v>5151.0315009264978</v>
      </c>
      <c r="BF203" s="195">
        <f t="shared" si="31"/>
        <v>5143.6598890942705</v>
      </c>
      <c r="BG203" s="195">
        <f t="shared" si="31"/>
        <v>5131.5765212046717</v>
      </c>
      <c r="BH203" s="195">
        <f t="shared" si="31"/>
        <v>5127.8902177246246</v>
      </c>
      <c r="BI203" s="195">
        <f t="shared" si="31"/>
        <v>5111.0676047721017</v>
      </c>
      <c r="BJ203" s="195">
        <f t="shared" si="31"/>
        <v>5092.6945376869089</v>
      </c>
      <c r="BK203" s="195">
        <f t="shared" si="31"/>
        <v>5075.8952496954935</v>
      </c>
      <c r="BL203" s="195">
        <f t="shared" si="31"/>
        <v>5060.6836827711941</v>
      </c>
      <c r="BM203" s="195">
        <f t="shared" si="31"/>
        <v>5047.0124355474672</v>
      </c>
      <c r="BN203" s="195">
        <f t="shared" si="31"/>
        <v>5038.0163537250155</v>
      </c>
      <c r="BO203" s="195">
        <f t="shared" si="31"/>
        <v>5023.9848714069594</v>
      </c>
      <c r="BP203" s="195">
        <f t="shared" si="31"/>
        <v>5025.8482007862112</v>
      </c>
      <c r="BQ203" s="195">
        <f t="shared" si="31"/>
        <v>5022.6912609615965</v>
      </c>
    </row>
    <row r="204" spans="1:69" s="105" customFormat="1">
      <c r="A204" s="105">
        <f>$A$33</f>
        <v>16</v>
      </c>
      <c r="B204" s="114"/>
      <c r="C204" s="114"/>
      <c r="D204" s="114"/>
      <c r="E204" s="114"/>
      <c r="F204" s="114"/>
      <c r="G204" s="114"/>
      <c r="H204" s="114"/>
      <c r="I204" s="114"/>
      <c r="J204" s="114"/>
      <c r="K204" s="114"/>
      <c r="L204" s="114"/>
      <c r="M204" s="195">
        <f>M$33*M$340</f>
        <v>11208.974778905993</v>
      </c>
      <c r="N204" s="195">
        <f t="shared" ref="N204:BQ204" si="32">N$33*N$340</f>
        <v>10931.948404616429</v>
      </c>
      <c r="O204" s="195">
        <f t="shared" si="32"/>
        <v>10786.591606960083</v>
      </c>
      <c r="P204" s="195">
        <f t="shared" si="32"/>
        <v>11015.759197324414</v>
      </c>
      <c r="Q204" s="195">
        <f t="shared" si="32"/>
        <v>10876.590604026846</v>
      </c>
      <c r="R204" s="195">
        <f t="shared" si="32"/>
        <v>11039.635826771653</v>
      </c>
      <c r="S204" s="195">
        <f t="shared" si="32"/>
        <v>11511.221277935159</v>
      </c>
      <c r="T204" s="195">
        <f t="shared" si="32"/>
        <v>11942.547770700638</v>
      </c>
      <c r="U204" s="195">
        <f t="shared" si="32"/>
        <v>11859.135234590618</v>
      </c>
      <c r="V204" s="195">
        <f t="shared" si="32"/>
        <v>12197.906837862049</v>
      </c>
      <c r="W204" s="195">
        <f t="shared" si="32"/>
        <v>12144.342822531798</v>
      </c>
      <c r="X204" s="195">
        <f t="shared" si="32"/>
        <v>12093.915181315304</v>
      </c>
      <c r="Y204" s="195">
        <f t="shared" si="32"/>
        <v>12049.09090909091</v>
      </c>
      <c r="Z204" s="195">
        <f t="shared" si="32"/>
        <v>11630.865662071175</v>
      </c>
      <c r="AA204" s="195">
        <f t="shared" si="32"/>
        <v>11639.103182256509</v>
      </c>
      <c r="AB204" s="195">
        <f t="shared" si="32"/>
        <v>11502.713826366558</v>
      </c>
      <c r="AC204" s="195">
        <f t="shared" si="32"/>
        <v>11571.714195183777</v>
      </c>
      <c r="AD204" s="195">
        <f t="shared" si="32"/>
        <v>11275.873015873016</v>
      </c>
      <c r="AE204" s="195">
        <f t="shared" si="32"/>
        <v>11111.537990196079</v>
      </c>
      <c r="AF204" s="195">
        <f t="shared" si="32"/>
        <v>11160.538089480049</v>
      </c>
      <c r="AG204" s="195">
        <f t="shared" si="32"/>
        <v>10953.859964093357</v>
      </c>
      <c r="AH204" s="195">
        <f t="shared" si="32"/>
        <v>10933.973254086181</v>
      </c>
      <c r="AI204" s="195">
        <f t="shared" si="32"/>
        <v>10905.001479727729</v>
      </c>
      <c r="AJ204" s="195">
        <f t="shared" si="32"/>
        <v>10876.647962197283</v>
      </c>
      <c r="AK204" s="195">
        <f t="shared" si="32"/>
        <v>10905.611340815121</v>
      </c>
      <c r="AL204" s="195">
        <f t="shared" si="32"/>
        <v>10934.1775147929</v>
      </c>
      <c r="AM204" s="195">
        <f t="shared" si="32"/>
        <v>10943.977441377265</v>
      </c>
      <c r="AN204" s="195">
        <f t="shared" si="32"/>
        <v>10950.167014613779</v>
      </c>
      <c r="AO204" s="195">
        <f t="shared" si="32"/>
        <v>10956.688662267547</v>
      </c>
      <c r="AP204" s="195">
        <f t="shared" si="32"/>
        <v>10960.072463768116</v>
      </c>
      <c r="AQ204" s="195">
        <f t="shared" si="32"/>
        <v>10970.203709334144</v>
      </c>
      <c r="AR204" s="195">
        <f t="shared" si="32"/>
        <v>10980.330679730558</v>
      </c>
      <c r="AS204" s="195">
        <f t="shared" si="32"/>
        <v>10990.530209617755</v>
      </c>
      <c r="AT204" s="195">
        <f t="shared" si="32"/>
        <v>11017.117172969622</v>
      </c>
      <c r="AU204" s="195">
        <f t="shared" si="32"/>
        <v>11043.371731008718</v>
      </c>
      <c r="AV204" s="195">
        <f t="shared" si="32"/>
        <v>11086.137995629098</v>
      </c>
      <c r="AW204" s="195">
        <f t="shared" si="32"/>
        <v>11125.026570803375</v>
      </c>
      <c r="AX204" s="195">
        <f t="shared" si="32"/>
        <v>11173.487499999999</v>
      </c>
      <c r="AY204" s="195">
        <f t="shared" si="32"/>
        <v>11235.112359550561</v>
      </c>
      <c r="AZ204" s="195">
        <f t="shared" si="32"/>
        <v>11282.714819427149</v>
      </c>
      <c r="BA204" s="195">
        <f t="shared" si="32"/>
        <v>11333.524844720498</v>
      </c>
      <c r="BB204" s="195">
        <f t="shared" si="32"/>
        <v>11380.541795665635</v>
      </c>
      <c r="BC204" s="195">
        <f t="shared" si="32"/>
        <v>11407</v>
      </c>
      <c r="BD204" s="195">
        <f t="shared" si="32"/>
        <v>11426.538461538461</v>
      </c>
      <c r="BE204" s="195">
        <f t="shared" si="32"/>
        <v>11435.75329855784</v>
      </c>
      <c r="BF204" s="195">
        <f t="shared" si="32"/>
        <v>11438.089990817265</v>
      </c>
      <c r="BG204" s="195">
        <f t="shared" si="32"/>
        <v>11430.027480916029</v>
      </c>
      <c r="BH204" s="195">
        <f t="shared" si="32"/>
        <v>11411.559549192812</v>
      </c>
      <c r="BI204" s="195">
        <f t="shared" si="32"/>
        <v>11386.144029170466</v>
      </c>
      <c r="BJ204" s="195">
        <f t="shared" si="32"/>
        <v>11347.305244013338</v>
      </c>
      <c r="BK204" s="195">
        <f t="shared" si="32"/>
        <v>11318.390804597702</v>
      </c>
      <c r="BL204" s="195">
        <f t="shared" si="32"/>
        <v>11276.179843089922</v>
      </c>
      <c r="BM204" s="195">
        <f t="shared" si="32"/>
        <v>11254.066265060241</v>
      </c>
      <c r="BN204" s="195">
        <f t="shared" si="32"/>
        <v>11222.128683102826</v>
      </c>
      <c r="BO204" s="195">
        <f t="shared" si="32"/>
        <v>11200.486340438307</v>
      </c>
      <c r="BP204" s="195">
        <f t="shared" si="32"/>
        <v>11179.430284857572</v>
      </c>
      <c r="BQ204" s="195">
        <f t="shared" si="32"/>
        <v>11158.885226251125</v>
      </c>
    </row>
    <row r="205" spans="1:69" s="105" customFormat="1">
      <c r="A205" s="105">
        <f>$A$34</f>
        <v>17</v>
      </c>
      <c r="B205" s="114"/>
      <c r="C205" s="114"/>
      <c r="D205" s="114"/>
      <c r="E205" s="114"/>
      <c r="F205" s="114"/>
      <c r="G205" s="114"/>
      <c r="H205" s="114"/>
      <c r="I205" s="114"/>
      <c r="J205" s="114"/>
      <c r="K205" s="114"/>
      <c r="L205" s="114"/>
      <c r="M205" s="195">
        <f>M$34*M$341</f>
        <v>15167.855775366943</v>
      </c>
      <c r="N205" s="195">
        <f t="shared" ref="N205:BQ205" si="33">N$34*N$341</f>
        <v>15083.105229180117</v>
      </c>
      <c r="O205" s="195">
        <f t="shared" si="33"/>
        <v>14655.557415467023</v>
      </c>
      <c r="P205" s="195">
        <f t="shared" si="33"/>
        <v>14386.662175816773</v>
      </c>
      <c r="Q205" s="195">
        <f t="shared" si="33"/>
        <v>14483.95171957672</v>
      </c>
      <c r="R205" s="195">
        <f t="shared" si="33"/>
        <v>14304.031883095317</v>
      </c>
      <c r="S205" s="195">
        <f t="shared" si="33"/>
        <v>14504.546930821696</v>
      </c>
      <c r="T205" s="195">
        <f t="shared" si="33"/>
        <v>15128.079800498752</v>
      </c>
      <c r="U205" s="195">
        <f t="shared" si="33"/>
        <v>15637.292668269232</v>
      </c>
      <c r="V205" s="195">
        <f t="shared" si="33"/>
        <v>15481.773997569866</v>
      </c>
      <c r="W205" s="195">
        <f t="shared" si="33"/>
        <v>15877.502958579882</v>
      </c>
      <c r="X205" s="195">
        <f t="shared" si="33"/>
        <v>15771.017101710171</v>
      </c>
      <c r="Y205" s="195">
        <f t="shared" si="33"/>
        <v>15664.742770167428</v>
      </c>
      <c r="Z205" s="195">
        <f t="shared" si="33"/>
        <v>15564.976873265494</v>
      </c>
      <c r="AA205" s="195">
        <f t="shared" si="33"/>
        <v>15010.723809523808</v>
      </c>
      <c r="AB205" s="195">
        <f t="shared" si="33"/>
        <v>14985.563335455125</v>
      </c>
      <c r="AC205" s="195">
        <f t="shared" si="33"/>
        <v>14772.629735752946</v>
      </c>
      <c r="AD205" s="195">
        <f t="shared" si="33"/>
        <v>14838.613550815558</v>
      </c>
      <c r="AE205" s="195">
        <f t="shared" si="33"/>
        <v>14448.014796547473</v>
      </c>
      <c r="AF205" s="195">
        <f t="shared" si="33"/>
        <v>14228.166919575115</v>
      </c>
      <c r="AG205" s="195">
        <f t="shared" si="33"/>
        <v>14261.401617250674</v>
      </c>
      <c r="AH205" s="195">
        <f t="shared" si="33"/>
        <v>13983.193003261193</v>
      </c>
      <c r="AI205" s="195">
        <f t="shared" si="33"/>
        <v>13941.095406360424</v>
      </c>
      <c r="AJ205" s="195">
        <f t="shared" si="33"/>
        <v>13895.014662756599</v>
      </c>
      <c r="AK205" s="195">
        <f t="shared" si="33"/>
        <v>13845.31167690957</v>
      </c>
      <c r="AL205" s="195">
        <f t="shared" si="33"/>
        <v>13874.67369037167</v>
      </c>
      <c r="AM205" s="195">
        <f t="shared" si="33"/>
        <v>13896.569920844326</v>
      </c>
      <c r="AN205" s="195">
        <f t="shared" si="33"/>
        <v>13911.3</v>
      </c>
      <c r="AO205" s="195">
        <f t="shared" si="33"/>
        <v>13914.512411347518</v>
      </c>
      <c r="AP205" s="195">
        <f t="shared" si="33"/>
        <v>13910.977711738486</v>
      </c>
      <c r="AQ205" s="195">
        <f t="shared" si="33"/>
        <v>13915.36344600658</v>
      </c>
      <c r="AR205" s="195">
        <f t="shared" si="33"/>
        <v>13914.216867469881</v>
      </c>
      <c r="AS205" s="195">
        <f t="shared" si="33"/>
        <v>13921.589323627541</v>
      </c>
      <c r="AT205" s="195">
        <f t="shared" si="33"/>
        <v>13930.10989010989</v>
      </c>
      <c r="AU205" s="195">
        <f t="shared" si="33"/>
        <v>13958.419275629221</v>
      </c>
      <c r="AV205" s="195">
        <f t="shared" si="33"/>
        <v>13983.736128236746</v>
      </c>
      <c r="AW205" s="195">
        <f t="shared" si="33"/>
        <v>14030.293663060278</v>
      </c>
      <c r="AX205" s="195">
        <f t="shared" si="33"/>
        <v>14088.170844939646</v>
      </c>
      <c r="AY205" s="195">
        <f t="shared" si="33"/>
        <v>14153.073351903435</v>
      </c>
      <c r="AZ205" s="195">
        <f t="shared" si="33"/>
        <v>14220.642768850432</v>
      </c>
      <c r="BA205" s="195">
        <f t="shared" si="33"/>
        <v>14289.574468085108</v>
      </c>
      <c r="BB205" s="195">
        <f t="shared" si="33"/>
        <v>14341.027060270602</v>
      </c>
      <c r="BC205" s="195">
        <f t="shared" si="33"/>
        <v>14404.228764182766</v>
      </c>
      <c r="BD205" s="195">
        <f t="shared" si="33"/>
        <v>14439.834912870681</v>
      </c>
      <c r="BE205" s="195">
        <f t="shared" si="33"/>
        <v>14466.79366046937</v>
      </c>
      <c r="BF205" s="195">
        <f t="shared" si="33"/>
        <v>14480.863221884498</v>
      </c>
      <c r="BG205" s="195">
        <f t="shared" si="33"/>
        <v>14481.952106699</v>
      </c>
      <c r="BH205" s="195">
        <f t="shared" si="33"/>
        <v>14464.318113093439</v>
      </c>
      <c r="BI205" s="195">
        <f t="shared" si="33"/>
        <v>14433.746606334842</v>
      </c>
      <c r="BJ205" s="195">
        <f t="shared" si="33"/>
        <v>14408.931366646599</v>
      </c>
      <c r="BK205" s="195">
        <f t="shared" si="33"/>
        <v>14365.405405405407</v>
      </c>
      <c r="BL205" s="195">
        <f t="shared" si="33"/>
        <v>14317.603355302575</v>
      </c>
      <c r="BM205" s="195">
        <f t="shared" si="33"/>
        <v>14274.11659192825</v>
      </c>
      <c r="BN205" s="195">
        <f t="shared" si="33"/>
        <v>14234.95525059666</v>
      </c>
      <c r="BO205" s="195">
        <f t="shared" si="33"/>
        <v>14200.023823704587</v>
      </c>
      <c r="BP205" s="195">
        <f t="shared" si="33"/>
        <v>14168.177222717812</v>
      </c>
      <c r="BQ205" s="195">
        <f t="shared" si="33"/>
        <v>14149.18918918919</v>
      </c>
    </row>
    <row r="206" spans="1:69" s="105" customFormat="1">
      <c r="A206" s="105">
        <f>$A$35</f>
        <v>18</v>
      </c>
      <c r="B206" s="114"/>
      <c r="C206" s="114"/>
      <c r="D206" s="114"/>
      <c r="E206" s="114"/>
      <c r="F206" s="114"/>
      <c r="G206" s="114"/>
      <c r="H206" s="114"/>
      <c r="I206" s="114"/>
      <c r="J206" s="114"/>
      <c r="K206" s="114"/>
      <c r="L206" s="114"/>
      <c r="M206" s="195">
        <f>M$35*M$342</f>
        <v>17461.570221066322</v>
      </c>
      <c r="N206" s="195">
        <f t="shared" ref="N206:BQ206" si="34">N$35*N$342</f>
        <v>17858.978376684423</v>
      </c>
      <c r="O206" s="195">
        <f t="shared" si="34"/>
        <v>17764.366465544619</v>
      </c>
      <c r="P206" s="195">
        <f t="shared" si="34"/>
        <v>17289.178488947542</v>
      </c>
      <c r="Q206" s="195">
        <f t="shared" si="34"/>
        <v>16887.159015302728</v>
      </c>
      <c r="R206" s="195">
        <f t="shared" si="34"/>
        <v>17100.248853962017</v>
      </c>
      <c r="S206" s="195">
        <f t="shared" si="34"/>
        <v>16934.39000328839</v>
      </c>
      <c r="T206" s="195">
        <f t="shared" si="34"/>
        <v>17282.991315535543</v>
      </c>
      <c r="U206" s="195">
        <f t="shared" si="34"/>
        <v>18020.790611488574</v>
      </c>
      <c r="V206" s="195">
        <f t="shared" si="34"/>
        <v>18620.845489729087</v>
      </c>
      <c r="W206" s="195">
        <f t="shared" si="34"/>
        <v>18439.349984953355</v>
      </c>
      <c r="X206" s="195">
        <f t="shared" si="34"/>
        <v>18906.240469208209</v>
      </c>
      <c r="Y206" s="195">
        <f t="shared" si="34"/>
        <v>18789.735355337496</v>
      </c>
      <c r="Z206" s="195">
        <f t="shared" si="34"/>
        <v>18661.276018099546</v>
      </c>
      <c r="AA206" s="195">
        <f t="shared" si="34"/>
        <v>18545.167990226022</v>
      </c>
      <c r="AB206" s="195">
        <f t="shared" si="34"/>
        <v>17896.402515723272</v>
      </c>
      <c r="AC206" s="195">
        <f t="shared" si="34"/>
        <v>17870.324613930035</v>
      </c>
      <c r="AD206" s="195">
        <f t="shared" si="34"/>
        <v>17634.878587196468</v>
      </c>
      <c r="AE206" s="195">
        <f t="shared" si="34"/>
        <v>17712.392790553138</v>
      </c>
      <c r="AF206" s="195">
        <f t="shared" si="34"/>
        <v>17244.4213740458</v>
      </c>
      <c r="AG206" s="195">
        <f t="shared" si="34"/>
        <v>16982.802164762481</v>
      </c>
      <c r="AH206" s="195">
        <f t="shared" si="34"/>
        <v>17028.676165034136</v>
      </c>
      <c r="AI206" s="195">
        <f t="shared" si="34"/>
        <v>16715.315897737288</v>
      </c>
      <c r="AJ206" s="195">
        <f t="shared" si="34"/>
        <v>16662.845053983077</v>
      </c>
      <c r="AK206" s="195">
        <f t="shared" si="34"/>
        <v>16616.116279069767</v>
      </c>
      <c r="AL206" s="195">
        <f t="shared" si="34"/>
        <v>16555.828256454886</v>
      </c>
      <c r="AM206" s="195">
        <f t="shared" si="34"/>
        <v>16593.810904872389</v>
      </c>
      <c r="AN206" s="195">
        <f t="shared" si="34"/>
        <v>16616.653108657756</v>
      </c>
      <c r="AO206" s="195">
        <f t="shared" si="34"/>
        <v>16629.27717866511</v>
      </c>
      <c r="AP206" s="195">
        <f t="shared" si="34"/>
        <v>16641.961932650072</v>
      </c>
      <c r="AQ206" s="195">
        <f t="shared" si="34"/>
        <v>16644.756995581738</v>
      </c>
      <c r="AR206" s="195">
        <f t="shared" si="34"/>
        <v>16633.070539419085</v>
      </c>
      <c r="AS206" s="195">
        <f t="shared" si="34"/>
        <v>16650.805970149257</v>
      </c>
      <c r="AT206" s="195">
        <f t="shared" si="34"/>
        <v>16658.857829876768</v>
      </c>
      <c r="AU206" s="195">
        <f t="shared" si="34"/>
        <v>16676.406533575318</v>
      </c>
      <c r="AV206" s="195">
        <f t="shared" si="34"/>
        <v>16698.832116788322</v>
      </c>
      <c r="AW206" s="195">
        <f t="shared" si="34"/>
        <v>16736.041539401343</v>
      </c>
      <c r="AX206" s="195">
        <f t="shared" si="34"/>
        <v>16787.895865237366</v>
      </c>
      <c r="AY206" s="195">
        <f t="shared" si="34"/>
        <v>16854.489420423182</v>
      </c>
      <c r="AZ206" s="195">
        <f t="shared" si="34"/>
        <v>16925.702023298592</v>
      </c>
      <c r="BA206" s="195">
        <f t="shared" si="34"/>
        <v>17006.797305572567</v>
      </c>
      <c r="BB206" s="195">
        <f t="shared" si="34"/>
        <v>17087.513744654858</v>
      </c>
      <c r="BC206" s="195">
        <f t="shared" si="34"/>
        <v>17158.043875685558</v>
      </c>
      <c r="BD206" s="195">
        <f t="shared" si="34"/>
        <v>17223.292831105711</v>
      </c>
      <c r="BE206" s="195">
        <f t="shared" si="34"/>
        <v>17268.176862507571</v>
      </c>
      <c r="BF206" s="195">
        <f t="shared" si="34"/>
        <v>17297.789855072464</v>
      </c>
      <c r="BG206" s="195">
        <f t="shared" si="34"/>
        <v>17322.439024390245</v>
      </c>
      <c r="BH206" s="195">
        <f t="shared" si="34"/>
        <v>17316.59657554821</v>
      </c>
      <c r="BI206" s="195">
        <f t="shared" si="34"/>
        <v>17295.392450569201</v>
      </c>
      <c r="BJ206" s="195">
        <f t="shared" si="34"/>
        <v>17274.376681614347</v>
      </c>
      <c r="BK206" s="195">
        <f t="shared" si="34"/>
        <v>17232.910826125855</v>
      </c>
      <c r="BL206" s="195">
        <f t="shared" si="34"/>
        <v>17186.36120202321</v>
      </c>
      <c r="BM206" s="195">
        <f t="shared" si="34"/>
        <v>17139.815914489311</v>
      </c>
      <c r="BN206" s="195">
        <f t="shared" si="34"/>
        <v>17088.163507109002</v>
      </c>
      <c r="BO206" s="195">
        <f t="shared" si="34"/>
        <v>17031.66420336979</v>
      </c>
      <c r="BP206" s="195">
        <f t="shared" si="34"/>
        <v>16990.41015048687</v>
      </c>
      <c r="BQ206" s="195">
        <f t="shared" si="34"/>
        <v>16959.24572775486</v>
      </c>
    </row>
    <row r="207" spans="1:69" s="105" customFormat="1">
      <c r="A207" s="105">
        <f>$A$36</f>
        <v>19</v>
      </c>
      <c r="B207" s="114"/>
      <c r="C207" s="114"/>
      <c r="D207" s="114"/>
      <c r="E207" s="114"/>
      <c r="F207" s="114"/>
      <c r="G207" s="114"/>
      <c r="H207" s="114"/>
      <c r="I207" s="114"/>
      <c r="J207" s="114"/>
      <c r="K207" s="114"/>
      <c r="L207" s="114"/>
      <c r="M207" s="195">
        <f>M$36*M$343</f>
        <v>19724.507042253521</v>
      </c>
      <c r="N207" s="195">
        <f t="shared" ref="N207:BQ207" si="35">N$36*N$343</f>
        <v>19345.419847328241</v>
      </c>
      <c r="O207" s="195">
        <f t="shared" si="35"/>
        <v>19843.545706371191</v>
      </c>
      <c r="P207" s="195">
        <f t="shared" si="35"/>
        <v>19738.510638297874</v>
      </c>
      <c r="Q207" s="195">
        <f t="shared" si="35"/>
        <v>19143.117052494294</v>
      </c>
      <c r="R207" s="195">
        <f t="shared" si="35"/>
        <v>18862.170900692839</v>
      </c>
      <c r="S207" s="195">
        <f t="shared" si="35"/>
        <v>19186.087662337664</v>
      </c>
      <c r="T207" s="195">
        <f t="shared" si="35"/>
        <v>19187.587218780569</v>
      </c>
      <c r="U207" s="195">
        <f t="shared" si="35"/>
        <v>19603.668261562998</v>
      </c>
      <c r="V207" s="195">
        <f t="shared" si="35"/>
        <v>20463.392583512104</v>
      </c>
      <c r="W207" s="195">
        <f t="shared" si="35"/>
        <v>21152.062647754137</v>
      </c>
      <c r="X207" s="195">
        <f t="shared" si="35"/>
        <v>20988.548387096776</v>
      </c>
      <c r="Y207" s="195">
        <f t="shared" si="35"/>
        <v>21528.626309662399</v>
      </c>
      <c r="Z207" s="195">
        <f t="shared" si="35"/>
        <v>21422.992916174735</v>
      </c>
      <c r="AA207" s="195">
        <f t="shared" si="35"/>
        <v>21291.828793774319</v>
      </c>
      <c r="AB207" s="195">
        <f t="shared" si="35"/>
        <v>21193.322218854199</v>
      </c>
      <c r="AC207" s="195">
        <f t="shared" si="35"/>
        <v>20476.834061135374</v>
      </c>
      <c r="AD207" s="195">
        <f t="shared" si="35"/>
        <v>20476.282051282051</v>
      </c>
      <c r="AE207" s="195">
        <f t="shared" si="35"/>
        <v>20222.083203002818</v>
      </c>
      <c r="AF207" s="195">
        <f t="shared" si="35"/>
        <v>20330.952821461608</v>
      </c>
      <c r="AG207" s="195">
        <f t="shared" si="35"/>
        <v>19816.090909090912</v>
      </c>
      <c r="AH207" s="195">
        <f t="shared" si="35"/>
        <v>19536.651745747538</v>
      </c>
      <c r="AI207" s="195">
        <f t="shared" si="35"/>
        <v>19597.637702503682</v>
      </c>
      <c r="AJ207" s="195">
        <f t="shared" si="35"/>
        <v>19244.024496937884</v>
      </c>
      <c r="AK207" s="195">
        <f t="shared" si="35"/>
        <v>19207.462340672071</v>
      </c>
      <c r="AL207" s="195">
        <f t="shared" si="35"/>
        <v>19157.986151182919</v>
      </c>
      <c r="AM207" s="195">
        <f t="shared" si="35"/>
        <v>19097.725309530666</v>
      </c>
      <c r="AN207" s="195">
        <f t="shared" si="35"/>
        <v>19152.073135617622</v>
      </c>
      <c r="AO207" s="195">
        <f t="shared" si="35"/>
        <v>19183.991923853475</v>
      </c>
      <c r="AP207" s="195">
        <f t="shared" si="35"/>
        <v>19197.418981481482</v>
      </c>
      <c r="AQ207" s="195">
        <f t="shared" si="35"/>
        <v>19213.534883720931</v>
      </c>
      <c r="AR207" s="195">
        <f t="shared" si="35"/>
        <v>19215.434083601285</v>
      </c>
      <c r="AS207" s="195">
        <f t="shared" si="35"/>
        <v>19230.188290673726</v>
      </c>
      <c r="AT207" s="195">
        <f t="shared" si="35"/>
        <v>19234.967417061613</v>
      </c>
      <c r="AU207" s="195">
        <f t="shared" si="35"/>
        <v>19251.210855949896</v>
      </c>
      <c r="AV207" s="195">
        <f t="shared" si="35"/>
        <v>19265.780312124851</v>
      </c>
      <c r="AW207" s="195">
        <f t="shared" si="35"/>
        <v>19300.2414001207</v>
      </c>
      <c r="AX207" s="195">
        <f t="shared" si="35"/>
        <v>19347.381818181817</v>
      </c>
      <c r="AY207" s="195">
        <f t="shared" si="35"/>
        <v>19402.792464296566</v>
      </c>
      <c r="AZ207" s="195">
        <f t="shared" si="35"/>
        <v>19486.848189838758</v>
      </c>
      <c r="BA207" s="195">
        <f t="shared" si="35"/>
        <v>19567.554744525547</v>
      </c>
      <c r="BB207" s="195">
        <f t="shared" si="35"/>
        <v>19667.095990279464</v>
      </c>
      <c r="BC207" s="195">
        <f t="shared" si="35"/>
        <v>19759.078508638981</v>
      </c>
      <c r="BD207" s="195">
        <f t="shared" si="35"/>
        <v>19837.889963724305</v>
      </c>
      <c r="BE207" s="195">
        <f t="shared" si="35"/>
        <v>19899.144062688367</v>
      </c>
      <c r="BF207" s="195">
        <f t="shared" si="35"/>
        <v>19953.455528846152</v>
      </c>
      <c r="BG207" s="195">
        <f t="shared" si="35"/>
        <v>20002.205573868745</v>
      </c>
      <c r="BH207" s="195">
        <f t="shared" si="35"/>
        <v>20011.487899611595</v>
      </c>
      <c r="BI207" s="195">
        <f t="shared" si="35"/>
        <v>20015.409836065573</v>
      </c>
      <c r="BJ207" s="195">
        <f t="shared" si="35"/>
        <v>20001.98037466548</v>
      </c>
      <c r="BK207" s="195">
        <f t="shared" si="35"/>
        <v>19960.937407297537</v>
      </c>
      <c r="BL207" s="195">
        <f t="shared" si="35"/>
        <v>19924.37999408109</v>
      </c>
      <c r="BM207" s="195">
        <f t="shared" si="35"/>
        <v>19860.30115146147</v>
      </c>
      <c r="BN207" s="195">
        <f t="shared" si="35"/>
        <v>19802.121390689452</v>
      </c>
      <c r="BO207" s="195">
        <f t="shared" si="35"/>
        <v>19748.192239858905</v>
      </c>
      <c r="BP207" s="195">
        <f t="shared" si="35"/>
        <v>19701.555164319252</v>
      </c>
      <c r="BQ207" s="195">
        <f t="shared" si="35"/>
        <v>19639.156661786237</v>
      </c>
    </row>
    <row r="208" spans="1:69" s="105" customFormat="1">
      <c r="A208" s="105">
        <f>$A$37</f>
        <v>20</v>
      </c>
      <c r="B208" s="114"/>
      <c r="C208" s="114"/>
      <c r="D208" s="114"/>
      <c r="E208" s="114"/>
      <c r="F208" s="114"/>
      <c r="G208" s="114"/>
      <c r="H208" s="114"/>
      <c r="I208" s="114"/>
      <c r="J208" s="114"/>
      <c r="K208" s="114"/>
      <c r="L208" s="114"/>
      <c r="M208" s="195">
        <f>M$37*M$344</f>
        <v>21293.769649334943</v>
      </c>
      <c r="N208" s="195">
        <f t="shared" ref="N208:BQ208" si="36">N$37*N$344</f>
        <v>21230.076687116565</v>
      </c>
      <c r="O208" s="195">
        <f t="shared" si="36"/>
        <v>20754.856070087611</v>
      </c>
      <c r="P208" s="195">
        <f t="shared" si="36"/>
        <v>21432.243843113407</v>
      </c>
      <c r="Q208" s="195">
        <f t="shared" si="36"/>
        <v>21161.259305210919</v>
      </c>
      <c r="R208" s="195">
        <f t="shared" si="36"/>
        <v>20672.208171206225</v>
      </c>
      <c r="S208" s="195">
        <f t="shared" si="36"/>
        <v>20476.863517060367</v>
      </c>
      <c r="T208" s="195">
        <f t="shared" si="36"/>
        <v>20958.468992248061</v>
      </c>
      <c r="U208" s="195">
        <f t="shared" si="36"/>
        <v>21003.542004541032</v>
      </c>
      <c r="V208" s="195">
        <f t="shared" si="36"/>
        <v>21486.537607108854</v>
      </c>
      <c r="W208" s="195">
        <f t="shared" si="36"/>
        <v>22447.536585365855</v>
      </c>
      <c r="X208" s="195">
        <f t="shared" si="36"/>
        <v>23237.165539547193</v>
      </c>
      <c r="Y208" s="195">
        <f t="shared" si="36"/>
        <v>23088.549777117387</v>
      </c>
      <c r="Z208" s="195">
        <f t="shared" si="36"/>
        <v>23720.254924681343</v>
      </c>
      <c r="AA208" s="195">
        <f t="shared" si="36"/>
        <v>23641.004405286345</v>
      </c>
      <c r="AB208" s="195">
        <f t="shared" si="36"/>
        <v>23537.882037533513</v>
      </c>
      <c r="AC208" s="195">
        <f t="shared" si="36"/>
        <v>23441.272617611579</v>
      </c>
      <c r="AD208" s="195">
        <f t="shared" si="36"/>
        <v>22692.96089385475</v>
      </c>
      <c r="AE208" s="195">
        <f t="shared" si="36"/>
        <v>22715.272161741836</v>
      </c>
      <c r="AF208" s="195">
        <f t="shared" si="36"/>
        <v>22451.45301804605</v>
      </c>
      <c r="AG208" s="195">
        <f t="shared" si="36"/>
        <v>22582.300613496929</v>
      </c>
      <c r="AH208" s="195">
        <f t="shared" si="36"/>
        <v>22038.468495628578</v>
      </c>
      <c r="AI208" s="195">
        <f t="shared" si="36"/>
        <v>21751.157957244657</v>
      </c>
      <c r="AJ208" s="195">
        <f t="shared" si="36"/>
        <v>21825.131887456035</v>
      </c>
      <c r="AK208" s="195">
        <f t="shared" si="36"/>
        <v>21458.479396401624</v>
      </c>
      <c r="AL208" s="195">
        <f t="shared" si="36"/>
        <v>21425.742288844045</v>
      </c>
      <c r="AM208" s="195">
        <f t="shared" si="36"/>
        <v>21374.849267872523</v>
      </c>
      <c r="AN208" s="195">
        <f t="shared" si="36"/>
        <v>21319.071633237822</v>
      </c>
      <c r="AO208" s="195">
        <f t="shared" si="36"/>
        <v>21386.269340974213</v>
      </c>
      <c r="AP208" s="195">
        <f t="shared" si="36"/>
        <v>21435.866819747418</v>
      </c>
      <c r="AQ208" s="195">
        <f t="shared" si="36"/>
        <v>21458.508494097325</v>
      </c>
      <c r="AR208" s="195">
        <f t="shared" si="36"/>
        <v>21476.566387040788</v>
      </c>
      <c r="AS208" s="195">
        <f t="shared" si="36"/>
        <v>21490.724258289705</v>
      </c>
      <c r="AT208" s="195">
        <f t="shared" si="36"/>
        <v>21500.620608899299</v>
      </c>
      <c r="AU208" s="195">
        <f t="shared" si="36"/>
        <v>21510.3330386089</v>
      </c>
      <c r="AV208" s="195">
        <f t="shared" si="36"/>
        <v>21532.771513353116</v>
      </c>
      <c r="AW208" s="195">
        <f t="shared" si="36"/>
        <v>21562.448492087191</v>
      </c>
      <c r="AX208" s="195">
        <f t="shared" si="36"/>
        <v>21602.044431101771</v>
      </c>
      <c r="AY208" s="195">
        <f t="shared" si="36"/>
        <v>21652.511305396441</v>
      </c>
      <c r="AZ208" s="195">
        <f t="shared" si="36"/>
        <v>21726.52962515115</v>
      </c>
      <c r="BA208" s="195">
        <f t="shared" si="36"/>
        <v>21804.91525423729</v>
      </c>
      <c r="BB208" s="195">
        <f t="shared" si="36"/>
        <v>21904.417549167927</v>
      </c>
      <c r="BC208" s="195">
        <f t="shared" si="36"/>
        <v>22000.797824116045</v>
      </c>
      <c r="BD208" s="195">
        <f t="shared" si="36"/>
        <v>22101.811878203196</v>
      </c>
      <c r="BE208" s="195">
        <f t="shared" si="36"/>
        <v>22200.514285714286</v>
      </c>
      <c r="BF208" s="195">
        <f t="shared" si="36"/>
        <v>22273.106446776612</v>
      </c>
      <c r="BG208" s="195">
        <f t="shared" si="36"/>
        <v>22332.929745889389</v>
      </c>
      <c r="BH208" s="195">
        <f t="shared" si="36"/>
        <v>22367.228017883754</v>
      </c>
      <c r="BI208" s="195">
        <f t="shared" si="36"/>
        <v>22389.048751486323</v>
      </c>
      <c r="BJ208" s="195">
        <f t="shared" si="36"/>
        <v>22398.351126927639</v>
      </c>
      <c r="BK208" s="195">
        <f t="shared" si="36"/>
        <v>22371.458148476784</v>
      </c>
      <c r="BL208" s="195">
        <f t="shared" si="36"/>
        <v>22338.657024793389</v>
      </c>
      <c r="BM208" s="195">
        <f t="shared" si="36"/>
        <v>22292.862190812721</v>
      </c>
      <c r="BN208" s="195">
        <f t="shared" si="36"/>
        <v>22234.309635722679</v>
      </c>
      <c r="BO208" s="195">
        <f t="shared" si="36"/>
        <v>22175.883905013194</v>
      </c>
      <c r="BP208" s="195">
        <f t="shared" si="36"/>
        <v>22100.80725358292</v>
      </c>
      <c r="BQ208" s="195">
        <f t="shared" si="36"/>
        <v>22042.355516637479</v>
      </c>
    </row>
    <row r="209" spans="1:69" s="105" customFormat="1">
      <c r="A209" s="105">
        <f>$A$38</f>
        <v>21</v>
      </c>
      <c r="B209" s="114"/>
      <c r="C209" s="114"/>
      <c r="D209" s="114"/>
      <c r="E209" s="114"/>
      <c r="F209" s="114"/>
      <c r="G209" s="114"/>
      <c r="H209" s="114"/>
      <c r="I209" s="114"/>
      <c r="J209" s="114"/>
      <c r="K209" s="114"/>
      <c r="L209" s="114"/>
      <c r="M209" s="195">
        <f>M$38*M$345</f>
        <v>22377.589852008459</v>
      </c>
      <c r="N209" s="195">
        <f t="shared" ref="N209:BQ209" si="37">N$38*N$345</f>
        <v>22289.276139410187</v>
      </c>
      <c r="O209" s="195">
        <f t="shared" si="37"/>
        <v>22248.109256449166</v>
      </c>
      <c r="P209" s="195">
        <f t="shared" si="37"/>
        <v>21969.279279279279</v>
      </c>
      <c r="Q209" s="195">
        <f t="shared" si="37"/>
        <v>22415.325856320094</v>
      </c>
      <c r="R209" s="195">
        <f t="shared" si="37"/>
        <v>22246.808444582428</v>
      </c>
      <c r="S209" s="195">
        <f t="shared" si="37"/>
        <v>21828.295454545456</v>
      </c>
      <c r="T209" s="195">
        <f t="shared" si="37"/>
        <v>21574.827586206899</v>
      </c>
      <c r="U209" s="195">
        <f t="shared" si="37"/>
        <v>22133.307468477207</v>
      </c>
      <c r="V209" s="195">
        <f t="shared" si="37"/>
        <v>22219.870129870127</v>
      </c>
      <c r="W209" s="195">
        <f t="shared" si="37"/>
        <v>22769.371029224902</v>
      </c>
      <c r="X209" s="195">
        <f t="shared" si="37"/>
        <v>23846.404151404149</v>
      </c>
      <c r="Y209" s="195">
        <f t="shared" si="37"/>
        <v>24724.462761259936</v>
      </c>
      <c r="Z209" s="195">
        <f t="shared" si="37"/>
        <v>24602.17792323713</v>
      </c>
      <c r="AA209" s="195">
        <f t="shared" si="37"/>
        <v>25298.463322702231</v>
      </c>
      <c r="AB209" s="195">
        <f t="shared" si="37"/>
        <v>25237.660199882423</v>
      </c>
      <c r="AC209" s="195">
        <f t="shared" si="37"/>
        <v>25163.500298151463</v>
      </c>
      <c r="AD209" s="195">
        <f t="shared" si="37"/>
        <v>25101.594202898552</v>
      </c>
      <c r="AE209" s="195">
        <f t="shared" si="37"/>
        <v>24319.602360981673</v>
      </c>
      <c r="AF209" s="195">
        <f t="shared" si="37"/>
        <v>24348.281444582815</v>
      </c>
      <c r="AG209" s="195">
        <f t="shared" si="37"/>
        <v>24096.925233644859</v>
      </c>
      <c r="AH209" s="195">
        <f t="shared" si="37"/>
        <v>24257.712618974514</v>
      </c>
      <c r="AI209" s="195">
        <f t="shared" si="37"/>
        <v>23687.773083886543</v>
      </c>
      <c r="AJ209" s="195">
        <f t="shared" si="37"/>
        <v>23395.682020802378</v>
      </c>
      <c r="AK209" s="195">
        <f t="shared" si="37"/>
        <v>23502.382629107982</v>
      </c>
      <c r="AL209" s="195">
        <f t="shared" si="37"/>
        <v>23097.507987220448</v>
      </c>
      <c r="AM209" s="195">
        <f t="shared" si="37"/>
        <v>23078.038084246971</v>
      </c>
      <c r="AN209" s="195">
        <f t="shared" si="37"/>
        <v>23039.873563218393</v>
      </c>
      <c r="AO209" s="195">
        <f t="shared" si="37"/>
        <v>22983.613421279035</v>
      </c>
      <c r="AP209" s="195">
        <f t="shared" si="37"/>
        <v>23066.412388872955</v>
      </c>
      <c r="AQ209" s="195">
        <f t="shared" si="37"/>
        <v>23122.958919850618</v>
      </c>
      <c r="AR209" s="195">
        <f t="shared" si="37"/>
        <v>23163.170028818444</v>
      </c>
      <c r="AS209" s="195">
        <f t="shared" si="37"/>
        <v>23184.296467863347</v>
      </c>
      <c r="AT209" s="195">
        <f t="shared" si="37"/>
        <v>23196.331877729259</v>
      </c>
      <c r="AU209" s="195">
        <f t="shared" si="37"/>
        <v>23211.895692938764</v>
      </c>
      <c r="AV209" s="195">
        <f t="shared" si="37"/>
        <v>23231.306784660766</v>
      </c>
      <c r="AW209" s="195">
        <f t="shared" si="37"/>
        <v>23250.697950697951</v>
      </c>
      <c r="AX209" s="195">
        <f t="shared" si="37"/>
        <v>23290.122534369399</v>
      </c>
      <c r="AY209" s="195">
        <f t="shared" si="37"/>
        <v>23325.649038461539</v>
      </c>
      <c r="AZ209" s="195">
        <f t="shared" si="37"/>
        <v>23394.477972238987</v>
      </c>
      <c r="BA209" s="195">
        <f t="shared" si="37"/>
        <v>23462.269288956126</v>
      </c>
      <c r="BB209" s="195">
        <f t="shared" si="37"/>
        <v>23559.806119357771</v>
      </c>
      <c r="BC209" s="195">
        <f t="shared" si="37"/>
        <v>23656.153846153844</v>
      </c>
      <c r="BD209" s="195">
        <f t="shared" si="37"/>
        <v>23769.041137326072</v>
      </c>
      <c r="BE209" s="195">
        <f t="shared" si="37"/>
        <v>23881.21340175068</v>
      </c>
      <c r="BF209" s="195">
        <f t="shared" si="37"/>
        <v>23982.51655629139</v>
      </c>
      <c r="BG209" s="195">
        <f t="shared" si="37"/>
        <v>24066.362545018004</v>
      </c>
      <c r="BH209" s="195">
        <f t="shared" si="37"/>
        <v>24129.509275882705</v>
      </c>
      <c r="BI209" s="195">
        <f t="shared" si="37"/>
        <v>24178.854415274462</v>
      </c>
      <c r="BJ209" s="195">
        <f t="shared" si="37"/>
        <v>24197.360904492711</v>
      </c>
      <c r="BK209" s="195">
        <f t="shared" si="37"/>
        <v>24202.359750667856</v>
      </c>
      <c r="BL209" s="195">
        <f t="shared" si="37"/>
        <v>24169.094138543514</v>
      </c>
      <c r="BM209" s="195">
        <f t="shared" si="37"/>
        <v>24139.816838995568</v>
      </c>
      <c r="BN209" s="195">
        <f t="shared" si="37"/>
        <v>24079.251399941055</v>
      </c>
      <c r="BO209" s="195">
        <f t="shared" si="37"/>
        <v>24011.837694795646</v>
      </c>
      <c r="BP209" s="195">
        <f t="shared" si="37"/>
        <v>23954.788732394365</v>
      </c>
      <c r="BQ209" s="195">
        <f t="shared" si="37"/>
        <v>23880.494730679158</v>
      </c>
    </row>
    <row r="210" spans="1:69" s="105" customFormat="1">
      <c r="A210" s="105">
        <f>$A$39</f>
        <v>22</v>
      </c>
      <c r="B210" s="114"/>
      <c r="C210" s="114"/>
      <c r="D210" s="114"/>
      <c r="E210" s="114"/>
      <c r="F210" s="114"/>
      <c r="G210" s="114"/>
      <c r="H210" s="114"/>
      <c r="I210" s="114"/>
      <c r="J210" s="114"/>
      <c r="K210" s="114"/>
      <c r="L210" s="114"/>
      <c r="M210" s="195">
        <f>M$39*M$346</f>
        <v>23566.954193932183</v>
      </c>
      <c r="N210" s="195">
        <f t="shared" ref="N210:BQ210" si="38">N$39*N$346</f>
        <v>23392.989874925552</v>
      </c>
      <c r="O210" s="195">
        <f t="shared" si="38"/>
        <v>23395.435745937961</v>
      </c>
      <c r="P210" s="195">
        <f t="shared" si="38"/>
        <v>23545.658093797276</v>
      </c>
      <c r="Q210" s="195">
        <f t="shared" si="38"/>
        <v>22892.594207412021</v>
      </c>
      <c r="R210" s="195">
        <f t="shared" si="38"/>
        <v>23441.885696821515</v>
      </c>
      <c r="S210" s="195">
        <f t="shared" si="38"/>
        <v>23312.273011897309</v>
      </c>
      <c r="T210" s="195">
        <f t="shared" si="38"/>
        <v>22638.899803536347</v>
      </c>
      <c r="U210" s="195">
        <f t="shared" si="38"/>
        <v>22406.626905235255</v>
      </c>
      <c r="V210" s="195">
        <f t="shared" si="38"/>
        <v>23017.005870841487</v>
      </c>
      <c r="W210" s="195">
        <f t="shared" si="38"/>
        <v>23141.17589256469</v>
      </c>
      <c r="X210" s="195">
        <f t="shared" si="38"/>
        <v>23735.988465235499</v>
      </c>
      <c r="Y210" s="195">
        <f t="shared" si="38"/>
        <v>24868.48</v>
      </c>
      <c r="Z210" s="195">
        <f t="shared" si="38"/>
        <v>25827.706911895581</v>
      </c>
      <c r="AA210" s="195">
        <f t="shared" si="38"/>
        <v>25716.845577211396</v>
      </c>
      <c r="AB210" s="195">
        <f t="shared" si="38"/>
        <v>26484.441846873175</v>
      </c>
      <c r="AC210" s="195">
        <f t="shared" si="38"/>
        <v>26421.81925925926</v>
      </c>
      <c r="AD210" s="195">
        <f t="shared" si="38"/>
        <v>26351.971153846156</v>
      </c>
      <c r="AE210" s="195">
        <f t="shared" si="38"/>
        <v>26297.011564211807</v>
      </c>
      <c r="AF210" s="195">
        <f t="shared" si="38"/>
        <v>25485.502662073286</v>
      </c>
      <c r="AG210" s="195">
        <f t="shared" si="38"/>
        <v>25542.204081632652</v>
      </c>
      <c r="AH210" s="195">
        <f t="shared" si="38"/>
        <v>25287.123115577891</v>
      </c>
      <c r="AI210" s="195">
        <f t="shared" si="38"/>
        <v>25451.448467966573</v>
      </c>
      <c r="AJ210" s="195">
        <f t="shared" si="38"/>
        <v>24855.848540145987</v>
      </c>
      <c r="AK210" s="195">
        <f t="shared" si="38"/>
        <v>24556.211440551062</v>
      </c>
      <c r="AL210" s="195">
        <f t="shared" si="38"/>
        <v>24671.502069781192</v>
      </c>
      <c r="AM210" s="195">
        <f t="shared" si="38"/>
        <v>24273.073770491803</v>
      </c>
      <c r="AN210" s="195">
        <f t="shared" si="38"/>
        <v>24238.441860465115</v>
      </c>
      <c r="AO210" s="195">
        <f t="shared" si="38"/>
        <v>24206.585577758469</v>
      </c>
      <c r="AP210" s="195">
        <f t="shared" si="38"/>
        <v>24163.76878612717</v>
      </c>
      <c r="AQ210" s="195">
        <f t="shared" si="38"/>
        <v>24237.260907252239</v>
      </c>
      <c r="AR210" s="195">
        <f t="shared" si="38"/>
        <v>24299.531114327063</v>
      </c>
      <c r="AS210" s="195">
        <f t="shared" si="38"/>
        <v>24343.90243902439</v>
      </c>
      <c r="AT210" s="195">
        <f t="shared" si="38"/>
        <v>24372.724620770128</v>
      </c>
      <c r="AU210" s="195">
        <f t="shared" si="38"/>
        <v>24393.766500440011</v>
      </c>
      <c r="AV210" s="195">
        <f t="shared" si="38"/>
        <v>24409.403602007678</v>
      </c>
      <c r="AW210" s="195">
        <f t="shared" si="38"/>
        <v>24429.7146254459</v>
      </c>
      <c r="AX210" s="195">
        <f t="shared" si="38"/>
        <v>24460</v>
      </c>
      <c r="AY210" s="195">
        <f t="shared" si="38"/>
        <v>24490.301204819276</v>
      </c>
      <c r="AZ210" s="195">
        <f t="shared" si="38"/>
        <v>24535.990308903692</v>
      </c>
      <c r="BA210" s="195">
        <f t="shared" si="38"/>
        <v>24604.400851581508</v>
      </c>
      <c r="BB210" s="195">
        <f t="shared" si="38"/>
        <v>24680.695333943277</v>
      </c>
      <c r="BC210" s="195">
        <f t="shared" si="38"/>
        <v>24775.099236641221</v>
      </c>
      <c r="BD210" s="195">
        <f t="shared" si="38"/>
        <v>24887.667887667885</v>
      </c>
      <c r="BE210" s="195">
        <f t="shared" si="38"/>
        <v>25005.536585365855</v>
      </c>
      <c r="BF210" s="195">
        <f t="shared" si="38"/>
        <v>25131.804076665652</v>
      </c>
      <c r="BG210" s="195">
        <f t="shared" si="38"/>
        <v>25228.149271844661</v>
      </c>
      <c r="BH210" s="195">
        <f t="shared" si="38"/>
        <v>25319.963702359346</v>
      </c>
      <c r="BI210" s="195">
        <f t="shared" si="38"/>
        <v>25382.496984318459</v>
      </c>
      <c r="BJ210" s="195">
        <f t="shared" si="38"/>
        <v>25423.078773301262</v>
      </c>
      <c r="BK210" s="195">
        <f t="shared" si="38"/>
        <v>25449.346326836581</v>
      </c>
      <c r="BL210" s="195">
        <f t="shared" si="38"/>
        <v>25461.250373915642</v>
      </c>
      <c r="BM210" s="195">
        <f t="shared" si="38"/>
        <v>25440.483293556088</v>
      </c>
      <c r="BN210" s="195">
        <f t="shared" si="38"/>
        <v>25395.269425424234</v>
      </c>
      <c r="BO210" s="195">
        <f t="shared" si="38"/>
        <v>25338.179388179389</v>
      </c>
      <c r="BP210" s="195">
        <f t="shared" si="38"/>
        <v>25273.754074074073</v>
      </c>
      <c r="BQ210" s="195">
        <f t="shared" si="38"/>
        <v>25199.266706091072</v>
      </c>
    </row>
    <row r="211" spans="1:69" s="105" customFormat="1">
      <c r="A211" s="105">
        <f>$A$40</f>
        <v>23</v>
      </c>
      <c r="B211" s="114"/>
      <c r="C211" s="114"/>
      <c r="D211" s="114"/>
      <c r="E211" s="114"/>
      <c r="F211" s="114"/>
      <c r="G211" s="114"/>
      <c r="H211" s="114"/>
      <c r="I211" s="114"/>
      <c r="J211" s="114"/>
      <c r="K211" s="114"/>
      <c r="L211" s="114"/>
      <c r="M211" s="195">
        <f>M$40*M$347</f>
        <v>24406.14838900384</v>
      </c>
      <c r="N211" s="195">
        <f t="shared" ref="N211:BQ211" si="39">N$40*N$347</f>
        <v>24661.224489795917</v>
      </c>
      <c r="O211" s="195">
        <f t="shared" si="39"/>
        <v>24496.825396825396</v>
      </c>
      <c r="P211" s="195">
        <f t="shared" si="39"/>
        <v>24674.368761009984</v>
      </c>
      <c r="Q211" s="195">
        <f t="shared" si="39"/>
        <v>24304.020587344839</v>
      </c>
      <c r="R211" s="195">
        <f t="shared" si="39"/>
        <v>23750.150753768845</v>
      </c>
      <c r="S211" s="195">
        <f t="shared" si="39"/>
        <v>24377.492298213187</v>
      </c>
      <c r="T211" s="195">
        <f t="shared" si="39"/>
        <v>24130.555555555558</v>
      </c>
      <c r="U211" s="195">
        <f t="shared" si="39"/>
        <v>23459.851387054161</v>
      </c>
      <c r="V211" s="195">
        <f t="shared" si="39"/>
        <v>23238.60962566845</v>
      </c>
      <c r="W211" s="195">
        <f t="shared" si="39"/>
        <v>23886.118421052633</v>
      </c>
      <c r="X211" s="195">
        <f t="shared" si="39"/>
        <v>24031.853320118931</v>
      </c>
      <c r="Y211" s="195">
        <f t="shared" si="39"/>
        <v>24671.525040387722</v>
      </c>
      <c r="Z211" s="195">
        <f t="shared" si="39"/>
        <v>25862.155707196031</v>
      </c>
      <c r="AA211" s="195">
        <f t="shared" si="39"/>
        <v>26872.17105263158</v>
      </c>
      <c r="AB211" s="195">
        <f t="shared" si="39"/>
        <v>26770.398912058023</v>
      </c>
      <c r="AC211" s="195">
        <f t="shared" si="39"/>
        <v>27573.227326266195</v>
      </c>
      <c r="AD211" s="195">
        <f t="shared" si="39"/>
        <v>27534.225141833384</v>
      </c>
      <c r="AE211" s="195">
        <f t="shared" si="39"/>
        <v>27477.365233192002</v>
      </c>
      <c r="AF211" s="195">
        <f t="shared" si="39"/>
        <v>27430.674846625767</v>
      </c>
      <c r="AG211" s="195">
        <f t="shared" si="39"/>
        <v>26586.776128828544</v>
      </c>
      <c r="AH211" s="195">
        <f t="shared" si="39"/>
        <v>26655.713833491613</v>
      </c>
      <c r="AI211" s="195">
        <f t="shared" si="39"/>
        <v>26381.79227359088</v>
      </c>
      <c r="AJ211" s="195">
        <f t="shared" si="39"/>
        <v>26577.244929797191</v>
      </c>
      <c r="AK211" s="195">
        <f t="shared" si="39"/>
        <v>25966.609442060086</v>
      </c>
      <c r="AL211" s="195">
        <f t="shared" si="39"/>
        <v>25646.142469061273</v>
      </c>
      <c r="AM211" s="195">
        <f t="shared" si="39"/>
        <v>25774.690107270562</v>
      </c>
      <c r="AN211" s="195">
        <f t="shared" si="39"/>
        <v>25356.327433628318</v>
      </c>
      <c r="AO211" s="195">
        <f t="shared" si="39"/>
        <v>25329.912126537783</v>
      </c>
      <c r="AP211" s="195">
        <f t="shared" si="39"/>
        <v>25294.228187919463</v>
      </c>
      <c r="AQ211" s="195">
        <f t="shared" si="39"/>
        <v>25246.860803727432</v>
      </c>
      <c r="AR211" s="195">
        <f t="shared" si="39"/>
        <v>25340.957787481802</v>
      </c>
      <c r="AS211" s="195">
        <f t="shared" si="39"/>
        <v>25407.917760279965</v>
      </c>
      <c r="AT211" s="195">
        <f t="shared" si="39"/>
        <v>25450.286717378585</v>
      </c>
      <c r="AU211" s="195">
        <f t="shared" si="39"/>
        <v>25483.362727807169</v>
      </c>
      <c r="AV211" s="195">
        <f t="shared" si="39"/>
        <v>25494.235885308899</v>
      </c>
      <c r="AW211" s="195">
        <f t="shared" si="39"/>
        <v>25517.905385301994</v>
      </c>
      <c r="AX211" s="195">
        <f t="shared" si="39"/>
        <v>25537.028160575195</v>
      </c>
      <c r="AY211" s="195">
        <f t="shared" si="39"/>
        <v>25573.819004524888</v>
      </c>
      <c r="AZ211" s="195">
        <f t="shared" si="39"/>
        <v>25605.309653916214</v>
      </c>
      <c r="BA211" s="195">
        <f t="shared" si="39"/>
        <v>25656.746031746032</v>
      </c>
      <c r="BB211" s="195">
        <f t="shared" si="39"/>
        <v>25725.450643776825</v>
      </c>
      <c r="BC211" s="195">
        <f t="shared" si="39"/>
        <v>25808.63203197049</v>
      </c>
      <c r="BD211" s="195">
        <f t="shared" si="39"/>
        <v>25916.549707602338</v>
      </c>
      <c r="BE211" s="195">
        <f t="shared" si="39"/>
        <v>26023.452307692307</v>
      </c>
      <c r="BF211" s="195">
        <f t="shared" si="39"/>
        <v>26155.814382298708</v>
      </c>
      <c r="BG211" s="195">
        <f t="shared" si="39"/>
        <v>26266.523605150214</v>
      </c>
      <c r="BH211" s="195">
        <f t="shared" si="39"/>
        <v>26382.935779816511</v>
      </c>
      <c r="BI211" s="195">
        <f t="shared" si="39"/>
        <v>26478.439024390242</v>
      </c>
      <c r="BJ211" s="195">
        <f t="shared" si="39"/>
        <v>26548.08510638298</v>
      </c>
      <c r="BK211" s="195">
        <f t="shared" si="39"/>
        <v>26597.624242424245</v>
      </c>
      <c r="BL211" s="195">
        <f t="shared" si="39"/>
        <v>26621.713508612873</v>
      </c>
      <c r="BM211" s="195">
        <f t="shared" si="39"/>
        <v>26612.341772151896</v>
      </c>
      <c r="BN211" s="195">
        <f t="shared" si="39"/>
        <v>26598.484666265784</v>
      </c>
      <c r="BO211" s="195">
        <f t="shared" si="39"/>
        <v>26551.18176364727</v>
      </c>
      <c r="BP211" s="195">
        <f t="shared" si="39"/>
        <v>26504.16043100868</v>
      </c>
      <c r="BQ211" s="195">
        <f t="shared" si="39"/>
        <v>26423.559271424307</v>
      </c>
    </row>
    <row r="212" spans="1:69" s="105" customFormat="1">
      <c r="A212" s="105">
        <f>$A$41</f>
        <v>24</v>
      </c>
      <c r="B212" s="114"/>
      <c r="C212" s="114"/>
      <c r="D212" s="114"/>
      <c r="E212" s="114"/>
      <c r="F212" s="114"/>
      <c r="G212" s="114"/>
      <c r="H212" s="114"/>
      <c r="I212" s="114"/>
      <c r="J212" s="114"/>
      <c r="K212" s="114"/>
      <c r="L212" s="114"/>
      <c r="M212" s="195">
        <f>M$41*M$348</f>
        <v>25655.875142531357</v>
      </c>
      <c r="N212" s="195">
        <f t="shared" ref="N212:BQ212" si="40">N$41*N$348</f>
        <v>25404.870466321245</v>
      </c>
      <c r="O212" s="195">
        <f t="shared" si="40"/>
        <v>25530.02573634544</v>
      </c>
      <c r="P212" s="195">
        <f t="shared" si="40"/>
        <v>25832.587108013937</v>
      </c>
      <c r="Q212" s="195">
        <f t="shared" si="40"/>
        <v>25227.204206836108</v>
      </c>
      <c r="R212" s="195">
        <f t="shared" si="40"/>
        <v>25000.288315629739</v>
      </c>
      <c r="S212" s="195">
        <f t="shared" si="40"/>
        <v>24515.203021718604</v>
      </c>
      <c r="T212" s="195">
        <f t="shared" si="40"/>
        <v>25178.770846201358</v>
      </c>
      <c r="U212" s="195">
        <f t="shared" si="40"/>
        <v>24948.227848101265</v>
      </c>
      <c r="V212" s="195">
        <f t="shared" si="40"/>
        <v>24270.298013245036</v>
      </c>
      <c r="W212" s="195">
        <f t="shared" si="40"/>
        <v>24057.691018766756</v>
      </c>
      <c r="X212" s="195">
        <f t="shared" si="40"/>
        <v>24738.397626112757</v>
      </c>
      <c r="Y212" s="195">
        <f t="shared" si="40"/>
        <v>24890.701986754968</v>
      </c>
      <c r="Z212" s="195">
        <f t="shared" si="40"/>
        <v>25582.836787564767</v>
      </c>
      <c r="AA212" s="195">
        <f t="shared" si="40"/>
        <v>26828.507462686568</v>
      </c>
      <c r="AB212" s="195">
        <f t="shared" si="40"/>
        <v>27865.507941264612</v>
      </c>
      <c r="AC212" s="195">
        <f t="shared" si="40"/>
        <v>27785.131778249015</v>
      </c>
      <c r="AD212" s="195">
        <f t="shared" si="40"/>
        <v>28625.619834710746</v>
      </c>
      <c r="AE212" s="195">
        <f t="shared" si="40"/>
        <v>28594.396887159532</v>
      </c>
      <c r="AF212" s="195">
        <f t="shared" si="40"/>
        <v>28548.196721311473</v>
      </c>
      <c r="AG212" s="195">
        <f t="shared" si="40"/>
        <v>28503.431734317342</v>
      </c>
      <c r="AH212" s="195">
        <f t="shared" si="40"/>
        <v>27643.019943019943</v>
      </c>
      <c r="AI212" s="195">
        <f t="shared" si="40"/>
        <v>27710.482233502538</v>
      </c>
      <c r="AJ212" s="195">
        <f t="shared" si="40"/>
        <v>27435.13805141225</v>
      </c>
      <c r="AK212" s="195">
        <f t="shared" si="40"/>
        <v>27646.149515170473</v>
      </c>
      <c r="AL212" s="195">
        <f t="shared" si="40"/>
        <v>27008.371235402585</v>
      </c>
      <c r="AM212" s="195">
        <f t="shared" si="40"/>
        <v>26693.645990922843</v>
      </c>
      <c r="AN212" s="195">
        <f t="shared" si="40"/>
        <v>26824.425201552702</v>
      </c>
      <c r="AO212" s="195">
        <f t="shared" si="40"/>
        <v>26392.113508720071</v>
      </c>
      <c r="AP212" s="195">
        <f t="shared" si="40"/>
        <v>26368.203170874924</v>
      </c>
      <c r="AQ212" s="195">
        <f t="shared" si="40"/>
        <v>26337.5</v>
      </c>
      <c r="AR212" s="195">
        <f t="shared" si="40"/>
        <v>26286.460461044644</v>
      </c>
      <c r="AS212" s="195">
        <f t="shared" si="40"/>
        <v>26383.320688648964</v>
      </c>
      <c r="AT212" s="195">
        <f t="shared" si="40"/>
        <v>26454.089447529961</v>
      </c>
      <c r="AU212" s="195">
        <f t="shared" si="40"/>
        <v>26508.715542521993</v>
      </c>
      <c r="AV212" s="195">
        <f t="shared" si="40"/>
        <v>26531.463917525773</v>
      </c>
      <c r="AW212" s="195">
        <f t="shared" si="40"/>
        <v>26563.771851851852</v>
      </c>
      <c r="AX212" s="195">
        <f t="shared" si="40"/>
        <v>26576.207513416819</v>
      </c>
      <c r="AY212" s="195">
        <f t="shared" si="40"/>
        <v>26602.425697988594</v>
      </c>
      <c r="AZ212" s="195">
        <f t="shared" si="40"/>
        <v>26628.681983071339</v>
      </c>
      <c r="BA212" s="195">
        <f t="shared" si="40"/>
        <v>26664.84332217828</v>
      </c>
      <c r="BB212" s="195">
        <f t="shared" si="40"/>
        <v>26715.276843071279</v>
      </c>
      <c r="BC212" s="195">
        <f t="shared" si="40"/>
        <v>26787.754224270353</v>
      </c>
      <c r="BD212" s="195">
        <f t="shared" si="40"/>
        <v>26876.463339494763</v>
      </c>
      <c r="BE212" s="195">
        <f t="shared" si="40"/>
        <v>26981.406539173349</v>
      </c>
      <c r="BF212" s="195">
        <f t="shared" si="40"/>
        <v>27100.407156076493</v>
      </c>
      <c r="BG212" s="195">
        <f t="shared" si="40"/>
        <v>27227.693255312599</v>
      </c>
      <c r="BH212" s="195">
        <f t="shared" si="40"/>
        <v>27367.295636140138</v>
      </c>
      <c r="BI212" s="195">
        <f t="shared" si="40"/>
        <v>27476.883236285626</v>
      </c>
      <c r="BJ212" s="195">
        <f t="shared" si="40"/>
        <v>27572.792545065688</v>
      </c>
      <c r="BK212" s="195">
        <f t="shared" si="40"/>
        <v>27634.285714285714</v>
      </c>
      <c r="BL212" s="195">
        <f t="shared" si="40"/>
        <v>27690.53143030671</v>
      </c>
      <c r="BM212" s="195">
        <f t="shared" si="40"/>
        <v>27712.858873410052</v>
      </c>
      <c r="BN212" s="195">
        <f t="shared" si="40"/>
        <v>27719.770392749248</v>
      </c>
      <c r="BO212" s="195">
        <f t="shared" si="40"/>
        <v>27694.495329918653</v>
      </c>
      <c r="BP212" s="195">
        <f t="shared" si="40"/>
        <v>27651.578472639805</v>
      </c>
      <c r="BQ212" s="195">
        <f t="shared" si="40"/>
        <v>27592.411517696462</v>
      </c>
    </row>
    <row r="213" spans="1:69" s="105" customFormat="1">
      <c r="A213" s="105">
        <f>$A$42</f>
        <v>25</v>
      </c>
      <c r="B213" s="114"/>
      <c r="C213" s="114"/>
      <c r="D213" s="114"/>
      <c r="E213" s="114"/>
      <c r="F213" s="114"/>
      <c r="G213" s="114"/>
      <c r="H213" s="114"/>
      <c r="I213" s="114"/>
      <c r="J213" s="114"/>
      <c r="K213" s="114"/>
      <c r="L213" s="114"/>
      <c r="M213" s="195">
        <f>M$42*M$349</f>
        <v>26569.125315391084</v>
      </c>
      <c r="N213" s="195">
        <f t="shared" ref="N213:BQ213" si="41">N$42*N$349</f>
        <v>26694.24543946932</v>
      </c>
      <c r="O213" s="195">
        <f t="shared" si="41"/>
        <v>26343.41011235955</v>
      </c>
      <c r="P213" s="195">
        <f t="shared" si="41"/>
        <v>26921.037391059883</v>
      </c>
      <c r="Q213" s="195">
        <f t="shared" si="41"/>
        <v>26301.494252873563</v>
      </c>
      <c r="R213" s="195">
        <f t="shared" si="41"/>
        <v>25848.526499708794</v>
      </c>
      <c r="S213" s="195">
        <f t="shared" si="41"/>
        <v>25695.039322444041</v>
      </c>
      <c r="T213" s="195">
        <f t="shared" si="41"/>
        <v>25337.202007528231</v>
      </c>
      <c r="U213" s="195">
        <f t="shared" si="41"/>
        <v>26034.33671899046</v>
      </c>
      <c r="V213" s="195">
        <f t="shared" si="41"/>
        <v>25813.619167717527</v>
      </c>
      <c r="W213" s="195">
        <f t="shared" si="41"/>
        <v>25132.299571098647</v>
      </c>
      <c r="X213" s="195">
        <f t="shared" si="41"/>
        <v>24933.444592790387</v>
      </c>
      <c r="Y213" s="195">
        <f t="shared" si="41"/>
        <v>25649.487516425757</v>
      </c>
      <c r="Z213" s="195">
        <f t="shared" si="41"/>
        <v>25818.096337842297</v>
      </c>
      <c r="AA213" s="195">
        <f t="shared" si="41"/>
        <v>26533.859309454663</v>
      </c>
      <c r="AB213" s="195">
        <f t="shared" si="41"/>
        <v>27817.462825278813</v>
      </c>
      <c r="AC213" s="195">
        <f t="shared" si="41"/>
        <v>28905.946833930706</v>
      </c>
      <c r="AD213" s="195">
        <f t="shared" si="41"/>
        <v>28811.083610021127</v>
      </c>
      <c r="AE213" s="195">
        <f t="shared" si="41"/>
        <v>29685.926470588234</v>
      </c>
      <c r="AF213" s="195">
        <f t="shared" si="41"/>
        <v>29663.83835371309</v>
      </c>
      <c r="AG213" s="195">
        <f t="shared" si="41"/>
        <v>29615.517241379312</v>
      </c>
      <c r="AH213" s="195">
        <f t="shared" si="41"/>
        <v>29578.676470588234</v>
      </c>
      <c r="AI213" s="195">
        <f t="shared" si="41"/>
        <v>28705.714285714286</v>
      </c>
      <c r="AJ213" s="195">
        <f t="shared" si="41"/>
        <v>28785.216566550745</v>
      </c>
      <c r="AK213" s="195">
        <f t="shared" si="41"/>
        <v>28513.519924098669</v>
      </c>
      <c r="AL213" s="195">
        <f t="shared" si="41"/>
        <v>28728.871922717361</v>
      </c>
      <c r="AM213" s="195">
        <f t="shared" si="41"/>
        <v>28081.509491733006</v>
      </c>
      <c r="AN213" s="195">
        <f t="shared" si="41"/>
        <v>27748.399155863732</v>
      </c>
      <c r="AO213" s="195">
        <f t="shared" si="41"/>
        <v>27891.241071428572</v>
      </c>
      <c r="AP213" s="195">
        <f t="shared" si="41"/>
        <v>27441.019145802649</v>
      </c>
      <c r="AQ213" s="195">
        <f t="shared" si="41"/>
        <v>27429.31538911644</v>
      </c>
      <c r="AR213" s="195">
        <f t="shared" si="41"/>
        <v>27386.410256410258</v>
      </c>
      <c r="AS213" s="195">
        <f t="shared" si="41"/>
        <v>27342.125617912185</v>
      </c>
      <c r="AT213" s="195">
        <f t="shared" si="41"/>
        <v>27449.659784821168</v>
      </c>
      <c r="AU213" s="195">
        <f t="shared" si="41"/>
        <v>27523.582872123508</v>
      </c>
      <c r="AV213" s="195">
        <f t="shared" si="41"/>
        <v>27563.991817650498</v>
      </c>
      <c r="AW213" s="195">
        <f t="shared" si="41"/>
        <v>27598.831816847665</v>
      </c>
      <c r="AX213" s="195">
        <f t="shared" si="41"/>
        <v>27628.154709182167</v>
      </c>
      <c r="AY213" s="195">
        <f t="shared" si="41"/>
        <v>27643.802733214499</v>
      </c>
      <c r="AZ213" s="195">
        <f t="shared" si="41"/>
        <v>27675.996409335727</v>
      </c>
      <c r="BA213" s="195">
        <f t="shared" si="41"/>
        <v>27697.828313253012</v>
      </c>
      <c r="BB213" s="195">
        <f t="shared" si="41"/>
        <v>27731.706577750832</v>
      </c>
      <c r="BC213" s="195">
        <f t="shared" si="41"/>
        <v>27804.292682926829</v>
      </c>
      <c r="BD213" s="195">
        <f t="shared" si="41"/>
        <v>27854.986225895318</v>
      </c>
      <c r="BE213" s="195">
        <f t="shared" si="41"/>
        <v>27956.402701043586</v>
      </c>
      <c r="BF213" s="195">
        <f t="shared" si="41"/>
        <v>28065.193607867241</v>
      </c>
      <c r="BG213" s="195">
        <f t="shared" si="41"/>
        <v>28198.156115550093</v>
      </c>
      <c r="BH213" s="195">
        <f t="shared" si="41"/>
        <v>28317.201595581464</v>
      </c>
      <c r="BI213" s="195">
        <f t="shared" si="41"/>
        <v>28450.802204531537</v>
      </c>
      <c r="BJ213" s="195">
        <f t="shared" si="41"/>
        <v>28561.349618320608</v>
      </c>
      <c r="BK213" s="195">
        <f t="shared" si="41"/>
        <v>28657.552511415528</v>
      </c>
      <c r="BL213" s="195">
        <f t="shared" si="41"/>
        <v>28737.444613050073</v>
      </c>
      <c r="BM213" s="195">
        <f t="shared" si="41"/>
        <v>28784.720121028742</v>
      </c>
      <c r="BN213" s="195">
        <f t="shared" si="41"/>
        <v>28816.231140615571</v>
      </c>
      <c r="BO213" s="195">
        <f t="shared" si="41"/>
        <v>28821.282360024081</v>
      </c>
      <c r="BP213" s="195">
        <f t="shared" si="41"/>
        <v>28793.185229660765</v>
      </c>
      <c r="BQ213" s="195">
        <f t="shared" si="41"/>
        <v>28755.467345715999</v>
      </c>
    </row>
    <row r="214" spans="1:69" s="105" customFormat="1">
      <c r="A214" s="105">
        <f>$A$43</f>
        <v>26</v>
      </c>
      <c r="B214" s="114"/>
      <c r="C214" s="114"/>
      <c r="D214" s="114"/>
      <c r="E214" s="114"/>
      <c r="F214" s="114"/>
      <c r="G214" s="114"/>
      <c r="H214" s="114"/>
      <c r="I214" s="114"/>
      <c r="J214" s="114"/>
      <c r="K214" s="114"/>
      <c r="L214" s="114"/>
      <c r="M214" s="195">
        <f>M$43*M$350</f>
        <v>27576.938110749186</v>
      </c>
      <c r="N214" s="195">
        <f t="shared" ref="N214:BQ214" si="42">N$43*N$350</f>
        <v>27818.049443086118</v>
      </c>
      <c r="O214" s="195">
        <f t="shared" si="42"/>
        <v>27734.830188679247</v>
      </c>
      <c r="P214" s="195">
        <f t="shared" si="42"/>
        <v>27725.575757575756</v>
      </c>
      <c r="Q214" s="195">
        <f t="shared" si="42"/>
        <v>27231.014975041595</v>
      </c>
      <c r="R214" s="195">
        <f t="shared" si="42"/>
        <v>26766.946107784432</v>
      </c>
      <c r="S214" s="195">
        <f t="shared" si="42"/>
        <v>26389.979774631611</v>
      </c>
      <c r="T214" s="195">
        <f t="shared" si="42"/>
        <v>26458.541854185416</v>
      </c>
      <c r="U214" s="195">
        <f t="shared" si="42"/>
        <v>26097.166407465007</v>
      </c>
      <c r="V214" s="195">
        <f t="shared" si="42"/>
        <v>26806.758241758242</v>
      </c>
      <c r="W214" s="195">
        <f t="shared" si="42"/>
        <v>26588.617886178861</v>
      </c>
      <c r="X214" s="195">
        <f t="shared" si="42"/>
        <v>25912.632439502944</v>
      </c>
      <c r="Y214" s="195">
        <f t="shared" si="42"/>
        <v>25696.136288455175</v>
      </c>
      <c r="Z214" s="195">
        <f t="shared" si="42"/>
        <v>26434.386193422339</v>
      </c>
      <c r="AA214" s="195">
        <f t="shared" si="42"/>
        <v>26606.213211249185</v>
      </c>
      <c r="AB214" s="195">
        <f t="shared" si="42"/>
        <v>27326.055662188101</v>
      </c>
      <c r="AC214" s="195">
        <f t="shared" si="42"/>
        <v>28622.304147465438</v>
      </c>
      <c r="AD214" s="195">
        <f t="shared" si="42"/>
        <v>29730.056296296298</v>
      </c>
      <c r="AE214" s="195">
        <f t="shared" si="42"/>
        <v>29649.233303384248</v>
      </c>
      <c r="AF214" s="195">
        <f t="shared" si="42"/>
        <v>30527.239568135396</v>
      </c>
      <c r="AG214" s="195">
        <f t="shared" si="42"/>
        <v>30498.816568047336</v>
      </c>
      <c r="AH214" s="195">
        <f t="shared" si="42"/>
        <v>30454.920492049205</v>
      </c>
      <c r="AI214" s="195">
        <f t="shared" si="42"/>
        <v>30410.847766636281</v>
      </c>
      <c r="AJ214" s="195">
        <f t="shared" si="42"/>
        <v>29537.473420888055</v>
      </c>
      <c r="AK214" s="195">
        <f t="shared" si="42"/>
        <v>29606.298965841426</v>
      </c>
      <c r="AL214" s="195">
        <f t="shared" si="42"/>
        <v>29343.640639698966</v>
      </c>
      <c r="AM214" s="195">
        <f t="shared" si="42"/>
        <v>29556.313349814587</v>
      </c>
      <c r="AN214" s="195">
        <f t="shared" si="42"/>
        <v>28894.943820224718</v>
      </c>
      <c r="AO214" s="195">
        <f t="shared" si="42"/>
        <v>28571.241028708133</v>
      </c>
      <c r="AP214" s="195">
        <f t="shared" si="42"/>
        <v>28711.378801299084</v>
      </c>
      <c r="AQ214" s="195">
        <f t="shared" si="42"/>
        <v>28254.114552893043</v>
      </c>
      <c r="AR214" s="195">
        <f t="shared" si="42"/>
        <v>28239.953555878081</v>
      </c>
      <c r="AS214" s="195">
        <f t="shared" si="42"/>
        <v>28195.143104943625</v>
      </c>
      <c r="AT214" s="195">
        <f t="shared" si="42"/>
        <v>28149.610502019619</v>
      </c>
      <c r="AU214" s="195">
        <f t="shared" si="42"/>
        <v>28258.413156376228</v>
      </c>
      <c r="AV214" s="195">
        <f t="shared" si="42"/>
        <v>28333.78612716763</v>
      </c>
      <c r="AW214" s="195">
        <f t="shared" si="42"/>
        <v>28375.761090171065</v>
      </c>
      <c r="AX214" s="195">
        <f t="shared" si="42"/>
        <v>28412.498543972044</v>
      </c>
      <c r="AY214" s="195">
        <f t="shared" si="42"/>
        <v>28433.964860907759</v>
      </c>
      <c r="AZ214" s="195">
        <f t="shared" si="42"/>
        <v>28451.962864721489</v>
      </c>
      <c r="BA214" s="195">
        <f t="shared" si="42"/>
        <v>28486.6824925816</v>
      </c>
      <c r="BB214" s="195">
        <f t="shared" si="42"/>
        <v>28511.233940842543</v>
      </c>
      <c r="BC214" s="195">
        <f t="shared" si="42"/>
        <v>28555.923030667469</v>
      </c>
      <c r="BD214" s="195">
        <f t="shared" si="42"/>
        <v>28603.929866989118</v>
      </c>
      <c r="BE214" s="195">
        <f t="shared" si="42"/>
        <v>28673.497267759565</v>
      </c>
      <c r="BF214" s="195">
        <f t="shared" si="42"/>
        <v>28768.785388127853</v>
      </c>
      <c r="BG214" s="195">
        <f t="shared" si="42"/>
        <v>28879.280707101494</v>
      </c>
      <c r="BH214" s="195">
        <f t="shared" si="42"/>
        <v>28994.247410115782</v>
      </c>
      <c r="BI214" s="195">
        <f t="shared" si="42"/>
        <v>29133.779671332926</v>
      </c>
      <c r="BJ214" s="195">
        <f t="shared" si="42"/>
        <v>29259.344262295082</v>
      </c>
      <c r="BK214" s="195">
        <f t="shared" si="42"/>
        <v>29387.416717141128</v>
      </c>
      <c r="BL214" s="195">
        <f t="shared" si="42"/>
        <v>29494.510869565216</v>
      </c>
      <c r="BM214" s="195">
        <f t="shared" si="42"/>
        <v>29566.05659241421</v>
      </c>
      <c r="BN214" s="195">
        <f t="shared" si="42"/>
        <v>29621.09843937575</v>
      </c>
      <c r="BO214" s="195">
        <f t="shared" si="42"/>
        <v>29641.257108650105</v>
      </c>
      <c r="BP214" s="195">
        <f t="shared" si="42"/>
        <v>29636.680597014925</v>
      </c>
      <c r="BQ214" s="195">
        <f t="shared" si="42"/>
        <v>29616.197141155451</v>
      </c>
    </row>
    <row r="215" spans="1:69" s="105" customFormat="1">
      <c r="A215" s="105">
        <f>$A$44</f>
        <v>27</v>
      </c>
      <c r="B215" s="114"/>
      <c r="C215" s="114"/>
      <c r="D215" s="114"/>
      <c r="E215" s="114"/>
      <c r="F215" s="114"/>
      <c r="G215" s="114"/>
      <c r="H215" s="114"/>
      <c r="I215" s="114"/>
      <c r="J215" s="114"/>
      <c r="K215" s="114"/>
      <c r="L215" s="114"/>
      <c r="M215" s="195">
        <f>M$44*M$351</f>
        <v>27160.456062291436</v>
      </c>
      <c r="N215" s="195">
        <f t="shared" ref="N215:BQ215" si="43">N$44*N$351</f>
        <v>28627.685819715338</v>
      </c>
      <c r="O215" s="195">
        <f t="shared" si="43"/>
        <v>28635.425390935598</v>
      </c>
      <c r="P215" s="195">
        <f t="shared" si="43"/>
        <v>29082.104150145387</v>
      </c>
      <c r="Q215" s="195">
        <f t="shared" si="43"/>
        <v>27815.939196525516</v>
      </c>
      <c r="R215" s="195">
        <f t="shared" si="43"/>
        <v>27463.619884647076</v>
      </c>
      <c r="S215" s="195">
        <f t="shared" si="43"/>
        <v>27060.335968379448</v>
      </c>
      <c r="T215" s="195">
        <f t="shared" si="43"/>
        <v>26872.476408350012</v>
      </c>
      <c r="U215" s="195">
        <f t="shared" si="43"/>
        <v>26940.570071258906</v>
      </c>
      <c r="V215" s="195">
        <f t="shared" si="43"/>
        <v>26570.030769230769</v>
      </c>
      <c r="W215" s="195">
        <f t="shared" si="43"/>
        <v>27280.042270531401</v>
      </c>
      <c r="X215" s="195">
        <f t="shared" si="43"/>
        <v>27054.495980210268</v>
      </c>
      <c r="Y215" s="195">
        <f t="shared" si="43"/>
        <v>26368.419521654818</v>
      </c>
      <c r="Z215" s="195">
        <f t="shared" si="43"/>
        <v>26160.343249427915</v>
      </c>
      <c r="AA215" s="195">
        <f t="shared" si="43"/>
        <v>26880.193112327004</v>
      </c>
      <c r="AB215" s="195">
        <f t="shared" si="43"/>
        <v>27052.178409825468</v>
      </c>
      <c r="AC215" s="195">
        <f t="shared" si="43"/>
        <v>27772.34029095509</v>
      </c>
      <c r="AD215" s="195">
        <f t="shared" si="43"/>
        <v>29066.693009118542</v>
      </c>
      <c r="AE215" s="195">
        <f t="shared" si="43"/>
        <v>30165.945470536499</v>
      </c>
      <c r="AF215" s="195">
        <f t="shared" si="43"/>
        <v>30074.239999999998</v>
      </c>
      <c r="AG215" s="195">
        <f t="shared" si="43"/>
        <v>30960.554432572917</v>
      </c>
      <c r="AH215" s="195">
        <f t="shared" si="43"/>
        <v>30931.762295081968</v>
      </c>
      <c r="AI215" s="195">
        <f t="shared" si="43"/>
        <v>30888.509501187647</v>
      </c>
      <c r="AJ215" s="195">
        <f t="shared" si="43"/>
        <v>30843.119927862939</v>
      </c>
      <c r="AK215" s="195">
        <f t="shared" si="43"/>
        <v>29950.494743351886</v>
      </c>
      <c r="AL215" s="195">
        <f t="shared" si="43"/>
        <v>30028.481091134534</v>
      </c>
      <c r="AM215" s="195">
        <f t="shared" si="43"/>
        <v>29746.052713178295</v>
      </c>
      <c r="AN215" s="195">
        <f t="shared" si="43"/>
        <v>29959.382640586799</v>
      </c>
      <c r="AO215" s="195">
        <f t="shared" si="43"/>
        <v>29311.694202463201</v>
      </c>
      <c r="AP215" s="195">
        <f t="shared" si="43"/>
        <v>28979.272189349114</v>
      </c>
      <c r="AQ215" s="195">
        <f t="shared" si="43"/>
        <v>29120.08764241893</v>
      </c>
      <c r="AR215" s="195">
        <f t="shared" si="43"/>
        <v>28662.810873337188</v>
      </c>
      <c r="AS215" s="195">
        <f t="shared" si="43"/>
        <v>28649.296179258836</v>
      </c>
      <c r="AT215" s="195">
        <f t="shared" si="43"/>
        <v>28604.9556509299</v>
      </c>
      <c r="AU215" s="195">
        <f t="shared" si="43"/>
        <v>28559.811536264991</v>
      </c>
      <c r="AV215" s="195">
        <f t="shared" si="43"/>
        <v>28668.418046830382</v>
      </c>
      <c r="AW215" s="195">
        <f t="shared" si="43"/>
        <v>28743.546910755147</v>
      </c>
      <c r="AX215" s="195">
        <f t="shared" si="43"/>
        <v>28785.173601147773</v>
      </c>
      <c r="AY215" s="195">
        <f t="shared" si="43"/>
        <v>28811.417867435157</v>
      </c>
      <c r="AZ215" s="195">
        <f t="shared" si="43"/>
        <v>28834.236453201971</v>
      </c>
      <c r="BA215" s="195">
        <f t="shared" si="43"/>
        <v>28859.92417614465</v>
      </c>
      <c r="BB215" s="195">
        <f t="shared" si="43"/>
        <v>28875.572519083969</v>
      </c>
      <c r="BC215" s="195">
        <f t="shared" si="43"/>
        <v>28918.049068873781</v>
      </c>
      <c r="BD215" s="195">
        <f t="shared" si="43"/>
        <v>28943.450327186198</v>
      </c>
      <c r="BE215" s="195">
        <f t="shared" si="43"/>
        <v>29009.569377990429</v>
      </c>
      <c r="BF215" s="195">
        <f t="shared" si="43"/>
        <v>29078.558558558558</v>
      </c>
      <c r="BG215" s="195">
        <f t="shared" si="43"/>
        <v>29173.396567299005</v>
      </c>
      <c r="BH215" s="195">
        <f t="shared" si="43"/>
        <v>29283.509195055773</v>
      </c>
      <c r="BI215" s="195">
        <f t="shared" si="43"/>
        <v>29398.101265822788</v>
      </c>
      <c r="BJ215" s="195">
        <f t="shared" si="43"/>
        <v>29537.40517760385</v>
      </c>
      <c r="BK215" s="195">
        <f t="shared" si="43"/>
        <v>29662.762762762763</v>
      </c>
      <c r="BL215" s="195">
        <f t="shared" si="43"/>
        <v>29773.563941299792</v>
      </c>
      <c r="BM215" s="195">
        <f t="shared" si="43"/>
        <v>29878.748506571086</v>
      </c>
      <c r="BN215" s="195">
        <f t="shared" si="43"/>
        <v>29969.398451459201</v>
      </c>
      <c r="BO215" s="195">
        <f t="shared" si="43"/>
        <v>30016.282660332541</v>
      </c>
      <c r="BP215" s="195">
        <f t="shared" si="43"/>
        <v>30044.800118448326</v>
      </c>
      <c r="BQ215" s="195">
        <f t="shared" si="43"/>
        <v>30040.419373892499</v>
      </c>
    </row>
    <row r="216" spans="1:69" s="105" customFormat="1">
      <c r="A216" s="105">
        <f>$A$45</f>
        <v>28</v>
      </c>
      <c r="B216" s="114"/>
      <c r="C216" s="114"/>
      <c r="D216" s="114"/>
      <c r="E216" s="114"/>
      <c r="F216" s="114"/>
      <c r="G216" s="114"/>
      <c r="H216" s="114"/>
      <c r="I216" s="114"/>
      <c r="J216" s="114"/>
      <c r="K216" s="114"/>
      <c r="L216" s="114"/>
      <c r="M216" s="195">
        <f>M$45*M$352</f>
        <v>26452.866242038217</v>
      </c>
      <c r="N216" s="195">
        <f t="shared" ref="N216:BQ216" si="44">N$45*N$352</f>
        <v>28295.773697002431</v>
      </c>
      <c r="O216" s="195">
        <f t="shared" si="44"/>
        <v>29282.702702702703</v>
      </c>
      <c r="P216" s="195">
        <f t="shared" si="44"/>
        <v>30039.604989604988</v>
      </c>
      <c r="Q216" s="195">
        <f t="shared" si="44"/>
        <v>29220.317542946384</v>
      </c>
      <c r="R216" s="195">
        <f t="shared" si="44"/>
        <v>28100.949825596996</v>
      </c>
      <c r="S216" s="195">
        <f t="shared" si="44"/>
        <v>27818.377204884669</v>
      </c>
      <c r="T216" s="195">
        <f t="shared" si="44"/>
        <v>27635.730619074177</v>
      </c>
      <c r="U216" s="195">
        <f t="shared" si="44"/>
        <v>27446.610169491523</v>
      </c>
      <c r="V216" s="195">
        <f t="shared" si="44"/>
        <v>27517.746189917936</v>
      </c>
      <c r="W216" s="195">
        <f t="shared" si="44"/>
        <v>27130.601092896177</v>
      </c>
      <c r="X216" s="195">
        <f t="shared" si="44"/>
        <v>27839.204172876307</v>
      </c>
      <c r="Y216" s="195">
        <f t="shared" si="44"/>
        <v>27622.743362831858</v>
      </c>
      <c r="Z216" s="195">
        <f t="shared" si="44"/>
        <v>26921.255576800508</v>
      </c>
      <c r="AA216" s="195">
        <f t="shared" si="44"/>
        <v>26722.166344294004</v>
      </c>
      <c r="AB216" s="195">
        <f t="shared" si="44"/>
        <v>27432</v>
      </c>
      <c r="AC216" s="195">
        <f t="shared" si="44"/>
        <v>27595.793499043979</v>
      </c>
      <c r="AD216" s="195">
        <f t="shared" si="44"/>
        <v>28322.340093603743</v>
      </c>
      <c r="AE216" s="195">
        <f t="shared" si="44"/>
        <v>29619.100179964011</v>
      </c>
      <c r="AF216" s="195">
        <f t="shared" si="44"/>
        <v>30699.507959479015</v>
      </c>
      <c r="AG216" s="195">
        <f t="shared" si="44"/>
        <v>30616.215267622112</v>
      </c>
      <c r="AH216" s="195">
        <f t="shared" si="44"/>
        <v>31492.572732458641</v>
      </c>
      <c r="AI216" s="195">
        <f t="shared" si="44"/>
        <v>31475.212489158715</v>
      </c>
      <c r="AJ216" s="195">
        <f t="shared" si="44"/>
        <v>31411.905041031656</v>
      </c>
      <c r="AK216" s="195">
        <f t="shared" si="44"/>
        <v>31366.627113616138</v>
      </c>
      <c r="AL216" s="195">
        <f t="shared" si="44"/>
        <v>30491.568507781507</v>
      </c>
      <c r="AM216" s="195">
        <f t="shared" si="44"/>
        <v>30552.183486238533</v>
      </c>
      <c r="AN216" s="195">
        <f t="shared" si="44"/>
        <v>30278.029978586725</v>
      </c>
      <c r="AO216" s="195">
        <f t="shared" si="44"/>
        <v>30491.435464414957</v>
      </c>
      <c r="AP216" s="195">
        <f t="shared" si="44"/>
        <v>29841.957295373664</v>
      </c>
      <c r="AQ216" s="195">
        <f t="shared" si="44"/>
        <v>29501.063084112153</v>
      </c>
      <c r="AR216" s="195">
        <f t="shared" si="44"/>
        <v>29642.070954715891</v>
      </c>
      <c r="AS216" s="195">
        <f t="shared" si="44"/>
        <v>29185.232790631249</v>
      </c>
      <c r="AT216" s="195">
        <f t="shared" si="44"/>
        <v>29163.531914893614</v>
      </c>
      <c r="AU216" s="195">
        <f t="shared" si="44"/>
        <v>29135.732052006784</v>
      </c>
      <c r="AV216" s="195">
        <f t="shared" si="44"/>
        <v>29074.258319232937</v>
      </c>
      <c r="AW216" s="195">
        <f t="shared" si="44"/>
        <v>29172.87084038353</v>
      </c>
      <c r="AX216" s="195">
        <f t="shared" si="44"/>
        <v>29247.966101694918</v>
      </c>
      <c r="AY216" s="195">
        <f t="shared" si="44"/>
        <v>29297.716066874469</v>
      </c>
      <c r="AZ216" s="195">
        <f t="shared" si="44"/>
        <v>29334.081981212639</v>
      </c>
      <c r="BA216" s="195">
        <f t="shared" si="44"/>
        <v>29354.922724670865</v>
      </c>
      <c r="BB216" s="195">
        <f t="shared" si="44"/>
        <v>29363.835300892602</v>
      </c>
      <c r="BC216" s="195">
        <f t="shared" si="44"/>
        <v>29406.422151348215</v>
      </c>
      <c r="BD216" s="195">
        <f t="shared" si="44"/>
        <v>29421.663262328566</v>
      </c>
      <c r="BE216" s="195">
        <f t="shared" si="44"/>
        <v>29465.598943041692</v>
      </c>
      <c r="BF216" s="195">
        <f t="shared" si="44"/>
        <v>29512.851239669424</v>
      </c>
      <c r="BG216" s="195">
        <f t="shared" si="44"/>
        <v>29581.659751037343</v>
      </c>
      <c r="BH216" s="195">
        <f t="shared" si="44"/>
        <v>29676.383358098068</v>
      </c>
      <c r="BI216" s="195">
        <f t="shared" si="44"/>
        <v>29794.620648616485</v>
      </c>
      <c r="BJ216" s="195">
        <f t="shared" si="44"/>
        <v>29911.674598453301</v>
      </c>
      <c r="BK216" s="195">
        <f t="shared" si="44"/>
        <v>30048.342245989305</v>
      </c>
      <c r="BL216" s="195">
        <f t="shared" si="44"/>
        <v>30173.621813870774</v>
      </c>
      <c r="BM216" s="195">
        <f t="shared" si="44"/>
        <v>30304.222353636902</v>
      </c>
      <c r="BN216" s="195">
        <f t="shared" si="44"/>
        <v>30400.471698113208</v>
      </c>
      <c r="BO216" s="195">
        <f t="shared" si="44"/>
        <v>30480.270429159318</v>
      </c>
      <c r="BP216" s="195">
        <f t="shared" si="44"/>
        <v>30527.17467760844</v>
      </c>
      <c r="BQ216" s="195">
        <f t="shared" si="44"/>
        <v>30547.486115170999</v>
      </c>
    </row>
    <row r="217" spans="1:69" s="105" customFormat="1">
      <c r="A217" s="105">
        <f>$A$46</f>
        <v>29</v>
      </c>
      <c r="B217" s="114"/>
      <c r="C217" s="114"/>
      <c r="D217" s="114"/>
      <c r="E217" s="114"/>
      <c r="F217" s="114"/>
      <c r="G217" s="114"/>
      <c r="H217" s="114"/>
      <c r="I217" s="114"/>
      <c r="J217" s="114"/>
      <c r="K217" s="114"/>
      <c r="L217" s="114"/>
      <c r="M217" s="195">
        <f>M$46*M$353</f>
        <v>26436.399650451502</v>
      </c>
      <c r="N217" s="195">
        <f t="shared" ref="N217:BQ217" si="45">N$46*N$353</f>
        <v>27486.030362665169</v>
      </c>
      <c r="O217" s="195">
        <f t="shared" si="45"/>
        <v>29259.1985235961</v>
      </c>
      <c r="P217" s="195">
        <f t="shared" si="45"/>
        <v>30660.996971226654</v>
      </c>
      <c r="Q217" s="195">
        <f t="shared" si="45"/>
        <v>30214.778828944007</v>
      </c>
      <c r="R217" s="195">
        <f t="shared" si="45"/>
        <v>29523.435251798564</v>
      </c>
      <c r="S217" s="195">
        <f t="shared" si="45"/>
        <v>28470.333598093726</v>
      </c>
      <c r="T217" s="195">
        <f t="shared" si="45"/>
        <v>28414.635779325123</v>
      </c>
      <c r="U217" s="195">
        <f t="shared" si="45"/>
        <v>28214.492434663</v>
      </c>
      <c r="V217" s="195">
        <f t="shared" si="45"/>
        <v>28026.007244357759</v>
      </c>
      <c r="W217" s="195">
        <f t="shared" si="45"/>
        <v>28100.456515457958</v>
      </c>
      <c r="X217" s="195">
        <f t="shared" si="45"/>
        <v>27706.812200956938</v>
      </c>
      <c r="Y217" s="195">
        <f t="shared" si="45"/>
        <v>28416</v>
      </c>
      <c r="Z217" s="195">
        <f t="shared" si="45"/>
        <v>28190.159302675082</v>
      </c>
      <c r="AA217" s="195">
        <f t="shared" si="45"/>
        <v>27487.712582365861</v>
      </c>
      <c r="AB217" s="195">
        <f t="shared" si="45"/>
        <v>27280.279187817257</v>
      </c>
      <c r="AC217" s="195">
        <f t="shared" si="45"/>
        <v>27990.703125</v>
      </c>
      <c r="AD217" s="195">
        <f t="shared" si="45"/>
        <v>28163.853153435834</v>
      </c>
      <c r="AE217" s="195">
        <f t="shared" si="45"/>
        <v>28881.843317972351</v>
      </c>
      <c r="AF217" s="195">
        <f t="shared" si="45"/>
        <v>30178.885933806145</v>
      </c>
      <c r="AG217" s="195">
        <f t="shared" si="45"/>
        <v>31268.244863013701</v>
      </c>
      <c r="AH217" s="195">
        <f t="shared" si="45"/>
        <v>31176.425482848084</v>
      </c>
      <c r="AI217" s="195">
        <f t="shared" si="45"/>
        <v>32052.94994375703</v>
      </c>
      <c r="AJ217" s="195">
        <f t="shared" si="45"/>
        <v>32025.038472499287</v>
      </c>
      <c r="AK217" s="195">
        <f t="shared" si="45"/>
        <v>31970.335066435586</v>
      </c>
      <c r="AL217" s="195">
        <f t="shared" si="45"/>
        <v>31915.198830409357</v>
      </c>
      <c r="AM217" s="195">
        <f t="shared" si="45"/>
        <v>31030.838593327324</v>
      </c>
      <c r="AN217" s="195">
        <f t="shared" si="45"/>
        <v>31099.759036144576</v>
      </c>
      <c r="AO217" s="195">
        <f t="shared" si="45"/>
        <v>30817.231093702925</v>
      </c>
      <c r="AP217" s="195">
        <f t="shared" si="45"/>
        <v>31039.711738484399</v>
      </c>
      <c r="AQ217" s="195">
        <f t="shared" si="45"/>
        <v>30380.213325540622</v>
      </c>
      <c r="AR217" s="195">
        <f t="shared" si="45"/>
        <v>30047.417218543047</v>
      </c>
      <c r="AS217" s="195">
        <f t="shared" si="45"/>
        <v>30179.658800113732</v>
      </c>
      <c r="AT217" s="195">
        <f t="shared" si="45"/>
        <v>29730.566037735851</v>
      </c>
      <c r="AU217" s="195">
        <f t="shared" si="45"/>
        <v>29708.819250139899</v>
      </c>
      <c r="AV217" s="195">
        <f t="shared" si="45"/>
        <v>29672.658862876255</v>
      </c>
      <c r="AW217" s="195">
        <f t="shared" si="45"/>
        <v>29617.557719054243</v>
      </c>
      <c r="AX217" s="195">
        <f t="shared" si="45"/>
        <v>29709.791434927694</v>
      </c>
      <c r="AY217" s="195">
        <f t="shared" si="45"/>
        <v>29774.908077994431</v>
      </c>
      <c r="AZ217" s="195">
        <f t="shared" si="45"/>
        <v>29834.836546521376</v>
      </c>
      <c r="BA217" s="195">
        <f t="shared" si="45"/>
        <v>29861.156328936289</v>
      </c>
      <c r="BB217" s="195">
        <f t="shared" si="45"/>
        <v>29882.040067720089</v>
      </c>
      <c r="BC217" s="195">
        <f t="shared" si="45"/>
        <v>29901.305705364746</v>
      </c>
      <c r="BD217" s="195">
        <f t="shared" si="45"/>
        <v>29933.701057444985</v>
      </c>
      <c r="BE217" s="195">
        <f t="shared" si="45"/>
        <v>29957.2044866264</v>
      </c>
      <c r="BF217" s="195">
        <f t="shared" si="45"/>
        <v>29992.991898148146</v>
      </c>
      <c r="BG217" s="195">
        <f t="shared" si="45"/>
        <v>30048.528214077953</v>
      </c>
      <c r="BH217" s="195">
        <f t="shared" si="45"/>
        <v>30119.851051401867</v>
      </c>
      <c r="BI217" s="195">
        <f t="shared" si="45"/>
        <v>30212.172767203512</v>
      </c>
      <c r="BJ217" s="195">
        <f t="shared" si="45"/>
        <v>30322.239812371739</v>
      </c>
      <c r="BK217" s="195">
        <f t="shared" si="45"/>
        <v>30447.558616647129</v>
      </c>
      <c r="BL217" s="195">
        <f t="shared" si="45"/>
        <v>30586.905737704918</v>
      </c>
      <c r="BM217" s="195">
        <f t="shared" si="45"/>
        <v>30712.21086448598</v>
      </c>
      <c r="BN217" s="195">
        <f t="shared" si="45"/>
        <v>30831.958041958042</v>
      </c>
      <c r="BO217" s="195">
        <f t="shared" si="45"/>
        <v>30928.204532248696</v>
      </c>
      <c r="BP217" s="195">
        <f t="shared" si="45"/>
        <v>31007.995365005794</v>
      </c>
      <c r="BQ217" s="195">
        <f t="shared" si="45"/>
        <v>31054.881571346043</v>
      </c>
    </row>
    <row r="218" spans="1:69" s="105" customFormat="1">
      <c r="A218" s="105">
        <f>$A$47</f>
        <v>30</v>
      </c>
      <c r="B218" s="114"/>
      <c r="C218" s="114"/>
      <c r="D218" s="114"/>
      <c r="E218" s="114"/>
      <c r="F218" s="114"/>
      <c r="G218" s="114"/>
      <c r="H218" s="114"/>
      <c r="I218" s="114"/>
      <c r="J218" s="114"/>
      <c r="K218" s="114"/>
      <c r="L218" s="114"/>
      <c r="M218" s="195">
        <f>M$47*M$354</f>
        <v>25066.15525114155</v>
      </c>
      <c r="N218" s="195">
        <f t="shared" ref="N218:BQ218" si="46">N$47*N$354</f>
        <v>27396.851063829785</v>
      </c>
      <c r="O218" s="195">
        <f t="shared" si="46"/>
        <v>28230.511269928535</v>
      </c>
      <c r="P218" s="195">
        <f t="shared" si="46"/>
        <v>30381.973581973583</v>
      </c>
      <c r="Q218" s="195">
        <f t="shared" si="46"/>
        <v>30731.057740169239</v>
      </c>
      <c r="R218" s="195">
        <f t="shared" si="46"/>
        <v>30392.153690596562</v>
      </c>
      <c r="S218" s="195">
        <f t="shared" si="46"/>
        <v>29758.414634146342</v>
      </c>
      <c r="T218" s="195">
        <f t="shared" si="46"/>
        <v>28924.103637791155</v>
      </c>
      <c r="U218" s="195">
        <f t="shared" si="46"/>
        <v>28851.590367822173</v>
      </c>
      <c r="V218" s="195">
        <f t="shared" si="46"/>
        <v>28659.135869565216</v>
      </c>
      <c r="W218" s="195">
        <f t="shared" si="46"/>
        <v>28461.19977985691</v>
      </c>
      <c r="X218" s="195">
        <f t="shared" si="46"/>
        <v>28515.95835710211</v>
      </c>
      <c r="Y218" s="195">
        <f t="shared" si="46"/>
        <v>28137.70956316411</v>
      </c>
      <c r="Z218" s="195">
        <f t="shared" si="46"/>
        <v>28820.220289855071</v>
      </c>
      <c r="AA218" s="195">
        <f t="shared" si="46"/>
        <v>28593.638790035584</v>
      </c>
      <c r="AB218" s="195">
        <f t="shared" si="46"/>
        <v>27898.143564356433</v>
      </c>
      <c r="AC218" s="195">
        <f t="shared" si="46"/>
        <v>27680.100093837973</v>
      </c>
      <c r="AD218" s="195">
        <f t="shared" si="46"/>
        <v>28389.904468412944</v>
      </c>
      <c r="AE218" s="195">
        <f t="shared" si="46"/>
        <v>28562.459777227723</v>
      </c>
      <c r="AF218" s="195">
        <f t="shared" si="46"/>
        <v>29261.369696969698</v>
      </c>
      <c r="AG218" s="195">
        <f t="shared" si="46"/>
        <v>30556.079346557759</v>
      </c>
      <c r="AH218" s="195">
        <f t="shared" si="46"/>
        <v>31633.910960834037</v>
      </c>
      <c r="AI218" s="195">
        <f t="shared" si="46"/>
        <v>31542.271562766866</v>
      </c>
      <c r="AJ218" s="195">
        <f t="shared" si="46"/>
        <v>32406.787003610109</v>
      </c>
      <c r="AK218" s="195">
        <f t="shared" si="46"/>
        <v>32377.284749577942</v>
      </c>
      <c r="AL218" s="195">
        <f t="shared" si="46"/>
        <v>32312.84858853721</v>
      </c>
      <c r="AM218" s="195">
        <f t="shared" si="46"/>
        <v>32275.86147186147</v>
      </c>
      <c r="AN218" s="195">
        <f t="shared" si="46"/>
        <v>31391.743772241993</v>
      </c>
      <c r="AO218" s="195">
        <f t="shared" si="46"/>
        <v>31452.02971768202</v>
      </c>
      <c r="AP218" s="195">
        <f t="shared" si="46"/>
        <v>31167.728894173604</v>
      </c>
      <c r="AQ218" s="195">
        <f t="shared" si="46"/>
        <v>31391.436950146628</v>
      </c>
      <c r="AR218" s="195">
        <f t="shared" si="46"/>
        <v>30727.006057109895</v>
      </c>
      <c r="AS218" s="195">
        <f t="shared" si="46"/>
        <v>30398.391131324614</v>
      </c>
      <c r="AT218" s="195">
        <f t="shared" si="46"/>
        <v>30521.504772599663</v>
      </c>
      <c r="AU218" s="195">
        <f t="shared" si="46"/>
        <v>30076.529477196887</v>
      </c>
      <c r="AV218" s="195">
        <f t="shared" si="46"/>
        <v>30056.048632218844</v>
      </c>
      <c r="AW218" s="195">
        <f t="shared" si="46"/>
        <v>30020.756950178915</v>
      </c>
      <c r="AX218" s="195">
        <f t="shared" si="46"/>
        <v>29966.285714285714</v>
      </c>
      <c r="AY218" s="195">
        <f t="shared" si="46"/>
        <v>30058.088437242517</v>
      </c>
      <c r="AZ218" s="195">
        <f t="shared" si="46"/>
        <v>30122.583218707015</v>
      </c>
      <c r="BA218" s="195">
        <f t="shared" si="46"/>
        <v>30171.62251655629</v>
      </c>
      <c r="BB218" s="195">
        <f t="shared" si="46"/>
        <v>30207.272727272728</v>
      </c>
      <c r="BC218" s="195">
        <f t="shared" si="46"/>
        <v>30227.138478684872</v>
      </c>
      <c r="BD218" s="195">
        <f t="shared" si="46"/>
        <v>30245.355941704034</v>
      </c>
      <c r="BE218" s="195">
        <f t="shared" si="46"/>
        <v>30276.523702031605</v>
      </c>
      <c r="BF218" s="195">
        <f t="shared" si="46"/>
        <v>30298.762067007385</v>
      </c>
      <c r="BG218" s="195">
        <f t="shared" si="46"/>
        <v>30333.367609254499</v>
      </c>
      <c r="BH218" s="195">
        <f t="shared" si="46"/>
        <v>30387.697387309792</v>
      </c>
      <c r="BI218" s="195">
        <f t="shared" si="46"/>
        <v>30457.982127414238</v>
      </c>
      <c r="BJ218" s="195">
        <f t="shared" si="46"/>
        <v>30560.07225433526</v>
      </c>
      <c r="BK218" s="195">
        <f t="shared" si="46"/>
        <v>30669.39814814815</v>
      </c>
      <c r="BL218" s="195">
        <f t="shared" si="46"/>
        <v>30783.234017934628</v>
      </c>
      <c r="BM218" s="195">
        <f t="shared" si="46"/>
        <v>30922.068766252531</v>
      </c>
      <c r="BN218" s="195">
        <f t="shared" si="46"/>
        <v>31047.016431248197</v>
      </c>
      <c r="BO218" s="195">
        <f t="shared" si="46"/>
        <v>31157.576193214489</v>
      </c>
      <c r="BP218" s="195">
        <f t="shared" si="46"/>
        <v>31262.727272727276</v>
      </c>
      <c r="BQ218" s="195">
        <f t="shared" si="46"/>
        <v>31342.553617386329</v>
      </c>
    </row>
    <row r="219" spans="1:69" s="105" customFormat="1">
      <c r="A219" s="105">
        <f>$A$48</f>
        <v>31</v>
      </c>
      <c r="B219" s="114"/>
      <c r="C219" s="114"/>
      <c r="D219" s="114"/>
      <c r="E219" s="114"/>
      <c r="F219" s="114"/>
      <c r="G219" s="114"/>
      <c r="H219" s="114"/>
      <c r="I219" s="114"/>
      <c r="J219" s="114"/>
      <c r="K219" s="114"/>
      <c r="L219" s="114"/>
      <c r="M219" s="195">
        <f>M$48*M$355</f>
        <v>24625.167286245352</v>
      </c>
      <c r="N219" s="195">
        <f t="shared" ref="N219:BQ219" si="47">N$48*N$355</f>
        <v>25958.53325415677</v>
      </c>
      <c r="O219" s="195">
        <f t="shared" si="47"/>
        <v>28178.498331479423</v>
      </c>
      <c r="P219" s="195">
        <f t="shared" si="47"/>
        <v>29261.368677305923</v>
      </c>
      <c r="Q219" s="195">
        <f t="shared" si="47"/>
        <v>30531.829112304935</v>
      </c>
      <c r="R219" s="195">
        <f t="shared" si="47"/>
        <v>30993.347311297483</v>
      </c>
      <c r="S219" s="195">
        <f t="shared" si="47"/>
        <v>30706.227454909818</v>
      </c>
      <c r="T219" s="195">
        <f t="shared" si="47"/>
        <v>30264.300100704935</v>
      </c>
      <c r="U219" s="195">
        <f t="shared" si="47"/>
        <v>29421.197511664075</v>
      </c>
      <c r="V219" s="195">
        <f t="shared" si="47"/>
        <v>29347.449541284404</v>
      </c>
      <c r="W219" s="195">
        <f t="shared" si="47"/>
        <v>29148.121636167922</v>
      </c>
      <c r="X219" s="195">
        <f t="shared" si="47"/>
        <v>28940.926430517713</v>
      </c>
      <c r="Y219" s="195">
        <f t="shared" si="47"/>
        <v>28994.082439299829</v>
      </c>
      <c r="Z219" s="195">
        <f t="shared" si="47"/>
        <v>28600.011678832117</v>
      </c>
      <c r="AA219" s="195">
        <f t="shared" si="47"/>
        <v>29299.254159495122</v>
      </c>
      <c r="AB219" s="195">
        <f t="shared" si="47"/>
        <v>29062.394366197186</v>
      </c>
      <c r="AC219" s="195">
        <f t="shared" si="47"/>
        <v>28358.329764453963</v>
      </c>
      <c r="AD219" s="195">
        <f t="shared" si="47"/>
        <v>28141.261985771729</v>
      </c>
      <c r="AE219" s="195">
        <f t="shared" si="47"/>
        <v>28839.561243144424</v>
      </c>
      <c r="AF219" s="195">
        <f t="shared" si="47"/>
        <v>29001.113490364023</v>
      </c>
      <c r="AG219" s="195">
        <f t="shared" si="47"/>
        <v>29700.188792328438</v>
      </c>
      <c r="AH219" s="195">
        <f t="shared" si="47"/>
        <v>30983.913419913421</v>
      </c>
      <c r="AI219" s="195">
        <f t="shared" si="47"/>
        <v>32053.918014500836</v>
      </c>
      <c r="AJ219" s="195">
        <f t="shared" si="47"/>
        <v>31970.214084507043</v>
      </c>
      <c r="AK219" s="195">
        <f t="shared" si="47"/>
        <v>32815.549752611325</v>
      </c>
      <c r="AL219" s="195">
        <f t="shared" si="47"/>
        <v>32785.341130604284</v>
      </c>
      <c r="AM219" s="195">
        <f t="shared" si="47"/>
        <v>32737.533163985321</v>
      </c>
      <c r="AN219" s="195">
        <f t="shared" si="47"/>
        <v>32671.079383209591</v>
      </c>
      <c r="AO219" s="195">
        <f t="shared" si="47"/>
        <v>31787.15165737753</v>
      </c>
      <c r="AP219" s="195">
        <f t="shared" si="47"/>
        <v>31855.343915343914</v>
      </c>
      <c r="AQ219" s="195">
        <f t="shared" si="47"/>
        <v>31573.076470588232</v>
      </c>
      <c r="AR219" s="195">
        <f t="shared" si="47"/>
        <v>31788.308674209457</v>
      </c>
      <c r="AS219" s="195">
        <f t="shared" si="47"/>
        <v>31127.33732876712</v>
      </c>
      <c r="AT219" s="195">
        <f t="shared" si="47"/>
        <v>30790.42194092827</v>
      </c>
      <c r="AU219" s="195">
        <f t="shared" si="47"/>
        <v>30924.901361489305</v>
      </c>
      <c r="AV219" s="195">
        <f t="shared" si="47"/>
        <v>30471.78640242224</v>
      </c>
      <c r="AW219" s="195">
        <f t="shared" si="47"/>
        <v>30460.229759299782</v>
      </c>
      <c r="AX219" s="195">
        <f t="shared" si="47"/>
        <v>30407.141689373297</v>
      </c>
      <c r="AY219" s="195">
        <f t="shared" si="47"/>
        <v>30363.209137884143</v>
      </c>
      <c r="AZ219" s="195">
        <f t="shared" si="47"/>
        <v>30452.767808591623</v>
      </c>
      <c r="BA219" s="195">
        <f t="shared" si="47"/>
        <v>30527.058823529413</v>
      </c>
      <c r="BB219" s="195">
        <f t="shared" si="47"/>
        <v>30575.662387325869</v>
      </c>
      <c r="BC219" s="195">
        <f t="shared" si="47"/>
        <v>30600.592592592591</v>
      </c>
      <c r="BD219" s="195">
        <f t="shared" si="47"/>
        <v>30630.148924434638</v>
      </c>
      <c r="BE219" s="195">
        <f t="shared" si="47"/>
        <v>30645.843507214206</v>
      </c>
      <c r="BF219" s="195">
        <f t="shared" si="47"/>
        <v>30667.746439542028</v>
      </c>
      <c r="BG219" s="195">
        <f t="shared" si="47"/>
        <v>30691.565046361338</v>
      </c>
      <c r="BH219" s="195">
        <f t="shared" si="47"/>
        <v>30733.648954211421</v>
      </c>
      <c r="BI219" s="195">
        <f t="shared" si="47"/>
        <v>30787.272727272728</v>
      </c>
      <c r="BJ219" s="195">
        <f t="shared" si="47"/>
        <v>30856.976611523107</v>
      </c>
      <c r="BK219" s="195">
        <f t="shared" si="47"/>
        <v>30950.357449242209</v>
      </c>
      <c r="BL219" s="195">
        <f t="shared" si="47"/>
        <v>31067.394789579161</v>
      </c>
      <c r="BM219" s="195">
        <f t="shared" si="47"/>
        <v>31180.812821980537</v>
      </c>
      <c r="BN219" s="195">
        <f t="shared" si="47"/>
        <v>31319.382504288162</v>
      </c>
      <c r="BO219" s="195">
        <f t="shared" si="47"/>
        <v>31444.107244723335</v>
      </c>
      <c r="BP219" s="195">
        <f t="shared" si="47"/>
        <v>31554.537695590327</v>
      </c>
      <c r="BQ219" s="195">
        <f t="shared" si="47"/>
        <v>31659.670828603859</v>
      </c>
    </row>
    <row r="220" spans="1:69" s="105" customFormat="1">
      <c r="A220" s="105">
        <f>$A$49</f>
        <v>32</v>
      </c>
      <c r="B220" s="114"/>
      <c r="C220" s="114"/>
      <c r="D220" s="114"/>
      <c r="E220" s="114"/>
      <c r="F220" s="114"/>
      <c r="G220" s="114"/>
      <c r="H220" s="114"/>
      <c r="I220" s="114"/>
      <c r="J220" s="114"/>
      <c r="K220" s="114"/>
      <c r="L220" s="114"/>
      <c r="M220" s="195">
        <f>M$49*M$356</f>
        <v>24592.362620304255</v>
      </c>
      <c r="N220" s="195">
        <f t="shared" ref="N220:BQ220" si="48">N$49*N$356</f>
        <v>25574.445794108717</v>
      </c>
      <c r="O220" s="195">
        <f t="shared" si="48"/>
        <v>26655.692577440095</v>
      </c>
      <c r="P220" s="195">
        <f t="shared" si="48"/>
        <v>29189.999999999996</v>
      </c>
      <c r="Q220" s="195">
        <f t="shared" si="48"/>
        <v>29463.964084695792</v>
      </c>
      <c r="R220" s="195">
        <f t="shared" si="48"/>
        <v>30820.722095092806</v>
      </c>
      <c r="S220" s="195">
        <f t="shared" si="48"/>
        <v>31315.448749386956</v>
      </c>
      <c r="T220" s="195">
        <f t="shared" si="48"/>
        <v>31143.242031872509</v>
      </c>
      <c r="U220" s="195">
        <f t="shared" si="48"/>
        <v>30708.38838838839</v>
      </c>
      <c r="V220" s="195">
        <f t="shared" si="48"/>
        <v>29847.975270479135</v>
      </c>
      <c r="W220" s="195">
        <f t="shared" si="48"/>
        <v>29765.407658244334</v>
      </c>
      <c r="X220" s="195">
        <f t="shared" si="48"/>
        <v>29547.898395721924</v>
      </c>
      <c r="Y220" s="195">
        <f t="shared" si="48"/>
        <v>29341.293640054126</v>
      </c>
      <c r="Z220" s="195">
        <f t="shared" si="48"/>
        <v>29388.74684608915</v>
      </c>
      <c r="AA220" s="195">
        <f t="shared" si="48"/>
        <v>28991.243838793853</v>
      </c>
      <c r="AB220" s="195">
        <f t="shared" si="48"/>
        <v>29683.051282051281</v>
      </c>
      <c r="AC220" s="195">
        <f t="shared" si="48"/>
        <v>29427.713370230122</v>
      </c>
      <c r="AD220" s="195">
        <f t="shared" si="48"/>
        <v>28732.948679016095</v>
      </c>
      <c r="AE220" s="195">
        <f t="shared" si="48"/>
        <v>28504.604051565377</v>
      </c>
      <c r="AF220" s="195">
        <f t="shared" si="48"/>
        <v>29203.959467634602</v>
      </c>
      <c r="AG220" s="195">
        <f t="shared" si="48"/>
        <v>29365.882174309143</v>
      </c>
      <c r="AH220" s="195">
        <f t="shared" si="48"/>
        <v>30054.108896161855</v>
      </c>
      <c r="AI220" s="195">
        <f t="shared" si="48"/>
        <v>31338.033820578963</v>
      </c>
      <c r="AJ220" s="195">
        <f t="shared" si="48"/>
        <v>32416.263157894737</v>
      </c>
      <c r="AK220" s="195">
        <f t="shared" si="48"/>
        <v>32313.531057638498</v>
      </c>
      <c r="AL220" s="195">
        <f t="shared" si="48"/>
        <v>33167.039868924083</v>
      </c>
      <c r="AM220" s="195">
        <f t="shared" si="48"/>
        <v>33136.921161825725</v>
      </c>
      <c r="AN220" s="195">
        <f t="shared" si="48"/>
        <v>33071.804932735431</v>
      </c>
      <c r="AO220" s="195">
        <f t="shared" si="48"/>
        <v>33022.748156551337</v>
      </c>
      <c r="AP220" s="195">
        <f t="shared" si="48"/>
        <v>32138.89892222546</v>
      </c>
      <c r="AQ220" s="195">
        <f t="shared" si="48"/>
        <v>32195.586690017513</v>
      </c>
      <c r="AR220" s="195">
        <f t="shared" si="48"/>
        <v>31904.233576642338</v>
      </c>
      <c r="AS220" s="195">
        <f t="shared" si="48"/>
        <v>32108.372695852533</v>
      </c>
      <c r="AT220" s="195">
        <f t="shared" si="48"/>
        <v>31448.824029470103</v>
      </c>
      <c r="AU220" s="195">
        <f t="shared" si="48"/>
        <v>31123.533519553072</v>
      </c>
      <c r="AV220" s="195">
        <f t="shared" si="48"/>
        <v>31256.306927960253</v>
      </c>
      <c r="AW220" s="195">
        <f t="shared" si="48"/>
        <v>30803.850150396502</v>
      </c>
      <c r="AX220" s="195">
        <f t="shared" si="48"/>
        <v>30784.180929095357</v>
      </c>
      <c r="AY220" s="195">
        <f t="shared" si="48"/>
        <v>30731.258457374832</v>
      </c>
      <c r="AZ220" s="195">
        <f t="shared" si="48"/>
        <v>30677.341977309563</v>
      </c>
      <c r="BA220" s="195">
        <f t="shared" si="48"/>
        <v>30785.251215559158</v>
      </c>
      <c r="BB220" s="195">
        <f t="shared" si="48"/>
        <v>30849.242424242428</v>
      </c>
      <c r="BC220" s="195">
        <f t="shared" si="48"/>
        <v>30899.826322930803</v>
      </c>
      <c r="BD220" s="195">
        <f t="shared" si="48"/>
        <v>30924.340599455041</v>
      </c>
      <c r="BE220" s="195">
        <f t="shared" si="48"/>
        <v>30953.711311969324</v>
      </c>
      <c r="BF220" s="195">
        <f t="shared" si="48"/>
        <v>30969.170570405069</v>
      </c>
      <c r="BG220" s="195">
        <f t="shared" si="48"/>
        <v>30990.806988352746</v>
      </c>
      <c r="BH220" s="195">
        <f t="shared" si="48"/>
        <v>31023.030979626012</v>
      </c>
      <c r="BI220" s="195">
        <f t="shared" si="48"/>
        <v>31064.924199887704</v>
      </c>
      <c r="BJ220" s="195">
        <f t="shared" si="48"/>
        <v>31110.194695259594</v>
      </c>
      <c r="BK220" s="195">
        <f t="shared" si="48"/>
        <v>31179.06542056075</v>
      </c>
      <c r="BL220" s="195">
        <f t="shared" si="48"/>
        <v>31261.362862010221</v>
      </c>
      <c r="BM220" s="195">
        <f t="shared" si="48"/>
        <v>31378.183627060833</v>
      </c>
      <c r="BN220" s="195">
        <f t="shared" si="48"/>
        <v>31502.381358340441</v>
      </c>
      <c r="BO220" s="195">
        <f t="shared" si="48"/>
        <v>31640.874254896396</v>
      </c>
      <c r="BP220" s="195">
        <f t="shared" si="48"/>
        <v>31765.505522514868</v>
      </c>
      <c r="BQ220" s="195">
        <f t="shared" si="48"/>
        <v>31884.888386549872</v>
      </c>
    </row>
    <row r="221" spans="1:69" s="105" customFormat="1">
      <c r="A221" s="105">
        <f>$A$50</f>
        <v>33</v>
      </c>
      <c r="B221" s="114"/>
      <c r="C221" s="114"/>
      <c r="D221" s="114"/>
      <c r="E221" s="114"/>
      <c r="F221" s="114"/>
      <c r="G221" s="114"/>
      <c r="H221" s="114"/>
      <c r="I221" s="114"/>
      <c r="J221" s="114"/>
      <c r="K221" s="114"/>
      <c r="L221" s="114"/>
      <c r="M221" s="195">
        <f>M$50*M$357</f>
        <v>24134.216560509551</v>
      </c>
      <c r="N221" s="195">
        <f t="shared" ref="N221:BQ221" si="49">N$50*N$357</f>
        <v>25268.134556574922</v>
      </c>
      <c r="O221" s="195">
        <f t="shared" si="49"/>
        <v>26154.745050989801</v>
      </c>
      <c r="P221" s="195">
        <f t="shared" si="49"/>
        <v>27432.981186685964</v>
      </c>
      <c r="Q221" s="195">
        <f t="shared" si="49"/>
        <v>29377.618008185538</v>
      </c>
      <c r="R221" s="195">
        <f t="shared" si="49"/>
        <v>29709.602454642478</v>
      </c>
      <c r="S221" s="195">
        <f t="shared" si="49"/>
        <v>31093.832911392405</v>
      </c>
      <c r="T221" s="195">
        <f t="shared" si="49"/>
        <v>31677.911577918905</v>
      </c>
      <c r="U221" s="195">
        <f t="shared" si="49"/>
        <v>31504.600694444442</v>
      </c>
      <c r="V221" s="195">
        <f t="shared" si="49"/>
        <v>31034.301021679541</v>
      </c>
      <c r="W221" s="195">
        <f t="shared" si="49"/>
        <v>30172.247306310928</v>
      </c>
      <c r="X221" s="195">
        <f t="shared" si="49"/>
        <v>30080.612033195019</v>
      </c>
      <c r="Y221" s="195">
        <f t="shared" si="49"/>
        <v>29863.856800638805</v>
      </c>
      <c r="Z221" s="195">
        <f t="shared" si="49"/>
        <v>29637.671786580435</v>
      </c>
      <c r="AA221" s="195">
        <f t="shared" si="49"/>
        <v>29683.231928551493</v>
      </c>
      <c r="AB221" s="195">
        <f t="shared" si="49"/>
        <v>29277.559145989613</v>
      </c>
      <c r="AC221" s="195">
        <f t="shared" si="49"/>
        <v>29959.087042812589</v>
      </c>
      <c r="AD221" s="195">
        <f t="shared" si="49"/>
        <v>29703.678260869565</v>
      </c>
      <c r="AE221" s="195">
        <f t="shared" si="49"/>
        <v>28997.885196374624</v>
      </c>
      <c r="AF221" s="195">
        <f t="shared" si="49"/>
        <v>28778.521686010998</v>
      </c>
      <c r="AG221" s="195">
        <f t="shared" si="49"/>
        <v>29457.995786939515</v>
      </c>
      <c r="AH221" s="195">
        <f t="shared" si="49"/>
        <v>29619.776435045318</v>
      </c>
      <c r="AI221" s="195">
        <f t="shared" si="49"/>
        <v>30296.968620485495</v>
      </c>
      <c r="AJ221" s="195">
        <f t="shared" si="49"/>
        <v>31580.912721049626</v>
      </c>
      <c r="AK221" s="195">
        <f t="shared" si="49"/>
        <v>32648.254755996688</v>
      </c>
      <c r="AL221" s="195">
        <f t="shared" si="49"/>
        <v>32545.252018936229</v>
      </c>
      <c r="AM221" s="195">
        <f t="shared" si="49"/>
        <v>33379.46181027453</v>
      </c>
      <c r="AN221" s="195">
        <f t="shared" si="49"/>
        <v>33348.535242290753</v>
      </c>
      <c r="AO221" s="195">
        <f t="shared" si="49"/>
        <v>33279.218967921894</v>
      </c>
      <c r="AP221" s="195">
        <f t="shared" si="49"/>
        <v>33229.29720575783</v>
      </c>
      <c r="AQ221" s="195">
        <f t="shared" si="49"/>
        <v>32345.611594202899</v>
      </c>
      <c r="AR221" s="195">
        <f t="shared" si="49"/>
        <v>32393.874528027882</v>
      </c>
      <c r="AS221" s="195">
        <f t="shared" si="49"/>
        <v>32123.097036606625</v>
      </c>
      <c r="AT221" s="195">
        <f t="shared" si="49"/>
        <v>32316.526225279449</v>
      </c>
      <c r="AU221" s="195">
        <f t="shared" si="49"/>
        <v>31660.673998871967</v>
      </c>
      <c r="AV221" s="195">
        <f t="shared" si="49"/>
        <v>31327.136502641093</v>
      </c>
      <c r="AW221" s="195">
        <f t="shared" si="49"/>
        <v>31460.807692307691</v>
      </c>
      <c r="AX221" s="195">
        <f t="shared" si="49"/>
        <v>31002.400000000001</v>
      </c>
      <c r="AY221" s="195">
        <f t="shared" si="49"/>
        <v>30981.611681990264</v>
      </c>
      <c r="AZ221" s="195">
        <f t="shared" si="49"/>
        <v>30939.536637931033</v>
      </c>
      <c r="BA221" s="195">
        <f t="shared" si="49"/>
        <v>30886.012368916377</v>
      </c>
      <c r="BB221" s="195">
        <f t="shared" si="49"/>
        <v>30983.393385318635</v>
      </c>
      <c r="BC221" s="195">
        <f t="shared" si="49"/>
        <v>31048.906838987612</v>
      </c>
      <c r="BD221" s="195">
        <f t="shared" si="49"/>
        <v>31088.725357817988</v>
      </c>
      <c r="BE221" s="195">
        <f t="shared" si="49"/>
        <v>31131.421209655546</v>
      </c>
      <c r="BF221" s="195">
        <f t="shared" si="49"/>
        <v>31149.743729552891</v>
      </c>
      <c r="BG221" s="195">
        <f t="shared" si="49"/>
        <v>31164.454196379593</v>
      </c>
      <c r="BH221" s="195">
        <f t="shared" si="49"/>
        <v>31195.868065139388</v>
      </c>
      <c r="BI221" s="195">
        <f t="shared" si="49"/>
        <v>31208.031102471537</v>
      </c>
      <c r="BJ221" s="195">
        <f t="shared" si="49"/>
        <v>31249.036312849163</v>
      </c>
      <c r="BK221" s="195">
        <f t="shared" si="49"/>
        <v>31312.403144300955</v>
      </c>
      <c r="BL221" s="195">
        <f t="shared" si="49"/>
        <v>31381.285231116122</v>
      </c>
      <c r="BM221" s="195">
        <f t="shared" si="49"/>
        <v>31462.966939813508</v>
      </c>
      <c r="BN221" s="195">
        <f t="shared" si="49"/>
        <v>31579.289957567187</v>
      </c>
      <c r="BO221" s="195">
        <f t="shared" si="49"/>
        <v>31703.110859728506</v>
      </c>
      <c r="BP221" s="195">
        <f t="shared" si="49"/>
        <v>31832.329850324768</v>
      </c>
      <c r="BQ221" s="195">
        <f t="shared" si="49"/>
        <v>31965.727170236754</v>
      </c>
    </row>
    <row r="222" spans="1:69" s="105" customFormat="1">
      <c r="A222" s="105">
        <f>$A$51</f>
        <v>34</v>
      </c>
      <c r="B222" s="114"/>
      <c r="C222" s="114"/>
      <c r="D222" s="114"/>
      <c r="E222" s="114"/>
      <c r="F222" s="114"/>
      <c r="G222" s="114"/>
      <c r="H222" s="114"/>
      <c r="I222" s="114"/>
      <c r="J222" s="114"/>
      <c r="K222" s="114"/>
      <c r="L222" s="114"/>
      <c r="M222" s="195">
        <f>M$51*M$358</f>
        <v>23785.056433408579</v>
      </c>
      <c r="N222" s="195">
        <f t="shared" ref="N222:BQ222" si="50">N$51*N$358</f>
        <v>24942.913657770801</v>
      </c>
      <c r="O222" s="195">
        <f t="shared" si="50"/>
        <v>25909.38917447838</v>
      </c>
      <c r="P222" s="195">
        <f t="shared" si="50"/>
        <v>26987.241379310344</v>
      </c>
      <c r="Q222" s="195">
        <f t="shared" si="50"/>
        <v>27653.78090856814</v>
      </c>
      <c r="R222" s="195">
        <f t="shared" si="50"/>
        <v>29661.456126052701</v>
      </c>
      <c r="S222" s="195">
        <f t="shared" si="50"/>
        <v>30017.417640807653</v>
      </c>
      <c r="T222" s="195">
        <f t="shared" si="50"/>
        <v>31452.743318204743</v>
      </c>
      <c r="U222" s="195">
        <f t="shared" si="50"/>
        <v>32025.576642335767</v>
      </c>
      <c r="V222" s="195">
        <f t="shared" si="50"/>
        <v>31843.22134387352</v>
      </c>
      <c r="W222" s="195">
        <f t="shared" si="50"/>
        <v>31352.692975924547</v>
      </c>
      <c r="X222" s="195">
        <f t="shared" si="50"/>
        <v>30481.165048543688</v>
      </c>
      <c r="Y222" s="195">
        <f t="shared" si="50"/>
        <v>30370.237603305784</v>
      </c>
      <c r="Z222" s="195">
        <f t="shared" si="50"/>
        <v>30144.044526901671</v>
      </c>
      <c r="AA222" s="195">
        <f t="shared" si="50"/>
        <v>29910.214592274679</v>
      </c>
      <c r="AB222" s="195">
        <f t="shared" si="50"/>
        <v>29945.488888888889</v>
      </c>
      <c r="AC222" s="195">
        <f t="shared" si="50"/>
        <v>29537.650775416427</v>
      </c>
      <c r="AD222" s="195">
        <f t="shared" si="50"/>
        <v>30200.225733634314</v>
      </c>
      <c r="AE222" s="195">
        <f t="shared" si="50"/>
        <v>29942.388920946334</v>
      </c>
      <c r="AF222" s="195">
        <f t="shared" si="50"/>
        <v>29227.421100090171</v>
      </c>
      <c r="AG222" s="195">
        <f t="shared" si="50"/>
        <v>28997.210574293531</v>
      </c>
      <c r="AH222" s="195">
        <f t="shared" si="50"/>
        <v>29676.359281437126</v>
      </c>
      <c r="AI222" s="195">
        <f t="shared" si="50"/>
        <v>29826.696723775174</v>
      </c>
      <c r="AJ222" s="195">
        <f t="shared" si="50"/>
        <v>30503.899852724597</v>
      </c>
      <c r="AK222" s="195">
        <f t="shared" si="50"/>
        <v>31776.599489071814</v>
      </c>
      <c r="AL222" s="195">
        <f t="shared" si="50"/>
        <v>32832.991218441275</v>
      </c>
      <c r="AM222" s="195">
        <f t="shared" si="50"/>
        <v>32718.292682926833</v>
      </c>
      <c r="AN222" s="195">
        <f t="shared" si="50"/>
        <v>33571.796536796537</v>
      </c>
      <c r="AO222" s="195">
        <f t="shared" si="50"/>
        <v>33528.528363935329</v>
      </c>
      <c r="AP222" s="195">
        <f t="shared" si="50"/>
        <v>33450.016657412547</v>
      </c>
      <c r="AQ222" s="195">
        <f t="shared" si="50"/>
        <v>33399.101123595508</v>
      </c>
      <c r="AR222" s="195">
        <f t="shared" si="50"/>
        <v>32515.552350735503</v>
      </c>
      <c r="AS222" s="195">
        <f t="shared" si="50"/>
        <v>32571.54624277457</v>
      </c>
      <c r="AT222" s="195">
        <f t="shared" si="50"/>
        <v>32282.202948829141</v>
      </c>
      <c r="AU222" s="195">
        <f t="shared" si="50"/>
        <v>32476.56018254421</v>
      </c>
      <c r="AV222" s="195">
        <f t="shared" si="50"/>
        <v>31825.203480213302</v>
      </c>
      <c r="AW222" s="195">
        <f t="shared" si="50"/>
        <v>31494.631986718316</v>
      </c>
      <c r="AX222" s="195">
        <f t="shared" si="50"/>
        <v>31626.661197703037</v>
      </c>
      <c r="AY222" s="195">
        <f t="shared" si="50"/>
        <v>31171.58222703874</v>
      </c>
      <c r="AZ222" s="195">
        <f t="shared" si="50"/>
        <v>31143.22476446837</v>
      </c>
      <c r="BA222" s="195">
        <f t="shared" si="50"/>
        <v>31109.911504424777</v>
      </c>
      <c r="BB222" s="195">
        <f t="shared" si="50"/>
        <v>31056.852248394003</v>
      </c>
      <c r="BC222" s="195">
        <f t="shared" si="50"/>
        <v>31145.770877944324</v>
      </c>
      <c r="BD222" s="195">
        <f t="shared" si="50"/>
        <v>31210.871080139375</v>
      </c>
      <c r="BE222" s="195">
        <f t="shared" si="50"/>
        <v>31258.25</v>
      </c>
      <c r="BF222" s="195">
        <f t="shared" si="50"/>
        <v>31289.886609071276</v>
      </c>
      <c r="BG222" s="195">
        <f t="shared" si="50"/>
        <v>31309.815468113979</v>
      </c>
      <c r="BH222" s="195">
        <f t="shared" si="50"/>
        <v>31342.375102375099</v>
      </c>
      <c r="BI222" s="195">
        <f t="shared" si="50"/>
        <v>31362.354395604398</v>
      </c>
      <c r="BJ222" s="195">
        <f t="shared" si="50"/>
        <v>31384.328358208957</v>
      </c>
      <c r="BK222" s="195">
        <f t="shared" si="50"/>
        <v>31424.509313316652</v>
      </c>
      <c r="BL222" s="195">
        <f t="shared" si="50"/>
        <v>31468.144733165685</v>
      </c>
      <c r="BM222" s="195">
        <f t="shared" si="50"/>
        <v>31544.359046283309</v>
      </c>
      <c r="BN222" s="195">
        <f t="shared" si="50"/>
        <v>31636.318897637797</v>
      </c>
      <c r="BO222" s="195">
        <f t="shared" si="50"/>
        <v>31752.094594594593</v>
      </c>
      <c r="BP222" s="195">
        <f t="shared" si="50"/>
        <v>31856.324233042498</v>
      </c>
      <c r="BQ222" s="195">
        <f t="shared" si="50"/>
        <v>31993.277121978641</v>
      </c>
    </row>
    <row r="223" spans="1:69" s="105" customFormat="1">
      <c r="A223" s="105">
        <f>$A$52</f>
        <v>35</v>
      </c>
      <c r="B223" s="114"/>
      <c r="C223" s="114"/>
      <c r="D223" s="114"/>
      <c r="E223" s="114"/>
      <c r="F223" s="114"/>
      <c r="G223" s="114"/>
      <c r="H223" s="114"/>
      <c r="I223" s="114"/>
      <c r="J223" s="114"/>
      <c r="K223" s="114"/>
      <c r="L223" s="114"/>
      <c r="M223" s="195">
        <f>M$52*M$359</f>
        <v>23552.241153342071</v>
      </c>
      <c r="N223" s="195">
        <f t="shared" ref="N223:BQ223" si="51">N$52*N$359</f>
        <v>24602.441897484878</v>
      </c>
      <c r="O223" s="195">
        <f t="shared" si="51"/>
        <v>25628.688626476072</v>
      </c>
      <c r="P223" s="195">
        <f t="shared" si="51"/>
        <v>26766.4107946027</v>
      </c>
      <c r="Q223" s="195">
        <f t="shared" si="51"/>
        <v>27266.981689308919</v>
      </c>
      <c r="R223" s="195">
        <f t="shared" si="51"/>
        <v>27985.927303949626</v>
      </c>
      <c r="S223" s="195">
        <f t="shared" si="51"/>
        <v>30034.307359307357</v>
      </c>
      <c r="T223" s="195">
        <f t="shared" si="51"/>
        <v>30398.491664461497</v>
      </c>
      <c r="U223" s="195">
        <f t="shared" si="51"/>
        <v>31822.57724189902</v>
      </c>
      <c r="V223" s="195">
        <f t="shared" si="51"/>
        <v>32375.060591371788</v>
      </c>
      <c r="W223" s="195">
        <f t="shared" si="51"/>
        <v>32173.582677165356</v>
      </c>
      <c r="X223" s="195">
        <f t="shared" si="51"/>
        <v>31687.80662710188</v>
      </c>
      <c r="Y223" s="195">
        <f t="shared" si="51"/>
        <v>30788.750636132318</v>
      </c>
      <c r="Z223" s="195">
        <f t="shared" si="51"/>
        <v>30678.397221507588</v>
      </c>
      <c r="AA223" s="195">
        <f t="shared" si="51"/>
        <v>30433.240960675637</v>
      </c>
      <c r="AB223" s="195">
        <f t="shared" si="51"/>
        <v>30197.65695965803</v>
      </c>
      <c r="AC223" s="195">
        <f t="shared" si="51"/>
        <v>30215.760508849558</v>
      </c>
      <c r="AD223" s="195">
        <f t="shared" si="51"/>
        <v>29797.873070325899</v>
      </c>
      <c r="AE223" s="195">
        <f t="shared" si="51"/>
        <v>30458.491149199213</v>
      </c>
      <c r="AF223" s="195">
        <f t="shared" si="51"/>
        <v>30192.294658242387</v>
      </c>
      <c r="AG223" s="195">
        <f t="shared" si="51"/>
        <v>29475.308198683422</v>
      </c>
      <c r="AH223" s="195">
        <f t="shared" si="51"/>
        <v>29236.419715754459</v>
      </c>
      <c r="AI223" s="195">
        <f t="shared" si="51"/>
        <v>29913.397913561847</v>
      </c>
      <c r="AJ223" s="195">
        <f t="shared" si="51"/>
        <v>30043.586598863298</v>
      </c>
      <c r="AK223" s="195">
        <f t="shared" si="51"/>
        <v>30720.844327176779</v>
      </c>
      <c r="AL223" s="195">
        <f t="shared" si="51"/>
        <v>31982.32269002543</v>
      </c>
      <c r="AM223" s="195">
        <f t="shared" si="51"/>
        <v>33047.881934954909</v>
      </c>
      <c r="AN223" s="195">
        <f t="shared" si="51"/>
        <v>32923.973509933778</v>
      </c>
      <c r="AO223" s="195">
        <f t="shared" si="51"/>
        <v>33767.259498787389</v>
      </c>
      <c r="AP223" s="195">
        <f t="shared" si="51"/>
        <v>33714.351978171901</v>
      </c>
      <c r="AQ223" s="195">
        <f t="shared" si="51"/>
        <v>33652.640309648879</v>
      </c>
      <c r="AR223" s="195">
        <f t="shared" si="51"/>
        <v>33591.94630872483</v>
      </c>
      <c r="AS223" s="195">
        <f t="shared" si="51"/>
        <v>32696.81309216193</v>
      </c>
      <c r="AT223" s="195">
        <f t="shared" si="51"/>
        <v>32752.589182968928</v>
      </c>
      <c r="AU223" s="195">
        <f t="shared" si="51"/>
        <v>32463.884892086331</v>
      </c>
      <c r="AV223" s="195">
        <f t="shared" si="51"/>
        <v>32658.75638841567</v>
      </c>
      <c r="AW223" s="195">
        <f t="shared" si="51"/>
        <v>32009.877060631461</v>
      </c>
      <c r="AX223" s="195">
        <f t="shared" si="51"/>
        <v>31670.121212121212</v>
      </c>
      <c r="AY223" s="195">
        <f t="shared" si="51"/>
        <v>31802.736182956709</v>
      </c>
      <c r="AZ223" s="195">
        <f t="shared" si="51"/>
        <v>31349.031823085221</v>
      </c>
      <c r="BA223" s="195">
        <f t="shared" si="51"/>
        <v>31321.575984990621</v>
      </c>
      <c r="BB223" s="195">
        <f t="shared" si="51"/>
        <v>31288.651535380508</v>
      </c>
      <c r="BC223" s="195">
        <f t="shared" si="51"/>
        <v>31235.868869936035</v>
      </c>
      <c r="BD223" s="195">
        <f t="shared" si="51"/>
        <v>31324.584221748402</v>
      </c>
      <c r="BE223" s="195">
        <f t="shared" si="51"/>
        <v>31397.507339204698</v>
      </c>
      <c r="BF223" s="195">
        <f t="shared" si="51"/>
        <v>31436.493576017132</v>
      </c>
      <c r="BG223" s="195">
        <f t="shared" si="51"/>
        <v>31467.741935483868</v>
      </c>
      <c r="BH223" s="195">
        <f t="shared" si="51"/>
        <v>31487.27370980816</v>
      </c>
      <c r="BI223" s="195">
        <f t="shared" si="51"/>
        <v>31500.1875</v>
      </c>
      <c r="BJ223" s="195">
        <f t="shared" si="51"/>
        <v>31530.188679245282</v>
      </c>
      <c r="BK223" s="195">
        <f t="shared" si="51"/>
        <v>31560.272427077598</v>
      </c>
      <c r="BL223" s="195">
        <f t="shared" si="51"/>
        <v>31599.922502075839</v>
      </c>
      <c r="BM223" s="195">
        <f t="shared" si="51"/>
        <v>31643.048678720446</v>
      </c>
      <c r="BN223" s="195">
        <f t="shared" si="51"/>
        <v>31718.804803127616</v>
      </c>
      <c r="BO223" s="195">
        <f t="shared" si="51"/>
        <v>31810.369540873464</v>
      </c>
      <c r="BP223" s="195">
        <f t="shared" si="51"/>
        <v>31916.850658447744</v>
      </c>
      <c r="BQ223" s="195">
        <f t="shared" si="51"/>
        <v>32048.940879798261</v>
      </c>
    </row>
    <row r="224" spans="1:69" s="105" customFormat="1">
      <c r="A224" s="105">
        <f>$A$53</f>
        <v>36</v>
      </c>
      <c r="B224" s="114"/>
      <c r="C224" s="114"/>
      <c r="D224" s="114"/>
      <c r="E224" s="114"/>
      <c r="F224" s="114"/>
      <c r="G224" s="114"/>
      <c r="H224" s="114"/>
      <c r="I224" s="114"/>
      <c r="J224" s="114"/>
      <c r="K224" s="114"/>
      <c r="L224" s="114"/>
      <c r="M224" s="195">
        <f>M$53*M$360</f>
        <v>23118.296370967742</v>
      </c>
      <c r="N224" s="195">
        <f t="shared" ref="N224:BQ224" si="52">N$53*N$360</f>
        <v>24319.740932642489</v>
      </c>
      <c r="O224" s="195">
        <f t="shared" si="52"/>
        <v>25346.38284452854</v>
      </c>
      <c r="P224" s="195">
        <f t="shared" si="52"/>
        <v>26472.217082947889</v>
      </c>
      <c r="Q224" s="195">
        <f t="shared" si="52"/>
        <v>27122.301729278475</v>
      </c>
      <c r="R224" s="195">
        <f t="shared" si="52"/>
        <v>27661.988235294117</v>
      </c>
      <c r="S224" s="195">
        <f t="shared" si="52"/>
        <v>28418.180781294552</v>
      </c>
      <c r="T224" s="195">
        <f t="shared" si="52"/>
        <v>30466.175202156333</v>
      </c>
      <c r="U224" s="195">
        <f t="shared" si="52"/>
        <v>30827.70102820986</v>
      </c>
      <c r="V224" s="195">
        <f t="shared" si="52"/>
        <v>32249.997496871092</v>
      </c>
      <c r="W224" s="195">
        <f t="shared" si="52"/>
        <v>32803.86566803576</v>
      </c>
      <c r="X224" s="195">
        <f t="shared" si="52"/>
        <v>32575.82781456954</v>
      </c>
      <c r="Y224" s="195">
        <f t="shared" si="52"/>
        <v>32069.999999999996</v>
      </c>
      <c r="Z224" s="195">
        <f t="shared" si="52"/>
        <v>31150.816430020284</v>
      </c>
      <c r="AA224" s="195">
        <f t="shared" si="52"/>
        <v>31039.364265572927</v>
      </c>
      <c r="AB224" s="195">
        <f t="shared" si="52"/>
        <v>30786.575486586007</v>
      </c>
      <c r="AC224" s="195">
        <f t="shared" si="52"/>
        <v>30541.176470588234</v>
      </c>
      <c r="AD224" s="195">
        <f t="shared" si="52"/>
        <v>30545.041322314049</v>
      </c>
      <c r="AE224" s="195">
        <f t="shared" si="52"/>
        <v>30118.607630979499</v>
      </c>
      <c r="AF224" s="195">
        <f t="shared" si="52"/>
        <v>30779.076664801345</v>
      </c>
      <c r="AG224" s="195">
        <f t="shared" si="52"/>
        <v>30511.982265446222</v>
      </c>
      <c r="AH224" s="195">
        <f t="shared" si="52"/>
        <v>29776.705391718799</v>
      </c>
      <c r="AI224" s="195">
        <f t="shared" si="52"/>
        <v>29527.804878048781</v>
      </c>
      <c r="AJ224" s="195">
        <f t="shared" si="52"/>
        <v>30204.495548961426</v>
      </c>
      <c r="AK224" s="195">
        <f t="shared" si="52"/>
        <v>30344.262734584452</v>
      </c>
      <c r="AL224" s="195">
        <f t="shared" si="52"/>
        <v>31021.699270072993</v>
      </c>
      <c r="AM224" s="195">
        <f t="shared" si="52"/>
        <v>32272.153110047846</v>
      </c>
      <c r="AN224" s="195">
        <f t="shared" si="52"/>
        <v>33320.577027762658</v>
      </c>
      <c r="AO224" s="195">
        <f t="shared" si="52"/>
        <v>33214.183617372182</v>
      </c>
      <c r="AP224" s="195">
        <f t="shared" si="52"/>
        <v>34048.448738593666</v>
      </c>
      <c r="AQ224" s="195">
        <f t="shared" si="52"/>
        <v>33993.938570263657</v>
      </c>
      <c r="AR224" s="195">
        <f t="shared" si="52"/>
        <v>33923.524229074894</v>
      </c>
      <c r="AS224" s="195">
        <f t="shared" si="52"/>
        <v>33863.280423280419</v>
      </c>
      <c r="AT224" s="195">
        <f t="shared" si="52"/>
        <v>32968.118925100054</v>
      </c>
      <c r="AU224" s="195">
        <f t="shared" si="52"/>
        <v>33025.467048710598</v>
      </c>
      <c r="AV224" s="195">
        <f t="shared" si="52"/>
        <v>32734.99140401146</v>
      </c>
      <c r="AW224" s="195">
        <f t="shared" si="52"/>
        <v>32938.840497737554</v>
      </c>
      <c r="AX224" s="195">
        <f t="shared" si="52"/>
        <v>32276.927358753128</v>
      </c>
      <c r="AY224" s="195">
        <f t="shared" si="52"/>
        <v>31936.160812294183</v>
      </c>
      <c r="AZ224" s="195">
        <f t="shared" si="52"/>
        <v>32062.483731019522</v>
      </c>
      <c r="BA224" s="195">
        <f t="shared" si="52"/>
        <v>31624.355185384204</v>
      </c>
      <c r="BB224" s="195">
        <f t="shared" si="52"/>
        <v>31596.560747663552</v>
      </c>
      <c r="BC224" s="195">
        <f t="shared" si="52"/>
        <v>31553.019420058528</v>
      </c>
      <c r="BD224" s="195">
        <f t="shared" si="52"/>
        <v>31491.746748075395</v>
      </c>
      <c r="BE224" s="195">
        <f t="shared" si="52"/>
        <v>31588.619591186623</v>
      </c>
      <c r="BF224" s="195">
        <f t="shared" si="52"/>
        <v>31661.996809359214</v>
      </c>
      <c r="BG224" s="195">
        <f t="shared" si="52"/>
        <v>31701.141333333333</v>
      </c>
      <c r="BH224" s="195">
        <f t="shared" si="52"/>
        <v>31734.618473895582</v>
      </c>
      <c r="BI224" s="195">
        <f t="shared" si="52"/>
        <v>31751.883745963401</v>
      </c>
      <c r="BJ224" s="195">
        <f t="shared" si="52"/>
        <v>31776.136978884679</v>
      </c>
      <c r="BK224" s="195">
        <f t="shared" si="52"/>
        <v>31795.78316535004</v>
      </c>
      <c r="BL224" s="195">
        <f t="shared" si="52"/>
        <v>31817.445875582351</v>
      </c>
      <c r="BM224" s="195">
        <f t="shared" si="52"/>
        <v>31857.31532524807</v>
      </c>
      <c r="BN224" s="195">
        <f t="shared" si="52"/>
        <v>31908.703601108034</v>
      </c>
      <c r="BO224" s="195">
        <f t="shared" si="52"/>
        <v>31976.593437152391</v>
      </c>
      <c r="BP224" s="195">
        <f t="shared" si="52"/>
        <v>32076.409255645387</v>
      </c>
      <c r="BQ224" s="195">
        <f t="shared" si="52"/>
        <v>32183.918504046891</v>
      </c>
    </row>
    <row r="225" spans="1:69" s="105" customFormat="1">
      <c r="A225" s="105">
        <f>$A$54</f>
        <v>37</v>
      </c>
      <c r="B225" s="114"/>
      <c r="C225" s="114"/>
      <c r="D225" s="114"/>
      <c r="E225" s="114"/>
      <c r="F225" s="114"/>
      <c r="G225" s="114"/>
      <c r="H225" s="114"/>
      <c r="I225" s="114"/>
      <c r="J225" s="114"/>
      <c r="K225" s="114"/>
      <c r="L225" s="114"/>
      <c r="M225" s="195">
        <f>M$54*M$361</f>
        <v>23244.447448462317</v>
      </c>
      <c r="N225" s="195">
        <f t="shared" ref="N225:BQ225" si="53">N$54*N$361</f>
        <v>23891.006979062811</v>
      </c>
      <c r="O225" s="195">
        <f t="shared" si="53"/>
        <v>25122.833761232348</v>
      </c>
      <c r="P225" s="195">
        <f t="shared" si="53"/>
        <v>26253.758221108674</v>
      </c>
      <c r="Q225" s="195">
        <f t="shared" si="53"/>
        <v>26895.312883435581</v>
      </c>
      <c r="R225" s="195">
        <f t="shared" si="53"/>
        <v>27602.156862745098</v>
      </c>
      <c r="S225" s="195">
        <f t="shared" si="53"/>
        <v>28163.643024618992</v>
      </c>
      <c r="T225" s="195">
        <f t="shared" si="53"/>
        <v>28933.350383631714</v>
      </c>
      <c r="U225" s="195">
        <f t="shared" si="53"/>
        <v>30995.400322407309</v>
      </c>
      <c r="V225" s="195">
        <f t="shared" si="53"/>
        <v>31342.344283837054</v>
      </c>
      <c r="W225" s="195">
        <f t="shared" si="53"/>
        <v>32770.004992511233</v>
      </c>
      <c r="X225" s="195">
        <f t="shared" si="53"/>
        <v>33309.371235846782</v>
      </c>
      <c r="Y225" s="195">
        <f t="shared" si="53"/>
        <v>33073.181707018826</v>
      </c>
      <c r="Z225" s="195">
        <f t="shared" si="53"/>
        <v>32553.648648648646</v>
      </c>
      <c r="AA225" s="195">
        <f t="shared" si="53"/>
        <v>31631.951466127401</v>
      </c>
      <c r="AB225" s="195">
        <f t="shared" si="53"/>
        <v>31494.035267058523</v>
      </c>
      <c r="AC225" s="195">
        <f t="shared" si="53"/>
        <v>31227.074705111401</v>
      </c>
      <c r="AD225" s="195">
        <f t="shared" si="53"/>
        <v>30980.36614486601</v>
      </c>
      <c r="AE225" s="195">
        <f t="shared" si="53"/>
        <v>30971.25205930807</v>
      </c>
      <c r="AF225" s="195">
        <f t="shared" si="53"/>
        <v>30538.195232690126</v>
      </c>
      <c r="AG225" s="195">
        <f t="shared" si="53"/>
        <v>31199.41996653653</v>
      </c>
      <c r="AH225" s="195">
        <f t="shared" si="53"/>
        <v>30915.383300085494</v>
      </c>
      <c r="AI225" s="195">
        <f t="shared" si="53"/>
        <v>30181.175422974175</v>
      </c>
      <c r="AJ225" s="195">
        <f t="shared" si="53"/>
        <v>29931.745650869827</v>
      </c>
      <c r="AK225" s="195">
        <f t="shared" si="53"/>
        <v>30610.892962743939</v>
      </c>
      <c r="AL225" s="195">
        <f t="shared" si="53"/>
        <v>30731.893175074183</v>
      </c>
      <c r="AM225" s="195">
        <f t="shared" si="53"/>
        <v>31418.745999418097</v>
      </c>
      <c r="AN225" s="195">
        <f t="shared" si="53"/>
        <v>32671.850813236117</v>
      </c>
      <c r="AO225" s="195">
        <f t="shared" si="53"/>
        <v>33737.140531741723</v>
      </c>
      <c r="AP225" s="195">
        <f t="shared" si="53"/>
        <v>33603.377156943301</v>
      </c>
      <c r="AQ225" s="195">
        <f t="shared" si="53"/>
        <v>34446.97431781701</v>
      </c>
      <c r="AR225" s="195">
        <f t="shared" si="53"/>
        <v>34393.412784398701</v>
      </c>
      <c r="AS225" s="195">
        <f t="shared" si="53"/>
        <v>34326.330954994512</v>
      </c>
      <c r="AT225" s="195">
        <f t="shared" si="53"/>
        <v>34256.253122398004</v>
      </c>
      <c r="AU225" s="195">
        <f t="shared" si="53"/>
        <v>33361</v>
      </c>
      <c r="AV225" s="195">
        <f t="shared" si="53"/>
        <v>33417.6363117328</v>
      </c>
      <c r="AW225" s="195">
        <f t="shared" si="53"/>
        <v>33135.025699600228</v>
      </c>
      <c r="AX225" s="195">
        <f t="shared" si="53"/>
        <v>33320.033812341506</v>
      </c>
      <c r="AY225" s="195">
        <f t="shared" si="53"/>
        <v>32659.872434830835</v>
      </c>
      <c r="AZ225" s="195">
        <f t="shared" si="53"/>
        <v>32325.797101449276</v>
      </c>
      <c r="BA225" s="195">
        <f t="shared" si="53"/>
        <v>32439.864901378005</v>
      </c>
      <c r="BB225" s="195">
        <f t="shared" si="53"/>
        <v>31989.831325301206</v>
      </c>
      <c r="BC225" s="195">
        <f t="shared" si="53"/>
        <v>31968.999467802023</v>
      </c>
      <c r="BD225" s="195">
        <f t="shared" si="53"/>
        <v>31935.068928950157</v>
      </c>
      <c r="BE225" s="195">
        <f t="shared" si="53"/>
        <v>31881.545382376291</v>
      </c>
      <c r="BF225" s="195">
        <f t="shared" si="53"/>
        <v>31962.391534391532</v>
      </c>
      <c r="BG225" s="195">
        <f t="shared" si="53"/>
        <v>32025.96184419714</v>
      </c>
      <c r="BH225" s="195">
        <f t="shared" si="53"/>
        <v>32084.400744087161</v>
      </c>
      <c r="BI225" s="195">
        <f t="shared" si="53"/>
        <v>32108.196371398077</v>
      </c>
      <c r="BJ225" s="195">
        <f t="shared" si="53"/>
        <v>32128.897827835881</v>
      </c>
      <c r="BK225" s="195">
        <f t="shared" si="53"/>
        <v>32151.73725384408</v>
      </c>
      <c r="BL225" s="195">
        <f t="shared" si="53"/>
        <v>32183.289902280132</v>
      </c>
      <c r="BM225" s="195">
        <f t="shared" si="53"/>
        <v>32195.314036045875</v>
      </c>
      <c r="BN225" s="195">
        <f t="shared" si="53"/>
        <v>32236.363636363636</v>
      </c>
      <c r="BO225" s="195">
        <f t="shared" si="53"/>
        <v>32299.859232680101</v>
      </c>
      <c r="BP225" s="195">
        <f t="shared" si="53"/>
        <v>32357.780548628427</v>
      </c>
      <c r="BQ225" s="195">
        <f t="shared" si="53"/>
        <v>32458.55</v>
      </c>
    </row>
    <row r="226" spans="1:69" s="105" customFormat="1">
      <c r="A226" s="105">
        <f>$A$55</f>
        <v>38</v>
      </c>
      <c r="B226" s="114"/>
      <c r="C226" s="114"/>
      <c r="D226" s="114"/>
      <c r="E226" s="114"/>
      <c r="F226" s="114"/>
      <c r="G226" s="114"/>
      <c r="H226" s="114"/>
      <c r="I226" s="114"/>
      <c r="J226" s="114"/>
      <c r="K226" s="114"/>
      <c r="L226" s="114"/>
      <c r="M226" s="195">
        <f>M$55*M$362</f>
        <v>23453.629304523973</v>
      </c>
      <c r="N226" s="195">
        <f t="shared" ref="N226:BQ226" si="54">N$55*N$362</f>
        <v>24051.455823293174</v>
      </c>
      <c r="O226" s="195">
        <f t="shared" si="54"/>
        <v>24728.829541707881</v>
      </c>
      <c r="P226" s="195">
        <f t="shared" si="54"/>
        <v>26069.696969696972</v>
      </c>
      <c r="Q226" s="195">
        <f t="shared" si="54"/>
        <v>26727.01995012469</v>
      </c>
      <c r="R226" s="195">
        <f t="shared" si="54"/>
        <v>27411.782329562826</v>
      </c>
      <c r="S226" s="195">
        <f t="shared" si="54"/>
        <v>28138.925081433226</v>
      </c>
      <c r="T226" s="195">
        <f t="shared" si="54"/>
        <v>28718.261250730568</v>
      </c>
      <c r="U226" s="195">
        <f t="shared" si="54"/>
        <v>29466.648725212464</v>
      </c>
      <c r="V226" s="195">
        <f t="shared" si="54"/>
        <v>31551.479099678454</v>
      </c>
      <c r="W226" s="195">
        <f t="shared" si="54"/>
        <v>31893.546526867627</v>
      </c>
      <c r="X226" s="195">
        <f t="shared" si="54"/>
        <v>33319.895444361464</v>
      </c>
      <c r="Y226" s="195">
        <f t="shared" si="54"/>
        <v>33851.612593126651</v>
      </c>
      <c r="Z226" s="195">
        <f t="shared" si="54"/>
        <v>33615.623322761647</v>
      </c>
      <c r="AA226" s="195">
        <f t="shared" si="54"/>
        <v>33073.411764705881</v>
      </c>
      <c r="AB226" s="195">
        <f t="shared" si="54"/>
        <v>32121.028744326777</v>
      </c>
      <c r="AC226" s="195">
        <f t="shared" si="54"/>
        <v>31976.674311926607</v>
      </c>
      <c r="AD226" s="195">
        <f t="shared" si="54"/>
        <v>31710.601307189543</v>
      </c>
      <c r="AE226" s="195">
        <f t="shared" si="54"/>
        <v>31446.253968253968</v>
      </c>
      <c r="AF226" s="195">
        <f t="shared" si="54"/>
        <v>31444.890470974809</v>
      </c>
      <c r="AG226" s="195">
        <f t="shared" si="54"/>
        <v>30997.623762376239</v>
      </c>
      <c r="AH226" s="195">
        <f t="shared" si="54"/>
        <v>31648.907422852379</v>
      </c>
      <c r="AI226" s="195">
        <f t="shared" si="54"/>
        <v>31377.084398976982</v>
      </c>
      <c r="AJ226" s="195">
        <f t="shared" si="54"/>
        <v>30627.257396449706</v>
      </c>
      <c r="AK226" s="195">
        <f t="shared" si="54"/>
        <v>30367.103139013452</v>
      </c>
      <c r="AL226" s="195">
        <f t="shared" si="54"/>
        <v>31048.187444739171</v>
      </c>
      <c r="AM226" s="195">
        <f t="shared" si="54"/>
        <v>31180.307692307691</v>
      </c>
      <c r="AN226" s="195">
        <f t="shared" si="54"/>
        <v>31847.041763341065</v>
      </c>
      <c r="AO226" s="195">
        <f t="shared" si="54"/>
        <v>33111.998881744476</v>
      </c>
      <c r="AP226" s="195">
        <f t="shared" si="54"/>
        <v>34188.217473627265</v>
      </c>
      <c r="AQ226" s="195">
        <f t="shared" si="54"/>
        <v>34055.953031130528</v>
      </c>
      <c r="AR226" s="195">
        <f t="shared" si="54"/>
        <v>34899.775940250729</v>
      </c>
      <c r="AS226" s="195">
        <f t="shared" si="54"/>
        <v>34841.007291385358</v>
      </c>
      <c r="AT226" s="195">
        <f t="shared" si="54"/>
        <v>34773.419972640215</v>
      </c>
      <c r="AU226" s="195">
        <f t="shared" si="54"/>
        <v>34705.821804095183</v>
      </c>
      <c r="AV226" s="195">
        <f t="shared" si="54"/>
        <v>33798.721953990345</v>
      </c>
      <c r="AW226" s="195">
        <f t="shared" si="54"/>
        <v>33856.269208878766</v>
      </c>
      <c r="AX226" s="195">
        <f t="shared" si="54"/>
        <v>33559.806433247933</v>
      </c>
      <c r="AY226" s="195">
        <f t="shared" si="54"/>
        <v>33751.095505617981</v>
      </c>
      <c r="AZ226" s="195">
        <f t="shared" si="54"/>
        <v>33085.371855128556</v>
      </c>
      <c r="BA226" s="195">
        <f t="shared" si="54"/>
        <v>32745.351690294439</v>
      </c>
      <c r="BB226" s="195">
        <f t="shared" si="54"/>
        <v>32868.265086206899</v>
      </c>
      <c r="BC226" s="195">
        <f t="shared" si="54"/>
        <v>32412.52536038441</v>
      </c>
      <c r="BD226" s="195">
        <f t="shared" si="54"/>
        <v>32390.029185460331</v>
      </c>
      <c r="BE226" s="195">
        <f t="shared" si="54"/>
        <v>32354.914089347079</v>
      </c>
      <c r="BF226" s="195">
        <f t="shared" si="54"/>
        <v>32292.007385914007</v>
      </c>
      <c r="BG226" s="195">
        <f t="shared" si="54"/>
        <v>32390.134529147981</v>
      </c>
      <c r="BH226" s="195">
        <f t="shared" si="54"/>
        <v>32454.57067371202</v>
      </c>
      <c r="BI226" s="195">
        <f t="shared" si="54"/>
        <v>32497.319205298016</v>
      </c>
      <c r="BJ226" s="195">
        <f t="shared" si="54"/>
        <v>32530.917797286515</v>
      </c>
      <c r="BK226" s="195">
        <f t="shared" si="54"/>
        <v>32550.529411764706</v>
      </c>
      <c r="BL226" s="195">
        <f t="shared" si="54"/>
        <v>32568.709330465175</v>
      </c>
      <c r="BM226" s="195">
        <f t="shared" si="54"/>
        <v>32591.158008658007</v>
      </c>
      <c r="BN226" s="195">
        <f t="shared" si="54"/>
        <v>32632.616389872037</v>
      </c>
      <c r="BO226" s="195">
        <f t="shared" si="54"/>
        <v>32656.308871851041</v>
      </c>
      <c r="BP226" s="195">
        <f t="shared" si="54"/>
        <v>32721.44193725922</v>
      </c>
      <c r="BQ226" s="195">
        <f t="shared" si="54"/>
        <v>32790.969345484671</v>
      </c>
    </row>
    <row r="227" spans="1:69" s="105" customFormat="1">
      <c r="A227" s="105">
        <f>$A$56</f>
        <v>39</v>
      </c>
      <c r="B227" s="114"/>
      <c r="C227" s="114"/>
      <c r="D227" s="114"/>
      <c r="E227" s="114"/>
      <c r="F227" s="114"/>
      <c r="G227" s="114"/>
      <c r="H227" s="114"/>
      <c r="I227" s="114"/>
      <c r="J227" s="114"/>
      <c r="K227" s="114"/>
      <c r="L227" s="114"/>
      <c r="M227" s="195">
        <f>M$56*M$363</f>
        <v>23062.244684559078</v>
      </c>
      <c r="N227" s="195">
        <f t="shared" ref="N227:BQ227" si="55">N$56*N$363</f>
        <v>24155.187416331995</v>
      </c>
      <c r="O227" s="195">
        <f t="shared" si="55"/>
        <v>24796.611295681061</v>
      </c>
      <c r="P227" s="195">
        <f t="shared" si="55"/>
        <v>25588.501639344264</v>
      </c>
      <c r="Q227" s="195">
        <f t="shared" si="55"/>
        <v>26516.851969504449</v>
      </c>
      <c r="R227" s="195">
        <f t="shared" si="55"/>
        <v>27212.760335716506</v>
      </c>
      <c r="S227" s="195">
        <f t="shared" si="55"/>
        <v>27931.21683440073</v>
      </c>
      <c r="T227" s="195">
        <f t="shared" si="55"/>
        <v>28647.332348596752</v>
      </c>
      <c r="U227" s="195">
        <f t="shared" si="55"/>
        <v>29209.253861847861</v>
      </c>
      <c r="V227" s="195">
        <f t="shared" si="55"/>
        <v>29974.137931034482</v>
      </c>
      <c r="W227" s="195">
        <f t="shared" si="55"/>
        <v>32054.178027265436</v>
      </c>
      <c r="X227" s="195">
        <f t="shared" si="55"/>
        <v>32391.610878661089</v>
      </c>
      <c r="Y227" s="195">
        <f t="shared" si="55"/>
        <v>33833.381366459631</v>
      </c>
      <c r="Z227" s="195">
        <f t="shared" si="55"/>
        <v>34359.366906474825</v>
      </c>
      <c r="AA227" s="195">
        <f t="shared" si="55"/>
        <v>34105.267770204482</v>
      </c>
      <c r="AB227" s="195">
        <f t="shared" si="55"/>
        <v>33556.722915138176</v>
      </c>
      <c r="AC227" s="195">
        <f t="shared" si="55"/>
        <v>32593.710691823897</v>
      </c>
      <c r="AD227" s="195">
        <f t="shared" si="55"/>
        <v>32438.982706002036</v>
      </c>
      <c r="AE227" s="195">
        <f t="shared" si="55"/>
        <v>32159.306207616068</v>
      </c>
      <c r="AF227" s="195">
        <f t="shared" si="55"/>
        <v>31887.569279493273</v>
      </c>
      <c r="AG227" s="195">
        <f t="shared" si="55"/>
        <v>31883.135755258125</v>
      </c>
      <c r="AH227" s="195">
        <f t="shared" si="55"/>
        <v>31430.053611738149</v>
      </c>
      <c r="AI227" s="195">
        <f t="shared" si="55"/>
        <v>32073.960066555741</v>
      </c>
      <c r="AJ227" s="195">
        <f t="shared" si="55"/>
        <v>31794.625850340137</v>
      </c>
      <c r="AK227" s="195">
        <f t="shared" si="55"/>
        <v>31034.942460902923</v>
      </c>
      <c r="AL227" s="195">
        <f t="shared" si="55"/>
        <v>30775.169946332739</v>
      </c>
      <c r="AM227" s="195">
        <f t="shared" si="55"/>
        <v>31458.127572016459</v>
      </c>
      <c r="AN227" s="195">
        <f t="shared" si="55"/>
        <v>31582.884955752212</v>
      </c>
      <c r="AO227" s="195">
        <f t="shared" si="55"/>
        <v>32261.226142278774</v>
      </c>
      <c r="AP227" s="195">
        <f t="shared" si="55"/>
        <v>33536.034578918014</v>
      </c>
      <c r="AQ227" s="195">
        <f t="shared" si="55"/>
        <v>34603.599568267673</v>
      </c>
      <c r="AR227" s="195">
        <f t="shared" si="55"/>
        <v>34481.040588395532</v>
      </c>
      <c r="AS227" s="195">
        <f t="shared" si="55"/>
        <v>35325.055880787651</v>
      </c>
      <c r="AT227" s="195">
        <f t="shared" si="55"/>
        <v>35269.137931034486</v>
      </c>
      <c r="AU227" s="195">
        <f t="shared" si="55"/>
        <v>35183.241473397</v>
      </c>
      <c r="AV227" s="195">
        <f t="shared" si="55"/>
        <v>35117.991169977926</v>
      </c>
      <c r="AW227" s="195">
        <f t="shared" si="55"/>
        <v>34210.795808552815</v>
      </c>
      <c r="AX227" s="195">
        <f t="shared" si="55"/>
        <v>34257.434733257665</v>
      </c>
      <c r="AY227" s="195">
        <f t="shared" si="55"/>
        <v>33970.615952313368</v>
      </c>
      <c r="AZ227" s="195">
        <f t="shared" si="55"/>
        <v>34160</v>
      </c>
      <c r="BA227" s="195">
        <f t="shared" si="55"/>
        <v>33485.365315687894</v>
      </c>
      <c r="BB227" s="195">
        <f t="shared" si="55"/>
        <v>33139.467101685703</v>
      </c>
      <c r="BC227" s="195">
        <f t="shared" si="55"/>
        <v>33269.376511690411</v>
      </c>
      <c r="BD227" s="195">
        <f t="shared" si="55"/>
        <v>32818.146964856234</v>
      </c>
      <c r="BE227" s="195">
        <f t="shared" si="55"/>
        <v>32785.763429478699</v>
      </c>
      <c r="BF227" s="195">
        <f t="shared" si="55"/>
        <v>32749.47271289217</v>
      </c>
      <c r="BG227" s="195">
        <f t="shared" si="55"/>
        <v>32694.231578947369</v>
      </c>
      <c r="BH227" s="195">
        <f t="shared" si="55"/>
        <v>32784.477769008154</v>
      </c>
      <c r="BI227" s="195">
        <f t="shared" si="55"/>
        <v>32849.770750988144</v>
      </c>
      <c r="BJ227" s="195">
        <f t="shared" si="55"/>
        <v>32899.836152219876</v>
      </c>
      <c r="BK227" s="195">
        <f t="shared" si="55"/>
        <v>32928.323162642606</v>
      </c>
      <c r="BL227" s="195">
        <f t="shared" si="55"/>
        <v>32949.333333333336</v>
      </c>
      <c r="BM227" s="195">
        <f t="shared" si="55"/>
        <v>32975.356759656657</v>
      </c>
      <c r="BN227" s="195">
        <f t="shared" si="55"/>
        <v>33002.064777327934</v>
      </c>
      <c r="BO227" s="195">
        <f t="shared" si="55"/>
        <v>33025.538962802064</v>
      </c>
      <c r="BP227" s="195">
        <f t="shared" si="55"/>
        <v>33070.0109229929</v>
      </c>
      <c r="BQ227" s="195">
        <f t="shared" si="55"/>
        <v>33117.563117453348</v>
      </c>
    </row>
    <row r="228" spans="1:69" s="105" customFormat="1">
      <c r="A228" s="105">
        <f>$A$57</f>
        <v>40</v>
      </c>
      <c r="B228" s="114"/>
      <c r="C228" s="114"/>
      <c r="D228" s="114"/>
      <c r="E228" s="114"/>
      <c r="F228" s="114"/>
      <c r="G228" s="114"/>
      <c r="H228" s="114"/>
      <c r="I228" s="114"/>
      <c r="J228" s="114"/>
      <c r="K228" s="114"/>
      <c r="L228" s="114"/>
      <c r="M228" s="195">
        <f>M$57*M$364</f>
        <v>23604.468814256339</v>
      </c>
      <c r="N228" s="195">
        <f t="shared" ref="N228:BQ228" si="56">N$57*N$364</f>
        <v>23786.517980636236</v>
      </c>
      <c r="O228" s="195">
        <f t="shared" si="56"/>
        <v>24893.066178915862</v>
      </c>
      <c r="P228" s="195">
        <f t="shared" si="56"/>
        <v>25650.793650793654</v>
      </c>
      <c r="Q228" s="195">
        <f t="shared" si="56"/>
        <v>26025.014701078078</v>
      </c>
      <c r="R228" s="195">
        <f t="shared" si="56"/>
        <v>27004.297939778127</v>
      </c>
      <c r="S228" s="195">
        <f t="shared" si="56"/>
        <v>27733.20719602978</v>
      </c>
      <c r="T228" s="195">
        <f t="shared" si="56"/>
        <v>28437.209373097994</v>
      </c>
      <c r="U228" s="195">
        <f t="shared" si="56"/>
        <v>29150.044221698114</v>
      </c>
      <c r="V228" s="195">
        <f t="shared" si="56"/>
        <v>29713.49040139616</v>
      </c>
      <c r="W228" s="195">
        <f t="shared" si="56"/>
        <v>30475.78843441467</v>
      </c>
      <c r="X228" s="195">
        <f t="shared" si="56"/>
        <v>32570.085378868731</v>
      </c>
      <c r="Y228" s="195">
        <f t="shared" si="56"/>
        <v>32902.500652571129</v>
      </c>
      <c r="Z228" s="195">
        <f t="shared" si="56"/>
        <v>34342.916666666664</v>
      </c>
      <c r="AA228" s="195">
        <f t="shared" si="56"/>
        <v>34877.274904214559</v>
      </c>
      <c r="AB228" s="195">
        <f t="shared" si="56"/>
        <v>34606.97934386391</v>
      </c>
      <c r="AC228" s="195">
        <f t="shared" si="56"/>
        <v>34053.870573870576</v>
      </c>
      <c r="AD228" s="195">
        <f t="shared" si="56"/>
        <v>33070.045214770158</v>
      </c>
      <c r="AE228" s="195">
        <f t="shared" si="56"/>
        <v>32917.024625539474</v>
      </c>
      <c r="AF228" s="195">
        <f t="shared" si="56"/>
        <v>32632.5956782088</v>
      </c>
      <c r="AG228" s="195">
        <f t="shared" si="56"/>
        <v>32341.04320337197</v>
      </c>
      <c r="AH228" s="195">
        <f t="shared" si="56"/>
        <v>32338.773507767786</v>
      </c>
      <c r="AI228" s="195">
        <f t="shared" si="56"/>
        <v>31869.690315315314</v>
      </c>
      <c r="AJ228" s="195">
        <f t="shared" si="56"/>
        <v>32523.387766399112</v>
      </c>
      <c r="AK228" s="195">
        <f t="shared" si="56"/>
        <v>32236.153846153844</v>
      </c>
      <c r="AL228" s="195">
        <f t="shared" si="56"/>
        <v>31461.795702090079</v>
      </c>
      <c r="AM228" s="195">
        <f t="shared" si="56"/>
        <v>31202.462819750148</v>
      </c>
      <c r="AN228" s="195">
        <f t="shared" si="56"/>
        <v>31887.565982404692</v>
      </c>
      <c r="AO228" s="195">
        <f t="shared" si="56"/>
        <v>32012.546364439211</v>
      </c>
      <c r="AP228" s="195">
        <f t="shared" si="56"/>
        <v>32702.568542568541</v>
      </c>
      <c r="AQ228" s="195">
        <f t="shared" si="56"/>
        <v>33989.429446145281</v>
      </c>
      <c r="AR228" s="195">
        <f t="shared" si="56"/>
        <v>35046.9197630587</v>
      </c>
      <c r="AS228" s="195">
        <f t="shared" si="56"/>
        <v>34926.148409893991</v>
      </c>
      <c r="AT228" s="195">
        <f t="shared" si="56"/>
        <v>35781.795007966015</v>
      </c>
      <c r="AU228" s="195">
        <f t="shared" si="56"/>
        <v>35717.741935483871</v>
      </c>
      <c r="AV228" s="195">
        <f t="shared" si="56"/>
        <v>35644.852941176476</v>
      </c>
      <c r="AW228" s="195">
        <f t="shared" si="56"/>
        <v>35570.853759294958</v>
      </c>
      <c r="AX228" s="195">
        <f t="shared" si="56"/>
        <v>34641.989262503535</v>
      </c>
      <c r="AY228" s="195">
        <f t="shared" si="56"/>
        <v>34701.472253680629</v>
      </c>
      <c r="AZ228" s="195">
        <f t="shared" si="56"/>
        <v>34400.339847068819</v>
      </c>
      <c r="BA228" s="195">
        <f t="shared" si="56"/>
        <v>34608.811853508523</v>
      </c>
      <c r="BB228" s="195">
        <f t="shared" si="56"/>
        <v>33931.370390753989</v>
      </c>
      <c r="BC228" s="195">
        <f t="shared" si="56"/>
        <v>33589.099050203527</v>
      </c>
      <c r="BD228" s="195">
        <f t="shared" si="56"/>
        <v>33707.54625905068</v>
      </c>
      <c r="BE228" s="195">
        <f t="shared" si="56"/>
        <v>33250.066436353969</v>
      </c>
      <c r="BF228" s="195">
        <f t="shared" si="56"/>
        <v>33215.101663585949</v>
      </c>
      <c r="BG228" s="195">
        <f t="shared" si="56"/>
        <v>33177.395422257301</v>
      </c>
      <c r="BH228" s="195">
        <f t="shared" si="56"/>
        <v>33121.126575630253</v>
      </c>
      <c r="BI228" s="195">
        <f t="shared" si="56"/>
        <v>33212.142294565507</v>
      </c>
      <c r="BJ228" s="195">
        <f t="shared" si="56"/>
        <v>33288.995529844855</v>
      </c>
      <c r="BK228" s="195">
        <f t="shared" si="56"/>
        <v>33332.067510548521</v>
      </c>
      <c r="BL228" s="195">
        <f t="shared" si="56"/>
        <v>33359.666401906274</v>
      </c>
      <c r="BM228" s="195">
        <f t="shared" si="56"/>
        <v>33382.360298030864</v>
      </c>
      <c r="BN228" s="195">
        <f t="shared" si="56"/>
        <v>33402.020877944327</v>
      </c>
      <c r="BO228" s="195">
        <f t="shared" si="56"/>
        <v>33419.203015616586</v>
      </c>
      <c r="BP228" s="195">
        <f t="shared" si="56"/>
        <v>33464.557030615011</v>
      </c>
      <c r="BQ228" s="195">
        <f t="shared" si="56"/>
        <v>33500.136239782012</v>
      </c>
    </row>
    <row r="229" spans="1:69" s="105" customFormat="1">
      <c r="A229" s="105">
        <f>$A$58</f>
        <v>41</v>
      </c>
      <c r="B229" s="114"/>
      <c r="C229" s="114"/>
      <c r="D229" s="114"/>
      <c r="E229" s="114"/>
      <c r="F229" s="114"/>
      <c r="G229" s="114"/>
      <c r="H229" s="114"/>
      <c r="I229" s="114"/>
      <c r="J229" s="114"/>
      <c r="K229" s="114"/>
      <c r="L229" s="114"/>
      <c r="M229" s="195">
        <f>M$58*M$365</f>
        <v>23818.000687049127</v>
      </c>
      <c r="N229" s="195">
        <f t="shared" ref="N229:BQ229" si="57">N$58*N$365</f>
        <v>24272.736555479918</v>
      </c>
      <c r="O229" s="195">
        <f t="shared" si="57"/>
        <v>24495.199449793672</v>
      </c>
      <c r="P229" s="195">
        <f t="shared" si="57"/>
        <v>25711.55018217953</v>
      </c>
      <c r="Q229" s="195">
        <f t="shared" si="57"/>
        <v>26117.012858555885</v>
      </c>
      <c r="R229" s="195">
        <f t="shared" si="57"/>
        <v>26532.126549249839</v>
      </c>
      <c r="S229" s="195">
        <f t="shared" si="57"/>
        <v>27537.626582278481</v>
      </c>
      <c r="T229" s="195">
        <f t="shared" si="57"/>
        <v>28234.945803654384</v>
      </c>
      <c r="U229" s="195">
        <f t="shared" si="57"/>
        <v>28931.667679222355</v>
      </c>
      <c r="V229" s="195">
        <f t="shared" si="57"/>
        <v>29651.553855208946</v>
      </c>
      <c r="W229" s="195">
        <f t="shared" si="57"/>
        <v>30225.335463258783</v>
      </c>
      <c r="X229" s="195">
        <f t="shared" si="57"/>
        <v>30975.967333145592</v>
      </c>
      <c r="Y229" s="195">
        <f t="shared" si="57"/>
        <v>33114.841460165204</v>
      </c>
      <c r="Z229" s="195">
        <f t="shared" si="57"/>
        <v>33441.397288842541</v>
      </c>
      <c r="AA229" s="195">
        <f t="shared" si="57"/>
        <v>34896.219965320786</v>
      </c>
      <c r="AB229" s="195">
        <f t="shared" si="57"/>
        <v>35423.224109064817</v>
      </c>
      <c r="AC229" s="195">
        <f t="shared" si="57"/>
        <v>35145.320388349515</v>
      </c>
      <c r="AD229" s="195">
        <f t="shared" si="57"/>
        <v>34576.483784442818</v>
      </c>
      <c r="AE229" s="195">
        <f t="shared" si="57"/>
        <v>33581.820917983445</v>
      </c>
      <c r="AF229" s="195">
        <f t="shared" si="57"/>
        <v>33412.339670468944</v>
      </c>
      <c r="AG229" s="195">
        <f t="shared" si="57"/>
        <v>33132.496099843993</v>
      </c>
      <c r="AH229" s="195">
        <f t="shared" si="57"/>
        <v>32839.865824782952</v>
      </c>
      <c r="AI229" s="195">
        <f t="shared" si="57"/>
        <v>32821.045182362548</v>
      </c>
      <c r="AJ229" s="195">
        <f t="shared" si="57"/>
        <v>32356.148439696371</v>
      </c>
      <c r="AK229" s="195">
        <f t="shared" si="57"/>
        <v>33012.683061619231</v>
      </c>
      <c r="AL229" s="195">
        <f t="shared" si="57"/>
        <v>32710.714285714286</v>
      </c>
      <c r="AM229" s="195">
        <f t="shared" si="57"/>
        <v>31939.382897443429</v>
      </c>
      <c r="AN229" s="195">
        <f t="shared" si="57"/>
        <v>31658.168052256533</v>
      </c>
      <c r="AO229" s="195">
        <f t="shared" si="57"/>
        <v>32357.055035128804</v>
      </c>
      <c r="AP229" s="195">
        <f t="shared" si="57"/>
        <v>32484.748751101968</v>
      </c>
      <c r="AQ229" s="195">
        <f t="shared" si="57"/>
        <v>33175.133967156442</v>
      </c>
      <c r="AR229" s="195">
        <f t="shared" si="57"/>
        <v>34474.151153098086</v>
      </c>
      <c r="AS229" s="195">
        <f t="shared" si="57"/>
        <v>35553.508064516129</v>
      </c>
      <c r="AT229" s="195">
        <f t="shared" si="57"/>
        <v>35423.571234735413</v>
      </c>
      <c r="AU229" s="195">
        <f t="shared" si="57"/>
        <v>36290.901378579001</v>
      </c>
      <c r="AV229" s="195">
        <f t="shared" si="57"/>
        <v>36219.476650563607</v>
      </c>
      <c r="AW229" s="195">
        <f t="shared" si="57"/>
        <v>36140.989399293285</v>
      </c>
      <c r="AX229" s="195">
        <f t="shared" si="57"/>
        <v>36070.544255085209</v>
      </c>
      <c r="AY229" s="195">
        <f t="shared" si="57"/>
        <v>35139.559943582513</v>
      </c>
      <c r="AZ229" s="195">
        <f t="shared" si="57"/>
        <v>35188.547201808928</v>
      </c>
      <c r="BA229" s="195">
        <f t="shared" si="57"/>
        <v>34896.002261803784</v>
      </c>
      <c r="BB229" s="195">
        <f t="shared" si="57"/>
        <v>35091.928013392862</v>
      </c>
      <c r="BC229" s="195">
        <f t="shared" si="57"/>
        <v>34412.699807745128</v>
      </c>
      <c r="BD229" s="195">
        <f t="shared" si="57"/>
        <v>34061.505958829905</v>
      </c>
      <c r="BE229" s="195">
        <f t="shared" si="57"/>
        <v>34197.030789825971</v>
      </c>
      <c r="BF229" s="195">
        <f t="shared" si="57"/>
        <v>33711.328912466844</v>
      </c>
      <c r="BG229" s="195">
        <f t="shared" si="57"/>
        <v>33693.303453730558</v>
      </c>
      <c r="BH229" s="195">
        <f t="shared" si="57"/>
        <v>33653.782505910167</v>
      </c>
      <c r="BI229" s="195">
        <f t="shared" si="57"/>
        <v>33587.391874180867</v>
      </c>
      <c r="BJ229" s="195">
        <f t="shared" si="57"/>
        <v>33698.715596330279</v>
      </c>
      <c r="BK229" s="195">
        <f t="shared" si="57"/>
        <v>33757.527559055117</v>
      </c>
      <c r="BL229" s="195">
        <f t="shared" si="57"/>
        <v>33810.497499341931</v>
      </c>
      <c r="BM229" s="195">
        <f t="shared" si="57"/>
        <v>33840.425588157545</v>
      </c>
      <c r="BN229" s="195">
        <f t="shared" si="57"/>
        <v>33865.276301806589</v>
      </c>
      <c r="BO229" s="195">
        <f t="shared" si="57"/>
        <v>33886.681806037937</v>
      </c>
      <c r="BP229" s="195">
        <f t="shared" si="57"/>
        <v>33915.419354838712</v>
      </c>
      <c r="BQ229" s="195">
        <f t="shared" si="57"/>
        <v>33935.027041644134</v>
      </c>
    </row>
    <row r="230" spans="1:69" s="105" customFormat="1">
      <c r="A230" s="105">
        <f>$A$59</f>
        <v>42</v>
      </c>
      <c r="B230" s="114"/>
      <c r="C230" s="114"/>
      <c r="D230" s="114"/>
      <c r="E230" s="114"/>
      <c r="F230" s="114"/>
      <c r="G230" s="114"/>
      <c r="H230" s="114"/>
      <c r="I230" s="114"/>
      <c r="J230" s="114"/>
      <c r="K230" s="114"/>
      <c r="L230" s="114"/>
      <c r="M230" s="195">
        <f>M$59*M$366</f>
        <v>25311.0689767898</v>
      </c>
      <c r="N230" s="195">
        <f t="shared" ref="N230:BQ230" si="58">N$59*N$366</f>
        <v>24412.185792349726</v>
      </c>
      <c r="O230" s="195">
        <f t="shared" si="58"/>
        <v>24888.401084010842</v>
      </c>
      <c r="P230" s="195">
        <f t="shared" si="58"/>
        <v>25224.07673860911</v>
      </c>
      <c r="Q230" s="195">
        <f t="shared" si="58"/>
        <v>26119.702675916749</v>
      </c>
      <c r="R230" s="195">
        <f t="shared" si="58"/>
        <v>26561.78465591044</v>
      </c>
      <c r="S230" s="195">
        <f t="shared" si="58"/>
        <v>26986.179153094465</v>
      </c>
      <c r="T230" s="195">
        <f t="shared" si="58"/>
        <v>27962.639064475348</v>
      </c>
      <c r="U230" s="195">
        <f t="shared" si="58"/>
        <v>28668.79059696876</v>
      </c>
      <c r="V230" s="195">
        <f t="shared" si="58"/>
        <v>29377.396844660194</v>
      </c>
      <c r="W230" s="195">
        <f t="shared" si="58"/>
        <v>30093.944738389182</v>
      </c>
      <c r="X230" s="195">
        <f t="shared" si="58"/>
        <v>30660.890629532925</v>
      </c>
      <c r="Y230" s="195">
        <f t="shared" si="58"/>
        <v>31419.299578059072</v>
      </c>
      <c r="Z230" s="195">
        <f t="shared" si="58"/>
        <v>33561.799307958478</v>
      </c>
      <c r="AA230" s="195">
        <f t="shared" si="58"/>
        <v>33893.854166666664</v>
      </c>
      <c r="AB230" s="195">
        <f t="shared" si="58"/>
        <v>35365.79064587973</v>
      </c>
      <c r="AC230" s="195">
        <f t="shared" si="58"/>
        <v>35894.528076463561</v>
      </c>
      <c r="AD230" s="195">
        <f t="shared" si="58"/>
        <v>35608.729388942775</v>
      </c>
      <c r="AE230" s="195">
        <f t="shared" si="58"/>
        <v>35024.757612667483</v>
      </c>
      <c r="AF230" s="195">
        <f t="shared" si="58"/>
        <v>34019.303432723631</v>
      </c>
      <c r="AG230" s="195">
        <f t="shared" si="58"/>
        <v>33849.842998227403</v>
      </c>
      <c r="AH230" s="195">
        <f t="shared" si="58"/>
        <v>33556.803427681123</v>
      </c>
      <c r="AI230" s="195">
        <f t="shared" si="58"/>
        <v>33256.581713084604</v>
      </c>
      <c r="AJ230" s="195">
        <f t="shared" si="58"/>
        <v>33236.469149225333</v>
      </c>
      <c r="AK230" s="195">
        <f t="shared" si="58"/>
        <v>32758.248175182482</v>
      </c>
      <c r="AL230" s="195">
        <f t="shared" si="58"/>
        <v>33433.28733094121</v>
      </c>
      <c r="AM230" s="195">
        <f t="shared" si="58"/>
        <v>33124.404963338973</v>
      </c>
      <c r="AN230" s="195">
        <f t="shared" si="58"/>
        <v>32337.734741784036</v>
      </c>
      <c r="AO230" s="195">
        <f t="shared" si="58"/>
        <v>32066.476868327405</v>
      </c>
      <c r="AP230" s="195">
        <f t="shared" si="58"/>
        <v>32758.158433206663</v>
      </c>
      <c r="AQ230" s="195">
        <f t="shared" si="58"/>
        <v>32888.286384976527</v>
      </c>
      <c r="AR230" s="195">
        <f t="shared" si="58"/>
        <v>33578.975834292287</v>
      </c>
      <c r="AS230" s="195">
        <f t="shared" si="58"/>
        <v>34901.487236403998</v>
      </c>
      <c r="AT230" s="195">
        <f t="shared" si="58"/>
        <v>35980.005369127517</v>
      </c>
      <c r="AU230" s="195">
        <f t="shared" si="58"/>
        <v>35861.783681214416</v>
      </c>
      <c r="AV230" s="195">
        <f t="shared" si="58"/>
        <v>36719.592268996559</v>
      </c>
      <c r="AW230" s="195">
        <f t="shared" si="58"/>
        <v>36651.857410881807</v>
      </c>
      <c r="AX230" s="195">
        <f t="shared" si="58"/>
        <v>36565.385450597176</v>
      </c>
      <c r="AY230" s="195">
        <f t="shared" si="58"/>
        <v>36498.133406533081</v>
      </c>
      <c r="AZ230" s="195">
        <f t="shared" si="58"/>
        <v>35567.053521126756</v>
      </c>
      <c r="BA230" s="195">
        <f t="shared" si="58"/>
        <v>35617.239627434377</v>
      </c>
      <c r="BB230" s="195">
        <f t="shared" si="58"/>
        <v>35310.022586109539</v>
      </c>
      <c r="BC230" s="195">
        <f t="shared" si="58"/>
        <v>35515.10169963778</v>
      </c>
      <c r="BD230" s="195">
        <f t="shared" si="58"/>
        <v>34823.820625342843</v>
      </c>
      <c r="BE230" s="195">
        <f t="shared" si="58"/>
        <v>34475.604544225047</v>
      </c>
      <c r="BF230" s="195">
        <f t="shared" si="58"/>
        <v>34599.230152365679</v>
      </c>
      <c r="BG230" s="195">
        <f t="shared" si="58"/>
        <v>34134.222516556292</v>
      </c>
      <c r="BH230" s="195">
        <f t="shared" si="58"/>
        <v>34113.902053712482</v>
      </c>
      <c r="BI230" s="195">
        <f t="shared" si="58"/>
        <v>34055.310778914238</v>
      </c>
      <c r="BJ230" s="195">
        <f t="shared" si="58"/>
        <v>34005.047120418843</v>
      </c>
      <c r="BK230" s="195">
        <f t="shared" si="58"/>
        <v>34098.374345549739</v>
      </c>
      <c r="BL230" s="195">
        <f t="shared" si="58"/>
        <v>34177.289646133686</v>
      </c>
      <c r="BM230" s="195">
        <f t="shared" si="58"/>
        <v>34212.647213459517</v>
      </c>
      <c r="BN230" s="195">
        <f t="shared" si="58"/>
        <v>34254.30192662972</v>
      </c>
      <c r="BO230" s="195">
        <f t="shared" si="58"/>
        <v>34270.34482758621</v>
      </c>
      <c r="BP230" s="195">
        <f t="shared" si="58"/>
        <v>34294.450373532549</v>
      </c>
      <c r="BQ230" s="195">
        <f t="shared" si="58"/>
        <v>34316.277509393454</v>
      </c>
    </row>
    <row r="231" spans="1:69" s="105" customFormat="1">
      <c r="A231" s="105">
        <f>$A$60</f>
        <v>43</v>
      </c>
      <c r="B231" s="114"/>
      <c r="C231" s="114"/>
      <c r="D231" s="114"/>
      <c r="E231" s="114"/>
      <c r="F231" s="114"/>
      <c r="G231" s="114"/>
      <c r="H231" s="114"/>
      <c r="I231" s="114"/>
      <c r="J231" s="114"/>
      <c r="K231" s="114"/>
      <c r="L231" s="114"/>
      <c r="M231" s="195">
        <f>M$60*M$367</f>
        <v>26589.717247879358</v>
      </c>
      <c r="N231" s="195">
        <f t="shared" ref="N231:BQ231" si="59">N$60*N$367</f>
        <v>25805.972674040338</v>
      </c>
      <c r="O231" s="195">
        <f t="shared" si="59"/>
        <v>24975.738095238095</v>
      </c>
      <c r="P231" s="195">
        <f t="shared" si="59"/>
        <v>25532.40797028031</v>
      </c>
      <c r="Q231" s="195">
        <f t="shared" si="59"/>
        <v>25588.132694938438</v>
      </c>
      <c r="R231" s="195">
        <f t="shared" si="59"/>
        <v>26521.069659953781</v>
      </c>
      <c r="S231" s="195">
        <f t="shared" si="59"/>
        <v>26976.875</v>
      </c>
      <c r="T231" s="195">
        <f t="shared" si="59"/>
        <v>27360.455580865604</v>
      </c>
      <c r="U231" s="195">
        <f t="shared" si="59"/>
        <v>28337.934954215347</v>
      </c>
      <c r="V231" s="195">
        <f t="shared" si="59"/>
        <v>29046.919035846724</v>
      </c>
      <c r="W231" s="195">
        <f t="shared" si="59"/>
        <v>29754.881746513038</v>
      </c>
      <c r="X231" s="195">
        <f t="shared" si="59"/>
        <v>30478.995299647471</v>
      </c>
      <c r="Y231" s="195">
        <f t="shared" si="59"/>
        <v>31046.669565217395</v>
      </c>
      <c r="Z231" s="195">
        <f t="shared" si="59"/>
        <v>31822.052291256678</v>
      </c>
      <c r="AA231" s="195">
        <f t="shared" si="59"/>
        <v>33980.790103750995</v>
      </c>
      <c r="AB231" s="195">
        <f t="shared" si="59"/>
        <v>34316.335242061432</v>
      </c>
      <c r="AC231" s="195">
        <f t="shared" si="59"/>
        <v>35797.041800643085</v>
      </c>
      <c r="AD231" s="195">
        <f t="shared" si="59"/>
        <v>36327.800334368279</v>
      </c>
      <c r="AE231" s="195">
        <f t="shared" si="59"/>
        <v>36034.011148812409</v>
      </c>
      <c r="AF231" s="195">
        <f t="shared" si="59"/>
        <v>35453.713172632088</v>
      </c>
      <c r="AG231" s="195">
        <f t="shared" si="59"/>
        <v>34428.85327991988</v>
      </c>
      <c r="AH231" s="195">
        <f t="shared" si="59"/>
        <v>34242.469635627531</v>
      </c>
      <c r="AI231" s="195">
        <f t="shared" si="59"/>
        <v>33944.628956927867</v>
      </c>
      <c r="AJ231" s="195">
        <f t="shared" si="59"/>
        <v>33653.696508269888</v>
      </c>
      <c r="AK231" s="195">
        <f t="shared" si="59"/>
        <v>33634.481260184686</v>
      </c>
      <c r="AL231" s="195">
        <f t="shared" si="59"/>
        <v>33151.416549789625</v>
      </c>
      <c r="AM231" s="195">
        <f t="shared" si="59"/>
        <v>33829.059829059828</v>
      </c>
      <c r="AN231" s="195">
        <f t="shared" si="59"/>
        <v>33513.239436619719</v>
      </c>
      <c r="AO231" s="195">
        <f t="shared" si="59"/>
        <v>32718.973907944885</v>
      </c>
      <c r="AP231" s="195">
        <f t="shared" si="59"/>
        <v>32438.672985781992</v>
      </c>
      <c r="AQ231" s="195">
        <f t="shared" si="59"/>
        <v>33142.202102803742</v>
      </c>
      <c r="AR231" s="195">
        <f t="shared" si="59"/>
        <v>33265.064478311841</v>
      </c>
      <c r="AS231" s="195">
        <f t="shared" si="59"/>
        <v>33967.448275862072</v>
      </c>
      <c r="AT231" s="195">
        <f t="shared" si="59"/>
        <v>35290.626385809315</v>
      </c>
      <c r="AU231" s="195">
        <f t="shared" si="59"/>
        <v>36389.484978540771</v>
      </c>
      <c r="AV231" s="195">
        <f t="shared" si="59"/>
        <v>36263.585161115625</v>
      </c>
      <c r="AW231" s="195">
        <f t="shared" si="59"/>
        <v>37142.772486772483</v>
      </c>
      <c r="AX231" s="195">
        <f t="shared" si="59"/>
        <v>37078.928762720941</v>
      </c>
      <c r="AY231" s="195">
        <f t="shared" si="59"/>
        <v>36996.371033360454</v>
      </c>
      <c r="AZ231" s="195">
        <f t="shared" si="59"/>
        <v>36920.778935820075</v>
      </c>
      <c r="BA231" s="195">
        <f t="shared" si="59"/>
        <v>35976.238041643221</v>
      </c>
      <c r="BB231" s="195">
        <f t="shared" si="59"/>
        <v>36027.614885818999</v>
      </c>
      <c r="BC231" s="195">
        <f t="shared" si="59"/>
        <v>35717.490129723636</v>
      </c>
      <c r="BD231" s="195">
        <f t="shared" si="59"/>
        <v>35919.99443362093</v>
      </c>
      <c r="BE231" s="195">
        <f t="shared" si="59"/>
        <v>35228.010958904109</v>
      </c>
      <c r="BF231" s="195">
        <f t="shared" si="59"/>
        <v>34871.575249932452</v>
      </c>
      <c r="BG231" s="195">
        <f t="shared" si="59"/>
        <v>34992.469959946597</v>
      </c>
      <c r="BH231" s="195">
        <f t="shared" si="59"/>
        <v>34530.669489282875</v>
      </c>
      <c r="BI231" s="195">
        <f t="shared" si="59"/>
        <v>34499.495002630196</v>
      </c>
      <c r="BJ231" s="195">
        <f t="shared" si="59"/>
        <v>34447.65522661776</v>
      </c>
      <c r="BK231" s="195">
        <f t="shared" si="59"/>
        <v>34387.719665271965</v>
      </c>
      <c r="BL231" s="195">
        <f t="shared" si="59"/>
        <v>34501.051255230122</v>
      </c>
      <c r="BM231" s="195">
        <f t="shared" si="59"/>
        <v>34562.052893427594</v>
      </c>
      <c r="BN231" s="195">
        <f t="shared" si="59"/>
        <v>34617.962184873948</v>
      </c>
      <c r="BO231" s="195">
        <f t="shared" si="59"/>
        <v>34650.672291062481</v>
      </c>
      <c r="BP231" s="195">
        <f t="shared" si="59"/>
        <v>34668.656597774243</v>
      </c>
      <c r="BQ231" s="195">
        <f t="shared" si="59"/>
        <v>34685.678124167331</v>
      </c>
    </row>
    <row r="232" spans="1:69" s="105" customFormat="1">
      <c r="A232" s="105">
        <f>$A$61</f>
        <v>44</v>
      </c>
      <c r="B232" s="114"/>
      <c r="C232" s="114"/>
      <c r="D232" s="114"/>
      <c r="E232" s="114"/>
      <c r="F232" s="114"/>
      <c r="G232" s="114"/>
      <c r="H232" s="114"/>
      <c r="I232" s="114"/>
      <c r="J232" s="114"/>
      <c r="K232" s="114"/>
      <c r="L232" s="114"/>
      <c r="M232" s="195">
        <f>M$61*M$368</f>
        <v>27515.351941747573</v>
      </c>
      <c r="N232" s="195">
        <f t="shared" ref="N232:BQ232" si="60">N$61*N$368</f>
        <v>27158.535211267608</v>
      </c>
      <c r="O232" s="195">
        <f t="shared" si="60"/>
        <v>26327.106714239377</v>
      </c>
      <c r="P232" s="195">
        <f t="shared" si="60"/>
        <v>25612.236931432453</v>
      </c>
      <c r="Q232" s="195">
        <f t="shared" si="60"/>
        <v>25902.054655870445</v>
      </c>
      <c r="R232" s="195">
        <f t="shared" si="60"/>
        <v>25981.429059829061</v>
      </c>
      <c r="S232" s="195">
        <f t="shared" si="60"/>
        <v>26943.445544554455</v>
      </c>
      <c r="T232" s="195">
        <f t="shared" si="60"/>
        <v>27333.255508056562</v>
      </c>
      <c r="U232" s="195">
        <f t="shared" si="60"/>
        <v>27719.437215354585</v>
      </c>
      <c r="V232" s="195">
        <f t="shared" si="60"/>
        <v>28708.617424242424</v>
      </c>
      <c r="W232" s="195">
        <f t="shared" si="60"/>
        <v>29426.56780970034</v>
      </c>
      <c r="X232" s="195">
        <f t="shared" si="60"/>
        <v>30157.187026371626</v>
      </c>
      <c r="Y232" s="195">
        <f t="shared" si="60"/>
        <v>30888.47577092511</v>
      </c>
      <c r="Z232" s="195">
        <f t="shared" si="60"/>
        <v>31458.115942028988</v>
      </c>
      <c r="AA232" s="195">
        <f t="shared" si="60"/>
        <v>32232.124789207417</v>
      </c>
      <c r="AB232" s="195">
        <f t="shared" si="60"/>
        <v>34424.382978723406</v>
      </c>
      <c r="AC232" s="195">
        <f t="shared" si="60"/>
        <v>34756.440281030445</v>
      </c>
      <c r="AD232" s="195">
        <f t="shared" si="60"/>
        <v>36243.338278931747</v>
      </c>
      <c r="AE232" s="195">
        <f t="shared" si="60"/>
        <v>36785.468003820439</v>
      </c>
      <c r="AF232" s="195">
        <f t="shared" si="60"/>
        <v>36492.561182456993</v>
      </c>
      <c r="AG232" s="195">
        <f t="shared" si="60"/>
        <v>35898.278967867576</v>
      </c>
      <c r="AH232" s="195">
        <f t="shared" si="60"/>
        <v>34871.14672008012</v>
      </c>
      <c r="AI232" s="195">
        <f t="shared" si="60"/>
        <v>34695.369433198379</v>
      </c>
      <c r="AJ232" s="195">
        <f t="shared" si="60"/>
        <v>34385.016861219199</v>
      </c>
      <c r="AK232" s="195">
        <f t="shared" si="60"/>
        <v>34084.740157480315</v>
      </c>
      <c r="AL232" s="195">
        <f t="shared" si="60"/>
        <v>34068.384469182733</v>
      </c>
      <c r="AM232" s="195">
        <f t="shared" si="60"/>
        <v>33572.111017661904</v>
      </c>
      <c r="AN232" s="195">
        <f t="shared" si="60"/>
        <v>34260.248070562295</v>
      </c>
      <c r="AO232" s="195">
        <f t="shared" si="60"/>
        <v>33938.203323007605</v>
      </c>
      <c r="AP232" s="195">
        <f t="shared" si="60"/>
        <v>33140.539115147963</v>
      </c>
      <c r="AQ232" s="195">
        <f t="shared" si="60"/>
        <v>32849.555950266433</v>
      </c>
      <c r="AR232" s="195">
        <f t="shared" si="60"/>
        <v>33567.110332749558</v>
      </c>
      <c r="AS232" s="195">
        <f t="shared" si="60"/>
        <v>33701.485061511426</v>
      </c>
      <c r="AT232" s="195">
        <f t="shared" si="60"/>
        <v>34404.22745548535</v>
      </c>
      <c r="AU232" s="195">
        <f t="shared" si="60"/>
        <v>35730.955678670362</v>
      </c>
      <c r="AV232" s="195">
        <f t="shared" si="60"/>
        <v>36851.731903485255</v>
      </c>
      <c r="AW232" s="195">
        <f t="shared" si="60"/>
        <v>36716.844384303113</v>
      </c>
      <c r="AX232" s="195">
        <f t="shared" si="60"/>
        <v>37607.72607086198</v>
      </c>
      <c r="AY232" s="195">
        <f t="shared" si="60"/>
        <v>37536.879014989296</v>
      </c>
      <c r="AZ232" s="195">
        <f t="shared" si="60"/>
        <v>37447.104906478722</v>
      </c>
      <c r="BA232" s="195">
        <f t="shared" si="60"/>
        <v>37375.394736842107</v>
      </c>
      <c r="BB232" s="195">
        <f t="shared" si="60"/>
        <v>36418.908886389203</v>
      </c>
      <c r="BC232" s="195">
        <f t="shared" si="60"/>
        <v>36471.704705550859</v>
      </c>
      <c r="BD232" s="195">
        <f t="shared" si="60"/>
        <v>36169.875986471256</v>
      </c>
      <c r="BE232" s="195">
        <f t="shared" si="60"/>
        <v>36369.223922114048</v>
      </c>
      <c r="BF232" s="195">
        <f t="shared" si="60"/>
        <v>35673.849945235488</v>
      </c>
      <c r="BG232" s="195">
        <f t="shared" si="60"/>
        <v>35316.068052930059</v>
      </c>
      <c r="BH232" s="195">
        <f t="shared" si="60"/>
        <v>35444.547638110489</v>
      </c>
      <c r="BI232" s="195">
        <f t="shared" si="60"/>
        <v>34964.755355726003</v>
      </c>
      <c r="BJ232" s="195">
        <f t="shared" si="60"/>
        <v>34930.197109067019</v>
      </c>
      <c r="BK232" s="195">
        <f t="shared" si="60"/>
        <v>34885.441214977742</v>
      </c>
      <c r="BL232" s="195">
        <f t="shared" si="60"/>
        <v>34834.568740198643</v>
      </c>
      <c r="BM232" s="195">
        <f t="shared" si="60"/>
        <v>34929.474784426442</v>
      </c>
      <c r="BN232" s="195">
        <f t="shared" si="60"/>
        <v>35000.931693274011</v>
      </c>
      <c r="BO232" s="195">
        <f t="shared" si="60"/>
        <v>35049.414851744943</v>
      </c>
      <c r="BP232" s="195">
        <f t="shared" si="60"/>
        <v>35093.333333333328</v>
      </c>
      <c r="BQ232" s="195">
        <f t="shared" si="60"/>
        <v>35115.101932750862</v>
      </c>
    </row>
    <row r="233" spans="1:69" s="105" customFormat="1">
      <c r="A233" s="105">
        <f>$A$62</f>
        <v>45</v>
      </c>
      <c r="B233" s="114"/>
      <c r="C233" s="114"/>
      <c r="D233" s="114"/>
      <c r="E233" s="114"/>
      <c r="F233" s="114"/>
      <c r="G233" s="114"/>
      <c r="H233" s="114"/>
      <c r="I233" s="114"/>
      <c r="J233" s="114"/>
      <c r="K233" s="114"/>
      <c r="L233" s="114"/>
      <c r="M233" s="195">
        <f>M$62*M$369</f>
        <v>28900.971731448764</v>
      </c>
      <c r="N233" s="195">
        <f t="shared" ref="N233:BQ233" si="61">N$62*N$369</f>
        <v>28033.6107748184</v>
      </c>
      <c r="O233" s="195">
        <f t="shared" si="61"/>
        <v>27643.248984692284</v>
      </c>
      <c r="P233" s="195">
        <f t="shared" si="61"/>
        <v>26952.931648850015</v>
      </c>
      <c r="Q233" s="195">
        <f t="shared" si="61"/>
        <v>25948.677069199457</v>
      </c>
      <c r="R233" s="195">
        <f t="shared" si="61"/>
        <v>26270.418494768815</v>
      </c>
      <c r="S233" s="195">
        <f t="shared" si="61"/>
        <v>26354.117647058822</v>
      </c>
      <c r="T233" s="195">
        <f t="shared" si="61"/>
        <v>27258.137999339717</v>
      </c>
      <c r="U233" s="195">
        <f t="shared" si="61"/>
        <v>27661.292763157893</v>
      </c>
      <c r="V233" s="195">
        <f t="shared" si="61"/>
        <v>28047.787178652783</v>
      </c>
      <c r="W233" s="195">
        <f t="shared" si="61"/>
        <v>29048.629617934956</v>
      </c>
      <c r="X233" s="195">
        <f t="shared" si="61"/>
        <v>29778.408037094279</v>
      </c>
      <c r="Y233" s="195">
        <f t="shared" si="61"/>
        <v>30509.617950272896</v>
      </c>
      <c r="Z233" s="195">
        <f t="shared" si="61"/>
        <v>31239.659224441832</v>
      </c>
      <c r="AA233" s="195">
        <f t="shared" si="61"/>
        <v>31829.910118875039</v>
      </c>
      <c r="AB233" s="195">
        <f t="shared" si="61"/>
        <v>32611.653078436888</v>
      </c>
      <c r="AC233" s="195">
        <f t="shared" si="61"/>
        <v>34820.164937483372</v>
      </c>
      <c r="AD233" s="195">
        <f t="shared" si="61"/>
        <v>35166.52954959646</v>
      </c>
      <c r="AE233" s="195">
        <f t="shared" si="61"/>
        <v>36678.787728847106</v>
      </c>
      <c r="AF233" s="195">
        <f t="shared" si="61"/>
        <v>37221.956521739128</v>
      </c>
      <c r="AG233" s="195">
        <f t="shared" si="61"/>
        <v>36922.974545454548</v>
      </c>
      <c r="AH233" s="195">
        <f t="shared" si="61"/>
        <v>36323.009495982471</v>
      </c>
      <c r="AI233" s="195">
        <f t="shared" si="61"/>
        <v>35284.98873027799</v>
      </c>
      <c r="AJ233" s="195">
        <f t="shared" si="61"/>
        <v>35092.178643724699</v>
      </c>
      <c r="AK233" s="195">
        <f t="shared" si="61"/>
        <v>34786.658017644004</v>
      </c>
      <c r="AL233" s="195">
        <f t="shared" si="61"/>
        <v>34487.356261485955</v>
      </c>
      <c r="AM233" s="195">
        <f t="shared" si="61"/>
        <v>34464.40401846321</v>
      </c>
      <c r="AN233" s="195">
        <f t="shared" si="61"/>
        <v>33962.638810992714</v>
      </c>
      <c r="AO233" s="195">
        <f t="shared" si="61"/>
        <v>34653.291069459759</v>
      </c>
      <c r="AP233" s="195">
        <f t="shared" si="61"/>
        <v>34335.916643199103</v>
      </c>
      <c r="AQ233" s="195">
        <f t="shared" si="61"/>
        <v>33531.805392731534</v>
      </c>
      <c r="AR233" s="195">
        <f t="shared" si="61"/>
        <v>33231.527531083484</v>
      </c>
      <c r="AS233" s="195">
        <f t="shared" si="61"/>
        <v>33960.528312901341</v>
      </c>
      <c r="AT233" s="195">
        <f t="shared" si="61"/>
        <v>34088.989455184535</v>
      </c>
      <c r="AU233" s="195">
        <f t="shared" si="61"/>
        <v>34803.480758184953</v>
      </c>
      <c r="AV233" s="195">
        <f t="shared" si="61"/>
        <v>36142.313019390582</v>
      </c>
      <c r="AW233" s="195">
        <f t="shared" si="61"/>
        <v>37282.37533512064</v>
      </c>
      <c r="AX233" s="195">
        <f t="shared" si="61"/>
        <v>37141.117726657649</v>
      </c>
      <c r="AY233" s="195">
        <f t="shared" si="61"/>
        <v>38052.459016393448</v>
      </c>
      <c r="AZ233" s="195">
        <f t="shared" si="61"/>
        <v>37974.571734475372</v>
      </c>
      <c r="BA233" s="195">
        <f t="shared" si="61"/>
        <v>37889.259962049335</v>
      </c>
      <c r="BB233" s="195">
        <f t="shared" si="61"/>
        <v>37811.145519320366</v>
      </c>
      <c r="BC233" s="195">
        <f t="shared" si="61"/>
        <v>36853.076490438696</v>
      </c>
      <c r="BD233" s="195">
        <f t="shared" si="61"/>
        <v>36907.320371935755</v>
      </c>
      <c r="BE233" s="195">
        <f t="shared" si="61"/>
        <v>36579.890109890111</v>
      </c>
      <c r="BF233" s="195">
        <f t="shared" si="61"/>
        <v>36798.175243393598</v>
      </c>
      <c r="BG233" s="195">
        <f t="shared" si="61"/>
        <v>36088.25848849945</v>
      </c>
      <c r="BH233" s="195">
        <f t="shared" si="61"/>
        <v>35722.259719222464</v>
      </c>
      <c r="BI233" s="195">
        <f t="shared" si="61"/>
        <v>35857.085668534826</v>
      </c>
      <c r="BJ233" s="195">
        <f t="shared" si="61"/>
        <v>35369.49762030672</v>
      </c>
      <c r="BK233" s="195">
        <f t="shared" si="61"/>
        <v>35341.434954007884</v>
      </c>
      <c r="BL233" s="195">
        <f t="shared" si="61"/>
        <v>35305.247446975649</v>
      </c>
      <c r="BM233" s="195">
        <f t="shared" si="61"/>
        <v>35233.198327671809</v>
      </c>
      <c r="BN233" s="195">
        <f t="shared" si="61"/>
        <v>35348.931277763259</v>
      </c>
      <c r="BO233" s="195">
        <f t="shared" si="61"/>
        <v>35412.582417582416</v>
      </c>
      <c r="BP233" s="195">
        <f t="shared" si="61"/>
        <v>35472.028339018631</v>
      </c>
      <c r="BQ233" s="195">
        <f t="shared" si="61"/>
        <v>35498.082191780821</v>
      </c>
    </row>
    <row r="234" spans="1:69" s="105" customFormat="1">
      <c r="A234" s="105">
        <f>$A$63</f>
        <v>46</v>
      </c>
      <c r="B234" s="114"/>
      <c r="C234" s="114"/>
      <c r="D234" s="114"/>
      <c r="E234" s="114"/>
      <c r="F234" s="114"/>
      <c r="G234" s="114"/>
      <c r="H234" s="114"/>
      <c r="I234" s="114"/>
      <c r="J234" s="114"/>
      <c r="K234" s="114"/>
      <c r="L234" s="114"/>
      <c r="M234" s="195">
        <f>M$63*M$370</f>
        <v>29411.885977541031</v>
      </c>
      <c r="N234" s="195">
        <f t="shared" ref="N234:BQ234" si="62">N$63*N$370</f>
        <v>29354.426807760141</v>
      </c>
      <c r="O234" s="195">
        <f t="shared" si="62"/>
        <v>28421.526602176542</v>
      </c>
      <c r="P234" s="195">
        <f t="shared" si="62"/>
        <v>28185.384134915676</v>
      </c>
      <c r="Q234" s="195">
        <f t="shared" si="62"/>
        <v>27244.141283214514</v>
      </c>
      <c r="R234" s="195">
        <f t="shared" si="62"/>
        <v>26263.976230899832</v>
      </c>
      <c r="S234" s="195">
        <f t="shared" si="62"/>
        <v>26597.554054054053</v>
      </c>
      <c r="T234" s="195">
        <f t="shared" si="62"/>
        <v>26588.575830195139</v>
      </c>
      <c r="U234" s="195">
        <f t="shared" si="62"/>
        <v>27502.075346992729</v>
      </c>
      <c r="V234" s="195">
        <f t="shared" si="62"/>
        <v>27907.540335857757</v>
      </c>
      <c r="W234" s="195">
        <f t="shared" si="62"/>
        <v>28294.280130293158</v>
      </c>
      <c r="X234" s="195">
        <f t="shared" si="62"/>
        <v>29306.60556257901</v>
      </c>
      <c r="Y234" s="195">
        <f t="shared" si="62"/>
        <v>30038.230745437675</v>
      </c>
      <c r="Z234" s="195">
        <f t="shared" si="62"/>
        <v>30781.729893778454</v>
      </c>
      <c r="AA234" s="195">
        <f t="shared" si="62"/>
        <v>31517.565421934727</v>
      </c>
      <c r="AB234" s="195">
        <f t="shared" si="62"/>
        <v>32110.345227734262</v>
      </c>
      <c r="AC234" s="195">
        <f t="shared" si="62"/>
        <v>32909.561057962863</v>
      </c>
      <c r="AD234" s="195">
        <f t="shared" si="62"/>
        <v>35131.703940362087</v>
      </c>
      <c r="AE234" s="195">
        <f t="shared" si="62"/>
        <v>35474.957020057307</v>
      </c>
      <c r="AF234" s="195">
        <f t="shared" si="62"/>
        <v>36994.738796731865</v>
      </c>
      <c r="AG234" s="195">
        <f t="shared" si="62"/>
        <v>37531.728011472274</v>
      </c>
      <c r="AH234" s="195">
        <f t="shared" si="62"/>
        <v>37243.512005821009</v>
      </c>
      <c r="AI234" s="195">
        <f t="shared" si="62"/>
        <v>36629.125243664719</v>
      </c>
      <c r="AJ234" s="195">
        <f t="shared" si="62"/>
        <v>35580.24054121774</v>
      </c>
      <c r="AK234" s="195">
        <f t="shared" si="62"/>
        <v>35408.052671562422</v>
      </c>
      <c r="AL234" s="195">
        <f t="shared" si="62"/>
        <v>35088.473520249223</v>
      </c>
      <c r="AM234" s="195">
        <f t="shared" si="62"/>
        <v>34779.600735487264</v>
      </c>
      <c r="AN234" s="195">
        <f t="shared" si="62"/>
        <v>34756.511817440914</v>
      </c>
      <c r="AO234" s="195">
        <f t="shared" si="62"/>
        <v>34269.099326599324</v>
      </c>
      <c r="AP234" s="195">
        <f t="shared" si="62"/>
        <v>34951.781577495858</v>
      </c>
      <c r="AQ234" s="195">
        <f t="shared" si="62"/>
        <v>34647.100591715978</v>
      </c>
      <c r="AR234" s="195">
        <f t="shared" si="62"/>
        <v>33815.825271181471</v>
      </c>
      <c r="AS234" s="195">
        <f t="shared" si="62"/>
        <v>33525.805687203792</v>
      </c>
      <c r="AT234" s="195">
        <f t="shared" si="62"/>
        <v>34249.553284671529</v>
      </c>
      <c r="AU234" s="195">
        <f t="shared" si="62"/>
        <v>34387.787221570929</v>
      </c>
      <c r="AV234" s="195">
        <f t="shared" si="62"/>
        <v>35113.965517241384</v>
      </c>
      <c r="AW234" s="195">
        <f t="shared" si="62"/>
        <v>36464.781042128605</v>
      </c>
      <c r="AX234" s="195">
        <f t="shared" si="62"/>
        <v>37606.754291845493</v>
      </c>
      <c r="AY234" s="195">
        <f t="shared" si="62"/>
        <v>37464.784727863531</v>
      </c>
      <c r="AZ234" s="195">
        <f t="shared" si="62"/>
        <v>38368.857445120339</v>
      </c>
      <c r="BA234" s="195">
        <f t="shared" si="62"/>
        <v>38303.400267737619</v>
      </c>
      <c r="BB234" s="195">
        <f t="shared" si="62"/>
        <v>38221.691973969631</v>
      </c>
      <c r="BC234" s="195">
        <f t="shared" si="62"/>
        <v>38145.316698656432</v>
      </c>
      <c r="BD234" s="195">
        <f t="shared" si="62"/>
        <v>37164.964838255975</v>
      </c>
      <c r="BE234" s="195">
        <f t="shared" si="62"/>
        <v>37220.329763246897</v>
      </c>
      <c r="BF234" s="195">
        <f t="shared" si="62"/>
        <v>36901.829199549044</v>
      </c>
      <c r="BG234" s="195">
        <f t="shared" si="62"/>
        <v>37117.696160267114</v>
      </c>
      <c r="BH234" s="195">
        <f t="shared" si="62"/>
        <v>36407.378800328675</v>
      </c>
      <c r="BI234" s="195">
        <f t="shared" si="62"/>
        <v>36033.34593572779</v>
      </c>
      <c r="BJ234" s="195">
        <f t="shared" si="62"/>
        <v>36176.508275493856</v>
      </c>
      <c r="BK234" s="195">
        <f t="shared" si="62"/>
        <v>35679.410208939429</v>
      </c>
      <c r="BL234" s="195">
        <f t="shared" si="62"/>
        <v>35659.779179810728</v>
      </c>
      <c r="BM234" s="195">
        <f t="shared" si="62"/>
        <v>35603.812516365542</v>
      </c>
      <c r="BN234" s="195">
        <f t="shared" si="62"/>
        <v>35548.693152117092</v>
      </c>
      <c r="BO234" s="195">
        <f t="shared" si="62"/>
        <v>35656.075254768752</v>
      </c>
      <c r="BP234" s="195">
        <f t="shared" si="62"/>
        <v>35730.117770217221</v>
      </c>
      <c r="BQ234" s="195">
        <f t="shared" si="62"/>
        <v>35781.600629755972</v>
      </c>
    </row>
    <row r="235" spans="1:69" s="105" customFormat="1">
      <c r="A235" s="105">
        <f>$A$64</f>
        <v>47</v>
      </c>
      <c r="B235" s="114"/>
      <c r="C235" s="114"/>
      <c r="D235" s="114"/>
      <c r="E235" s="114"/>
      <c r="F235" s="114"/>
      <c r="G235" s="114"/>
      <c r="H235" s="114"/>
      <c r="I235" s="114"/>
      <c r="J235" s="114"/>
      <c r="K235" s="114"/>
      <c r="L235" s="114"/>
      <c r="M235" s="195">
        <f>M$64*M$371</f>
        <v>28369.544364508394</v>
      </c>
      <c r="N235" s="195">
        <f t="shared" ref="N235:BQ235" si="63">N$64*N$371</f>
        <v>29706.130609896434</v>
      </c>
      <c r="O235" s="195">
        <f t="shared" si="63"/>
        <v>29647.340581839555</v>
      </c>
      <c r="P235" s="195">
        <f t="shared" si="63"/>
        <v>28871.947384336258</v>
      </c>
      <c r="Q235" s="195">
        <f t="shared" si="63"/>
        <v>28404.928125000002</v>
      </c>
      <c r="R235" s="195">
        <f t="shared" si="63"/>
        <v>27486.958779617005</v>
      </c>
      <c r="S235" s="195">
        <f t="shared" si="63"/>
        <v>26497.61645698742</v>
      </c>
      <c r="T235" s="195">
        <f t="shared" si="63"/>
        <v>26718.186738836266</v>
      </c>
      <c r="U235" s="195">
        <f t="shared" si="63"/>
        <v>26730.202262598559</v>
      </c>
      <c r="V235" s="195">
        <f t="shared" si="63"/>
        <v>27634.248841826604</v>
      </c>
      <c r="W235" s="195">
        <f t="shared" si="63"/>
        <v>28030.623145400594</v>
      </c>
      <c r="X235" s="195">
        <f t="shared" si="63"/>
        <v>28428.127853881277</v>
      </c>
      <c r="Y235" s="195">
        <f t="shared" si="63"/>
        <v>29440.974683544304</v>
      </c>
      <c r="Z235" s="195">
        <f t="shared" si="63"/>
        <v>30172.808919170024</v>
      </c>
      <c r="AA235" s="195">
        <f t="shared" si="63"/>
        <v>30914.940747493161</v>
      </c>
      <c r="AB235" s="195">
        <f t="shared" si="63"/>
        <v>31661.607300559317</v>
      </c>
      <c r="AC235" s="195">
        <f t="shared" si="63"/>
        <v>32244.408945686901</v>
      </c>
      <c r="AD235" s="195">
        <f t="shared" si="63"/>
        <v>33042.219718309854</v>
      </c>
      <c r="AE235" s="195">
        <f t="shared" si="63"/>
        <v>35287.393390191901</v>
      </c>
      <c r="AF235" s="195">
        <f t="shared" si="63"/>
        <v>35617.314211212521</v>
      </c>
      <c r="AG235" s="195">
        <f t="shared" si="63"/>
        <v>37145.598513011151</v>
      </c>
      <c r="AH235" s="195">
        <f t="shared" si="63"/>
        <v>37697.449150514476</v>
      </c>
      <c r="AI235" s="195">
        <f t="shared" si="63"/>
        <v>37400.267119961143</v>
      </c>
      <c r="AJ235" s="195">
        <f t="shared" si="63"/>
        <v>36774.241463414633</v>
      </c>
      <c r="AK235" s="195">
        <f t="shared" si="63"/>
        <v>35724.981188863807</v>
      </c>
      <c r="AL235" s="195">
        <f t="shared" si="63"/>
        <v>35534.566649771921</v>
      </c>
      <c r="AM235" s="195">
        <f t="shared" si="63"/>
        <v>35225.441787941789</v>
      </c>
      <c r="AN235" s="195">
        <f t="shared" si="63"/>
        <v>34918.175604626711</v>
      </c>
      <c r="AO235" s="195">
        <f t="shared" si="63"/>
        <v>34899.940168615722</v>
      </c>
      <c r="AP235" s="195">
        <f t="shared" si="63"/>
        <v>34395.282224094357</v>
      </c>
      <c r="AQ235" s="195">
        <f t="shared" si="63"/>
        <v>35089.28512282639</v>
      </c>
      <c r="AR235" s="195">
        <f t="shared" si="63"/>
        <v>34775.758601240836</v>
      </c>
      <c r="AS235" s="195">
        <f t="shared" si="63"/>
        <v>33947.165492957742</v>
      </c>
      <c r="AT235" s="195">
        <f t="shared" si="63"/>
        <v>33646.154758375334</v>
      </c>
      <c r="AU235" s="195">
        <f t="shared" si="63"/>
        <v>34371.011104617181</v>
      </c>
      <c r="AV235" s="195">
        <f t="shared" si="63"/>
        <v>34511.788856304986</v>
      </c>
      <c r="AW235" s="195">
        <f t="shared" si="63"/>
        <v>35226.710753306499</v>
      </c>
      <c r="AX235" s="195">
        <f t="shared" si="63"/>
        <v>36589.217970049918</v>
      </c>
      <c r="AY235" s="195">
        <f t="shared" si="63"/>
        <v>37730.826623725174</v>
      </c>
      <c r="AZ235" s="195">
        <f t="shared" si="63"/>
        <v>37601.273367651047</v>
      </c>
      <c r="BA235" s="195">
        <f t="shared" si="63"/>
        <v>38504.118581259929</v>
      </c>
      <c r="BB235" s="195">
        <f t="shared" si="63"/>
        <v>38452.170418006433</v>
      </c>
      <c r="BC235" s="195">
        <f t="shared" si="63"/>
        <v>38350.352685838305</v>
      </c>
      <c r="BD235" s="195">
        <f t="shared" si="63"/>
        <v>38275.555555555555</v>
      </c>
      <c r="BE235" s="195">
        <f t="shared" si="63"/>
        <v>37295.153391500142</v>
      </c>
      <c r="BF235" s="195">
        <f t="shared" si="63"/>
        <v>37351.111111111109</v>
      </c>
      <c r="BG235" s="195">
        <f t="shared" si="63"/>
        <v>37031.111111111109</v>
      </c>
      <c r="BH235" s="195">
        <f t="shared" si="63"/>
        <v>37254.62973273942</v>
      </c>
      <c r="BI235" s="195">
        <f t="shared" si="63"/>
        <v>36538.339271033161</v>
      </c>
      <c r="BJ235" s="195">
        <f t="shared" si="63"/>
        <v>36162.442583085656</v>
      </c>
      <c r="BK235" s="195">
        <f t="shared" si="63"/>
        <v>36313.130341880336</v>
      </c>
      <c r="BL235" s="195">
        <f t="shared" si="63"/>
        <v>35803.260121725325</v>
      </c>
      <c r="BM235" s="195">
        <f t="shared" si="63"/>
        <v>35782.482903734875</v>
      </c>
      <c r="BN235" s="195">
        <f t="shared" si="63"/>
        <v>35734.50353680901</v>
      </c>
      <c r="BO235" s="195">
        <f t="shared" si="63"/>
        <v>35678.833682008364</v>
      </c>
      <c r="BP235" s="195">
        <f t="shared" si="63"/>
        <v>35786.666666666664</v>
      </c>
      <c r="BQ235" s="195">
        <f t="shared" si="63"/>
        <v>35861.298769311339</v>
      </c>
    </row>
    <row r="236" spans="1:69" s="105" customFormat="1">
      <c r="A236" s="105">
        <f>$A$65</f>
        <v>48</v>
      </c>
      <c r="B236" s="114"/>
      <c r="C236" s="114"/>
      <c r="D236" s="114"/>
      <c r="E236" s="114"/>
      <c r="F236" s="114"/>
      <c r="G236" s="114"/>
      <c r="H236" s="114"/>
      <c r="I236" s="114"/>
      <c r="J236" s="114"/>
      <c r="K236" s="114"/>
      <c r="L236" s="114"/>
      <c r="M236" s="195">
        <f>M$65*M$372</f>
        <v>28460.731853629277</v>
      </c>
      <c r="N236" s="195">
        <f t="shared" ref="N236:BQ236" si="64">N$65*N$372</f>
        <v>28593.563080611329</v>
      </c>
      <c r="O236" s="195">
        <f t="shared" si="64"/>
        <v>29993.705408515532</v>
      </c>
      <c r="P236" s="195">
        <f t="shared" si="64"/>
        <v>29943.32255219053</v>
      </c>
      <c r="Q236" s="195">
        <f t="shared" si="64"/>
        <v>29035.149863760216</v>
      </c>
      <c r="R236" s="195">
        <f t="shared" si="64"/>
        <v>28565.435190983091</v>
      </c>
      <c r="S236" s="195">
        <f t="shared" si="64"/>
        <v>27639.001950585174</v>
      </c>
      <c r="T236" s="195">
        <f t="shared" si="64"/>
        <v>26535.114139693356</v>
      </c>
      <c r="U236" s="195">
        <f t="shared" si="64"/>
        <v>26755.282954930532</v>
      </c>
      <c r="V236" s="195">
        <f t="shared" si="64"/>
        <v>26749.038461538461</v>
      </c>
      <c r="W236" s="195">
        <f t="shared" si="64"/>
        <v>27652.64169705005</v>
      </c>
      <c r="X236" s="195">
        <f t="shared" si="64"/>
        <v>28049.722589167766</v>
      </c>
      <c r="Y236" s="195">
        <f t="shared" si="64"/>
        <v>28445.360993139497</v>
      </c>
      <c r="Z236" s="195">
        <f t="shared" si="64"/>
        <v>29438.998415213944</v>
      </c>
      <c r="AA236" s="195">
        <f t="shared" si="64"/>
        <v>30170.880893300247</v>
      </c>
      <c r="AB236" s="195">
        <f t="shared" si="64"/>
        <v>30903.818071189537</v>
      </c>
      <c r="AC236" s="195">
        <f t="shared" si="64"/>
        <v>31648.584905660377</v>
      </c>
      <c r="AD236" s="195">
        <f t="shared" si="64"/>
        <v>32231.564863292613</v>
      </c>
      <c r="AE236" s="195">
        <f t="shared" si="64"/>
        <v>33028.919605077572</v>
      </c>
      <c r="AF236" s="195">
        <f t="shared" si="64"/>
        <v>35255.097411262344</v>
      </c>
      <c r="AG236" s="195">
        <f t="shared" si="64"/>
        <v>35603.7180156658</v>
      </c>
      <c r="AH236" s="195">
        <f t="shared" si="64"/>
        <v>37131.419354838712</v>
      </c>
      <c r="AI236" s="195">
        <f t="shared" si="64"/>
        <v>37671.844753234305</v>
      </c>
      <c r="AJ236" s="195">
        <f t="shared" si="64"/>
        <v>37374.913688305372</v>
      </c>
      <c r="AK236" s="195">
        <f t="shared" si="64"/>
        <v>36748.28571428571</v>
      </c>
      <c r="AL236" s="195">
        <f t="shared" si="64"/>
        <v>35697.669512807632</v>
      </c>
      <c r="AM236" s="195">
        <f t="shared" si="64"/>
        <v>35507.409286982998</v>
      </c>
      <c r="AN236" s="195">
        <f t="shared" si="64"/>
        <v>35180.809053069715</v>
      </c>
      <c r="AO236" s="195">
        <f t="shared" si="64"/>
        <v>34872.413793103449</v>
      </c>
      <c r="AP236" s="195">
        <f t="shared" si="64"/>
        <v>34845.521372175332</v>
      </c>
      <c r="AQ236" s="195">
        <f t="shared" si="64"/>
        <v>34341.141411301658</v>
      </c>
      <c r="AR236" s="195">
        <f t="shared" si="64"/>
        <v>35044.056369162754</v>
      </c>
      <c r="AS236" s="195">
        <f t="shared" si="64"/>
        <v>34730.725578769052</v>
      </c>
      <c r="AT236" s="195">
        <f t="shared" si="64"/>
        <v>33902.394242068156</v>
      </c>
      <c r="AU236" s="195">
        <f t="shared" si="64"/>
        <v>33602.655786350151</v>
      </c>
      <c r="AV236" s="195">
        <f t="shared" si="64"/>
        <v>34326.377998829725</v>
      </c>
      <c r="AW236" s="195">
        <f t="shared" si="64"/>
        <v>34467.281268349972</v>
      </c>
      <c r="AX236" s="195">
        <f t="shared" si="64"/>
        <v>35182.222222222219</v>
      </c>
      <c r="AY236" s="195">
        <f t="shared" si="64"/>
        <v>36544.758467518048</v>
      </c>
      <c r="AZ236" s="195">
        <f t="shared" si="64"/>
        <v>37686.327243417516</v>
      </c>
      <c r="BA236" s="195">
        <f t="shared" si="64"/>
        <v>37556.867371847031</v>
      </c>
      <c r="BB236" s="195">
        <f t="shared" si="64"/>
        <v>38449.536423841062</v>
      </c>
      <c r="BC236" s="195">
        <f t="shared" si="64"/>
        <v>38397.661571466881</v>
      </c>
      <c r="BD236" s="195">
        <f t="shared" si="64"/>
        <v>38306.333514394348</v>
      </c>
      <c r="BE236" s="195">
        <f t="shared" si="64"/>
        <v>38221.202635914335</v>
      </c>
      <c r="BF236" s="195">
        <f t="shared" si="64"/>
        <v>37261.492957746479</v>
      </c>
      <c r="BG236" s="195">
        <f t="shared" si="64"/>
        <v>37317.516229184308</v>
      </c>
      <c r="BH236" s="195">
        <f t="shared" si="64"/>
        <v>36985.605419136322</v>
      </c>
      <c r="BI236" s="195">
        <f t="shared" si="64"/>
        <v>37211.836166062974</v>
      </c>
      <c r="BJ236" s="195">
        <f t="shared" si="64"/>
        <v>36483.614920460779</v>
      </c>
      <c r="BK236" s="195">
        <f t="shared" si="64"/>
        <v>36116.430502974581</v>
      </c>
      <c r="BL236" s="195">
        <f t="shared" si="64"/>
        <v>36267.056936647954</v>
      </c>
      <c r="BM236" s="195">
        <f t="shared" si="64"/>
        <v>35757.028601694918</v>
      </c>
      <c r="BN236" s="195">
        <f t="shared" si="64"/>
        <v>35736.198999736771</v>
      </c>
      <c r="BO236" s="195">
        <f t="shared" si="64"/>
        <v>35688.185631882538</v>
      </c>
      <c r="BP236" s="195">
        <f t="shared" si="64"/>
        <v>35642.983512169594</v>
      </c>
      <c r="BQ236" s="195">
        <f t="shared" si="64"/>
        <v>35740.345368916795</v>
      </c>
    </row>
    <row r="237" spans="1:69" s="105" customFormat="1">
      <c r="A237" s="105">
        <f>$A$66</f>
        <v>49</v>
      </c>
      <c r="B237" s="114"/>
      <c r="C237" s="114"/>
      <c r="D237" s="114"/>
      <c r="E237" s="114"/>
      <c r="F237" s="114"/>
      <c r="G237" s="114"/>
      <c r="H237" s="114"/>
      <c r="I237" s="114"/>
      <c r="J237" s="114"/>
      <c r="K237" s="114"/>
      <c r="L237" s="114"/>
      <c r="M237" s="195">
        <f>M$66*M$373</f>
        <v>27999.859413202936</v>
      </c>
      <c r="N237" s="195">
        <f t="shared" ref="N237:BQ237" si="65">N$66*N$373</f>
        <v>28666.740629685155</v>
      </c>
      <c r="O237" s="195">
        <f t="shared" si="65"/>
        <v>28710.167865707437</v>
      </c>
      <c r="P237" s="195">
        <f t="shared" si="65"/>
        <v>30295.650921658984</v>
      </c>
      <c r="Q237" s="195">
        <f t="shared" si="65"/>
        <v>30045.848056537103</v>
      </c>
      <c r="R237" s="195">
        <f t="shared" si="65"/>
        <v>29125.726417955717</v>
      </c>
      <c r="S237" s="195">
        <f t="shared" si="65"/>
        <v>28664.068381430363</v>
      </c>
      <c r="T237" s="195">
        <f t="shared" si="65"/>
        <v>27604.885993485343</v>
      </c>
      <c r="U237" s="195">
        <f t="shared" si="65"/>
        <v>26483.39590443686</v>
      </c>
      <c r="V237" s="195">
        <f t="shared" si="65"/>
        <v>26702.091680814941</v>
      </c>
      <c r="W237" s="195">
        <f t="shared" si="65"/>
        <v>26685.056759545925</v>
      </c>
      <c r="X237" s="195">
        <f t="shared" si="65"/>
        <v>27578.007968127491</v>
      </c>
      <c r="Y237" s="195">
        <f t="shared" si="65"/>
        <v>27975.054581541513</v>
      </c>
      <c r="Z237" s="195">
        <f t="shared" si="65"/>
        <v>28360.013089005235</v>
      </c>
      <c r="AA237" s="195">
        <f t="shared" si="65"/>
        <v>29353.5873015873</v>
      </c>
      <c r="AB237" s="195">
        <f t="shared" si="65"/>
        <v>30085.408511960239</v>
      </c>
      <c r="AC237" s="195">
        <f t="shared" si="65"/>
        <v>30808.195672051206</v>
      </c>
      <c r="AD237" s="195">
        <f t="shared" si="65"/>
        <v>31541.851195748452</v>
      </c>
      <c r="AE237" s="195">
        <f t="shared" si="65"/>
        <v>32124.692688610543</v>
      </c>
      <c r="AF237" s="195">
        <f t="shared" si="65"/>
        <v>32911.649717514127</v>
      </c>
      <c r="AG237" s="195">
        <f t="shared" si="65"/>
        <v>35146.84843624699</v>
      </c>
      <c r="AH237" s="195">
        <f t="shared" si="65"/>
        <v>35465.962343096238</v>
      </c>
      <c r="AI237" s="195">
        <f t="shared" si="65"/>
        <v>36984.924223602487</v>
      </c>
      <c r="AJ237" s="195">
        <f t="shared" si="65"/>
        <v>37525.185895898299</v>
      </c>
      <c r="AK237" s="195">
        <f t="shared" si="65"/>
        <v>37218.987341772154</v>
      </c>
      <c r="AL237" s="195">
        <f t="shared" si="65"/>
        <v>36602.05378973105</v>
      </c>
      <c r="AM237" s="195">
        <f t="shared" si="65"/>
        <v>35551.526276087505</v>
      </c>
      <c r="AN237" s="195">
        <f t="shared" si="65"/>
        <v>35360.945121951219</v>
      </c>
      <c r="AO237" s="195">
        <f t="shared" si="65"/>
        <v>35033.300338629851</v>
      </c>
      <c r="AP237" s="195">
        <f t="shared" si="65"/>
        <v>34724.426877470352</v>
      </c>
      <c r="AQ237" s="195">
        <f t="shared" si="65"/>
        <v>34705.641864268197</v>
      </c>
      <c r="AR237" s="195">
        <f t="shared" si="65"/>
        <v>34200.056290458764</v>
      </c>
      <c r="AS237" s="195">
        <f t="shared" si="65"/>
        <v>34883.017980636236</v>
      </c>
      <c r="AT237" s="195">
        <f t="shared" si="65"/>
        <v>34568.682871678917</v>
      </c>
      <c r="AU237" s="195">
        <f t="shared" si="65"/>
        <v>33738.012349309029</v>
      </c>
      <c r="AV237" s="195">
        <f t="shared" si="65"/>
        <v>33448.104575163401</v>
      </c>
      <c r="AW237" s="195">
        <f t="shared" si="65"/>
        <v>34161.224011713035</v>
      </c>
      <c r="AX237" s="195">
        <f t="shared" si="65"/>
        <v>34301.419335880106</v>
      </c>
      <c r="AY237" s="195">
        <f t="shared" si="65"/>
        <v>35026.368876080691</v>
      </c>
      <c r="AZ237" s="195">
        <f t="shared" si="65"/>
        <v>36388.752084491382</v>
      </c>
      <c r="BA237" s="195">
        <f t="shared" si="65"/>
        <v>37520.403334229632</v>
      </c>
      <c r="BB237" s="195">
        <f t="shared" si="65"/>
        <v>37378.949511400649</v>
      </c>
      <c r="BC237" s="195">
        <f t="shared" si="65"/>
        <v>38293.198090692124</v>
      </c>
      <c r="BD237" s="195">
        <f t="shared" si="65"/>
        <v>38228.832214765098</v>
      </c>
      <c r="BE237" s="195">
        <f t="shared" si="65"/>
        <v>38137.809187279148</v>
      </c>
      <c r="BF237" s="195">
        <f t="shared" si="65"/>
        <v>38060.687001923608</v>
      </c>
      <c r="BG237" s="195">
        <f t="shared" si="65"/>
        <v>37092.111643642515</v>
      </c>
      <c r="BH237" s="195">
        <f t="shared" si="65"/>
        <v>37147.796610169491</v>
      </c>
      <c r="BI237" s="195">
        <f t="shared" si="65"/>
        <v>36827.148912122066</v>
      </c>
      <c r="BJ237" s="195">
        <f t="shared" si="65"/>
        <v>37052.529280535418</v>
      </c>
      <c r="BK237" s="195">
        <f t="shared" si="65"/>
        <v>36327.685973099098</v>
      </c>
      <c r="BL237" s="195">
        <f t="shared" si="65"/>
        <v>35972.482403898211</v>
      </c>
      <c r="BM237" s="195">
        <f t="shared" si="65"/>
        <v>36105.189941144999</v>
      </c>
      <c r="BN237" s="195">
        <f t="shared" si="65"/>
        <v>35606.122448979593</v>
      </c>
      <c r="BO237" s="195">
        <f t="shared" si="65"/>
        <v>35585.890410958906</v>
      </c>
      <c r="BP237" s="195">
        <f t="shared" si="65"/>
        <v>35538.336394647078</v>
      </c>
      <c r="BQ237" s="195">
        <f t="shared" si="65"/>
        <v>35493.418019905708</v>
      </c>
    </row>
    <row r="238" spans="1:69" s="105" customFormat="1">
      <c r="A238" s="105">
        <f>$A$67</f>
        <v>50</v>
      </c>
      <c r="B238" s="114"/>
      <c r="C238" s="114"/>
      <c r="D238" s="114"/>
      <c r="E238" s="114"/>
      <c r="F238" s="114"/>
      <c r="G238" s="114"/>
      <c r="H238" s="114"/>
      <c r="I238" s="114"/>
      <c r="J238" s="114"/>
      <c r="K238" s="114"/>
      <c r="L238" s="114"/>
      <c r="M238" s="195">
        <f>M$67*M$374</f>
        <v>27426.388888888887</v>
      </c>
      <c r="N238" s="195">
        <f t="shared" ref="N238:BQ238" si="66">N$67*N$374</f>
        <v>28101.286674816623</v>
      </c>
      <c r="O238" s="195">
        <f t="shared" si="66"/>
        <v>28780.60606060606</v>
      </c>
      <c r="P238" s="195">
        <f t="shared" si="66"/>
        <v>28931.782178217822</v>
      </c>
      <c r="Q238" s="195">
        <f t="shared" si="66"/>
        <v>30308.624170752813</v>
      </c>
      <c r="R238" s="195">
        <f t="shared" si="66"/>
        <v>30064.685748008262</v>
      </c>
      <c r="S238" s="195">
        <f t="shared" si="66"/>
        <v>29151.59574468085</v>
      </c>
      <c r="T238" s="195">
        <f t="shared" si="66"/>
        <v>28550.232558139534</v>
      </c>
      <c r="U238" s="195">
        <f t="shared" si="66"/>
        <v>27490.995430809398</v>
      </c>
      <c r="V238" s="195">
        <f t="shared" si="66"/>
        <v>26378.002735978112</v>
      </c>
      <c r="W238" s="195">
        <f t="shared" si="66"/>
        <v>26577.122448979593</v>
      </c>
      <c r="X238" s="195">
        <f t="shared" si="66"/>
        <v>26559.607167470713</v>
      </c>
      <c r="Y238" s="195">
        <f t="shared" si="66"/>
        <v>27451.277445109779</v>
      </c>
      <c r="Z238" s="195">
        <f t="shared" si="66"/>
        <v>27828.094764744863</v>
      </c>
      <c r="AA238" s="195">
        <f t="shared" si="66"/>
        <v>28212.913798754504</v>
      </c>
      <c r="AB238" s="195">
        <f t="shared" si="66"/>
        <v>29195.627980922098</v>
      </c>
      <c r="AC238" s="195">
        <f t="shared" si="66"/>
        <v>29916.636589919101</v>
      </c>
      <c r="AD238" s="195">
        <f t="shared" si="66"/>
        <v>30628.406593406595</v>
      </c>
      <c r="AE238" s="195">
        <f t="shared" si="66"/>
        <v>31362.868125369605</v>
      </c>
      <c r="AF238" s="195">
        <f t="shared" si="66"/>
        <v>31934.699533255542</v>
      </c>
      <c r="AG238" s="195">
        <f t="shared" si="66"/>
        <v>32711.821782178216</v>
      </c>
      <c r="AH238" s="195">
        <f t="shared" si="66"/>
        <v>34935.273019271946</v>
      </c>
      <c r="AI238" s="195">
        <f t="shared" si="66"/>
        <v>35256.014663524482</v>
      </c>
      <c r="AJ238" s="195">
        <f t="shared" si="66"/>
        <v>36764.503607862651</v>
      </c>
      <c r="AK238" s="195">
        <f t="shared" si="66"/>
        <v>37298.719673312517</v>
      </c>
      <c r="AL238" s="195">
        <f t="shared" si="66"/>
        <v>36981.286863270776</v>
      </c>
      <c r="AM238" s="195">
        <f t="shared" si="66"/>
        <v>36366.242350061199</v>
      </c>
      <c r="AN238" s="195">
        <f t="shared" si="66"/>
        <v>35307.050088094642</v>
      </c>
      <c r="AO238" s="195">
        <f t="shared" si="66"/>
        <v>35124.660391757818</v>
      </c>
      <c r="AP238" s="195">
        <f t="shared" si="66"/>
        <v>34813.82368283777</v>
      </c>
      <c r="AQ238" s="195">
        <f t="shared" si="66"/>
        <v>34495.788918205806</v>
      </c>
      <c r="AR238" s="195">
        <f t="shared" si="66"/>
        <v>34462.908594815824</v>
      </c>
      <c r="AS238" s="195">
        <f t="shared" si="66"/>
        <v>33974.30543815159</v>
      </c>
      <c r="AT238" s="195">
        <f t="shared" si="66"/>
        <v>34646.026031570203</v>
      </c>
      <c r="AU238" s="195">
        <f t="shared" si="66"/>
        <v>34331.057991513437</v>
      </c>
      <c r="AV238" s="195">
        <f t="shared" si="66"/>
        <v>33518.999116867824</v>
      </c>
      <c r="AW238" s="195">
        <f t="shared" si="66"/>
        <v>33219.006839131725</v>
      </c>
      <c r="AX238" s="195">
        <f t="shared" si="66"/>
        <v>33941.058340662559</v>
      </c>
      <c r="AY238" s="195">
        <f t="shared" si="66"/>
        <v>34068.843777581642</v>
      </c>
      <c r="AZ238" s="195">
        <f t="shared" si="66"/>
        <v>34794.926449379869</v>
      </c>
      <c r="BA238" s="195">
        <f t="shared" si="66"/>
        <v>36145.635605006952</v>
      </c>
      <c r="BB238" s="195">
        <f t="shared" si="66"/>
        <v>37276.339165545091</v>
      </c>
      <c r="BC238" s="195">
        <f t="shared" si="66"/>
        <v>37133.95108695652</v>
      </c>
      <c r="BD238" s="195">
        <f t="shared" si="66"/>
        <v>38026.56050955414</v>
      </c>
      <c r="BE238" s="195">
        <f t="shared" si="66"/>
        <v>37971.751746372916</v>
      </c>
      <c r="BF238" s="195">
        <f t="shared" si="66"/>
        <v>37878.930903155604</v>
      </c>
      <c r="BG238" s="195">
        <f t="shared" si="66"/>
        <v>37822.365887207699</v>
      </c>
      <c r="BH238" s="195">
        <f t="shared" si="66"/>
        <v>36843.445259593682</v>
      </c>
      <c r="BI238" s="195">
        <f t="shared" si="66"/>
        <v>36907.37913486005</v>
      </c>
      <c r="BJ238" s="195">
        <f t="shared" si="66"/>
        <v>36588.144796380089</v>
      </c>
      <c r="BK238" s="195">
        <f t="shared" si="66"/>
        <v>36805.894501814124</v>
      </c>
      <c r="BL238" s="195">
        <f t="shared" si="66"/>
        <v>36095.692307692305</v>
      </c>
      <c r="BM238" s="195">
        <f t="shared" si="66"/>
        <v>35723.653846153851</v>
      </c>
      <c r="BN238" s="195">
        <f t="shared" si="66"/>
        <v>35867.405622489961</v>
      </c>
      <c r="BO238" s="195">
        <f t="shared" si="66"/>
        <v>35372.137931034486</v>
      </c>
      <c r="BP238" s="195">
        <f t="shared" si="66"/>
        <v>35343.690036900371</v>
      </c>
      <c r="BQ238" s="195">
        <f t="shared" si="66"/>
        <v>35306.297268907561</v>
      </c>
    </row>
    <row r="239" spans="1:69" s="105" customFormat="1">
      <c r="A239" s="105">
        <f>$A$68</f>
        <v>51</v>
      </c>
      <c r="B239" s="114"/>
      <c r="C239" s="114"/>
      <c r="D239" s="114"/>
      <c r="E239" s="114"/>
      <c r="F239" s="114"/>
      <c r="G239" s="114"/>
      <c r="H239" s="114"/>
      <c r="I239" s="114"/>
      <c r="J239" s="114"/>
      <c r="K239" s="114"/>
      <c r="L239" s="114"/>
      <c r="M239" s="195">
        <f>M$68*M$375</f>
        <v>26856.410579345087</v>
      </c>
      <c r="N239" s="195">
        <f t="shared" ref="N239:BQ239" si="67">N$68*N$375</f>
        <v>27460.142019141713</v>
      </c>
      <c r="O239" s="195">
        <f t="shared" si="67"/>
        <v>28113.490364025696</v>
      </c>
      <c r="P239" s="195">
        <f t="shared" si="67"/>
        <v>28976.242114749173</v>
      </c>
      <c r="Q239" s="195">
        <f t="shared" si="67"/>
        <v>28912.443642921553</v>
      </c>
      <c r="R239" s="195">
        <f t="shared" si="67"/>
        <v>30275.867052023121</v>
      </c>
      <c r="S239" s="195">
        <f t="shared" si="67"/>
        <v>30021.265523358961</v>
      </c>
      <c r="T239" s="195">
        <f t="shared" si="67"/>
        <v>28996.881851400729</v>
      </c>
      <c r="U239" s="195">
        <f t="shared" si="67"/>
        <v>28394.801637279597</v>
      </c>
      <c r="V239" s="195">
        <f t="shared" si="67"/>
        <v>27324.900294213796</v>
      </c>
      <c r="W239" s="195">
        <f t="shared" si="67"/>
        <v>26211.565604659132</v>
      </c>
      <c r="X239" s="195">
        <f t="shared" si="67"/>
        <v>26410.58262350937</v>
      </c>
      <c r="Y239" s="195">
        <f t="shared" si="67"/>
        <v>26381.618916120126</v>
      </c>
      <c r="Z239" s="195">
        <f t="shared" si="67"/>
        <v>27263.085638120625</v>
      </c>
      <c r="AA239" s="195">
        <f t="shared" si="67"/>
        <v>27639.000995685365</v>
      </c>
      <c r="AB239" s="195">
        <f t="shared" si="67"/>
        <v>28013.033486539724</v>
      </c>
      <c r="AC239" s="195">
        <f t="shared" si="67"/>
        <v>28995.382165605097</v>
      </c>
      <c r="AD239" s="195">
        <f t="shared" si="67"/>
        <v>29694.908071050173</v>
      </c>
      <c r="AE239" s="195">
        <f t="shared" si="67"/>
        <v>30416.845001528582</v>
      </c>
      <c r="AF239" s="195">
        <f t="shared" si="67"/>
        <v>31131.252591057153</v>
      </c>
      <c r="AG239" s="195">
        <f t="shared" si="67"/>
        <v>31702.515337423312</v>
      </c>
      <c r="AH239" s="195">
        <f t="shared" si="67"/>
        <v>32470.135977337111</v>
      </c>
      <c r="AI239" s="195">
        <f t="shared" si="67"/>
        <v>34662.074510854996</v>
      </c>
      <c r="AJ239" s="195">
        <f t="shared" si="67"/>
        <v>34993.890928159417</v>
      </c>
      <c r="AK239" s="195">
        <f t="shared" si="67"/>
        <v>36483.261086198305</v>
      </c>
      <c r="AL239" s="195">
        <f t="shared" si="67"/>
        <v>37011.378066378064</v>
      </c>
      <c r="AM239" s="195">
        <f t="shared" si="67"/>
        <v>36703.016105417279</v>
      </c>
      <c r="AN239" s="195">
        <f t="shared" si="67"/>
        <v>36080.294117647056</v>
      </c>
      <c r="AO239" s="195">
        <f t="shared" si="67"/>
        <v>35031.5625</v>
      </c>
      <c r="AP239" s="195">
        <f t="shared" si="67"/>
        <v>34858.248026483321</v>
      </c>
      <c r="AQ239" s="195">
        <f t="shared" si="67"/>
        <v>34535.671018276764</v>
      </c>
      <c r="AR239" s="195">
        <f t="shared" si="67"/>
        <v>34225.990491283679</v>
      </c>
      <c r="AS239" s="195">
        <f t="shared" si="67"/>
        <v>34186.8068833652</v>
      </c>
      <c r="AT239" s="195">
        <f t="shared" si="67"/>
        <v>33705.557122708036</v>
      </c>
      <c r="AU239" s="195">
        <f t="shared" si="67"/>
        <v>34376.811754920986</v>
      </c>
      <c r="AV239" s="195">
        <f t="shared" si="67"/>
        <v>34059.575191163975</v>
      </c>
      <c r="AW239" s="195">
        <f t="shared" si="67"/>
        <v>33245.851502651742</v>
      </c>
      <c r="AX239" s="195">
        <f t="shared" si="67"/>
        <v>32964.239356951475</v>
      </c>
      <c r="AY239" s="195">
        <f t="shared" si="67"/>
        <v>33675.079225352114</v>
      </c>
      <c r="AZ239" s="195">
        <f t="shared" si="67"/>
        <v>33801.413427561842</v>
      </c>
      <c r="BA239" s="195">
        <f t="shared" si="67"/>
        <v>34515.935334872978</v>
      </c>
      <c r="BB239" s="195">
        <f t="shared" si="67"/>
        <v>35846.10244988864</v>
      </c>
      <c r="BC239" s="195">
        <f t="shared" si="67"/>
        <v>36977.246767241377</v>
      </c>
      <c r="BD239" s="195">
        <f t="shared" si="67"/>
        <v>36853.804732118573</v>
      </c>
      <c r="BE239" s="195">
        <f t="shared" si="67"/>
        <v>37734.92695883134</v>
      </c>
      <c r="BF239" s="195">
        <f t="shared" si="67"/>
        <v>37677.741328314063</v>
      </c>
      <c r="BG239" s="195">
        <f t="shared" si="67"/>
        <v>37594.315273618296</v>
      </c>
      <c r="BH239" s="195">
        <f t="shared" si="67"/>
        <v>37513.625103220482</v>
      </c>
      <c r="BI239" s="195">
        <f t="shared" si="67"/>
        <v>36556.961310364299</v>
      </c>
      <c r="BJ239" s="195">
        <f t="shared" si="67"/>
        <v>36620.101867572157</v>
      </c>
      <c r="BK239" s="195">
        <f t="shared" si="67"/>
        <v>36304.108658743629</v>
      </c>
      <c r="BL239" s="195">
        <f t="shared" si="67"/>
        <v>36511.812342920974</v>
      </c>
      <c r="BM239" s="195">
        <f t="shared" si="67"/>
        <v>35809.345794392524</v>
      </c>
      <c r="BN239" s="195">
        <f t="shared" si="67"/>
        <v>35452.106261859582</v>
      </c>
      <c r="BO239" s="195">
        <f t="shared" si="67"/>
        <v>35577.026520225016</v>
      </c>
      <c r="BP239" s="195">
        <f t="shared" si="67"/>
        <v>35106.69763737722</v>
      </c>
      <c r="BQ239" s="195">
        <f t="shared" si="67"/>
        <v>35088.409390662091</v>
      </c>
    </row>
    <row r="240" spans="1:69" s="105" customFormat="1">
      <c r="A240" s="105">
        <f>$A$69</f>
        <v>52</v>
      </c>
      <c r="B240" s="114"/>
      <c r="C240" s="114"/>
      <c r="D240" s="114"/>
      <c r="E240" s="114"/>
      <c r="F240" s="114"/>
      <c r="G240" s="114"/>
      <c r="H240" s="114"/>
      <c r="I240" s="114"/>
      <c r="J240" s="114"/>
      <c r="K240" s="114"/>
      <c r="L240" s="114"/>
      <c r="M240" s="195">
        <f>M$69*M$376</f>
        <v>27106.278195488721</v>
      </c>
      <c r="N240" s="195">
        <f t="shared" ref="N240:BQ240" si="68">N$69*N$376</f>
        <v>26854.759055118113</v>
      </c>
      <c r="O240" s="195">
        <f t="shared" si="68"/>
        <v>27371.409147095179</v>
      </c>
      <c r="P240" s="195">
        <f t="shared" si="68"/>
        <v>28292.542113323125</v>
      </c>
      <c r="Q240" s="195">
        <f t="shared" si="68"/>
        <v>28879.557761732853</v>
      </c>
      <c r="R240" s="195">
        <f t="shared" si="68"/>
        <v>28812.91177356218</v>
      </c>
      <c r="S240" s="195">
        <f t="shared" si="68"/>
        <v>30176.027793862191</v>
      </c>
      <c r="T240" s="195">
        <f t="shared" si="68"/>
        <v>29833.388625592415</v>
      </c>
      <c r="U240" s="195">
        <f t="shared" si="68"/>
        <v>28809.71934106162</v>
      </c>
      <c r="V240" s="195">
        <f t="shared" si="68"/>
        <v>28215.066246056784</v>
      </c>
      <c r="W240" s="195">
        <f t="shared" si="68"/>
        <v>27145.391418277104</v>
      </c>
      <c r="X240" s="195">
        <f t="shared" si="68"/>
        <v>26022.759094028828</v>
      </c>
      <c r="Y240" s="195">
        <f t="shared" si="68"/>
        <v>26230.269624573379</v>
      </c>
      <c r="Z240" s="195">
        <f t="shared" si="68"/>
        <v>26191.49377593361</v>
      </c>
      <c r="AA240" s="195">
        <f t="shared" si="68"/>
        <v>27053.843843843842</v>
      </c>
      <c r="AB240" s="195">
        <f t="shared" si="68"/>
        <v>27427.154255319147</v>
      </c>
      <c r="AC240" s="195">
        <f t="shared" si="68"/>
        <v>27791.834319526628</v>
      </c>
      <c r="AD240" s="195">
        <f t="shared" si="68"/>
        <v>28763.112244897959</v>
      </c>
      <c r="AE240" s="195">
        <f t="shared" si="68"/>
        <v>29471.045241809672</v>
      </c>
      <c r="AF240" s="195">
        <f t="shared" si="68"/>
        <v>30181.735537190081</v>
      </c>
      <c r="AG240" s="195">
        <f t="shared" si="68"/>
        <v>30888.971242217609</v>
      </c>
      <c r="AH240" s="195">
        <f t="shared" si="68"/>
        <v>31448.985083357707</v>
      </c>
      <c r="AI240" s="195">
        <f t="shared" si="68"/>
        <v>32207.345433919454</v>
      </c>
      <c r="AJ240" s="195">
        <f t="shared" si="68"/>
        <v>34386.917091494499</v>
      </c>
      <c r="AK240" s="195">
        <f t="shared" si="68"/>
        <v>34710.803149606298</v>
      </c>
      <c r="AL240" s="195">
        <f t="shared" si="68"/>
        <v>36183.059850374069</v>
      </c>
      <c r="AM240" s="195">
        <f t="shared" si="68"/>
        <v>36714.203177660085</v>
      </c>
      <c r="AN240" s="195">
        <f t="shared" si="68"/>
        <v>36404.565217391304</v>
      </c>
      <c r="AO240" s="195">
        <f t="shared" si="68"/>
        <v>35793.366045142298</v>
      </c>
      <c r="AP240" s="195">
        <f t="shared" si="68"/>
        <v>34755.126135216953</v>
      </c>
      <c r="AQ240" s="195">
        <f t="shared" si="68"/>
        <v>34561.957685444817</v>
      </c>
      <c r="AR240" s="195">
        <f t="shared" si="68"/>
        <v>34246.02560752548</v>
      </c>
      <c r="AS240" s="195">
        <f t="shared" si="68"/>
        <v>33935.818133756278</v>
      </c>
      <c r="AT240" s="195">
        <f t="shared" si="68"/>
        <v>33910.628758884639</v>
      </c>
      <c r="AU240" s="195">
        <f t="shared" si="68"/>
        <v>33425.725578769059</v>
      </c>
      <c r="AV240" s="195">
        <f t="shared" si="68"/>
        <v>34096.453940066589</v>
      </c>
      <c r="AW240" s="195">
        <f t="shared" si="68"/>
        <v>33785.430839002271</v>
      </c>
      <c r="AX240" s="195">
        <f t="shared" si="68"/>
        <v>32979.575346505459</v>
      </c>
      <c r="AY240" s="195">
        <f t="shared" si="68"/>
        <v>32679.165921954125</v>
      </c>
      <c r="AZ240" s="195">
        <f t="shared" si="68"/>
        <v>33407.04845814978</v>
      </c>
      <c r="BA240" s="195">
        <f t="shared" si="68"/>
        <v>33523.124078986148</v>
      </c>
      <c r="BB240" s="195">
        <f t="shared" si="68"/>
        <v>34237.431378214387</v>
      </c>
      <c r="BC240" s="195">
        <f t="shared" si="68"/>
        <v>35564.614098634716</v>
      </c>
      <c r="BD240" s="195">
        <f t="shared" si="68"/>
        <v>36684.847667834998</v>
      </c>
      <c r="BE240" s="195">
        <f t="shared" si="68"/>
        <v>36541.360544217685</v>
      </c>
      <c r="BF240" s="195">
        <f t="shared" si="68"/>
        <v>37432.355130249867</v>
      </c>
      <c r="BG240" s="195">
        <f t="shared" si="68"/>
        <v>37374.1458165187</v>
      </c>
      <c r="BH240" s="195">
        <f t="shared" si="68"/>
        <v>37285.415418142198</v>
      </c>
      <c r="BI240" s="195">
        <f t="shared" si="68"/>
        <v>37215.763085399449</v>
      </c>
      <c r="BJ240" s="195">
        <f t="shared" si="68"/>
        <v>36257.666007346706</v>
      </c>
      <c r="BK240" s="195">
        <f t="shared" si="68"/>
        <v>36331.724235560585</v>
      </c>
      <c r="BL240" s="195">
        <f t="shared" si="68"/>
        <v>36006.002265005664</v>
      </c>
      <c r="BM240" s="195">
        <f t="shared" si="68"/>
        <v>36224.179938530317</v>
      </c>
      <c r="BN240" s="195">
        <f t="shared" si="68"/>
        <v>35521.130363036304</v>
      </c>
      <c r="BO240" s="195">
        <f t="shared" si="68"/>
        <v>35169.275834011394</v>
      </c>
      <c r="BP240" s="195">
        <f t="shared" si="68"/>
        <v>35304.722594478691</v>
      </c>
      <c r="BQ240" s="195">
        <f t="shared" si="68"/>
        <v>34819.468932554431</v>
      </c>
    </row>
    <row r="241" spans="1:69" s="105" customFormat="1">
      <c r="A241" s="105">
        <f>$A$70</f>
        <v>53</v>
      </c>
      <c r="B241" s="114"/>
      <c r="C241" s="114"/>
      <c r="D241" s="114"/>
      <c r="E241" s="114"/>
      <c r="F241" s="114"/>
      <c r="G241" s="114"/>
      <c r="H241" s="114"/>
      <c r="I241" s="114"/>
      <c r="J241" s="114"/>
      <c r="K241" s="114"/>
      <c r="L241" s="114"/>
      <c r="M241" s="195">
        <f>M$70*M$377</f>
        <v>27712.440944881888</v>
      </c>
      <c r="N241" s="195">
        <f t="shared" ref="N241:BQ241" si="69">N$70*N$377</f>
        <v>27131.632717016608</v>
      </c>
      <c r="O241" s="195">
        <f t="shared" si="69"/>
        <v>26797.557516545858</v>
      </c>
      <c r="P241" s="195">
        <f t="shared" si="69"/>
        <v>27495.728425610887</v>
      </c>
      <c r="Q241" s="195">
        <f t="shared" si="69"/>
        <v>28176.761729530819</v>
      </c>
      <c r="R241" s="195">
        <f t="shared" si="69"/>
        <v>28770.828812537675</v>
      </c>
      <c r="S241" s="195">
        <f t="shared" si="69"/>
        <v>28702.856711915534</v>
      </c>
      <c r="T241" s="195">
        <f t="shared" si="69"/>
        <v>29987.587006960555</v>
      </c>
      <c r="U241" s="195">
        <f t="shared" si="69"/>
        <v>29645.425689706321</v>
      </c>
      <c r="V241" s="195">
        <f t="shared" si="69"/>
        <v>28612.267033302778</v>
      </c>
      <c r="W241" s="195">
        <f t="shared" si="69"/>
        <v>28026.644549763034</v>
      </c>
      <c r="X241" s="195">
        <f t="shared" si="69"/>
        <v>26967.267956707117</v>
      </c>
      <c r="Y241" s="195">
        <f t="shared" si="69"/>
        <v>25852.83505154639</v>
      </c>
      <c r="Z241" s="195">
        <f t="shared" si="69"/>
        <v>26051.657552973342</v>
      </c>
      <c r="AA241" s="195">
        <f t="shared" si="69"/>
        <v>26011.284181377639</v>
      </c>
      <c r="AB241" s="195">
        <f t="shared" si="69"/>
        <v>26872.622786501837</v>
      </c>
      <c r="AC241" s="195">
        <f t="shared" si="69"/>
        <v>27235.777038269553</v>
      </c>
      <c r="AD241" s="195">
        <f t="shared" si="69"/>
        <v>27609.381171823567</v>
      </c>
      <c r="AE241" s="195">
        <f t="shared" si="69"/>
        <v>28569.680715197956</v>
      </c>
      <c r="AF241" s="195">
        <f t="shared" si="69"/>
        <v>29268.747266479222</v>
      </c>
      <c r="AG241" s="195">
        <f t="shared" si="69"/>
        <v>29959.099264705885</v>
      </c>
      <c r="AH241" s="195">
        <f t="shared" si="69"/>
        <v>30674.933214603741</v>
      </c>
      <c r="AI241" s="195">
        <f t="shared" si="69"/>
        <v>31223.765739385068</v>
      </c>
      <c r="AJ241" s="195">
        <f t="shared" si="69"/>
        <v>31985.195911413968</v>
      </c>
      <c r="AK241" s="195">
        <f t="shared" si="69"/>
        <v>34150.733279613218</v>
      </c>
      <c r="AL241" s="195">
        <f t="shared" si="69"/>
        <v>34457.790331056225</v>
      </c>
      <c r="AM241" s="195">
        <f t="shared" si="69"/>
        <v>35940.499251123314</v>
      </c>
      <c r="AN241" s="195">
        <f t="shared" si="69"/>
        <v>36446.486746987954</v>
      </c>
      <c r="AO241" s="195">
        <f t="shared" si="69"/>
        <v>36145.904645476774</v>
      </c>
      <c r="AP241" s="195">
        <f t="shared" si="69"/>
        <v>35537.092337917486</v>
      </c>
      <c r="AQ241" s="195">
        <f t="shared" si="69"/>
        <v>34509.224943196161</v>
      </c>
      <c r="AR241" s="195">
        <f t="shared" si="69"/>
        <v>34315.193877551021</v>
      </c>
      <c r="AS241" s="195">
        <f t="shared" si="69"/>
        <v>33996.370292887026</v>
      </c>
      <c r="AT241" s="195">
        <f t="shared" si="69"/>
        <v>33696</v>
      </c>
      <c r="AU241" s="195">
        <f t="shared" si="69"/>
        <v>33673.543091655265</v>
      </c>
      <c r="AV241" s="195">
        <f t="shared" si="69"/>
        <v>33186.813559322036</v>
      </c>
      <c r="AW241" s="195">
        <f t="shared" si="69"/>
        <v>33846.224319822322</v>
      </c>
      <c r="AX241" s="195">
        <f t="shared" si="69"/>
        <v>33535.099262620533</v>
      </c>
      <c r="AY241" s="195">
        <f t="shared" si="69"/>
        <v>32726.320448509883</v>
      </c>
      <c r="AZ241" s="195">
        <f t="shared" si="69"/>
        <v>32445.538002980626</v>
      </c>
      <c r="BA241" s="195">
        <f t="shared" si="69"/>
        <v>33160.811049074342</v>
      </c>
      <c r="BB241" s="195">
        <f t="shared" si="69"/>
        <v>33276.998820754714</v>
      </c>
      <c r="BC241" s="195">
        <f t="shared" si="69"/>
        <v>33979.76878612717</v>
      </c>
      <c r="BD241" s="195">
        <f t="shared" si="69"/>
        <v>35316.398104265398</v>
      </c>
      <c r="BE241" s="195">
        <f t="shared" si="69"/>
        <v>36415.857605177989</v>
      </c>
      <c r="BF241" s="195">
        <f t="shared" si="69"/>
        <v>36281.078137762051</v>
      </c>
      <c r="BG241" s="195">
        <f t="shared" si="69"/>
        <v>37162.047327838343</v>
      </c>
      <c r="BH241" s="195">
        <f t="shared" si="69"/>
        <v>37111.542395693134</v>
      </c>
      <c r="BI241" s="195">
        <f t="shared" si="69"/>
        <v>37032.270373398744</v>
      </c>
      <c r="BJ241" s="195">
        <f t="shared" si="69"/>
        <v>36959.255993386607</v>
      </c>
      <c r="BK241" s="195">
        <f t="shared" si="69"/>
        <v>36013.013001695872</v>
      </c>
      <c r="BL241" s="195">
        <f t="shared" si="69"/>
        <v>36065.868026054944</v>
      </c>
      <c r="BM241" s="195">
        <f t="shared" si="69"/>
        <v>35762.356273010482</v>
      </c>
      <c r="BN241" s="195">
        <f t="shared" si="69"/>
        <v>35973.29234209055</v>
      </c>
      <c r="BO241" s="195">
        <f t="shared" si="69"/>
        <v>35274.651994497937</v>
      </c>
      <c r="BP241" s="195">
        <f t="shared" si="69"/>
        <v>34927.615301139449</v>
      </c>
      <c r="BQ241" s="195">
        <f t="shared" si="69"/>
        <v>35064.62466487936</v>
      </c>
    </row>
    <row r="242" spans="1:69" s="105" customFormat="1">
      <c r="A242" s="105">
        <f>$A$71</f>
        <v>54</v>
      </c>
      <c r="B242" s="114"/>
      <c r="C242" s="114"/>
      <c r="D242" s="114"/>
      <c r="E242" s="114"/>
      <c r="F242" s="114"/>
      <c r="G242" s="114"/>
      <c r="H242" s="114"/>
      <c r="I242" s="114"/>
      <c r="J242" s="114"/>
      <c r="K242" s="114"/>
      <c r="L242" s="114"/>
      <c r="M242" s="195">
        <f>M$71*M$378</f>
        <v>28088.112927191676</v>
      </c>
      <c r="N242" s="195">
        <f t="shared" ref="N242:BQ242" si="70">N$71*N$378</f>
        <v>27667.603756437446</v>
      </c>
      <c r="O242" s="195">
        <f t="shared" si="70"/>
        <v>27001.392722710163</v>
      </c>
      <c r="P242" s="195">
        <f t="shared" si="70"/>
        <v>26924.834332597035</v>
      </c>
      <c r="Q242" s="195">
        <f t="shared" si="70"/>
        <v>27371.040892193309</v>
      </c>
      <c r="R242" s="195">
        <f t="shared" si="70"/>
        <v>28047.231950844853</v>
      </c>
      <c r="S242" s="195">
        <f t="shared" si="70"/>
        <v>28649.67391304348</v>
      </c>
      <c r="T242" s="195">
        <f t="shared" si="70"/>
        <v>28533.35347432024</v>
      </c>
      <c r="U242" s="195">
        <f t="shared" si="70"/>
        <v>29797.49854735619</v>
      </c>
      <c r="V242" s="195">
        <f t="shared" si="70"/>
        <v>29455.808080808081</v>
      </c>
      <c r="W242" s="195">
        <f t="shared" si="70"/>
        <v>28442.301101591187</v>
      </c>
      <c r="X242" s="195">
        <f t="shared" si="70"/>
        <v>27846.6434672572</v>
      </c>
      <c r="Y242" s="195">
        <f t="shared" si="70"/>
        <v>26796.052545155995</v>
      </c>
      <c r="Z242" s="195">
        <f t="shared" si="70"/>
        <v>25693.175094599246</v>
      </c>
      <c r="AA242" s="195">
        <f t="shared" si="70"/>
        <v>25881.515566199108</v>
      </c>
      <c r="AB242" s="195">
        <f t="shared" si="70"/>
        <v>25848.866551126517</v>
      </c>
      <c r="AC242" s="195">
        <f t="shared" si="70"/>
        <v>26701.685618729098</v>
      </c>
      <c r="AD242" s="195">
        <f t="shared" si="70"/>
        <v>27063.807461692206</v>
      </c>
      <c r="AE242" s="195">
        <f t="shared" si="70"/>
        <v>27426.662273476111</v>
      </c>
      <c r="AF242" s="195">
        <f t="shared" si="70"/>
        <v>28386.554809843397</v>
      </c>
      <c r="AG242" s="195">
        <f t="shared" si="70"/>
        <v>29074.803001876171</v>
      </c>
      <c r="AH242" s="195">
        <f t="shared" si="70"/>
        <v>29764.679546151488</v>
      </c>
      <c r="AI242" s="195">
        <f t="shared" si="70"/>
        <v>30481.755793226381</v>
      </c>
      <c r="AJ242" s="195">
        <f t="shared" si="70"/>
        <v>31030.046893317704</v>
      </c>
      <c r="AK242" s="195">
        <f t="shared" si="70"/>
        <v>31790.628019323674</v>
      </c>
      <c r="AL242" s="195">
        <f t="shared" si="70"/>
        <v>33926.881720430109</v>
      </c>
      <c r="AM242" s="195">
        <f t="shared" si="70"/>
        <v>34244.719957927948</v>
      </c>
      <c r="AN242" s="195">
        <f t="shared" si="70"/>
        <v>35699.630277292032</v>
      </c>
      <c r="AO242" s="195">
        <f t="shared" si="70"/>
        <v>36218.051603568849</v>
      </c>
      <c r="AP242" s="195">
        <f t="shared" si="70"/>
        <v>35925.055052605821</v>
      </c>
      <c r="AQ242" s="195">
        <f t="shared" si="70"/>
        <v>35319.945932661591</v>
      </c>
      <c r="AR242" s="195">
        <f t="shared" si="70"/>
        <v>34282.359777665486</v>
      </c>
      <c r="AS242" s="195">
        <f t="shared" si="70"/>
        <v>34097.529351710058</v>
      </c>
      <c r="AT242" s="195">
        <f t="shared" si="70"/>
        <v>33795.092907615806</v>
      </c>
      <c r="AU242" s="195">
        <f t="shared" si="70"/>
        <v>33485.479089465327</v>
      </c>
      <c r="AV242" s="195">
        <f t="shared" si="70"/>
        <v>33468.053654530522</v>
      </c>
      <c r="AW242" s="195">
        <f t="shared" si="70"/>
        <v>32978.507631430184</v>
      </c>
      <c r="AX242" s="195">
        <f t="shared" si="70"/>
        <v>33637.5</v>
      </c>
      <c r="AY242" s="195">
        <f t="shared" si="70"/>
        <v>33333.030646992054</v>
      </c>
      <c r="AZ242" s="195">
        <f t="shared" si="70"/>
        <v>32534.335891381346</v>
      </c>
      <c r="BA242" s="195">
        <f t="shared" si="70"/>
        <v>32242.200357781752</v>
      </c>
      <c r="BB242" s="195">
        <f t="shared" si="70"/>
        <v>32947.574955908291</v>
      </c>
      <c r="BC242" s="195">
        <f t="shared" si="70"/>
        <v>33071.217929814215</v>
      </c>
      <c r="BD242" s="195">
        <f t="shared" si="70"/>
        <v>33773.807458803123</v>
      </c>
      <c r="BE242" s="195">
        <f t="shared" si="70"/>
        <v>35088.909952606635</v>
      </c>
      <c r="BF242" s="195">
        <f t="shared" si="70"/>
        <v>36198.564877259239</v>
      </c>
      <c r="BG242" s="195">
        <f t="shared" si="70"/>
        <v>36062.745098039217</v>
      </c>
      <c r="BH242" s="195">
        <f t="shared" si="70"/>
        <v>36943.638297872341</v>
      </c>
      <c r="BI242" s="195">
        <f t="shared" si="70"/>
        <v>36891.155088852989</v>
      </c>
      <c r="BJ242" s="195">
        <f t="shared" si="70"/>
        <v>36809.950926935657</v>
      </c>
      <c r="BK242" s="195">
        <f t="shared" si="70"/>
        <v>36746.962513781698</v>
      </c>
      <c r="BL242" s="195">
        <f t="shared" si="70"/>
        <v>35800.814249363873</v>
      </c>
      <c r="BM242" s="195">
        <f t="shared" si="70"/>
        <v>35851.532143868593</v>
      </c>
      <c r="BN242" s="195">
        <f t="shared" si="70"/>
        <v>35551.048158640224</v>
      </c>
      <c r="BO242" s="195">
        <f t="shared" si="70"/>
        <v>35771.917808219179</v>
      </c>
      <c r="BP242" s="195">
        <f t="shared" si="70"/>
        <v>35069.711141678134</v>
      </c>
      <c r="BQ242" s="195">
        <f t="shared" si="70"/>
        <v>34716.006511123167</v>
      </c>
    </row>
    <row r="243" spans="1:69" s="105" customFormat="1">
      <c r="A243" s="105">
        <f>$A$72</f>
        <v>55</v>
      </c>
      <c r="B243" s="114"/>
      <c r="C243" s="114"/>
      <c r="D243" s="114"/>
      <c r="E243" s="114"/>
      <c r="F243" s="114"/>
      <c r="G243" s="114"/>
      <c r="H243" s="114"/>
      <c r="I243" s="114"/>
      <c r="J243" s="114"/>
      <c r="K243" s="114"/>
      <c r="L243" s="114"/>
      <c r="M243" s="195">
        <f>M$72*M$379</f>
        <v>27399.562218890555</v>
      </c>
      <c r="N243" s="195">
        <f t="shared" ref="N243:BQ243" si="71">N$72*N$379</f>
        <v>27963.388822829966</v>
      </c>
      <c r="O243" s="195">
        <f t="shared" si="71"/>
        <v>27500.066686874812</v>
      </c>
      <c r="P243" s="195">
        <f t="shared" si="71"/>
        <v>27106.9209039548</v>
      </c>
      <c r="Q243" s="195">
        <f t="shared" si="71"/>
        <v>26723.272267845859</v>
      </c>
      <c r="R243" s="195">
        <f t="shared" si="71"/>
        <v>27166.712158808932</v>
      </c>
      <c r="S243" s="195">
        <f t="shared" si="71"/>
        <v>27867.636923076923</v>
      </c>
      <c r="T243" s="195">
        <f t="shared" si="71"/>
        <v>28427.950423216444</v>
      </c>
      <c r="U243" s="195">
        <f t="shared" si="71"/>
        <v>28321.161875945534</v>
      </c>
      <c r="V243" s="195">
        <f t="shared" si="71"/>
        <v>29576.326352530541</v>
      </c>
      <c r="W243" s="195">
        <f t="shared" si="71"/>
        <v>29241.817911335911</v>
      </c>
      <c r="X243" s="195">
        <f t="shared" si="71"/>
        <v>28230.924961715158</v>
      </c>
      <c r="Y243" s="195">
        <f t="shared" si="71"/>
        <v>27643.85053831539</v>
      </c>
      <c r="Z243" s="195">
        <f t="shared" si="71"/>
        <v>26603.977646285341</v>
      </c>
      <c r="AA243" s="195">
        <f t="shared" si="71"/>
        <v>25509.14256198347</v>
      </c>
      <c r="AB243" s="195">
        <f t="shared" si="71"/>
        <v>25707.79109589041</v>
      </c>
      <c r="AC243" s="195">
        <f t="shared" si="71"/>
        <v>25664.758931668399</v>
      </c>
      <c r="AD243" s="195">
        <f t="shared" si="71"/>
        <v>26518.192771084337</v>
      </c>
      <c r="AE243" s="195">
        <f t="shared" si="71"/>
        <v>26879.036666666667</v>
      </c>
      <c r="AF243" s="195">
        <f t="shared" si="71"/>
        <v>27241.674909330693</v>
      </c>
      <c r="AG243" s="195">
        <f t="shared" si="71"/>
        <v>28190.521266389511</v>
      </c>
      <c r="AH243" s="195">
        <f t="shared" si="71"/>
        <v>28878.520025031288</v>
      </c>
      <c r="AI243" s="195">
        <f t="shared" si="71"/>
        <v>29557.226142988649</v>
      </c>
      <c r="AJ243" s="195">
        <f t="shared" si="71"/>
        <v>30265.279429250892</v>
      </c>
      <c r="AK243" s="195">
        <f t="shared" si="71"/>
        <v>30812.876832844573</v>
      </c>
      <c r="AL243" s="195">
        <f t="shared" si="71"/>
        <v>31566.232584589139</v>
      </c>
      <c r="AM243" s="195">
        <f t="shared" si="71"/>
        <v>33698.762775685849</v>
      </c>
      <c r="AN243" s="195">
        <f t="shared" si="71"/>
        <v>34008.681925808996</v>
      </c>
      <c r="AO243" s="195">
        <f t="shared" si="71"/>
        <v>35455.216195951012</v>
      </c>
      <c r="AP243" s="195">
        <f t="shared" si="71"/>
        <v>35959.343787696016</v>
      </c>
      <c r="AQ243" s="195">
        <f t="shared" si="71"/>
        <v>35665.042839657282</v>
      </c>
      <c r="AR243" s="195">
        <f t="shared" si="71"/>
        <v>35062.674532940022</v>
      </c>
      <c r="AS243" s="195">
        <f t="shared" si="71"/>
        <v>34054.207733131159</v>
      </c>
      <c r="AT243" s="195">
        <f t="shared" si="71"/>
        <v>33868.518896833499</v>
      </c>
      <c r="AU243" s="195">
        <f t="shared" si="71"/>
        <v>33562.785340314134</v>
      </c>
      <c r="AV243" s="195">
        <f t="shared" si="71"/>
        <v>33252.740270055598</v>
      </c>
      <c r="AW243" s="195">
        <f t="shared" si="71"/>
        <v>33239.011500547647</v>
      </c>
      <c r="AX243" s="195">
        <f t="shared" si="71"/>
        <v>32747.484454494064</v>
      </c>
      <c r="AY243" s="195">
        <f t="shared" si="71"/>
        <v>33405.949999999997</v>
      </c>
      <c r="AZ243" s="195">
        <f t="shared" si="71"/>
        <v>33109.937570942107</v>
      </c>
      <c r="BA243" s="195">
        <f t="shared" si="71"/>
        <v>32316.838842975205</v>
      </c>
      <c r="BB243" s="195">
        <f t="shared" si="71"/>
        <v>32035.587358378056</v>
      </c>
      <c r="BC243" s="195">
        <f t="shared" si="71"/>
        <v>32729.961798413166</v>
      </c>
      <c r="BD243" s="195">
        <f t="shared" si="71"/>
        <v>32861.857859038631</v>
      </c>
      <c r="BE243" s="195">
        <f t="shared" si="71"/>
        <v>33552.928592078635</v>
      </c>
      <c r="BF243" s="195">
        <f t="shared" si="71"/>
        <v>34859.046557011425</v>
      </c>
      <c r="BG243" s="195">
        <f t="shared" si="71"/>
        <v>35957.774480712163</v>
      </c>
      <c r="BH243" s="195">
        <f t="shared" si="71"/>
        <v>35819.553498502581</v>
      </c>
      <c r="BI243" s="195">
        <f t="shared" si="71"/>
        <v>36710.106382978724</v>
      </c>
      <c r="BJ243" s="195">
        <f t="shared" si="71"/>
        <v>36645.432032301484</v>
      </c>
      <c r="BK243" s="195">
        <f t="shared" si="71"/>
        <v>36561.853366039795</v>
      </c>
      <c r="BL243" s="195">
        <f t="shared" si="71"/>
        <v>36496.753926701575</v>
      </c>
      <c r="BM243" s="195">
        <f t="shared" si="71"/>
        <v>35562.459016393448</v>
      </c>
      <c r="BN243" s="195">
        <f t="shared" si="71"/>
        <v>35622.520532427072</v>
      </c>
      <c r="BO243" s="195">
        <f t="shared" si="71"/>
        <v>35322.378929481732</v>
      </c>
      <c r="BP243" s="195">
        <f t="shared" si="71"/>
        <v>35536.24091671325</v>
      </c>
      <c r="BQ243" s="195">
        <f t="shared" si="71"/>
        <v>34851.262723521322</v>
      </c>
    </row>
    <row r="244" spans="1:69" s="105" customFormat="1">
      <c r="A244" s="105">
        <f>$A$73</f>
        <v>56</v>
      </c>
      <c r="B244" s="114"/>
      <c r="C244" s="114"/>
      <c r="D244" s="114"/>
      <c r="E244" s="114"/>
      <c r="F244" s="114"/>
      <c r="G244" s="114"/>
      <c r="H244" s="114"/>
      <c r="I244" s="114"/>
      <c r="J244" s="114"/>
      <c r="K244" s="114"/>
      <c r="L244" s="114"/>
      <c r="M244" s="195">
        <f>M$73*M$380</f>
        <v>26487.071603427172</v>
      </c>
      <c r="N244" s="195">
        <f t="shared" ref="N244:BQ244" si="72">N$73*N$380</f>
        <v>27194.30284857571</v>
      </c>
      <c r="O244" s="195">
        <f t="shared" si="72"/>
        <v>27738.3526613143</v>
      </c>
      <c r="P244" s="195">
        <f t="shared" si="72"/>
        <v>27509.848346982104</v>
      </c>
      <c r="Q244" s="195">
        <f t="shared" si="72"/>
        <v>26852.042098649075</v>
      </c>
      <c r="R244" s="195">
        <f t="shared" si="72"/>
        <v>26477.229601518029</v>
      </c>
      <c r="S244" s="195">
        <f t="shared" si="72"/>
        <v>26940.037267080745</v>
      </c>
      <c r="T244" s="195">
        <f t="shared" si="72"/>
        <v>27594.400985525099</v>
      </c>
      <c r="U244" s="195">
        <f t="shared" si="72"/>
        <v>28163.24455205811</v>
      </c>
      <c r="V244" s="195">
        <f t="shared" si="72"/>
        <v>28049.179285281647</v>
      </c>
      <c r="W244" s="195">
        <f t="shared" si="72"/>
        <v>29302.137449039023</v>
      </c>
      <c r="X244" s="195">
        <f t="shared" si="72"/>
        <v>28975.580702799285</v>
      </c>
      <c r="Y244" s="195">
        <f t="shared" si="72"/>
        <v>27966.511342734517</v>
      </c>
      <c r="Z244" s="195">
        <f t="shared" si="72"/>
        <v>27387.072243346011</v>
      </c>
      <c r="AA244" s="195">
        <f t="shared" si="72"/>
        <v>26368.447368421053</v>
      </c>
      <c r="AB244" s="195">
        <f t="shared" si="72"/>
        <v>25274.653806407165</v>
      </c>
      <c r="AC244" s="195">
        <f t="shared" si="72"/>
        <v>25481.582733812949</v>
      </c>
      <c r="AD244" s="195">
        <f t="shared" si="72"/>
        <v>25446.904927133935</v>
      </c>
      <c r="AE244" s="195">
        <f t="shared" si="72"/>
        <v>26280.281218613996</v>
      </c>
      <c r="AF244" s="195">
        <f t="shared" si="72"/>
        <v>26639.249749916638</v>
      </c>
      <c r="AG244" s="195">
        <f t="shared" si="72"/>
        <v>27001.583113456465</v>
      </c>
      <c r="AH244" s="195">
        <f t="shared" si="72"/>
        <v>27939.177863083813</v>
      </c>
      <c r="AI244" s="195">
        <f t="shared" si="72"/>
        <v>28626.823161189357</v>
      </c>
      <c r="AJ244" s="195">
        <f t="shared" si="72"/>
        <v>29304.760589318601</v>
      </c>
      <c r="AK244" s="195">
        <f t="shared" si="72"/>
        <v>30004.353256021408</v>
      </c>
      <c r="AL244" s="195">
        <f t="shared" si="72"/>
        <v>30533.595307917887</v>
      </c>
      <c r="AM244" s="195">
        <f t="shared" si="72"/>
        <v>31276.343474552174</v>
      </c>
      <c r="AN244" s="195">
        <f t="shared" si="72"/>
        <v>33396.182405165455</v>
      </c>
      <c r="AO244" s="195">
        <f t="shared" si="72"/>
        <v>33699.284210526319</v>
      </c>
      <c r="AP244" s="195">
        <f t="shared" si="72"/>
        <v>35138.25</v>
      </c>
      <c r="AQ244" s="195">
        <f t="shared" si="72"/>
        <v>35646.916023166021</v>
      </c>
      <c r="AR244" s="195">
        <f t="shared" si="72"/>
        <v>35361.035749265422</v>
      </c>
      <c r="AS244" s="195">
        <f t="shared" si="72"/>
        <v>34762.380132776001</v>
      </c>
      <c r="AT244" s="195">
        <f t="shared" si="72"/>
        <v>33745.935288169872</v>
      </c>
      <c r="AU244" s="195">
        <f t="shared" si="72"/>
        <v>33567.356996935647</v>
      </c>
      <c r="AV244" s="195">
        <f t="shared" si="72"/>
        <v>33269</v>
      </c>
      <c r="AW244" s="195">
        <f t="shared" si="72"/>
        <v>32966.878474980142</v>
      </c>
      <c r="AX244" s="195">
        <f t="shared" si="72"/>
        <v>32936.969614015878</v>
      </c>
      <c r="AY244" s="195">
        <f t="shared" si="72"/>
        <v>32469.055963821371</v>
      </c>
      <c r="AZ244" s="195">
        <f t="shared" si="72"/>
        <v>33126.822222222225</v>
      </c>
      <c r="BA244" s="195">
        <f t="shared" si="72"/>
        <v>32818.212765957447</v>
      </c>
      <c r="BB244" s="195">
        <f t="shared" si="72"/>
        <v>32031.891413396283</v>
      </c>
      <c r="BC244" s="195">
        <f t="shared" si="72"/>
        <v>31750.283159463488</v>
      </c>
      <c r="BD244" s="195">
        <f t="shared" si="72"/>
        <v>32442.726204465336</v>
      </c>
      <c r="BE244" s="195">
        <f t="shared" si="72"/>
        <v>32572.53537735849</v>
      </c>
      <c r="BF244" s="195">
        <f t="shared" si="72"/>
        <v>33263.306358381502</v>
      </c>
      <c r="BG244" s="195">
        <f t="shared" si="72"/>
        <v>34566.095317725754</v>
      </c>
      <c r="BH244" s="195">
        <f t="shared" si="72"/>
        <v>35645.566343042075</v>
      </c>
      <c r="BI244" s="195">
        <f t="shared" si="72"/>
        <v>35517.005988023957</v>
      </c>
      <c r="BJ244" s="195">
        <f t="shared" si="72"/>
        <v>36374.912280701756</v>
      </c>
      <c r="BK244" s="195">
        <f t="shared" si="72"/>
        <v>36328.094725511299</v>
      </c>
      <c r="BL244" s="195">
        <f t="shared" si="72"/>
        <v>36243.048215745024</v>
      </c>
      <c r="BM244" s="195">
        <f t="shared" si="72"/>
        <v>36175.117047645275</v>
      </c>
      <c r="BN244" s="195">
        <f t="shared" si="72"/>
        <v>35261.214689265536</v>
      </c>
      <c r="BO244" s="195">
        <f t="shared" si="72"/>
        <v>35320.169827342201</v>
      </c>
      <c r="BP244" s="195">
        <f t="shared" si="72"/>
        <v>35022.575714690065</v>
      </c>
      <c r="BQ244" s="195">
        <f t="shared" si="72"/>
        <v>35227.072625698325</v>
      </c>
    </row>
    <row r="245" spans="1:69" s="105" customFormat="1">
      <c r="A245" s="105">
        <f>$A$74</f>
        <v>57</v>
      </c>
      <c r="B245" s="114"/>
      <c r="C245" s="114"/>
      <c r="D245" s="114"/>
      <c r="E245" s="114"/>
      <c r="F245" s="114"/>
      <c r="G245" s="114"/>
      <c r="H245" s="114"/>
      <c r="I245" s="114"/>
      <c r="J245" s="114"/>
      <c r="K245" s="114"/>
      <c r="L245" s="114"/>
      <c r="M245" s="195">
        <f>M$74*M$381</f>
        <v>24823.446508648303</v>
      </c>
      <c r="N245" s="195">
        <f t="shared" ref="N245:BQ245" si="73">N$74*N$381</f>
        <v>26161.563169164885</v>
      </c>
      <c r="O245" s="195">
        <f t="shared" si="73"/>
        <v>26888</v>
      </c>
      <c r="P245" s="195">
        <f t="shared" si="73"/>
        <v>27698.691255205234</v>
      </c>
      <c r="Q245" s="195">
        <f t="shared" si="73"/>
        <v>27148.609593199759</v>
      </c>
      <c r="R245" s="195">
        <f t="shared" si="73"/>
        <v>26512.878263604907</v>
      </c>
      <c r="S245" s="195">
        <f t="shared" si="73"/>
        <v>26141.139601139599</v>
      </c>
      <c r="T245" s="195">
        <f t="shared" si="73"/>
        <v>26595.167910447763</v>
      </c>
      <c r="U245" s="195">
        <f t="shared" si="73"/>
        <v>27237.00986436498</v>
      </c>
      <c r="V245" s="195">
        <f t="shared" si="73"/>
        <v>27795.507421993334</v>
      </c>
      <c r="W245" s="195">
        <f t="shared" si="73"/>
        <v>27691.591391330709</v>
      </c>
      <c r="X245" s="195">
        <f t="shared" si="73"/>
        <v>28925.11363636364</v>
      </c>
      <c r="Y245" s="195">
        <f t="shared" si="73"/>
        <v>28595.375446960668</v>
      </c>
      <c r="Z245" s="195">
        <f t="shared" si="73"/>
        <v>27609.63190184049</v>
      </c>
      <c r="AA245" s="195">
        <f t="shared" si="73"/>
        <v>27047.457197209893</v>
      </c>
      <c r="AB245" s="195">
        <f t="shared" si="73"/>
        <v>26039.644619940769</v>
      </c>
      <c r="AC245" s="195">
        <f t="shared" si="73"/>
        <v>24974.076498966228</v>
      </c>
      <c r="AD245" s="195">
        <f t="shared" si="73"/>
        <v>25153.463514902363</v>
      </c>
      <c r="AE245" s="195">
        <f t="shared" si="73"/>
        <v>25123.913948646776</v>
      </c>
      <c r="AF245" s="195">
        <f t="shared" si="73"/>
        <v>25958.968519758877</v>
      </c>
      <c r="AG245" s="195">
        <f t="shared" si="73"/>
        <v>26304.381460486828</v>
      </c>
      <c r="AH245" s="195">
        <f t="shared" si="73"/>
        <v>26666.269788918205</v>
      </c>
      <c r="AI245" s="195">
        <f t="shared" si="73"/>
        <v>27583.957133717209</v>
      </c>
      <c r="AJ245" s="195">
        <f t="shared" si="73"/>
        <v>28268.845070422536</v>
      </c>
      <c r="AK245" s="195">
        <f t="shared" si="73"/>
        <v>28935.009208103133</v>
      </c>
      <c r="AL245" s="195">
        <f t="shared" si="73"/>
        <v>29610.086206896551</v>
      </c>
      <c r="AM245" s="195">
        <f t="shared" si="73"/>
        <v>30155.313782991201</v>
      </c>
      <c r="AN245" s="195">
        <f t="shared" si="73"/>
        <v>30890.261586579472</v>
      </c>
      <c r="AO245" s="195">
        <f t="shared" si="73"/>
        <v>32974.721549636801</v>
      </c>
      <c r="AP245" s="195">
        <f t="shared" si="73"/>
        <v>33283.25</v>
      </c>
      <c r="AQ245" s="195">
        <f t="shared" si="73"/>
        <v>34686.785000000003</v>
      </c>
      <c r="AR245" s="195">
        <f t="shared" si="73"/>
        <v>35184.309845559845</v>
      </c>
      <c r="AS245" s="195">
        <f t="shared" si="73"/>
        <v>34897.395348837214</v>
      </c>
      <c r="AT245" s="195">
        <f t="shared" si="73"/>
        <v>34312.910521140613</v>
      </c>
      <c r="AU245" s="195">
        <f t="shared" si="73"/>
        <v>33325.852918877936</v>
      </c>
      <c r="AV245" s="195">
        <f t="shared" si="73"/>
        <v>33146.923666070972</v>
      </c>
      <c r="AW245" s="195">
        <f t="shared" si="73"/>
        <v>32841.962323390893</v>
      </c>
      <c r="AX245" s="195">
        <f t="shared" si="73"/>
        <v>32557.726310217047</v>
      </c>
      <c r="AY245" s="195">
        <f t="shared" si="73"/>
        <v>32524.972632731253</v>
      </c>
      <c r="AZ245" s="195">
        <f t="shared" si="73"/>
        <v>32062.338983050849</v>
      </c>
      <c r="BA245" s="195">
        <f t="shared" si="73"/>
        <v>32708.228761799</v>
      </c>
      <c r="BB245" s="195">
        <f t="shared" si="73"/>
        <v>32405.613836121349</v>
      </c>
      <c r="BC245" s="195">
        <f t="shared" si="73"/>
        <v>31635.199056325568</v>
      </c>
      <c r="BD245" s="195">
        <f t="shared" si="73"/>
        <v>31372.606493893356</v>
      </c>
      <c r="BE245" s="195">
        <f t="shared" si="73"/>
        <v>32051.145038167939</v>
      </c>
      <c r="BF245" s="195">
        <f t="shared" si="73"/>
        <v>32168.483063328425</v>
      </c>
      <c r="BG245" s="195">
        <f t="shared" si="73"/>
        <v>32847.50505342189</v>
      </c>
      <c r="BH245" s="195">
        <f t="shared" si="73"/>
        <v>34136.278551532036</v>
      </c>
      <c r="BI245" s="195">
        <f t="shared" si="73"/>
        <v>35205.377358490565</v>
      </c>
      <c r="BJ245" s="195">
        <f t="shared" si="73"/>
        <v>35076.110960021753</v>
      </c>
      <c r="BK245" s="195">
        <f t="shared" si="73"/>
        <v>35931.987247608922</v>
      </c>
      <c r="BL245" s="195">
        <f t="shared" si="73"/>
        <v>35870.680290400647</v>
      </c>
      <c r="BM245" s="195">
        <f t="shared" si="73"/>
        <v>35802.276068608764</v>
      </c>
      <c r="BN245" s="195">
        <f t="shared" si="73"/>
        <v>35732.129884424874</v>
      </c>
      <c r="BO245" s="195">
        <f t="shared" si="73"/>
        <v>34818.379904036126</v>
      </c>
      <c r="BP245" s="195">
        <f t="shared" si="73"/>
        <v>34887.429298642535</v>
      </c>
      <c r="BQ245" s="195">
        <f t="shared" si="73"/>
        <v>34593.552036199093</v>
      </c>
    </row>
    <row r="246" spans="1:69" s="105" customFormat="1">
      <c r="A246" s="105">
        <f>$A$75</f>
        <v>58</v>
      </c>
      <c r="B246" s="114"/>
      <c r="C246" s="114"/>
      <c r="D246" s="114"/>
      <c r="E246" s="114"/>
      <c r="F246" s="114"/>
      <c r="G246" s="114"/>
      <c r="H246" s="114"/>
      <c r="I246" s="114"/>
      <c r="J246" s="114"/>
      <c r="K246" s="114"/>
      <c r="L246" s="114"/>
      <c r="M246" s="195">
        <f>M$75*M$382</f>
        <v>24017.98045602606</v>
      </c>
      <c r="N246" s="195">
        <f t="shared" ref="N246:BQ246" si="74">N$75*N$382</f>
        <v>24521.3472</v>
      </c>
      <c r="O246" s="195">
        <f t="shared" si="74"/>
        <v>25828.746177370031</v>
      </c>
      <c r="P246" s="195">
        <f t="shared" si="74"/>
        <v>26846.832633473303</v>
      </c>
      <c r="Q246" s="195">
        <f t="shared" si="74"/>
        <v>27341.363095238095</v>
      </c>
      <c r="R246" s="195">
        <f t="shared" si="74"/>
        <v>26816.317228805834</v>
      </c>
      <c r="S246" s="195">
        <f t="shared" si="74"/>
        <v>26198.423040604343</v>
      </c>
      <c r="T246" s="195">
        <f t="shared" si="74"/>
        <v>25874.271229404309</v>
      </c>
      <c r="U246" s="195">
        <f t="shared" si="74"/>
        <v>26321.141879278159</v>
      </c>
      <c r="V246" s="195">
        <f t="shared" si="74"/>
        <v>26978.265967294046</v>
      </c>
      <c r="W246" s="195">
        <f t="shared" si="74"/>
        <v>27528.417702334042</v>
      </c>
      <c r="X246" s="195">
        <f t="shared" si="74"/>
        <v>27417.586416009704</v>
      </c>
      <c r="Y246" s="195">
        <f t="shared" si="74"/>
        <v>28648.68221574344</v>
      </c>
      <c r="Z246" s="195">
        <f t="shared" si="74"/>
        <v>28320.688524590161</v>
      </c>
      <c r="AA246" s="195">
        <f t="shared" si="74"/>
        <v>27373.780300705741</v>
      </c>
      <c r="AB246" s="195">
        <f t="shared" si="74"/>
        <v>26800.729232720358</v>
      </c>
      <c r="AC246" s="195">
        <f t="shared" si="74"/>
        <v>25814.175715695954</v>
      </c>
      <c r="AD246" s="195">
        <f t="shared" si="74"/>
        <v>24758.033069238722</v>
      </c>
      <c r="AE246" s="195">
        <f t="shared" si="74"/>
        <v>24956.303528605687</v>
      </c>
      <c r="AF246" s="195">
        <f t="shared" si="74"/>
        <v>24926.520985084982</v>
      </c>
      <c r="AG246" s="195">
        <f t="shared" si="74"/>
        <v>25751.945095413459</v>
      </c>
      <c r="AH246" s="195">
        <f t="shared" si="74"/>
        <v>26104.308102700903</v>
      </c>
      <c r="AI246" s="195">
        <f t="shared" si="74"/>
        <v>26457.204088361359</v>
      </c>
      <c r="AJ246" s="195">
        <f t="shared" si="74"/>
        <v>27382.603133994242</v>
      </c>
      <c r="AK246" s="195">
        <f t="shared" si="74"/>
        <v>28048.235294117647</v>
      </c>
      <c r="AL246" s="195">
        <f t="shared" si="74"/>
        <v>28713.672905799325</v>
      </c>
      <c r="AM246" s="195">
        <f t="shared" si="74"/>
        <v>29390.826151560181</v>
      </c>
      <c r="AN246" s="195">
        <f t="shared" si="74"/>
        <v>29924.652594547053</v>
      </c>
      <c r="AO246" s="195">
        <f t="shared" si="74"/>
        <v>30650.78737919272</v>
      </c>
      <c r="AP246" s="195">
        <f t="shared" si="74"/>
        <v>32722.366863905325</v>
      </c>
      <c r="AQ246" s="195">
        <f t="shared" si="74"/>
        <v>33023.759536963953</v>
      </c>
      <c r="AR246" s="195">
        <f t="shared" si="74"/>
        <v>34419.555111222195</v>
      </c>
      <c r="AS246" s="195">
        <f t="shared" si="74"/>
        <v>34922.685162846807</v>
      </c>
      <c r="AT246" s="195">
        <f t="shared" si="74"/>
        <v>34634.265785609394</v>
      </c>
      <c r="AU246" s="195">
        <f t="shared" si="74"/>
        <v>34053.126075202752</v>
      </c>
      <c r="AV246" s="195">
        <f t="shared" si="74"/>
        <v>33068.229350846173</v>
      </c>
      <c r="AW246" s="195">
        <f t="shared" si="74"/>
        <v>32896.435315131406</v>
      </c>
      <c r="AX246" s="195">
        <f t="shared" si="74"/>
        <v>32597.698744769874</v>
      </c>
      <c r="AY246" s="195">
        <f t="shared" si="74"/>
        <v>32314.519968262364</v>
      </c>
      <c r="AZ246" s="195">
        <f t="shared" si="74"/>
        <v>32292.430954334155</v>
      </c>
      <c r="BA246" s="195">
        <f t="shared" si="74"/>
        <v>31825.489697996047</v>
      </c>
      <c r="BB246" s="195">
        <f t="shared" si="74"/>
        <v>32470.718446601943</v>
      </c>
      <c r="BC246" s="195">
        <f t="shared" si="74"/>
        <v>32176.039660056656</v>
      </c>
      <c r="BD246" s="195">
        <f t="shared" si="74"/>
        <v>31401.85621685327</v>
      </c>
      <c r="BE246" s="195">
        <f t="shared" si="74"/>
        <v>31150</v>
      </c>
      <c r="BF246" s="195">
        <f t="shared" si="74"/>
        <v>31815.664417717806</v>
      </c>
      <c r="BG246" s="195">
        <f t="shared" si="74"/>
        <v>31950.809299587992</v>
      </c>
      <c r="BH246" s="195">
        <f t="shared" si="74"/>
        <v>32621.23485285632</v>
      </c>
      <c r="BI246" s="195">
        <f t="shared" si="74"/>
        <v>33888.681135225379</v>
      </c>
      <c r="BJ246" s="195">
        <f t="shared" si="74"/>
        <v>34947.038233710286</v>
      </c>
      <c r="BK246" s="195">
        <f t="shared" si="74"/>
        <v>34825.760869565216</v>
      </c>
      <c r="BL246" s="195">
        <f t="shared" si="74"/>
        <v>35671.969214437362</v>
      </c>
      <c r="BM246" s="195">
        <f t="shared" si="74"/>
        <v>35616.105291431646</v>
      </c>
      <c r="BN246" s="195">
        <f t="shared" si="74"/>
        <v>35544.794669567578</v>
      </c>
      <c r="BO246" s="195">
        <f t="shared" si="74"/>
        <v>35481.908166070942</v>
      </c>
      <c r="BP246" s="195">
        <f t="shared" si="74"/>
        <v>34581.914293769383</v>
      </c>
      <c r="BQ246" s="195">
        <f t="shared" si="74"/>
        <v>34650</v>
      </c>
    </row>
    <row r="247" spans="1:69" s="105" customFormat="1">
      <c r="A247" s="105">
        <f>$A$76</f>
        <v>59</v>
      </c>
      <c r="B247" s="114"/>
      <c r="C247" s="114"/>
      <c r="D247" s="114"/>
      <c r="E247" s="114"/>
      <c r="F247" s="114"/>
      <c r="G247" s="114"/>
      <c r="H247" s="114"/>
      <c r="I247" s="114"/>
      <c r="J247" s="114"/>
      <c r="K247" s="114"/>
      <c r="L247" s="114"/>
      <c r="M247" s="195">
        <f>M$76*M$383</f>
        <v>22607.711950970377</v>
      </c>
      <c r="N247" s="195">
        <f t="shared" ref="N247:BQ247" si="75">N$76*N$383</f>
        <v>23710.813272608979</v>
      </c>
      <c r="O247" s="195">
        <f t="shared" si="75"/>
        <v>24260.994563479373</v>
      </c>
      <c r="P247" s="195">
        <f t="shared" si="75"/>
        <v>25783.889908256882</v>
      </c>
      <c r="Q247" s="195">
        <f t="shared" si="75"/>
        <v>26515.031503150312</v>
      </c>
      <c r="R247" s="195">
        <f t="shared" si="75"/>
        <v>27039.558998808105</v>
      </c>
      <c r="S247" s="195">
        <f t="shared" si="75"/>
        <v>26543.315085158152</v>
      </c>
      <c r="T247" s="195">
        <f t="shared" si="75"/>
        <v>25970.132325141778</v>
      </c>
      <c r="U247" s="195">
        <f t="shared" si="75"/>
        <v>25650.133164235893</v>
      </c>
      <c r="V247" s="195">
        <f t="shared" si="75"/>
        <v>26097.904732254046</v>
      </c>
      <c r="W247" s="195">
        <f t="shared" si="75"/>
        <v>26754.320987654322</v>
      </c>
      <c r="X247" s="195">
        <f t="shared" si="75"/>
        <v>27314.781685870224</v>
      </c>
      <c r="Y247" s="195">
        <f t="shared" si="75"/>
        <v>27233.810679611652</v>
      </c>
      <c r="Z247" s="195">
        <f t="shared" si="75"/>
        <v>28464.527421236875</v>
      </c>
      <c r="AA247" s="195">
        <f t="shared" si="75"/>
        <v>28145.187835420395</v>
      </c>
      <c r="AB247" s="195">
        <f t="shared" si="75"/>
        <v>27201.42374961645</v>
      </c>
      <c r="AC247" s="195">
        <f t="shared" si="75"/>
        <v>26655.580215599239</v>
      </c>
      <c r="AD247" s="195">
        <f t="shared" si="75"/>
        <v>25679.447368421053</v>
      </c>
      <c r="AE247" s="195">
        <f t="shared" si="75"/>
        <v>24643.636363636364</v>
      </c>
      <c r="AF247" s="195">
        <f t="shared" si="75"/>
        <v>24831.472602739726</v>
      </c>
      <c r="AG247" s="195">
        <f t="shared" si="75"/>
        <v>24810.821775312066</v>
      </c>
      <c r="AH247" s="195">
        <f t="shared" si="75"/>
        <v>25644.979919678713</v>
      </c>
      <c r="AI247" s="195">
        <f t="shared" si="75"/>
        <v>25989.906697767408</v>
      </c>
      <c r="AJ247" s="195">
        <f t="shared" si="75"/>
        <v>26332.131795716639</v>
      </c>
      <c r="AK247" s="195">
        <f t="shared" si="75"/>
        <v>27257.120485778203</v>
      </c>
      <c r="AL247" s="195">
        <f t="shared" si="75"/>
        <v>27922.545340838024</v>
      </c>
      <c r="AM247" s="195">
        <f t="shared" si="75"/>
        <v>28587.537565164057</v>
      </c>
      <c r="AN247" s="195">
        <f t="shared" si="75"/>
        <v>29272.379679144386</v>
      </c>
      <c r="AO247" s="195">
        <f t="shared" si="75"/>
        <v>29799.26164664518</v>
      </c>
      <c r="AP247" s="195">
        <f t="shared" si="75"/>
        <v>30526.363636363636</v>
      </c>
      <c r="AQ247" s="195">
        <f t="shared" si="75"/>
        <v>32577.806451612902</v>
      </c>
      <c r="AR247" s="195">
        <f t="shared" si="75"/>
        <v>32881.091243754927</v>
      </c>
      <c r="AS247" s="195">
        <f t="shared" si="75"/>
        <v>34284.820089955021</v>
      </c>
      <c r="AT247" s="195">
        <f t="shared" si="75"/>
        <v>34780.824891461649</v>
      </c>
      <c r="AU247" s="195">
        <f t="shared" si="75"/>
        <v>34483.106653620351</v>
      </c>
      <c r="AV247" s="195">
        <f t="shared" si="75"/>
        <v>33922.333578973223</v>
      </c>
      <c r="AW247" s="195">
        <f t="shared" si="75"/>
        <v>32937.74804342338</v>
      </c>
      <c r="AX247" s="195">
        <f t="shared" si="75"/>
        <v>32775.320071410351</v>
      </c>
      <c r="AY247" s="195">
        <f t="shared" si="75"/>
        <v>32484.6863565081</v>
      </c>
      <c r="AZ247" s="195">
        <f t="shared" si="75"/>
        <v>32182.436575052852</v>
      </c>
      <c r="BA247" s="195">
        <f t="shared" si="75"/>
        <v>32166.024590163932</v>
      </c>
      <c r="BB247" s="195">
        <f t="shared" si="75"/>
        <v>31707.397067117879</v>
      </c>
      <c r="BC247" s="195">
        <f t="shared" si="75"/>
        <v>32352.272727272728</v>
      </c>
      <c r="BD247" s="195">
        <f t="shared" si="75"/>
        <v>32055.220713073006</v>
      </c>
      <c r="BE247" s="195">
        <f t="shared" si="75"/>
        <v>31298.210712183638</v>
      </c>
      <c r="BF247" s="195">
        <f t="shared" si="75"/>
        <v>31037.844827586207</v>
      </c>
      <c r="BG247" s="195">
        <f t="shared" si="75"/>
        <v>31702.554937005567</v>
      </c>
      <c r="BH247" s="195">
        <f t="shared" si="75"/>
        <v>31836.672545561436</v>
      </c>
      <c r="BI247" s="195">
        <f t="shared" si="75"/>
        <v>32503.98270893372</v>
      </c>
      <c r="BJ247" s="195">
        <f t="shared" si="75"/>
        <v>33762.823790994997</v>
      </c>
      <c r="BK247" s="195">
        <f t="shared" si="75"/>
        <v>34821.495427649272</v>
      </c>
      <c r="BL247" s="195">
        <f t="shared" si="75"/>
        <v>34707.665580890338</v>
      </c>
      <c r="BM247" s="195">
        <f t="shared" si="75"/>
        <v>35545.50636267232</v>
      </c>
      <c r="BN247" s="195">
        <f t="shared" si="75"/>
        <v>35488.030587603971</v>
      </c>
      <c r="BO247" s="195">
        <f t="shared" si="75"/>
        <v>35417.110266159696</v>
      </c>
      <c r="BP247" s="195">
        <f t="shared" si="75"/>
        <v>35361.128500823725</v>
      </c>
      <c r="BQ247" s="195">
        <f t="shared" si="75"/>
        <v>34470.937764010137</v>
      </c>
    </row>
    <row r="248" spans="1:69" s="105" customFormat="1">
      <c r="A248" s="105">
        <f>$A$77</f>
        <v>60</v>
      </c>
      <c r="B248" s="114"/>
      <c r="C248" s="114"/>
      <c r="D248" s="114"/>
      <c r="E248" s="114"/>
      <c r="F248" s="114"/>
      <c r="G248" s="114"/>
      <c r="H248" s="114"/>
      <c r="I248" s="114"/>
      <c r="J248" s="114"/>
      <c r="K248" s="114"/>
      <c r="L248" s="114"/>
      <c r="M248" s="195">
        <f>M$77*M$384</f>
        <v>21264.903314917126</v>
      </c>
      <c r="N248" s="195">
        <f t="shared" ref="N248:BQ248" si="76">N$77*N$384</f>
        <v>22092.104726283578</v>
      </c>
      <c r="O248" s="195">
        <f t="shared" si="76"/>
        <v>23157.526007802338</v>
      </c>
      <c r="P248" s="195">
        <f t="shared" si="76"/>
        <v>23967.764630636393</v>
      </c>
      <c r="Q248" s="195">
        <f t="shared" si="76"/>
        <v>25151.438188494492</v>
      </c>
      <c r="R248" s="195">
        <f t="shared" si="76"/>
        <v>25890.775240384617</v>
      </c>
      <c r="S248" s="195">
        <f t="shared" si="76"/>
        <v>26428.526252983294</v>
      </c>
      <c r="T248" s="195">
        <f t="shared" si="76"/>
        <v>25961.674277016744</v>
      </c>
      <c r="U248" s="195">
        <f t="shared" si="76"/>
        <v>25414.10466582598</v>
      </c>
      <c r="V248" s="195">
        <f t="shared" si="76"/>
        <v>25099.492385786802</v>
      </c>
      <c r="W248" s="195">
        <f t="shared" si="76"/>
        <v>25559.738317757008</v>
      </c>
      <c r="X248" s="195">
        <f t="shared" si="76"/>
        <v>26209.400864731313</v>
      </c>
      <c r="Y248" s="195">
        <f t="shared" si="76"/>
        <v>26759.681432038833</v>
      </c>
      <c r="Z248" s="195">
        <f t="shared" si="76"/>
        <v>26681.541729893779</v>
      </c>
      <c r="AA248" s="195">
        <f t="shared" si="76"/>
        <v>27882.579515611324</v>
      </c>
      <c r="AB248" s="195">
        <f t="shared" si="76"/>
        <v>27587.104085893232</v>
      </c>
      <c r="AC248" s="195">
        <f t="shared" si="76"/>
        <v>26668.069367710254</v>
      </c>
      <c r="AD248" s="195">
        <f t="shared" si="76"/>
        <v>26137.190868738111</v>
      </c>
      <c r="AE248" s="195">
        <f t="shared" si="76"/>
        <v>25183.026315789473</v>
      </c>
      <c r="AF248" s="195">
        <f t="shared" si="76"/>
        <v>24168.578313253012</v>
      </c>
      <c r="AG248" s="195">
        <f t="shared" si="76"/>
        <v>24366.252566735111</v>
      </c>
      <c r="AH248" s="195">
        <f t="shared" si="76"/>
        <v>24340.790020790024</v>
      </c>
      <c r="AI248" s="195">
        <f t="shared" si="76"/>
        <v>25155.886287625417</v>
      </c>
      <c r="AJ248" s="195">
        <f t="shared" si="76"/>
        <v>25505.263157894737</v>
      </c>
      <c r="AK248" s="195">
        <f t="shared" si="76"/>
        <v>25849.015475798486</v>
      </c>
      <c r="AL248" s="195">
        <f t="shared" si="76"/>
        <v>26759.923322683706</v>
      </c>
      <c r="AM248" s="195">
        <f t="shared" si="76"/>
        <v>27405.4375</v>
      </c>
      <c r="AN248" s="195">
        <f t="shared" si="76"/>
        <v>28058.081520073552</v>
      </c>
      <c r="AO248" s="195">
        <f t="shared" si="76"/>
        <v>28737.125890736341</v>
      </c>
      <c r="AP248" s="195">
        <f t="shared" si="76"/>
        <v>29241.142020497802</v>
      </c>
      <c r="AQ248" s="195">
        <f t="shared" si="76"/>
        <v>29951.385576377059</v>
      </c>
      <c r="AR248" s="195">
        <f t="shared" si="76"/>
        <v>31965.647501343366</v>
      </c>
      <c r="AS248" s="195">
        <f t="shared" si="76"/>
        <v>32266.628120893562</v>
      </c>
      <c r="AT248" s="195">
        <f t="shared" si="76"/>
        <v>33637.127872127872</v>
      </c>
      <c r="AU248" s="195">
        <f t="shared" si="76"/>
        <v>34116.34040501446</v>
      </c>
      <c r="AV248" s="195">
        <f t="shared" si="76"/>
        <v>33843.459657701715</v>
      </c>
      <c r="AW248" s="195">
        <f t="shared" si="76"/>
        <v>33290.763564939851</v>
      </c>
      <c r="AX248" s="195">
        <f t="shared" si="76"/>
        <v>32335.725460509715</v>
      </c>
      <c r="AY248" s="195">
        <f t="shared" si="76"/>
        <v>32172.171253822627</v>
      </c>
      <c r="AZ248" s="195">
        <f t="shared" si="76"/>
        <v>31882.17550274223</v>
      </c>
      <c r="BA248" s="195">
        <f t="shared" si="76"/>
        <v>31599.165566411408</v>
      </c>
      <c r="BB248" s="195">
        <f t="shared" si="76"/>
        <v>31592.252252252252</v>
      </c>
      <c r="BC248" s="195">
        <f t="shared" si="76"/>
        <v>31125.318309859158</v>
      </c>
      <c r="BD248" s="195">
        <f t="shared" si="76"/>
        <v>31757.799003322256</v>
      </c>
      <c r="BE248" s="195">
        <f t="shared" si="76"/>
        <v>31473.293751767033</v>
      </c>
      <c r="BF248" s="195">
        <f t="shared" si="76"/>
        <v>30731.146384479718</v>
      </c>
      <c r="BG248" s="195">
        <f t="shared" si="76"/>
        <v>30469.115464529536</v>
      </c>
      <c r="BH248" s="195">
        <f t="shared" si="76"/>
        <v>31129.62551199532</v>
      </c>
      <c r="BI248" s="195">
        <f t="shared" si="76"/>
        <v>31260.281855549034</v>
      </c>
      <c r="BJ248" s="195">
        <f t="shared" si="76"/>
        <v>31906.457553956832</v>
      </c>
      <c r="BK248" s="195">
        <f t="shared" si="76"/>
        <v>33150.732926152137</v>
      </c>
      <c r="BL248" s="195">
        <f t="shared" si="76"/>
        <v>34196.286942504026</v>
      </c>
      <c r="BM248" s="195">
        <f t="shared" si="76"/>
        <v>34072.577934399567</v>
      </c>
      <c r="BN248" s="195">
        <f t="shared" si="76"/>
        <v>34904.917902542373</v>
      </c>
      <c r="BO248" s="195">
        <f t="shared" si="76"/>
        <v>34853.887995712757</v>
      </c>
      <c r="BP248" s="195">
        <f t="shared" si="76"/>
        <v>34785.675529028762</v>
      </c>
      <c r="BQ248" s="195">
        <f t="shared" si="76"/>
        <v>34717.543186180425</v>
      </c>
    </row>
    <row r="249" spans="1:69" s="105" customFormat="1">
      <c r="A249" s="105">
        <f>$A$78</f>
        <v>61</v>
      </c>
      <c r="B249" s="114"/>
      <c r="C249" s="114"/>
      <c r="D249" s="114"/>
      <c r="E249" s="114"/>
      <c r="F249" s="114"/>
      <c r="G249" s="114"/>
      <c r="H249" s="114"/>
      <c r="I249" s="114"/>
      <c r="J249" s="114"/>
      <c r="K249" s="114"/>
      <c r="L249" s="114"/>
      <c r="M249" s="195">
        <f>M$78*M$385</f>
        <v>19700.29181494662</v>
      </c>
      <c r="N249" s="195">
        <f t="shared" ref="N249:BQ249" si="77">N$78*N$385</f>
        <v>20396.224982746724</v>
      </c>
      <c r="O249" s="195">
        <f t="shared" si="77"/>
        <v>21259.323359401562</v>
      </c>
      <c r="P249" s="195">
        <f t="shared" si="77"/>
        <v>22471.440650406505</v>
      </c>
      <c r="Q249" s="195">
        <f t="shared" si="77"/>
        <v>22983.034571062737</v>
      </c>
      <c r="R249" s="195">
        <f t="shared" si="77"/>
        <v>24137.155991418938</v>
      </c>
      <c r="S249" s="195">
        <f t="shared" si="77"/>
        <v>24851.013838748495</v>
      </c>
      <c r="T249" s="195">
        <f t="shared" si="77"/>
        <v>25402.831541218638</v>
      </c>
      <c r="U249" s="195">
        <f t="shared" si="77"/>
        <v>24958.658945443465</v>
      </c>
      <c r="V249" s="195">
        <f t="shared" si="77"/>
        <v>24440.625</v>
      </c>
      <c r="W249" s="195">
        <f t="shared" si="77"/>
        <v>24148.377262623053</v>
      </c>
      <c r="X249" s="195">
        <f t="shared" si="77"/>
        <v>24599.937636420331</v>
      </c>
      <c r="Y249" s="195">
        <f t="shared" si="77"/>
        <v>25211.68108776267</v>
      </c>
      <c r="Z249" s="195">
        <f t="shared" si="77"/>
        <v>25756.99969632554</v>
      </c>
      <c r="AA249" s="195">
        <f t="shared" si="77"/>
        <v>25686.911630731855</v>
      </c>
      <c r="AB249" s="195">
        <f t="shared" si="77"/>
        <v>26845.010218978103</v>
      </c>
      <c r="AC249" s="195">
        <f t="shared" si="77"/>
        <v>26561.289167412713</v>
      </c>
      <c r="AD249" s="195">
        <f t="shared" si="77"/>
        <v>25680.644765121277</v>
      </c>
      <c r="AE249" s="195">
        <f t="shared" si="77"/>
        <v>25180.970504281635</v>
      </c>
      <c r="AF249" s="195">
        <f t="shared" si="77"/>
        <v>24259.95065789474</v>
      </c>
      <c r="AG249" s="195">
        <f t="shared" si="77"/>
        <v>23284.629948364887</v>
      </c>
      <c r="AH249" s="195">
        <f t="shared" si="77"/>
        <v>23479.281314168376</v>
      </c>
      <c r="AI249" s="195">
        <f t="shared" si="77"/>
        <v>23457.526844475236</v>
      </c>
      <c r="AJ249" s="195">
        <f t="shared" si="77"/>
        <v>24236.990972918753</v>
      </c>
      <c r="AK249" s="195">
        <f t="shared" si="77"/>
        <v>24586.313686313686</v>
      </c>
      <c r="AL249" s="195">
        <f t="shared" si="77"/>
        <v>24908.373930217247</v>
      </c>
      <c r="AM249" s="195">
        <f t="shared" si="77"/>
        <v>25768.362068965518</v>
      </c>
      <c r="AN249" s="195">
        <f t="shared" si="77"/>
        <v>26407.560137457043</v>
      </c>
      <c r="AO249" s="195">
        <f t="shared" si="77"/>
        <v>27027.849264705881</v>
      </c>
      <c r="AP249" s="195">
        <f t="shared" si="77"/>
        <v>27684.461264470166</v>
      </c>
      <c r="AQ249" s="195">
        <f t="shared" si="77"/>
        <v>28182.327283372364</v>
      </c>
      <c r="AR249" s="195">
        <f t="shared" si="77"/>
        <v>28868.924212319045</v>
      </c>
      <c r="AS249" s="195">
        <f t="shared" si="77"/>
        <v>30791.077088369595</v>
      </c>
      <c r="AT249" s="195">
        <f t="shared" si="77"/>
        <v>31076.250656857592</v>
      </c>
      <c r="AU249" s="195">
        <f t="shared" si="77"/>
        <v>32404.229712858927</v>
      </c>
      <c r="AV249" s="195">
        <f t="shared" si="77"/>
        <v>32861.299108218846</v>
      </c>
      <c r="AW249" s="195">
        <f t="shared" si="77"/>
        <v>32599.193351258862</v>
      </c>
      <c r="AX249" s="195">
        <f t="shared" si="77"/>
        <v>32064.39263803681</v>
      </c>
      <c r="AY249" s="195">
        <f t="shared" si="77"/>
        <v>31151.803278688523</v>
      </c>
      <c r="AZ249" s="195">
        <f t="shared" si="77"/>
        <v>30992.804381049413</v>
      </c>
      <c r="BA249" s="195">
        <f t="shared" si="77"/>
        <v>30714.82776617954</v>
      </c>
      <c r="BB249" s="195">
        <f t="shared" si="77"/>
        <v>30447.653734494586</v>
      </c>
      <c r="BC249" s="195">
        <f t="shared" si="77"/>
        <v>30435.679214402619</v>
      </c>
      <c r="BD249" s="195">
        <f t="shared" si="77"/>
        <v>29991.857585139322</v>
      </c>
      <c r="BE249" s="195">
        <f t="shared" si="77"/>
        <v>30599.701244813277</v>
      </c>
      <c r="BF249" s="195">
        <f t="shared" si="77"/>
        <v>30325.20192036148</v>
      </c>
      <c r="BG249" s="195">
        <f t="shared" si="77"/>
        <v>29609.630064591896</v>
      </c>
      <c r="BH249" s="195">
        <f t="shared" si="77"/>
        <v>29373.837485172004</v>
      </c>
      <c r="BI249" s="195">
        <f t="shared" si="77"/>
        <v>29995.32437171245</v>
      </c>
      <c r="BJ249" s="195">
        <f t="shared" si="77"/>
        <v>30119.730284374084</v>
      </c>
      <c r="BK249" s="195">
        <f t="shared" si="77"/>
        <v>30751.221615406728</v>
      </c>
      <c r="BL249" s="195">
        <f t="shared" si="77"/>
        <v>31947.726012201885</v>
      </c>
      <c r="BM249" s="195">
        <f t="shared" si="77"/>
        <v>32950.386473429957</v>
      </c>
      <c r="BN249" s="195">
        <f t="shared" si="77"/>
        <v>32831.202274573516</v>
      </c>
      <c r="BO249" s="195">
        <f t="shared" si="77"/>
        <v>33630.960063475271</v>
      </c>
      <c r="BP249" s="195">
        <f t="shared" si="77"/>
        <v>33586.854925053529</v>
      </c>
      <c r="BQ249" s="195">
        <f t="shared" si="77"/>
        <v>33507.716066106746</v>
      </c>
    </row>
    <row r="250" spans="1:69" s="105" customFormat="1">
      <c r="A250" s="105">
        <f>$A$79</f>
        <v>62</v>
      </c>
      <c r="B250" s="114"/>
      <c r="C250" s="114"/>
      <c r="D250" s="114"/>
      <c r="E250" s="114"/>
      <c r="F250" s="114"/>
      <c r="G250" s="114"/>
      <c r="H250" s="114"/>
      <c r="I250" s="114"/>
      <c r="J250" s="114"/>
      <c r="K250" s="114"/>
      <c r="L250" s="114"/>
      <c r="M250" s="195">
        <f>M$79*M$386</f>
        <v>18060.292825768665</v>
      </c>
      <c r="N250" s="195">
        <f t="shared" ref="N250:BQ250" si="78">N$79*N$386</f>
        <v>18675.325506937032</v>
      </c>
      <c r="O250" s="195">
        <f t="shared" si="78"/>
        <v>19386.620642043494</v>
      </c>
      <c r="P250" s="195">
        <f t="shared" si="78"/>
        <v>20435.399795848927</v>
      </c>
      <c r="Q250" s="195">
        <f t="shared" si="78"/>
        <v>21288.781758957655</v>
      </c>
      <c r="R250" s="195">
        <f t="shared" si="78"/>
        <v>21807.825529185375</v>
      </c>
      <c r="S250" s="195">
        <f t="shared" si="78"/>
        <v>22912.207552962849</v>
      </c>
      <c r="T250" s="195">
        <f t="shared" si="78"/>
        <v>23627.67631103074</v>
      </c>
      <c r="U250" s="195">
        <f t="shared" si="78"/>
        <v>24158.563734290845</v>
      </c>
      <c r="V250" s="195">
        <f t="shared" si="78"/>
        <v>23747.640415140417</v>
      </c>
      <c r="W250" s="195">
        <f t="shared" si="78"/>
        <v>23255.355450236966</v>
      </c>
      <c r="X250" s="195">
        <f t="shared" si="78"/>
        <v>22982.237762237761</v>
      </c>
      <c r="Y250" s="195">
        <f t="shared" si="78"/>
        <v>23410.958177278404</v>
      </c>
      <c r="Z250" s="195">
        <f t="shared" si="78"/>
        <v>24012.673267326732</v>
      </c>
      <c r="AA250" s="195">
        <f t="shared" si="78"/>
        <v>24522.07839562443</v>
      </c>
      <c r="AB250" s="195">
        <f t="shared" si="78"/>
        <v>24466.626139817628</v>
      </c>
      <c r="AC250" s="195">
        <f t="shared" si="78"/>
        <v>25571.098772647572</v>
      </c>
      <c r="AD250" s="195">
        <f t="shared" si="78"/>
        <v>25310.26575097044</v>
      </c>
      <c r="AE250" s="195">
        <f t="shared" si="78"/>
        <v>24477.198156682029</v>
      </c>
      <c r="AF250" s="195">
        <f t="shared" si="78"/>
        <v>23998.940355329953</v>
      </c>
      <c r="AG250" s="195">
        <f t="shared" si="78"/>
        <v>23132.302631578947</v>
      </c>
      <c r="AH250" s="195">
        <f t="shared" si="78"/>
        <v>22213.335628227196</v>
      </c>
      <c r="AI250" s="195">
        <f t="shared" si="78"/>
        <v>22396.776180698151</v>
      </c>
      <c r="AJ250" s="195">
        <f t="shared" si="78"/>
        <v>22374.845860755111</v>
      </c>
      <c r="AK250" s="195">
        <f t="shared" si="78"/>
        <v>23117.091273821465</v>
      </c>
      <c r="AL250" s="195">
        <f t="shared" si="78"/>
        <v>23448.738348868173</v>
      </c>
      <c r="AM250" s="195">
        <f t="shared" si="78"/>
        <v>23759.493254359986</v>
      </c>
      <c r="AN250" s="195">
        <f t="shared" si="78"/>
        <v>24592.49680715198</v>
      </c>
      <c r="AO250" s="195">
        <f t="shared" si="78"/>
        <v>25189.943785134292</v>
      </c>
      <c r="AP250" s="195">
        <f t="shared" si="78"/>
        <v>25792.781010719755</v>
      </c>
      <c r="AQ250" s="195">
        <f t="shared" si="78"/>
        <v>26400.338278931751</v>
      </c>
      <c r="AR250" s="195">
        <f t="shared" si="78"/>
        <v>26872.578285045362</v>
      </c>
      <c r="AS250" s="195">
        <f t="shared" si="78"/>
        <v>27526.799091940975</v>
      </c>
      <c r="AT250" s="195">
        <f t="shared" si="78"/>
        <v>29362.685284640171</v>
      </c>
      <c r="AU250" s="195">
        <f t="shared" si="78"/>
        <v>29635.371683740479</v>
      </c>
      <c r="AV250" s="195">
        <f t="shared" si="78"/>
        <v>30897.276585122316</v>
      </c>
      <c r="AW250" s="195">
        <f t="shared" si="78"/>
        <v>31333.01204819277</v>
      </c>
      <c r="AX250" s="195">
        <f t="shared" si="78"/>
        <v>31092.287390029327</v>
      </c>
      <c r="AY250" s="195">
        <f t="shared" si="78"/>
        <v>30576.727183513249</v>
      </c>
      <c r="AZ250" s="195">
        <f t="shared" si="78"/>
        <v>29707.033022435091</v>
      </c>
      <c r="BA250" s="195">
        <f t="shared" si="78"/>
        <v>29561.474032586557</v>
      </c>
      <c r="BB250" s="195">
        <f t="shared" si="78"/>
        <v>29302.06572769953</v>
      </c>
      <c r="BC250" s="195">
        <f t="shared" si="78"/>
        <v>29041.640295358648</v>
      </c>
      <c r="BD250" s="195">
        <f t="shared" si="78"/>
        <v>29028.018533660397</v>
      </c>
      <c r="BE250" s="195">
        <f t="shared" si="78"/>
        <v>28610.686164229472</v>
      </c>
      <c r="BF250" s="195">
        <f t="shared" si="78"/>
        <v>29193.250414593698</v>
      </c>
      <c r="BG250" s="195">
        <f t="shared" si="78"/>
        <v>28934.757336343115</v>
      </c>
      <c r="BH250" s="195">
        <f t="shared" si="78"/>
        <v>28260.674684658257</v>
      </c>
      <c r="BI250" s="195">
        <f t="shared" si="78"/>
        <v>28017.748815165876</v>
      </c>
      <c r="BJ250" s="195">
        <f t="shared" si="78"/>
        <v>28627.194160583938</v>
      </c>
      <c r="BK250" s="195">
        <f t="shared" si="78"/>
        <v>28749.121265377857</v>
      </c>
      <c r="BL250" s="195">
        <f t="shared" si="78"/>
        <v>29348.062015503874</v>
      </c>
      <c r="BM250" s="195">
        <f t="shared" si="78"/>
        <v>30484.96398891967</v>
      </c>
      <c r="BN250" s="195">
        <f t="shared" si="78"/>
        <v>31437.731903485255</v>
      </c>
      <c r="BO250" s="195">
        <f t="shared" si="78"/>
        <v>31329.17230186638</v>
      </c>
      <c r="BP250" s="195">
        <f t="shared" si="78"/>
        <v>32091.231501057082</v>
      </c>
      <c r="BQ250" s="195">
        <f t="shared" si="78"/>
        <v>32044.820855614973</v>
      </c>
    </row>
    <row r="251" spans="1:69" s="105" customFormat="1">
      <c r="A251" s="105">
        <f>$A$80</f>
        <v>63</v>
      </c>
      <c r="B251" s="114"/>
      <c r="C251" s="114"/>
      <c r="D251" s="114"/>
      <c r="E251" s="114"/>
      <c r="F251" s="114"/>
      <c r="G251" s="114"/>
      <c r="H251" s="114"/>
      <c r="I251" s="114"/>
      <c r="J251" s="114"/>
      <c r="K251" s="114"/>
      <c r="L251" s="114"/>
      <c r="M251" s="195">
        <f>M$80*M$387</f>
        <v>16295.452837279219</v>
      </c>
      <c r="N251" s="195">
        <f t="shared" ref="N251:BQ251" si="79">N$80*N$387</f>
        <v>16941.310875137311</v>
      </c>
      <c r="O251" s="195">
        <f t="shared" si="79"/>
        <v>17581.217515129942</v>
      </c>
      <c r="P251" s="195">
        <f t="shared" si="79"/>
        <v>18426.367092983062</v>
      </c>
      <c r="Q251" s="195">
        <f t="shared" si="79"/>
        <v>19148.220858895704</v>
      </c>
      <c r="R251" s="195">
        <f t="shared" si="79"/>
        <v>19995.455435847209</v>
      </c>
      <c r="S251" s="195">
        <f t="shared" si="79"/>
        <v>20482.647814910026</v>
      </c>
      <c r="T251" s="195">
        <f t="shared" si="79"/>
        <v>21553.646153846155</v>
      </c>
      <c r="U251" s="195">
        <f t="shared" si="79"/>
        <v>22240.398671096347</v>
      </c>
      <c r="V251" s="195">
        <f t="shared" si="79"/>
        <v>22735.437649880096</v>
      </c>
      <c r="W251" s="195">
        <f t="shared" si="79"/>
        <v>22364.917431192662</v>
      </c>
      <c r="X251" s="195">
        <f t="shared" si="79"/>
        <v>21912.364672364671</v>
      </c>
      <c r="Y251" s="195">
        <f t="shared" si="79"/>
        <v>21672.639286851321</v>
      </c>
      <c r="Z251" s="195">
        <f t="shared" si="79"/>
        <v>22076.356250000001</v>
      </c>
      <c r="AA251" s="195">
        <f t="shared" si="79"/>
        <v>22650.789962825278</v>
      </c>
      <c r="AB251" s="195">
        <f t="shared" si="79"/>
        <v>23140.133901399877</v>
      </c>
      <c r="AC251" s="195">
        <f t="shared" si="79"/>
        <v>23085.108001216915</v>
      </c>
      <c r="AD251" s="195">
        <f t="shared" si="79"/>
        <v>24125.547103569337</v>
      </c>
      <c r="AE251" s="195">
        <f t="shared" si="79"/>
        <v>23883.589360430364</v>
      </c>
      <c r="AF251" s="195">
        <f t="shared" si="79"/>
        <v>23112.019674146941</v>
      </c>
      <c r="AG251" s="195">
        <f t="shared" si="79"/>
        <v>22668.507936507936</v>
      </c>
      <c r="AH251" s="195">
        <f t="shared" si="79"/>
        <v>21846.556945358789</v>
      </c>
      <c r="AI251" s="195">
        <f t="shared" si="79"/>
        <v>20985.909090909088</v>
      </c>
      <c r="AJ251" s="195">
        <f t="shared" si="79"/>
        <v>21154.188911704314</v>
      </c>
      <c r="AK251" s="195">
        <f t="shared" si="79"/>
        <v>21148.108763422239</v>
      </c>
      <c r="AL251" s="195">
        <f t="shared" si="79"/>
        <v>21843.249749247745</v>
      </c>
      <c r="AM251" s="195">
        <f t="shared" si="79"/>
        <v>22153.635153129162</v>
      </c>
      <c r="AN251" s="195">
        <f t="shared" si="79"/>
        <v>22460.375246872944</v>
      </c>
      <c r="AO251" s="195">
        <f t="shared" si="79"/>
        <v>23246.772030651344</v>
      </c>
      <c r="AP251" s="195">
        <f t="shared" si="79"/>
        <v>23803.438475952527</v>
      </c>
      <c r="AQ251" s="195">
        <f t="shared" si="79"/>
        <v>24369.877488514547</v>
      </c>
      <c r="AR251" s="195">
        <f t="shared" si="79"/>
        <v>24948.267062314539</v>
      </c>
      <c r="AS251" s="195">
        <f t="shared" si="79"/>
        <v>25394.32250512145</v>
      </c>
      <c r="AT251" s="195">
        <f t="shared" si="79"/>
        <v>26017.332576617478</v>
      </c>
      <c r="AU251" s="195">
        <f t="shared" si="79"/>
        <v>27744.352846401718</v>
      </c>
      <c r="AV251" s="195">
        <f t="shared" si="79"/>
        <v>28006.939847649068</v>
      </c>
      <c r="AW251" s="195">
        <f t="shared" si="79"/>
        <v>29191.672491263103</v>
      </c>
      <c r="AX251" s="195">
        <f t="shared" si="79"/>
        <v>29612.53012048193</v>
      </c>
      <c r="AY251" s="195">
        <f t="shared" si="79"/>
        <v>29381.906158357771</v>
      </c>
      <c r="AZ251" s="195">
        <f t="shared" si="79"/>
        <v>28898.123159960745</v>
      </c>
      <c r="BA251" s="195">
        <f t="shared" si="79"/>
        <v>28074.647177419356</v>
      </c>
      <c r="BB251" s="195">
        <f t="shared" si="79"/>
        <v>27938.712140493768</v>
      </c>
      <c r="BC251" s="195">
        <f t="shared" si="79"/>
        <v>27695.045632333768</v>
      </c>
      <c r="BD251" s="195">
        <f t="shared" si="79"/>
        <v>27451.399947271289</v>
      </c>
      <c r="BE251" s="195">
        <f t="shared" si="79"/>
        <v>27438.055025878504</v>
      </c>
      <c r="BF251" s="195">
        <f t="shared" si="79"/>
        <v>27047.048903878582</v>
      </c>
      <c r="BG251" s="195">
        <f t="shared" si="79"/>
        <v>27593.077348066301</v>
      </c>
      <c r="BH251" s="195">
        <f t="shared" si="79"/>
        <v>27355.482233502538</v>
      </c>
      <c r="BI251" s="195">
        <f t="shared" si="79"/>
        <v>26708.388042203984</v>
      </c>
      <c r="BJ251" s="195">
        <f t="shared" si="79"/>
        <v>26492.808523231724</v>
      </c>
      <c r="BK251" s="195">
        <f t="shared" si="79"/>
        <v>27069.089848308053</v>
      </c>
      <c r="BL251" s="195">
        <f t="shared" si="79"/>
        <v>27179.31518876207</v>
      </c>
      <c r="BM251" s="195">
        <f t="shared" si="79"/>
        <v>27743.106712564542</v>
      </c>
      <c r="BN251" s="195">
        <f t="shared" si="79"/>
        <v>28819.997232216992</v>
      </c>
      <c r="BO251" s="195">
        <f t="shared" si="79"/>
        <v>29719.817840878652</v>
      </c>
      <c r="BP251" s="195">
        <f t="shared" si="79"/>
        <v>29624.264864864865</v>
      </c>
      <c r="BQ251" s="195">
        <f t="shared" si="79"/>
        <v>30331.57338965153</v>
      </c>
    </row>
    <row r="252" spans="1:69" s="105" customFormat="1">
      <c r="A252" s="105">
        <f>$A$81</f>
        <v>64</v>
      </c>
      <c r="B252" s="114"/>
      <c r="C252" s="114"/>
      <c r="D252" s="114"/>
      <c r="E252" s="114"/>
      <c r="F252" s="114"/>
      <c r="G252" s="114"/>
      <c r="H252" s="114"/>
      <c r="I252" s="114"/>
      <c r="J252" s="114"/>
      <c r="K252" s="114"/>
      <c r="L252" s="114"/>
      <c r="M252" s="195">
        <f>M$81*M$388</f>
        <v>14233.189146677152</v>
      </c>
      <c r="N252" s="195">
        <f t="shared" ref="N252:BQ252" si="80">N$81*N$388</f>
        <v>14887.103085026336</v>
      </c>
      <c r="O252" s="195">
        <f t="shared" si="80"/>
        <v>15558.143800440204</v>
      </c>
      <c r="P252" s="195">
        <f t="shared" si="80"/>
        <v>16364.453961456104</v>
      </c>
      <c r="Q252" s="195">
        <f t="shared" si="80"/>
        <v>16902.405545927209</v>
      </c>
      <c r="R252" s="195">
        <f t="shared" si="80"/>
        <v>17588.143589743588</v>
      </c>
      <c r="S252" s="195">
        <f t="shared" si="80"/>
        <v>18367.292075965946</v>
      </c>
      <c r="T252" s="195">
        <f t="shared" si="80"/>
        <v>18844.485981308411</v>
      </c>
      <c r="U252" s="195">
        <f t="shared" si="80"/>
        <v>19837.893275755705</v>
      </c>
      <c r="V252" s="195">
        <f t="shared" si="80"/>
        <v>20477.384196185285</v>
      </c>
      <c r="W252" s="195">
        <f t="shared" si="80"/>
        <v>20943.629807692309</v>
      </c>
      <c r="X252" s="195">
        <f t="shared" si="80"/>
        <v>20617.198896720809</v>
      </c>
      <c r="Y252" s="195">
        <f t="shared" si="80"/>
        <v>20211.313035204566</v>
      </c>
      <c r="Z252" s="195">
        <f t="shared" si="80"/>
        <v>19998.456140350878</v>
      </c>
      <c r="AA252" s="195">
        <f t="shared" si="80"/>
        <v>20378.810269254853</v>
      </c>
      <c r="AB252" s="195">
        <f t="shared" si="80"/>
        <v>20911.142147734325</v>
      </c>
      <c r="AC252" s="195">
        <f t="shared" si="80"/>
        <v>21363.456263334348</v>
      </c>
      <c r="AD252" s="195">
        <f t="shared" si="80"/>
        <v>21325.196586406582</v>
      </c>
      <c r="AE252" s="195">
        <f t="shared" si="80"/>
        <v>22290.281277468501</v>
      </c>
      <c r="AF252" s="195">
        <f t="shared" si="80"/>
        <v>22074.540556719545</v>
      </c>
      <c r="AG252" s="195">
        <f t="shared" si="80"/>
        <v>21357.142857142859</v>
      </c>
      <c r="AH252" s="195">
        <f t="shared" si="80"/>
        <v>20957.660521296886</v>
      </c>
      <c r="AI252" s="195">
        <f t="shared" si="80"/>
        <v>20212.102141680392</v>
      </c>
      <c r="AJ252" s="195">
        <f t="shared" si="80"/>
        <v>19412.753273604412</v>
      </c>
      <c r="AK252" s="195">
        <f t="shared" si="80"/>
        <v>19566.558219178081</v>
      </c>
      <c r="AL252" s="195">
        <f t="shared" si="80"/>
        <v>19565.511265164645</v>
      </c>
      <c r="AM252" s="195">
        <f t="shared" si="80"/>
        <v>20214.974907995987</v>
      </c>
      <c r="AN252" s="195">
        <f t="shared" si="80"/>
        <v>20501.222518321119</v>
      </c>
      <c r="AO252" s="195">
        <f t="shared" si="80"/>
        <v>20778.399736582152</v>
      </c>
      <c r="AP252" s="195">
        <f t="shared" si="80"/>
        <v>21500.415202810604</v>
      </c>
      <c r="AQ252" s="195">
        <f t="shared" si="80"/>
        <v>22026.084374999999</v>
      </c>
      <c r="AR252" s="195">
        <f t="shared" si="80"/>
        <v>22541.470588235294</v>
      </c>
      <c r="AS252" s="195">
        <f t="shared" si="80"/>
        <v>23079.655684179281</v>
      </c>
      <c r="AT252" s="195">
        <f t="shared" si="80"/>
        <v>23498.114754098362</v>
      </c>
      <c r="AU252" s="195">
        <f t="shared" si="80"/>
        <v>24071.881918819188</v>
      </c>
      <c r="AV252" s="195">
        <f t="shared" si="80"/>
        <v>25669.105560032232</v>
      </c>
      <c r="AW252" s="195">
        <f t="shared" si="80"/>
        <v>25912.968996321601</v>
      </c>
      <c r="AX252" s="195">
        <f t="shared" si="80"/>
        <v>26997.737827715355</v>
      </c>
      <c r="AY252" s="195">
        <f t="shared" si="80"/>
        <v>27399.893924783031</v>
      </c>
      <c r="AZ252" s="195">
        <f t="shared" si="80"/>
        <v>27180.085553654364</v>
      </c>
      <c r="BA252" s="195">
        <f t="shared" si="80"/>
        <v>26734.040726202158</v>
      </c>
      <c r="BB252" s="195">
        <f t="shared" si="80"/>
        <v>25978.346357448954</v>
      </c>
      <c r="BC252" s="195">
        <f t="shared" si="80"/>
        <v>25845.851361669633</v>
      </c>
      <c r="BD252" s="195">
        <f t="shared" si="80"/>
        <v>25631.34289439374</v>
      </c>
      <c r="BE252" s="195">
        <f t="shared" si="80"/>
        <v>25409.984181386764</v>
      </c>
      <c r="BF252" s="195">
        <f t="shared" si="80"/>
        <v>25404.037047126123</v>
      </c>
      <c r="BG252" s="195">
        <f t="shared" si="80"/>
        <v>25035.729137398146</v>
      </c>
      <c r="BH252" s="195">
        <f t="shared" si="80"/>
        <v>25544.090030378349</v>
      </c>
      <c r="BI252" s="195">
        <f t="shared" si="80"/>
        <v>25318.514656144307</v>
      </c>
      <c r="BJ252" s="195">
        <f t="shared" si="80"/>
        <v>24732.560796952828</v>
      </c>
      <c r="BK252" s="195">
        <f t="shared" si="80"/>
        <v>24528.979591836734</v>
      </c>
      <c r="BL252" s="195">
        <f t="shared" si="80"/>
        <v>25057.959183673469</v>
      </c>
      <c r="BM252" s="195">
        <f t="shared" si="80"/>
        <v>25164.518865165253</v>
      </c>
      <c r="BN252" s="195">
        <f t="shared" si="80"/>
        <v>25700.177803269286</v>
      </c>
      <c r="BO252" s="195">
        <f t="shared" si="80"/>
        <v>26679.626556016599</v>
      </c>
      <c r="BP252" s="195">
        <f t="shared" si="80"/>
        <v>27511.397590361445</v>
      </c>
      <c r="BQ252" s="195">
        <f t="shared" si="80"/>
        <v>27426.207455429496</v>
      </c>
    </row>
    <row r="253" spans="1:69" s="105" customFormat="1">
      <c r="A253" s="105">
        <f>$A$82</f>
        <v>65</v>
      </c>
      <c r="B253" s="114"/>
      <c r="C253" s="114"/>
      <c r="D253" s="114"/>
      <c r="E253" s="114"/>
      <c r="F253" s="114"/>
      <c r="G253" s="114"/>
      <c r="H253" s="114"/>
      <c r="I253" s="114"/>
      <c r="J253" s="114"/>
      <c r="K253" s="114"/>
      <c r="L253" s="114"/>
      <c r="M253" s="195">
        <f>M$82*M$389</f>
        <v>12191.587174348699</v>
      </c>
      <c r="N253" s="195">
        <f t="shared" ref="N253:BQ253" si="81">N$82*N$389</f>
        <v>12654.986204178163</v>
      </c>
      <c r="O253" s="195">
        <f t="shared" si="81"/>
        <v>13267.562264150942</v>
      </c>
      <c r="P253" s="195">
        <f t="shared" si="81"/>
        <v>14073.224144276775</v>
      </c>
      <c r="Q253" s="195">
        <f t="shared" si="81"/>
        <v>14577.536698890081</v>
      </c>
      <c r="R253" s="195">
        <f t="shared" si="81"/>
        <v>15063.756521739129</v>
      </c>
      <c r="S253" s="195">
        <f t="shared" si="81"/>
        <v>15688.507718696399</v>
      </c>
      <c r="T253" s="195">
        <f t="shared" si="81"/>
        <v>16418.43626806833</v>
      </c>
      <c r="U253" s="195">
        <f t="shared" si="81"/>
        <v>16851.881668283218</v>
      </c>
      <c r="V253" s="195">
        <f t="shared" si="81"/>
        <v>17744.014237078303</v>
      </c>
      <c r="W253" s="195">
        <f t="shared" si="81"/>
        <v>18335.91737545565</v>
      </c>
      <c r="X253" s="195">
        <f t="shared" si="81"/>
        <v>18752.260397830018</v>
      </c>
      <c r="Y253" s="195">
        <f t="shared" si="81"/>
        <v>18470.706822372467</v>
      </c>
      <c r="Z253" s="195">
        <f t="shared" si="81"/>
        <v>18108.028616852145</v>
      </c>
      <c r="AA253" s="195">
        <f t="shared" si="81"/>
        <v>17921.426287176208</v>
      </c>
      <c r="AB253" s="195">
        <f t="shared" si="81"/>
        <v>18264.406779661018</v>
      </c>
      <c r="AC253" s="195">
        <f t="shared" si="81"/>
        <v>18743.452566096421</v>
      </c>
      <c r="AD253" s="195">
        <f t="shared" si="81"/>
        <v>19161.365302382408</v>
      </c>
      <c r="AE253" s="195">
        <f t="shared" si="81"/>
        <v>19119.19389312977</v>
      </c>
      <c r="AF253" s="195">
        <f t="shared" si="81"/>
        <v>19998.091603053432</v>
      </c>
      <c r="AG253" s="195">
        <f t="shared" si="81"/>
        <v>19804.602698650673</v>
      </c>
      <c r="AH253" s="195">
        <f t="shared" si="81"/>
        <v>19165.103299414124</v>
      </c>
      <c r="AI253" s="195">
        <f t="shared" si="81"/>
        <v>18805.329512893983</v>
      </c>
      <c r="AJ253" s="195">
        <f t="shared" si="81"/>
        <v>18137.274826789839</v>
      </c>
      <c r="AK253" s="195">
        <f t="shared" si="81"/>
        <v>17437.681159420292</v>
      </c>
      <c r="AL253" s="195">
        <f t="shared" si="81"/>
        <v>17574.454732510287</v>
      </c>
      <c r="AM253" s="195">
        <f t="shared" si="81"/>
        <v>17574.156835530881</v>
      </c>
      <c r="AN253" s="195">
        <f t="shared" si="81"/>
        <v>18152.923643670463</v>
      </c>
      <c r="AO253" s="195">
        <f t="shared" si="81"/>
        <v>18417.279093031011</v>
      </c>
      <c r="AP253" s="195">
        <f t="shared" si="81"/>
        <v>18661.460118655239</v>
      </c>
      <c r="AQ253" s="195">
        <f t="shared" si="81"/>
        <v>19314.386189258312</v>
      </c>
      <c r="AR253" s="195">
        <f t="shared" si="81"/>
        <v>19781.769856160099</v>
      </c>
      <c r="AS253" s="195">
        <f t="shared" si="81"/>
        <v>20260.80650107329</v>
      </c>
      <c r="AT253" s="195">
        <f t="shared" si="81"/>
        <v>20739.091179091181</v>
      </c>
      <c r="AU253" s="195">
        <f t="shared" si="81"/>
        <v>21107.20562390158</v>
      </c>
      <c r="AV253" s="195">
        <f t="shared" si="81"/>
        <v>21618.94916216984</v>
      </c>
      <c r="AW253" s="195">
        <f t="shared" si="81"/>
        <v>23052.93548387097</v>
      </c>
      <c r="AX253" s="195">
        <f t="shared" si="81"/>
        <v>23271.840168243954</v>
      </c>
      <c r="AY253" s="195">
        <f t="shared" si="81"/>
        <v>24254.452773613189</v>
      </c>
      <c r="AZ253" s="195">
        <f t="shared" si="81"/>
        <v>24605.81041968162</v>
      </c>
      <c r="BA253" s="195">
        <f t="shared" si="81"/>
        <v>24416.727806309613</v>
      </c>
      <c r="BB253" s="195">
        <f t="shared" si="81"/>
        <v>24021.536950650625</v>
      </c>
      <c r="BC253" s="195">
        <f t="shared" si="81"/>
        <v>23350.456494325346</v>
      </c>
      <c r="BD253" s="195">
        <f t="shared" si="81"/>
        <v>23226.088617265086</v>
      </c>
      <c r="BE253" s="195">
        <f t="shared" si="81"/>
        <v>23026.661450182575</v>
      </c>
      <c r="BF253" s="195">
        <f t="shared" si="81"/>
        <v>22833.648826786186</v>
      </c>
      <c r="BG253" s="195">
        <f t="shared" si="81"/>
        <v>22817.992372650504</v>
      </c>
      <c r="BH253" s="195">
        <f t="shared" si="81"/>
        <v>22498.277606069121</v>
      </c>
      <c r="BI253" s="195">
        <f t="shared" si="81"/>
        <v>22956.80751173709</v>
      </c>
      <c r="BJ253" s="195">
        <f t="shared" si="81"/>
        <v>22755.659526493801</v>
      </c>
      <c r="BK253" s="195">
        <f t="shared" si="81"/>
        <v>22223.620386643233</v>
      </c>
      <c r="BL253" s="195">
        <f t="shared" si="81"/>
        <v>22051.641526175688</v>
      </c>
      <c r="BM253" s="195">
        <f t="shared" si="81"/>
        <v>22523.223549985429</v>
      </c>
      <c r="BN253" s="195">
        <f t="shared" si="81"/>
        <v>22622.292397660818</v>
      </c>
      <c r="BO253" s="195">
        <f t="shared" si="81"/>
        <v>23098.715596330276</v>
      </c>
      <c r="BP253" s="195">
        <f t="shared" si="81"/>
        <v>23983.559181415931</v>
      </c>
      <c r="BQ253" s="195">
        <f t="shared" si="81"/>
        <v>24724.079229122057</v>
      </c>
    </row>
    <row r="254" spans="1:69" s="105" customFormat="1">
      <c r="A254" s="105">
        <f>$A$83</f>
        <v>66</v>
      </c>
      <c r="B254" s="114"/>
      <c r="C254" s="114"/>
      <c r="D254" s="114"/>
      <c r="E254" s="114"/>
      <c r="F254" s="114"/>
      <c r="G254" s="114"/>
      <c r="H254" s="114"/>
      <c r="I254" s="114"/>
      <c r="J254" s="114"/>
      <c r="K254" s="114"/>
      <c r="L254" s="114"/>
      <c r="M254" s="195">
        <f>M$83*M$390</f>
        <v>10258.586776859504</v>
      </c>
      <c r="N254" s="195">
        <f t="shared" ref="N254:BQ254" si="82">N$83*N$390</f>
        <v>10689.481302774428</v>
      </c>
      <c r="O254" s="195">
        <f t="shared" si="82"/>
        <v>11115.854430379748</v>
      </c>
      <c r="P254" s="195">
        <f t="shared" si="82"/>
        <v>11810</v>
      </c>
      <c r="Q254" s="195">
        <f t="shared" si="82"/>
        <v>12340.539541759053</v>
      </c>
      <c r="R254" s="195">
        <f t="shared" si="82"/>
        <v>12780.352391226177</v>
      </c>
      <c r="S254" s="195">
        <f t="shared" si="82"/>
        <v>13222.231924554664</v>
      </c>
      <c r="T254" s="195">
        <f t="shared" si="82"/>
        <v>13785.025835342749</v>
      </c>
      <c r="U254" s="195">
        <f t="shared" si="82"/>
        <v>14413.192612137203</v>
      </c>
      <c r="V254" s="195">
        <f t="shared" si="82"/>
        <v>14792.648490749758</v>
      </c>
      <c r="W254" s="195">
        <f t="shared" si="82"/>
        <v>15573.289841565704</v>
      </c>
      <c r="X254" s="195">
        <f t="shared" si="82"/>
        <v>16080.886924718074</v>
      </c>
      <c r="Y254" s="195">
        <f t="shared" si="82"/>
        <v>16453.365588146356</v>
      </c>
      <c r="Z254" s="195">
        <f t="shared" si="82"/>
        <v>16211.671292013569</v>
      </c>
      <c r="AA254" s="195">
        <f t="shared" si="82"/>
        <v>15886.315789473683</v>
      </c>
      <c r="AB254" s="195">
        <f t="shared" si="82"/>
        <v>15730.917254650418</v>
      </c>
      <c r="AC254" s="195">
        <f t="shared" si="82"/>
        <v>16027.875354107648</v>
      </c>
      <c r="AD254" s="195">
        <f t="shared" si="82"/>
        <v>16453.370751481136</v>
      </c>
      <c r="AE254" s="195">
        <f t="shared" si="82"/>
        <v>16810.147013782542</v>
      </c>
      <c r="AF254" s="195">
        <f t="shared" si="82"/>
        <v>16781.512090602999</v>
      </c>
      <c r="AG254" s="195">
        <f t="shared" si="82"/>
        <v>17543.03708063567</v>
      </c>
      <c r="AH254" s="195">
        <f t="shared" si="82"/>
        <v>17370.604147880975</v>
      </c>
      <c r="AI254" s="195">
        <f t="shared" si="82"/>
        <v>16820.516069221259</v>
      </c>
      <c r="AJ254" s="195">
        <f t="shared" si="82"/>
        <v>16498.695374800638</v>
      </c>
      <c r="AK254" s="195">
        <f t="shared" si="82"/>
        <v>15919.110743801655</v>
      </c>
      <c r="AL254" s="195">
        <f t="shared" si="82"/>
        <v>15295.361216730038</v>
      </c>
      <c r="AM254" s="195">
        <f t="shared" si="82"/>
        <v>15421.332417582416</v>
      </c>
      <c r="AN254" s="195">
        <f t="shared" si="82"/>
        <v>15415.343988881168</v>
      </c>
      <c r="AO254" s="195">
        <f t="shared" si="82"/>
        <v>15925.25821596244</v>
      </c>
      <c r="AP254" s="195">
        <f t="shared" si="82"/>
        <v>16154.657762938228</v>
      </c>
      <c r="AQ254" s="195">
        <f t="shared" si="82"/>
        <v>16381.386138613863</v>
      </c>
      <c r="AR254" s="195">
        <f t="shared" si="82"/>
        <v>16943.661971830985</v>
      </c>
      <c r="AS254" s="195">
        <f t="shared" si="82"/>
        <v>17355.347526612401</v>
      </c>
      <c r="AT254" s="195">
        <f t="shared" si="82"/>
        <v>17773.411114522565</v>
      </c>
      <c r="AU254" s="195">
        <f t="shared" si="82"/>
        <v>18184.805233422539</v>
      </c>
      <c r="AV254" s="195">
        <f t="shared" si="82"/>
        <v>18512.419354838708</v>
      </c>
      <c r="AW254" s="195">
        <f t="shared" si="82"/>
        <v>18964.779641740119</v>
      </c>
      <c r="AX254" s="195">
        <f t="shared" si="82"/>
        <v>20221.646932185144</v>
      </c>
      <c r="AY254" s="195">
        <f t="shared" si="82"/>
        <v>20414.726315789474</v>
      </c>
      <c r="AZ254" s="195">
        <f t="shared" si="82"/>
        <v>21269.834917458727</v>
      </c>
      <c r="BA254" s="195">
        <f t="shared" si="82"/>
        <v>21576.996619990343</v>
      </c>
      <c r="BB254" s="195">
        <f t="shared" si="82"/>
        <v>21415.725826193389</v>
      </c>
      <c r="BC254" s="195">
        <f t="shared" si="82"/>
        <v>21067.631449631452</v>
      </c>
      <c r="BD254" s="195">
        <f t="shared" si="82"/>
        <v>20476.396669190006</v>
      </c>
      <c r="BE254" s="195">
        <f t="shared" si="82"/>
        <v>20369.161783439489</v>
      </c>
      <c r="BF254" s="195">
        <f t="shared" si="82"/>
        <v>20193.241127348643</v>
      </c>
      <c r="BG254" s="195">
        <f t="shared" si="82"/>
        <v>20024.505407544184</v>
      </c>
      <c r="BH254" s="195">
        <f t="shared" si="82"/>
        <v>20028.694467157264</v>
      </c>
      <c r="BI254" s="195">
        <f t="shared" si="82"/>
        <v>19742.046093310848</v>
      </c>
      <c r="BJ254" s="195">
        <f t="shared" si="82"/>
        <v>20139.397790055249</v>
      </c>
      <c r="BK254" s="195">
        <f t="shared" si="82"/>
        <v>19960.090217084864</v>
      </c>
      <c r="BL254" s="195">
        <f t="shared" si="82"/>
        <v>19513.155581599767</v>
      </c>
      <c r="BM254" s="195">
        <f t="shared" si="82"/>
        <v>19347.763975155278</v>
      </c>
      <c r="BN254" s="195">
        <f t="shared" si="82"/>
        <v>19762.425655976676</v>
      </c>
      <c r="BO254" s="195">
        <f t="shared" si="82"/>
        <v>19851.792397660818</v>
      </c>
      <c r="BP254" s="195">
        <f t="shared" si="82"/>
        <v>20268.738532110092</v>
      </c>
      <c r="BQ254" s="195">
        <f t="shared" si="82"/>
        <v>21047.323008849555</v>
      </c>
    </row>
    <row r="255" spans="1:69" s="105" customFormat="1">
      <c r="A255" s="105">
        <f>$A$84</f>
        <v>67</v>
      </c>
      <c r="B255" s="114"/>
      <c r="C255" s="114"/>
      <c r="D255" s="114"/>
      <c r="E255" s="114"/>
      <c r="F255" s="114"/>
      <c r="G255" s="114"/>
      <c r="H255" s="114"/>
      <c r="I255" s="114"/>
      <c r="J255" s="114"/>
      <c r="K255" s="114"/>
      <c r="L255" s="114"/>
      <c r="M255" s="195">
        <f>M$84*M$391</f>
        <v>8751.1377741001234</v>
      </c>
      <c r="N255" s="195">
        <f t="shared" ref="N255:BQ255" si="83">N$84*N$391</f>
        <v>8828.5056039850551</v>
      </c>
      <c r="O255" s="195">
        <f t="shared" si="83"/>
        <v>9246.5912762520202</v>
      </c>
      <c r="P255" s="195">
        <f t="shared" si="83"/>
        <v>9726.7090620031795</v>
      </c>
      <c r="Q255" s="195">
        <f t="shared" si="83"/>
        <v>10194.453749524173</v>
      </c>
      <c r="R255" s="195">
        <f t="shared" si="83"/>
        <v>10660.809806835066</v>
      </c>
      <c r="S255" s="195">
        <f t="shared" si="83"/>
        <v>11049.790386700397</v>
      </c>
      <c r="T255" s="195">
        <f t="shared" si="83"/>
        <v>11421.867321867323</v>
      </c>
      <c r="U255" s="195">
        <f t="shared" si="83"/>
        <v>11902.554517133956</v>
      </c>
      <c r="V255" s="195">
        <f t="shared" si="83"/>
        <v>12454.194831013916</v>
      </c>
      <c r="W255" s="195">
        <f t="shared" si="83"/>
        <v>12783.834365829802</v>
      </c>
      <c r="X255" s="195">
        <f t="shared" si="83"/>
        <v>13458.932917316693</v>
      </c>
      <c r="Y255" s="195">
        <f t="shared" si="83"/>
        <v>13897.741046831956</v>
      </c>
      <c r="Z255" s="195">
        <f t="shared" si="83"/>
        <v>14221.415122988157</v>
      </c>
      <c r="AA255" s="195">
        <f t="shared" si="83"/>
        <v>14005.292479108635</v>
      </c>
      <c r="AB255" s="195">
        <f t="shared" si="83"/>
        <v>13733.58514724712</v>
      </c>
      <c r="AC255" s="195">
        <f t="shared" si="83"/>
        <v>13592.735757965882</v>
      </c>
      <c r="AD255" s="195">
        <f t="shared" si="83"/>
        <v>13858.171193935565</v>
      </c>
      <c r="AE255" s="195">
        <f t="shared" si="83"/>
        <v>14211.855444305382</v>
      </c>
      <c r="AF255" s="195">
        <f t="shared" si="83"/>
        <v>14527.766513056837</v>
      </c>
      <c r="AG255" s="195">
        <f t="shared" si="83"/>
        <v>14502.173779551735</v>
      </c>
      <c r="AH255" s="195">
        <f t="shared" si="83"/>
        <v>15156.694214876032</v>
      </c>
      <c r="AI255" s="195">
        <f t="shared" si="83"/>
        <v>15016.084990958409</v>
      </c>
      <c r="AJ255" s="195">
        <f t="shared" si="83"/>
        <v>14534.34634448575</v>
      </c>
      <c r="AK255" s="195">
        <f t="shared" si="83"/>
        <v>14261.643748001279</v>
      </c>
      <c r="AL255" s="195">
        <f t="shared" si="83"/>
        <v>13759.840954274354</v>
      </c>
      <c r="AM255" s="195">
        <f t="shared" si="83"/>
        <v>13222.549359196399</v>
      </c>
      <c r="AN255" s="195">
        <f t="shared" si="83"/>
        <v>13332.151462994836</v>
      </c>
      <c r="AO255" s="195">
        <f t="shared" si="83"/>
        <v>13326.768802228411</v>
      </c>
      <c r="AP255" s="195">
        <f t="shared" si="83"/>
        <v>13767.741935483871</v>
      </c>
      <c r="AQ255" s="195">
        <f t="shared" si="83"/>
        <v>13953.471571906355</v>
      </c>
      <c r="AR255" s="195">
        <f t="shared" si="83"/>
        <v>14146.43305785124</v>
      </c>
      <c r="AS255" s="195">
        <f t="shared" si="83"/>
        <v>14639.320294966335</v>
      </c>
      <c r="AT255" s="195">
        <f t="shared" si="83"/>
        <v>14995.390404515521</v>
      </c>
      <c r="AU255" s="195">
        <f t="shared" si="83"/>
        <v>15352.718327183273</v>
      </c>
      <c r="AV255" s="195">
        <f t="shared" si="83"/>
        <v>15712.900536033354</v>
      </c>
      <c r="AW255" s="195">
        <f t="shared" si="83"/>
        <v>16004.757709251102</v>
      </c>
      <c r="AX255" s="195">
        <f t="shared" si="83"/>
        <v>16386.816628701596</v>
      </c>
      <c r="AY255" s="195">
        <f t="shared" si="83"/>
        <v>17473.160873080033</v>
      </c>
      <c r="AZ255" s="195">
        <f t="shared" si="83"/>
        <v>17639.320158102768</v>
      </c>
      <c r="BA255" s="195">
        <f t="shared" si="83"/>
        <v>18376.458802905083</v>
      </c>
      <c r="BB255" s="195">
        <f t="shared" si="83"/>
        <v>18647.411167512691</v>
      </c>
      <c r="BC255" s="195">
        <f t="shared" si="83"/>
        <v>18500.039206076941</v>
      </c>
      <c r="BD255" s="195">
        <f t="shared" si="83"/>
        <v>18202.459419576979</v>
      </c>
      <c r="BE255" s="195">
        <f t="shared" si="83"/>
        <v>17701.250631632138</v>
      </c>
      <c r="BF255" s="195">
        <f t="shared" si="83"/>
        <v>17611.578678908441</v>
      </c>
      <c r="BG255" s="195">
        <f t="shared" si="83"/>
        <v>17465.01567398119</v>
      </c>
      <c r="BH255" s="195">
        <f t="shared" si="83"/>
        <v>17310.562450488513</v>
      </c>
      <c r="BI255" s="195">
        <f t="shared" si="83"/>
        <v>17301.358058358332</v>
      </c>
      <c r="BJ255" s="195">
        <f t="shared" si="83"/>
        <v>17070.852320675105</v>
      </c>
      <c r="BK255" s="195">
        <f t="shared" si="83"/>
        <v>17406.932006633499</v>
      </c>
      <c r="BL255" s="195">
        <f t="shared" si="83"/>
        <v>17261.427362482369</v>
      </c>
      <c r="BM255" s="195">
        <f t="shared" si="83"/>
        <v>16866.490765171504</v>
      </c>
      <c r="BN255" s="195">
        <f t="shared" si="83"/>
        <v>16731.257768570584</v>
      </c>
      <c r="BO255" s="195">
        <f t="shared" si="83"/>
        <v>17089.238845144358</v>
      </c>
      <c r="BP255" s="195">
        <f t="shared" si="83"/>
        <v>17170.289558350396</v>
      </c>
      <c r="BQ255" s="195">
        <f t="shared" si="83"/>
        <v>17527.869228563235</v>
      </c>
    </row>
    <row r="256" spans="1:69" s="105" customFormat="1">
      <c r="A256" s="105">
        <f>$A$85</f>
        <v>68</v>
      </c>
      <c r="B256" s="114"/>
      <c r="C256" s="114"/>
      <c r="D256" s="114"/>
      <c r="E256" s="114"/>
      <c r="F256" s="114"/>
      <c r="G256" s="114"/>
      <c r="H256" s="114"/>
      <c r="I256" s="114"/>
      <c r="J256" s="114"/>
      <c r="K256" s="114"/>
      <c r="L256" s="114"/>
      <c r="M256" s="195">
        <f>M$85*M$392</f>
        <v>7139.2579957356074</v>
      </c>
      <c r="N256" s="195">
        <f t="shared" ref="N256:BQ256" si="84">N$85*N$392</f>
        <v>7466.4891846921801</v>
      </c>
      <c r="O256" s="195">
        <f t="shared" si="84"/>
        <v>7561.6193656093492</v>
      </c>
      <c r="P256" s="195">
        <f t="shared" si="84"/>
        <v>8023.4741974806993</v>
      </c>
      <c r="Q256" s="195">
        <f t="shared" si="84"/>
        <v>8336.2814874050382</v>
      </c>
      <c r="R256" s="195">
        <f t="shared" si="84"/>
        <v>8749.8468019915745</v>
      </c>
      <c r="S256" s="195">
        <f t="shared" si="84"/>
        <v>9154.4095665171899</v>
      </c>
      <c r="T256" s="195">
        <f t="shared" si="84"/>
        <v>9500.9814612868049</v>
      </c>
      <c r="U256" s="195">
        <f t="shared" si="84"/>
        <v>9835.6371337804449</v>
      </c>
      <c r="V256" s="195">
        <f t="shared" si="84"/>
        <v>10254.627696590118</v>
      </c>
      <c r="W256" s="195">
        <f t="shared" si="84"/>
        <v>10728.047968021319</v>
      </c>
      <c r="X256" s="195">
        <f t="shared" si="84"/>
        <v>11020.183486238533</v>
      </c>
      <c r="Y256" s="195">
        <f t="shared" si="84"/>
        <v>11614.636363636364</v>
      </c>
      <c r="Z256" s="195">
        <f t="shared" si="84"/>
        <v>11987.948954489546</v>
      </c>
      <c r="AA256" s="195">
        <f t="shared" si="84"/>
        <v>12275.302013422819</v>
      </c>
      <c r="AB256" s="195">
        <f t="shared" si="84"/>
        <v>12097.711442786069</v>
      </c>
      <c r="AC256" s="195">
        <f t="shared" si="84"/>
        <v>11865.292604501608</v>
      </c>
      <c r="AD256" s="195">
        <f t="shared" si="84"/>
        <v>11744.290791599355</v>
      </c>
      <c r="AE256" s="195">
        <f t="shared" si="84"/>
        <v>11976.905516804058</v>
      </c>
      <c r="AF256" s="195">
        <f t="shared" si="84"/>
        <v>12291.535804020101</v>
      </c>
      <c r="AG256" s="195">
        <f t="shared" si="84"/>
        <v>12566.666666666666</v>
      </c>
      <c r="AH256" s="195">
        <f t="shared" si="84"/>
        <v>12542.246533127889</v>
      </c>
      <c r="AI256" s="195">
        <f t="shared" si="84"/>
        <v>13103.227716908497</v>
      </c>
      <c r="AJ256" s="195">
        <f t="shared" si="84"/>
        <v>12990.837617175688</v>
      </c>
      <c r="AK256" s="195">
        <f t="shared" si="84"/>
        <v>12578.943114703139</v>
      </c>
      <c r="AL256" s="195">
        <f t="shared" si="84"/>
        <v>12333.992944194997</v>
      </c>
      <c r="AM256" s="195">
        <f t="shared" si="84"/>
        <v>11898.897009966777</v>
      </c>
      <c r="AN256" s="195">
        <f t="shared" si="84"/>
        <v>11438.805140673845</v>
      </c>
      <c r="AO256" s="195">
        <f t="shared" si="84"/>
        <v>11537.101449275362</v>
      </c>
      <c r="AP256" s="195">
        <f t="shared" si="84"/>
        <v>11535.420593368237</v>
      </c>
      <c r="AQ256" s="195">
        <f t="shared" si="84"/>
        <v>11911.222633883463</v>
      </c>
      <c r="AR256" s="195">
        <f t="shared" si="84"/>
        <v>12085.987261146496</v>
      </c>
      <c r="AS256" s="195">
        <f t="shared" si="84"/>
        <v>12256.04705102717</v>
      </c>
      <c r="AT256" s="195">
        <f t="shared" si="84"/>
        <v>12676.619537275064</v>
      </c>
      <c r="AU256" s="195">
        <f t="shared" si="84"/>
        <v>12988.057825267128</v>
      </c>
      <c r="AV256" s="195">
        <f t="shared" si="84"/>
        <v>13292.329020332718</v>
      </c>
      <c r="AW256" s="195">
        <f t="shared" si="84"/>
        <v>13602.005371530886</v>
      </c>
      <c r="AX256" s="195">
        <f t="shared" si="84"/>
        <v>13850.250073551046</v>
      </c>
      <c r="AY256" s="195">
        <f t="shared" si="84"/>
        <v>14185.410724472333</v>
      </c>
      <c r="AZ256" s="195">
        <f t="shared" si="84"/>
        <v>15121.829959514169</v>
      </c>
      <c r="BA256" s="195">
        <f t="shared" si="84"/>
        <v>15274.149947201691</v>
      </c>
      <c r="BB256" s="195">
        <f t="shared" si="84"/>
        <v>15916.44756648269</v>
      </c>
      <c r="BC256" s="195">
        <f t="shared" si="84"/>
        <v>16151.089588377723</v>
      </c>
      <c r="BD256" s="195">
        <f t="shared" si="84"/>
        <v>16020.147275405008</v>
      </c>
      <c r="BE256" s="195">
        <f t="shared" si="84"/>
        <v>15768.743842364533</v>
      </c>
      <c r="BF256" s="195">
        <f t="shared" si="84"/>
        <v>15321.619023526437</v>
      </c>
      <c r="BG256" s="195">
        <f t="shared" si="84"/>
        <v>15251.350868232892</v>
      </c>
      <c r="BH256" s="195">
        <f t="shared" si="84"/>
        <v>15119.832635983263</v>
      </c>
      <c r="BI256" s="195">
        <f t="shared" si="84"/>
        <v>15001.020354216231</v>
      </c>
      <c r="BJ256" s="195">
        <f t="shared" si="84"/>
        <v>14995.985800109231</v>
      </c>
      <c r="BK256" s="195">
        <f t="shared" si="84"/>
        <v>14790.74063644044</v>
      </c>
      <c r="BL256" s="195">
        <f t="shared" si="84"/>
        <v>15088.544548976204</v>
      </c>
      <c r="BM256" s="195">
        <f t="shared" si="84"/>
        <v>14959.875741316013</v>
      </c>
      <c r="BN256" s="195">
        <f t="shared" si="84"/>
        <v>14620.513347022586</v>
      </c>
      <c r="BO256" s="195">
        <f t="shared" si="84"/>
        <v>14497.613266212615</v>
      </c>
      <c r="BP256" s="195">
        <f t="shared" si="84"/>
        <v>14811.58201984822</v>
      </c>
      <c r="BQ256" s="195">
        <f t="shared" si="84"/>
        <v>14876.004098360656</v>
      </c>
    </row>
    <row r="257" spans="1:69" s="105" customFormat="1">
      <c r="A257" s="105">
        <f>$A$86</f>
        <v>69</v>
      </c>
      <c r="B257" s="114"/>
      <c r="C257" s="114"/>
      <c r="D257" s="114"/>
      <c r="E257" s="114"/>
      <c r="F257" s="114"/>
      <c r="G257" s="114"/>
      <c r="H257" s="114"/>
      <c r="I257" s="114"/>
      <c r="J257" s="114"/>
      <c r="K257" s="114"/>
      <c r="L257" s="114"/>
      <c r="M257" s="195">
        <f>M$86*M$393</f>
        <v>6126.2531860662693</v>
      </c>
      <c r="N257" s="195">
        <f t="shared" ref="N257:BQ257" si="85">N$86*N$393</f>
        <v>6109.545064377683</v>
      </c>
      <c r="O257" s="195">
        <f t="shared" si="85"/>
        <v>6426.0452450775038</v>
      </c>
      <c r="P257" s="195">
        <f t="shared" si="85"/>
        <v>6572.6944094157207</v>
      </c>
      <c r="Q257" s="195">
        <f t="shared" si="85"/>
        <v>6893.0360065466439</v>
      </c>
      <c r="R257" s="195">
        <f t="shared" si="85"/>
        <v>7160.1288244766502</v>
      </c>
      <c r="S257" s="195">
        <f t="shared" si="85"/>
        <v>7509.6721943694556</v>
      </c>
      <c r="T257" s="195">
        <f t="shared" si="85"/>
        <v>7867.0729872084275</v>
      </c>
      <c r="U257" s="195">
        <f t="shared" si="85"/>
        <v>8156.7727771679474</v>
      </c>
      <c r="V257" s="195">
        <f t="shared" si="85"/>
        <v>8435.9573712255769</v>
      </c>
      <c r="W257" s="195">
        <f t="shared" si="85"/>
        <v>8797.4553727686398</v>
      </c>
      <c r="X257" s="195">
        <f t="shared" si="85"/>
        <v>9201.2395309882741</v>
      </c>
      <c r="Y257" s="195">
        <f t="shared" si="85"/>
        <v>9450.2701812191099</v>
      </c>
      <c r="Z257" s="195">
        <f t="shared" si="85"/>
        <v>9954.0132408575028</v>
      </c>
      <c r="AA257" s="195">
        <f t="shared" si="85"/>
        <v>10274.043276661514</v>
      </c>
      <c r="AB257" s="195">
        <f t="shared" si="85"/>
        <v>10516.35806253832</v>
      </c>
      <c r="AC257" s="195">
        <f t="shared" si="85"/>
        <v>10362.449234614181</v>
      </c>
      <c r="AD257" s="195">
        <f t="shared" si="85"/>
        <v>10152.997416020671</v>
      </c>
      <c r="AE257" s="195">
        <f t="shared" si="85"/>
        <v>10052.01557935735</v>
      </c>
      <c r="AF257" s="195">
        <f t="shared" si="85"/>
        <v>10251.178343949045</v>
      </c>
      <c r="AG257" s="195">
        <f t="shared" si="85"/>
        <v>10520.946073793755</v>
      </c>
      <c r="AH257" s="195">
        <f t="shared" si="85"/>
        <v>10755.250773993808</v>
      </c>
      <c r="AI257" s="195">
        <f t="shared" si="85"/>
        <v>10734.378094059406</v>
      </c>
      <c r="AJ257" s="195">
        <f t="shared" si="85"/>
        <v>11221.09690844233</v>
      </c>
      <c r="AK257" s="195">
        <f t="shared" si="85"/>
        <v>11109.933232169955</v>
      </c>
      <c r="AL257" s="195">
        <f t="shared" si="85"/>
        <v>10752.183406113536</v>
      </c>
      <c r="AM257" s="195">
        <f t="shared" si="85"/>
        <v>10551.158301158301</v>
      </c>
      <c r="AN257" s="195">
        <f t="shared" si="85"/>
        <v>10185.84</v>
      </c>
      <c r="AO257" s="195">
        <f t="shared" si="85"/>
        <v>9792.9128919860632</v>
      </c>
      <c r="AP257" s="195">
        <f t="shared" si="85"/>
        <v>9869.7680858428521</v>
      </c>
      <c r="AQ257" s="195">
        <f t="shared" si="85"/>
        <v>9869.5414770738535</v>
      </c>
      <c r="AR257" s="195">
        <f t="shared" si="85"/>
        <v>10190.064167510976</v>
      </c>
      <c r="AS257" s="195">
        <f t="shared" si="85"/>
        <v>10340.01680672269</v>
      </c>
      <c r="AT257" s="195">
        <f t="shared" si="85"/>
        <v>10473.301228827633</v>
      </c>
      <c r="AU257" s="195">
        <f t="shared" si="85"/>
        <v>10836.8115942029</v>
      </c>
      <c r="AV257" s="195">
        <f t="shared" si="85"/>
        <v>11107.25897920605</v>
      </c>
      <c r="AW257" s="195">
        <f t="shared" si="85"/>
        <v>11363.570105003088</v>
      </c>
      <c r="AX257" s="195">
        <f t="shared" si="85"/>
        <v>11637.73923444976</v>
      </c>
      <c r="AY257" s="195">
        <f t="shared" si="85"/>
        <v>11847.738130345031</v>
      </c>
      <c r="AZ257" s="195">
        <f t="shared" si="85"/>
        <v>12131.426121749071</v>
      </c>
      <c r="BA257" s="195">
        <f t="shared" si="85"/>
        <v>12937.679199350825</v>
      </c>
      <c r="BB257" s="195">
        <f t="shared" si="85"/>
        <v>13058.280878074582</v>
      </c>
      <c r="BC257" s="195">
        <f t="shared" si="85"/>
        <v>13612.048253329982</v>
      </c>
      <c r="BD257" s="195">
        <f t="shared" si="85"/>
        <v>13813.003396409509</v>
      </c>
      <c r="BE257" s="195">
        <f t="shared" si="85"/>
        <v>13699.34595524957</v>
      </c>
      <c r="BF257" s="195">
        <f t="shared" si="85"/>
        <v>13489.940784603996</v>
      </c>
      <c r="BG257" s="195">
        <f t="shared" si="85"/>
        <v>13116.675114039534</v>
      </c>
      <c r="BH257" s="195">
        <f t="shared" si="85"/>
        <v>13049.815809669992</v>
      </c>
      <c r="BI257" s="195">
        <f t="shared" si="85"/>
        <v>12942.60345730749</v>
      </c>
      <c r="BJ257" s="195">
        <f t="shared" si="85"/>
        <v>12829.036527263102</v>
      </c>
      <c r="BK257" s="195">
        <f t="shared" si="85"/>
        <v>12834.816839803172</v>
      </c>
      <c r="BL257" s="195">
        <f t="shared" si="85"/>
        <v>12657.547223005356</v>
      </c>
      <c r="BM257" s="195">
        <f t="shared" si="85"/>
        <v>12917.451523545706</v>
      </c>
      <c r="BN257" s="195">
        <f t="shared" si="85"/>
        <v>12810.653095843934</v>
      </c>
      <c r="BO257" s="195">
        <f t="shared" si="85"/>
        <v>12516.828193832598</v>
      </c>
      <c r="BP257" s="195">
        <f t="shared" si="85"/>
        <v>12413.089238067003</v>
      </c>
      <c r="BQ257" s="195">
        <f t="shared" si="85"/>
        <v>12686.55565293602</v>
      </c>
    </row>
    <row r="258" spans="1:69" s="105" customFormat="1">
      <c r="A258" s="105">
        <f>$A$87</f>
        <v>70</v>
      </c>
      <c r="B258" s="114"/>
      <c r="C258" s="114"/>
      <c r="D258" s="114"/>
      <c r="E258" s="114"/>
      <c r="F258" s="114"/>
      <c r="G258" s="114"/>
      <c r="H258" s="114"/>
      <c r="I258" s="114"/>
      <c r="J258" s="114"/>
      <c r="K258" s="114"/>
      <c r="L258" s="114"/>
      <c r="M258" s="195">
        <f>M$87*M$394</f>
        <v>5075.6898029134536</v>
      </c>
      <c r="N258" s="195">
        <f t="shared" ref="N258:BQ258" si="86">N$87*N$394</f>
        <v>5191.8493150684926</v>
      </c>
      <c r="O258" s="195">
        <f t="shared" si="86"/>
        <v>5176.7906574394465</v>
      </c>
      <c r="P258" s="195">
        <f t="shared" si="86"/>
        <v>5480.9793161671587</v>
      </c>
      <c r="Q258" s="195">
        <f t="shared" si="86"/>
        <v>5540.2795425667091</v>
      </c>
      <c r="R258" s="195">
        <f t="shared" si="86"/>
        <v>5800.8</v>
      </c>
      <c r="S258" s="195">
        <f t="shared" si="86"/>
        <v>6019.1602434077085</v>
      </c>
      <c r="T258" s="195">
        <f t="shared" si="86"/>
        <v>6307.8671328671326</v>
      </c>
      <c r="U258" s="195">
        <f t="shared" si="86"/>
        <v>6594.8010610079573</v>
      </c>
      <c r="V258" s="195">
        <f t="shared" si="86"/>
        <v>6827.5644804716294</v>
      </c>
      <c r="W258" s="195">
        <f t="shared" si="86"/>
        <v>7054.678111587983</v>
      </c>
      <c r="X258" s="195">
        <f t="shared" si="86"/>
        <v>7349.6300211416501</v>
      </c>
      <c r="Y258" s="195">
        <f t="shared" si="86"/>
        <v>7673.732299393122</v>
      </c>
      <c r="Z258" s="195">
        <f t="shared" si="86"/>
        <v>7879.6352785145891</v>
      </c>
      <c r="AA258" s="195">
        <f t="shared" si="86"/>
        <v>8292.645099904852</v>
      </c>
      <c r="AB258" s="195">
        <f t="shared" si="86"/>
        <v>8552.8482587064682</v>
      </c>
      <c r="AC258" s="195">
        <f t="shared" si="86"/>
        <v>8750.0462534690105</v>
      </c>
      <c r="AD258" s="195">
        <f t="shared" si="86"/>
        <v>8609.7015394282116</v>
      </c>
      <c r="AE258" s="195">
        <f t="shared" si="86"/>
        <v>8434.2857142857138</v>
      </c>
      <c r="AF258" s="195">
        <f t="shared" si="86"/>
        <v>8352.4959216965744</v>
      </c>
      <c r="AG258" s="195">
        <f t="shared" si="86"/>
        <v>8505.4464000000007</v>
      </c>
      <c r="AH258" s="195">
        <f t="shared" si="86"/>
        <v>8723.5424588086189</v>
      </c>
      <c r="AI258" s="195">
        <f t="shared" si="86"/>
        <v>8917.0482115085524</v>
      </c>
      <c r="AJ258" s="195">
        <f t="shared" si="86"/>
        <v>8896.1342448725918</v>
      </c>
      <c r="AK258" s="195">
        <f t="shared" si="86"/>
        <v>9298.3577187220071</v>
      </c>
      <c r="AL258" s="195">
        <f t="shared" si="86"/>
        <v>9202.1731179518447</v>
      </c>
      <c r="AM258" s="195">
        <f t="shared" si="86"/>
        <v>8909.1324772940807</v>
      </c>
      <c r="AN258" s="195">
        <f t="shared" si="86"/>
        <v>8738.7209302325573</v>
      </c>
      <c r="AO258" s="195">
        <f t="shared" si="86"/>
        <v>8431.7765138842424</v>
      </c>
      <c r="AP258" s="195">
        <f t="shared" si="86"/>
        <v>8105.9020979020979</v>
      </c>
      <c r="AQ258" s="195">
        <f t="shared" si="86"/>
        <v>8168.8194444444453</v>
      </c>
      <c r="AR258" s="195">
        <f t="shared" si="86"/>
        <v>8168.8373726729887</v>
      </c>
      <c r="AS258" s="195">
        <f t="shared" si="86"/>
        <v>8434.2900711623188</v>
      </c>
      <c r="AT258" s="195">
        <f t="shared" si="86"/>
        <v>8553.4187457855696</v>
      </c>
      <c r="AU258" s="195">
        <f t="shared" si="86"/>
        <v>8667.2218520986007</v>
      </c>
      <c r="AV258" s="195">
        <f t="shared" si="86"/>
        <v>8973.5820413436704</v>
      </c>
      <c r="AW258" s="195">
        <f t="shared" si="86"/>
        <v>9185.4706253948189</v>
      </c>
      <c r="AX258" s="195">
        <f t="shared" si="86"/>
        <v>9401.4860681114551</v>
      </c>
      <c r="AY258" s="195">
        <f t="shared" si="86"/>
        <v>9622.6326836581702</v>
      </c>
      <c r="AZ258" s="195">
        <f t="shared" si="86"/>
        <v>9801.6021282885013</v>
      </c>
      <c r="BA258" s="195">
        <f t="shared" si="86"/>
        <v>10043.896848137536</v>
      </c>
      <c r="BB258" s="195">
        <f t="shared" si="86"/>
        <v>10702.215292841647</v>
      </c>
      <c r="BC258" s="195">
        <f t="shared" si="86"/>
        <v>10810.172322375398</v>
      </c>
      <c r="BD258" s="195">
        <f t="shared" si="86"/>
        <v>11258.916876574307</v>
      </c>
      <c r="BE258" s="195">
        <f t="shared" si="86"/>
        <v>11430.026744468758</v>
      </c>
      <c r="BF258" s="195">
        <f t="shared" si="86"/>
        <v>11343.518974864464</v>
      </c>
      <c r="BG258" s="195">
        <f t="shared" si="86"/>
        <v>11162.759643916914</v>
      </c>
      <c r="BH258" s="195">
        <f t="shared" si="86"/>
        <v>10853.442498095963</v>
      </c>
      <c r="BI258" s="195">
        <f t="shared" si="86"/>
        <v>10805.881599179907</v>
      </c>
      <c r="BJ258" s="195">
        <f t="shared" si="86"/>
        <v>10715.990553660456</v>
      </c>
      <c r="BK258" s="195">
        <f t="shared" si="86"/>
        <v>10628.082736674623</v>
      </c>
      <c r="BL258" s="195">
        <f t="shared" si="86"/>
        <v>10626.506024096387</v>
      </c>
      <c r="BM258" s="195">
        <f t="shared" si="86"/>
        <v>10479.090652358091</v>
      </c>
      <c r="BN258" s="195">
        <f t="shared" si="86"/>
        <v>10687.430632630412</v>
      </c>
      <c r="BO258" s="195">
        <f t="shared" si="86"/>
        <v>10605.74745186863</v>
      </c>
      <c r="BP258" s="195">
        <f t="shared" si="86"/>
        <v>10359.382352941177</v>
      </c>
      <c r="BQ258" s="195">
        <f t="shared" si="86"/>
        <v>10285.485307212823</v>
      </c>
    </row>
    <row r="259" spans="1:69" s="105" customFormat="1">
      <c r="A259" s="105">
        <f>$A$88</f>
        <v>71</v>
      </c>
      <c r="B259" s="114"/>
      <c r="C259" s="114"/>
      <c r="D259" s="114"/>
      <c r="E259" s="114"/>
      <c r="F259" s="114"/>
      <c r="G259" s="114"/>
      <c r="H259" s="114"/>
      <c r="I259" s="114"/>
      <c r="J259" s="114"/>
      <c r="K259" s="114"/>
      <c r="L259" s="114"/>
      <c r="M259" s="195">
        <f>M$88*M$395</f>
        <v>3584.2572741194485</v>
      </c>
      <c r="N259" s="195">
        <f t="shared" ref="N259:BQ259" si="87">N$88*N$395</f>
        <v>4256.5916955017301</v>
      </c>
      <c r="O259" s="195">
        <f t="shared" si="87"/>
        <v>4363.2829373650102</v>
      </c>
      <c r="P259" s="195">
        <f t="shared" si="87"/>
        <v>4384.0768223483192</v>
      </c>
      <c r="Q259" s="195">
        <f t="shared" si="87"/>
        <v>4582.6544524925439</v>
      </c>
      <c r="R259" s="195">
        <f t="shared" si="87"/>
        <v>4635.9811885421122</v>
      </c>
      <c r="S259" s="195">
        <f t="shared" si="87"/>
        <v>4839.7836938435939</v>
      </c>
      <c r="T259" s="195">
        <f t="shared" si="87"/>
        <v>5020.4582651391156</v>
      </c>
      <c r="U259" s="195">
        <f t="shared" si="87"/>
        <v>5247.2933803368578</v>
      </c>
      <c r="V259" s="195">
        <f t="shared" si="87"/>
        <v>5482.9411764705883</v>
      </c>
      <c r="W259" s="195">
        <f t="shared" si="87"/>
        <v>5678.4218343854436</v>
      </c>
      <c r="X259" s="195">
        <f t="shared" si="87"/>
        <v>5852.4540540540538</v>
      </c>
      <c r="Y259" s="195">
        <f t="shared" si="87"/>
        <v>6096.9329073482431</v>
      </c>
      <c r="Z259" s="195">
        <f t="shared" si="87"/>
        <v>6360.0916808149404</v>
      </c>
      <c r="AA259" s="195">
        <f t="shared" si="87"/>
        <v>6523.272120200334</v>
      </c>
      <c r="AB259" s="195">
        <f t="shared" si="87"/>
        <v>6861.3597191190556</v>
      </c>
      <c r="AC259" s="195">
        <f t="shared" si="87"/>
        <v>7075.3239436619724</v>
      </c>
      <c r="AD259" s="195">
        <f t="shared" si="87"/>
        <v>7227.1796462922748</v>
      </c>
      <c r="AE259" s="195">
        <f t="shared" si="87"/>
        <v>7110.1580278128959</v>
      </c>
      <c r="AF259" s="195">
        <f t="shared" si="87"/>
        <v>6963.7818419333771</v>
      </c>
      <c r="AG259" s="195">
        <f t="shared" si="87"/>
        <v>6895.6692913385823</v>
      </c>
      <c r="AH259" s="195">
        <f t="shared" si="87"/>
        <v>7014.72972972973</v>
      </c>
      <c r="AI259" s="195">
        <f t="shared" si="87"/>
        <v>7194.4377190187952</v>
      </c>
      <c r="AJ259" s="195">
        <f t="shared" si="87"/>
        <v>7355.0672085026572</v>
      </c>
      <c r="AK259" s="195">
        <f t="shared" si="87"/>
        <v>7334.9156777014368</v>
      </c>
      <c r="AL259" s="195">
        <f t="shared" si="87"/>
        <v>7660.9660966096608</v>
      </c>
      <c r="AM259" s="195">
        <f t="shared" si="87"/>
        <v>7582.1187997550524</v>
      </c>
      <c r="AN259" s="195">
        <f t="shared" si="87"/>
        <v>7341.5350739226178</v>
      </c>
      <c r="AO259" s="195">
        <f t="shared" si="87"/>
        <v>7201.9467878001296</v>
      </c>
      <c r="AP259" s="195">
        <f t="shared" si="87"/>
        <v>6947.3286290322576</v>
      </c>
      <c r="AQ259" s="195">
        <f t="shared" si="87"/>
        <v>6678.9294489294489</v>
      </c>
      <c r="AR259" s="195">
        <f t="shared" si="87"/>
        <v>6733.695955369596</v>
      </c>
      <c r="AS259" s="195">
        <f t="shared" si="87"/>
        <v>6725.0969333803314</v>
      </c>
      <c r="AT259" s="195">
        <f t="shared" si="87"/>
        <v>6947.132653061225</v>
      </c>
      <c r="AU259" s="195">
        <f t="shared" si="87"/>
        <v>7044.1880920162384</v>
      </c>
      <c r="AV259" s="195">
        <f t="shared" si="87"/>
        <v>7143.6764705882351</v>
      </c>
      <c r="AW259" s="195">
        <f t="shared" si="87"/>
        <v>7385.4878444084279</v>
      </c>
      <c r="AX259" s="195">
        <f t="shared" si="87"/>
        <v>7561.3466413181241</v>
      </c>
      <c r="AY259" s="195">
        <f t="shared" si="87"/>
        <v>7743.4720496894415</v>
      </c>
      <c r="AZ259" s="195">
        <f t="shared" si="87"/>
        <v>7924.2345864661656</v>
      </c>
      <c r="BA259" s="195">
        <f t="shared" si="87"/>
        <v>8076.6676549066115</v>
      </c>
      <c r="BB259" s="195">
        <f t="shared" si="87"/>
        <v>8268.5517241379312</v>
      </c>
      <c r="BC259" s="195">
        <f t="shared" si="87"/>
        <v>8814.2903752039147</v>
      </c>
      <c r="BD259" s="195">
        <f t="shared" si="87"/>
        <v>8907.3870281765012</v>
      </c>
      <c r="BE259" s="195">
        <f t="shared" si="87"/>
        <v>9282.0409194240965</v>
      </c>
      <c r="BF259" s="195">
        <f t="shared" si="87"/>
        <v>9410.1876675603216</v>
      </c>
      <c r="BG259" s="195">
        <f t="shared" si="87"/>
        <v>9342.6920227216597</v>
      </c>
      <c r="BH259" s="195">
        <f t="shared" si="87"/>
        <v>9198.5873605947963</v>
      </c>
      <c r="BI259" s="195">
        <f t="shared" si="87"/>
        <v>8942.6106870229014</v>
      </c>
      <c r="BJ259" s="195">
        <f t="shared" si="87"/>
        <v>8903.6979969183358</v>
      </c>
      <c r="BK259" s="195">
        <f t="shared" si="87"/>
        <v>8828.3565606100456</v>
      </c>
      <c r="BL259" s="195">
        <f t="shared" si="87"/>
        <v>8756.5967056323061</v>
      </c>
      <c r="BM259" s="195">
        <f t="shared" si="87"/>
        <v>8758.2551440329225</v>
      </c>
      <c r="BN259" s="195">
        <f t="shared" si="87"/>
        <v>8640.7213578500705</v>
      </c>
      <c r="BO259" s="195">
        <f t="shared" si="87"/>
        <v>8812.4013340744859</v>
      </c>
      <c r="BP259" s="195">
        <f t="shared" si="87"/>
        <v>8744.0442427680082</v>
      </c>
      <c r="BQ259" s="195">
        <f t="shared" si="87"/>
        <v>8546.6863033873342</v>
      </c>
    </row>
    <row r="260" spans="1:69" s="105" customFormat="1">
      <c r="A260" s="105">
        <f>$A$89</f>
        <v>72</v>
      </c>
      <c r="B260" s="114"/>
      <c r="C260" s="114"/>
      <c r="D260" s="114"/>
      <c r="E260" s="114"/>
      <c r="F260" s="114"/>
      <c r="G260" s="114"/>
      <c r="H260" s="114"/>
      <c r="I260" s="114"/>
      <c r="J260" s="114"/>
      <c r="K260" s="114"/>
      <c r="L260" s="114"/>
      <c r="M260" s="195">
        <f>M$89*M$396</f>
        <v>2828.9436619718308</v>
      </c>
      <c r="N260" s="195">
        <f t="shared" ref="N260:BQ260" si="88">N$89*N$396</f>
        <v>3024.6621970087672</v>
      </c>
      <c r="O260" s="195">
        <f t="shared" si="88"/>
        <v>3609.4667832167834</v>
      </c>
      <c r="P260" s="195">
        <f t="shared" si="88"/>
        <v>3735.4279475982535</v>
      </c>
      <c r="Q260" s="195">
        <f t="shared" si="88"/>
        <v>3721.4556682840757</v>
      </c>
      <c r="R260" s="195">
        <f t="shared" si="88"/>
        <v>3897.5979337064141</v>
      </c>
      <c r="S260" s="195">
        <f t="shared" si="88"/>
        <v>3928.8601036269429</v>
      </c>
      <c r="T260" s="195">
        <f t="shared" si="88"/>
        <v>4109.1852162956739</v>
      </c>
      <c r="U260" s="195">
        <f t="shared" si="88"/>
        <v>4264.0437835605117</v>
      </c>
      <c r="V260" s="195">
        <f t="shared" si="88"/>
        <v>4456.98023715415</v>
      </c>
      <c r="W260" s="195">
        <f t="shared" si="88"/>
        <v>4656.092485549133</v>
      </c>
      <c r="X260" s="195">
        <f t="shared" si="88"/>
        <v>4821.8052434456931</v>
      </c>
      <c r="Y260" s="195">
        <f t="shared" si="88"/>
        <v>4970.9302325581393</v>
      </c>
      <c r="Z260" s="195">
        <f t="shared" si="88"/>
        <v>5178.6189624329154</v>
      </c>
      <c r="AA260" s="195">
        <f t="shared" si="88"/>
        <v>5408.4462696783021</v>
      </c>
      <c r="AB260" s="195">
        <f t="shared" si="88"/>
        <v>5537.800201816347</v>
      </c>
      <c r="AC260" s="195">
        <f t="shared" si="88"/>
        <v>5827.9742765273313</v>
      </c>
      <c r="AD260" s="195">
        <f t="shared" si="88"/>
        <v>6005.5422446406055</v>
      </c>
      <c r="AE260" s="195">
        <f t="shared" si="88"/>
        <v>6144.9109653233363</v>
      </c>
      <c r="AF260" s="195">
        <f t="shared" si="88"/>
        <v>6042.0553611199493</v>
      </c>
      <c r="AG260" s="195">
        <f t="shared" si="88"/>
        <v>5917.9487179487178</v>
      </c>
      <c r="AH260" s="195">
        <f t="shared" si="88"/>
        <v>5859.5311984153186</v>
      </c>
      <c r="AI260" s="195">
        <f t="shared" si="88"/>
        <v>5963.0301068306899</v>
      </c>
      <c r="AJ260" s="195">
        <f t="shared" si="88"/>
        <v>6117.9557834027555</v>
      </c>
      <c r="AK260" s="195">
        <f t="shared" si="88"/>
        <v>6248.2961332914174</v>
      </c>
      <c r="AL260" s="195">
        <f t="shared" si="88"/>
        <v>6232.0062794348514</v>
      </c>
      <c r="AM260" s="195">
        <f t="shared" si="88"/>
        <v>6509.5113122171952</v>
      </c>
      <c r="AN260" s="195">
        <f t="shared" si="88"/>
        <v>6450.0954139735295</v>
      </c>
      <c r="AO260" s="195">
        <f t="shared" si="88"/>
        <v>6239.9620613341767</v>
      </c>
      <c r="AP260" s="195">
        <f t="shared" si="88"/>
        <v>6118.1806325399411</v>
      </c>
      <c r="AQ260" s="195">
        <f t="shared" si="88"/>
        <v>5907.1886601417482</v>
      </c>
      <c r="AR260" s="195">
        <f t="shared" si="88"/>
        <v>5677.0874471086036</v>
      </c>
      <c r="AS260" s="195">
        <f t="shared" si="88"/>
        <v>5721.0084033613448</v>
      </c>
      <c r="AT260" s="195">
        <f t="shared" si="88"/>
        <v>5713.4867256637162</v>
      </c>
      <c r="AU260" s="195">
        <f t="shared" si="88"/>
        <v>5908.2991803278683</v>
      </c>
      <c r="AV260" s="195">
        <f t="shared" si="88"/>
        <v>5986.9157608695659</v>
      </c>
      <c r="AW260" s="195">
        <f t="shared" si="88"/>
        <v>6066.6442953020132</v>
      </c>
      <c r="AX260" s="195">
        <f t="shared" si="88"/>
        <v>6280.3415744957711</v>
      </c>
      <c r="AY260" s="195">
        <f t="shared" si="88"/>
        <v>6436.1100508905847</v>
      </c>
      <c r="AZ260" s="195">
        <f t="shared" si="88"/>
        <v>6583.1514962593519</v>
      </c>
      <c r="BA260" s="195">
        <f t="shared" si="88"/>
        <v>6740.7000603500301</v>
      </c>
      <c r="BB260" s="195">
        <f t="shared" si="88"/>
        <v>6868.2926829268299</v>
      </c>
      <c r="BC260" s="195">
        <f t="shared" si="88"/>
        <v>7037.3652349380227</v>
      </c>
      <c r="BD260" s="195">
        <f t="shared" si="88"/>
        <v>7497.0684483228797</v>
      </c>
      <c r="BE260" s="195">
        <f t="shared" si="88"/>
        <v>7575.6438283124498</v>
      </c>
      <c r="BF260" s="195">
        <f t="shared" si="88"/>
        <v>7891.1347517730501</v>
      </c>
      <c r="BG260" s="195">
        <f t="shared" si="88"/>
        <v>8009.2593497922271</v>
      </c>
      <c r="BH260" s="195">
        <f t="shared" si="88"/>
        <v>7956.125836016844</v>
      </c>
      <c r="BI260" s="195">
        <f t="shared" si="88"/>
        <v>7826.5904572564614</v>
      </c>
      <c r="BJ260" s="195">
        <f t="shared" si="88"/>
        <v>7612.9209183673474</v>
      </c>
      <c r="BK260" s="195">
        <f t="shared" si="88"/>
        <v>7580</v>
      </c>
      <c r="BL260" s="195">
        <f t="shared" si="88"/>
        <v>7513.1259884027404</v>
      </c>
      <c r="BM260" s="195">
        <f t="shared" si="88"/>
        <v>7450.6098535286283</v>
      </c>
      <c r="BN260" s="195">
        <f t="shared" si="88"/>
        <v>7452.6897689768975</v>
      </c>
      <c r="BO260" s="195">
        <f t="shared" si="88"/>
        <v>7354.0119081372268</v>
      </c>
      <c r="BP260" s="195">
        <f t="shared" si="88"/>
        <v>7503.0640668523674</v>
      </c>
      <c r="BQ260" s="195">
        <f t="shared" si="88"/>
        <v>7438.9769820971869</v>
      </c>
    </row>
    <row r="261" spans="1:69" s="105" customFormat="1">
      <c r="A261" s="105">
        <f>$A$90</f>
        <v>73</v>
      </c>
      <c r="B261" s="114"/>
      <c r="C261" s="114"/>
      <c r="D261" s="114"/>
      <c r="E261" s="114"/>
      <c r="F261" s="114"/>
      <c r="G261" s="114"/>
      <c r="H261" s="114"/>
      <c r="I261" s="114"/>
      <c r="J261" s="114"/>
      <c r="K261" s="114"/>
      <c r="L261" s="114"/>
      <c r="M261" s="195">
        <f>M$90*M$397</f>
        <v>2248.6064139941691</v>
      </c>
      <c r="N261" s="195">
        <f t="shared" ref="N261:BQ261" si="89">N$90*N$397</f>
        <v>2410.6198573779484</v>
      </c>
      <c r="O261" s="195">
        <f t="shared" si="89"/>
        <v>2594.7494780793318</v>
      </c>
      <c r="P261" s="195">
        <f t="shared" si="89"/>
        <v>3125.0995134896061</v>
      </c>
      <c r="Q261" s="195">
        <f t="shared" si="89"/>
        <v>3215.547703180212</v>
      </c>
      <c r="R261" s="195">
        <f t="shared" si="89"/>
        <v>3207.2556894243644</v>
      </c>
      <c r="S261" s="195">
        <f t="shared" si="89"/>
        <v>3360.0348280365693</v>
      </c>
      <c r="T261" s="195">
        <f t="shared" si="89"/>
        <v>3391.0737669140112</v>
      </c>
      <c r="U261" s="195">
        <f t="shared" si="89"/>
        <v>3547.2707979626484</v>
      </c>
      <c r="V261" s="195">
        <f t="shared" si="89"/>
        <v>3689.2153589315526</v>
      </c>
      <c r="W261" s="195">
        <f t="shared" si="89"/>
        <v>3855.2175648702596</v>
      </c>
      <c r="X261" s="195">
        <f t="shared" si="89"/>
        <v>4027.8210116731516</v>
      </c>
      <c r="Y261" s="195">
        <f t="shared" si="89"/>
        <v>4166.846880907372</v>
      </c>
      <c r="Z261" s="195">
        <f t="shared" si="89"/>
        <v>4308.181818181818</v>
      </c>
      <c r="AA261" s="195">
        <f t="shared" si="89"/>
        <v>4484.8808664259932</v>
      </c>
      <c r="AB261" s="195">
        <f t="shared" si="89"/>
        <v>4679.6720745598896</v>
      </c>
      <c r="AC261" s="195">
        <f t="shared" si="89"/>
        <v>4797.8358208955224</v>
      </c>
      <c r="AD261" s="195">
        <f t="shared" si="89"/>
        <v>5046.3047001620744</v>
      </c>
      <c r="AE261" s="195">
        <f t="shared" si="89"/>
        <v>5207.5349428208383</v>
      </c>
      <c r="AF261" s="195">
        <f t="shared" si="89"/>
        <v>5320.5413912496069</v>
      </c>
      <c r="AG261" s="195">
        <f t="shared" si="89"/>
        <v>5239.3846153846152</v>
      </c>
      <c r="AH261" s="195">
        <f t="shared" si="89"/>
        <v>5139.6425024826221</v>
      </c>
      <c r="AI261" s="195">
        <f t="shared" si="89"/>
        <v>5078.2878989361698</v>
      </c>
      <c r="AJ261" s="195">
        <f t="shared" si="89"/>
        <v>5175.131964809384</v>
      </c>
      <c r="AK261" s="195">
        <f t="shared" si="89"/>
        <v>5312.3870967741941</v>
      </c>
      <c r="AL261" s="195">
        <f t="shared" si="89"/>
        <v>5420.869977855109</v>
      </c>
      <c r="AM261" s="195">
        <f t="shared" si="89"/>
        <v>5410.8341232227485</v>
      </c>
      <c r="AN261" s="195">
        <f t="shared" si="89"/>
        <v>5651.0922330097092</v>
      </c>
      <c r="AO261" s="195">
        <f t="shared" si="89"/>
        <v>5596.8802228412251</v>
      </c>
      <c r="AP261" s="195">
        <f t="shared" si="89"/>
        <v>5413.0069930069931</v>
      </c>
      <c r="AQ261" s="195">
        <f t="shared" si="89"/>
        <v>5314.0347427073093</v>
      </c>
      <c r="AR261" s="195">
        <f t="shared" si="89"/>
        <v>5127.2480488632509</v>
      </c>
      <c r="AS261" s="195">
        <f t="shared" si="89"/>
        <v>4925.7902197023395</v>
      </c>
      <c r="AT261" s="195">
        <f t="shared" si="89"/>
        <v>4969.3596059113297</v>
      </c>
      <c r="AU261" s="195">
        <f t="shared" si="89"/>
        <v>4967.0508715759515</v>
      </c>
      <c r="AV261" s="195">
        <f t="shared" si="89"/>
        <v>5130.1543739279596</v>
      </c>
      <c r="AW261" s="195">
        <f t="shared" si="89"/>
        <v>5202.8113271920847</v>
      </c>
      <c r="AX261" s="195">
        <f t="shared" si="89"/>
        <v>5271.2672733400741</v>
      </c>
      <c r="AY261" s="195">
        <f t="shared" si="89"/>
        <v>5462.1561581182623</v>
      </c>
      <c r="AZ261" s="195">
        <f t="shared" si="89"/>
        <v>5595.8288086873199</v>
      </c>
      <c r="BA261" s="195">
        <f t="shared" si="89"/>
        <v>5727.9568210262833</v>
      </c>
      <c r="BB261" s="195">
        <f t="shared" si="89"/>
        <v>5863.6594971220838</v>
      </c>
      <c r="BC261" s="195">
        <f t="shared" si="89"/>
        <v>5967.4529710361294</v>
      </c>
      <c r="BD261" s="195">
        <f t="shared" si="89"/>
        <v>6109.7888342493488</v>
      </c>
      <c r="BE261" s="195">
        <f t="shared" si="89"/>
        <v>6519.8467432950192</v>
      </c>
      <c r="BF261" s="195">
        <f t="shared" si="89"/>
        <v>6579.606741573034</v>
      </c>
      <c r="BG261" s="195">
        <f t="shared" si="89"/>
        <v>6863.4688691232532</v>
      </c>
      <c r="BH261" s="195">
        <f t="shared" si="89"/>
        <v>6961.9298675821483</v>
      </c>
      <c r="BI261" s="195">
        <f t="shared" si="89"/>
        <v>6911.130434782609</v>
      </c>
      <c r="BJ261" s="195">
        <f t="shared" si="89"/>
        <v>6805.9022931206382</v>
      </c>
      <c r="BK261" s="195">
        <f t="shared" si="89"/>
        <v>6625.6243602865916</v>
      </c>
      <c r="BL261" s="195">
        <f t="shared" si="89"/>
        <v>6586.3671572424482</v>
      </c>
      <c r="BM261" s="195">
        <f t="shared" si="89"/>
        <v>6535.2272727272721</v>
      </c>
      <c r="BN261" s="195">
        <f t="shared" si="89"/>
        <v>6490.6702269692923</v>
      </c>
      <c r="BO261" s="195">
        <f t="shared" si="89"/>
        <v>6493.7827405569342</v>
      </c>
      <c r="BP261" s="195">
        <f t="shared" si="89"/>
        <v>6400.6820119352087</v>
      </c>
      <c r="BQ261" s="195">
        <f t="shared" si="89"/>
        <v>6534.7319932998325</v>
      </c>
    </row>
    <row r="262" spans="1:69" s="105" customFormat="1">
      <c r="A262" s="105">
        <f>$A$91</f>
        <v>74</v>
      </c>
      <c r="B262" s="114"/>
      <c r="C262" s="114"/>
      <c r="D262" s="114"/>
      <c r="E262" s="114"/>
      <c r="F262" s="114"/>
      <c r="G262" s="114"/>
      <c r="H262" s="114"/>
      <c r="I262" s="114"/>
      <c r="J262" s="114"/>
      <c r="K262" s="114"/>
      <c r="L262" s="114"/>
      <c r="M262" s="195">
        <f>M$91*M$398</f>
        <v>1676.2277814351546</v>
      </c>
      <c r="N262" s="195">
        <f t="shared" ref="N262:BQ262" si="90">N$91*N$398</f>
        <v>1890.6973995271867</v>
      </c>
      <c r="O262" s="195">
        <f t="shared" si="90"/>
        <v>2043.1461923290717</v>
      </c>
      <c r="P262" s="195">
        <f t="shared" si="90"/>
        <v>2221.7354497354495</v>
      </c>
      <c r="Q262" s="195">
        <f t="shared" si="90"/>
        <v>2660.2599731062305</v>
      </c>
      <c r="R262" s="195">
        <f t="shared" si="90"/>
        <v>2737.7618621307074</v>
      </c>
      <c r="S262" s="195">
        <f t="shared" si="90"/>
        <v>2733.2670582919113</v>
      </c>
      <c r="T262" s="195">
        <f t="shared" si="90"/>
        <v>2861.6571176729835</v>
      </c>
      <c r="U262" s="195">
        <f t="shared" si="90"/>
        <v>2892.4690812720851</v>
      </c>
      <c r="V262" s="195">
        <f t="shared" si="90"/>
        <v>3026.4276513525119</v>
      </c>
      <c r="W262" s="195">
        <f t="shared" si="90"/>
        <v>3141.3248945147679</v>
      </c>
      <c r="X262" s="195">
        <f t="shared" si="90"/>
        <v>3294.5337101332257</v>
      </c>
      <c r="Y262" s="195">
        <f t="shared" si="90"/>
        <v>3441.3527329925287</v>
      </c>
      <c r="Z262" s="195">
        <f t="shared" si="90"/>
        <v>3560.4581901489114</v>
      </c>
      <c r="AA262" s="195">
        <f t="shared" si="90"/>
        <v>3677.0344316919654</v>
      </c>
      <c r="AB262" s="195">
        <f t="shared" si="90"/>
        <v>3831.8513119533532</v>
      </c>
      <c r="AC262" s="195">
        <f t="shared" si="90"/>
        <v>4001.3937282229963</v>
      </c>
      <c r="AD262" s="195">
        <f t="shared" si="90"/>
        <v>4107.0157426420265</v>
      </c>
      <c r="AE262" s="195">
        <f t="shared" si="90"/>
        <v>4315.6376716808372</v>
      </c>
      <c r="AF262" s="195">
        <f t="shared" si="90"/>
        <v>4451.1566805511056</v>
      </c>
      <c r="AG262" s="195">
        <f t="shared" si="90"/>
        <v>4558.3973341796254</v>
      </c>
      <c r="AH262" s="195">
        <f t="shared" si="90"/>
        <v>4478.552504038772</v>
      </c>
      <c r="AI262" s="195">
        <f t="shared" si="90"/>
        <v>4394.6946946946955</v>
      </c>
      <c r="AJ262" s="195">
        <f t="shared" si="90"/>
        <v>4350.4187604690114</v>
      </c>
      <c r="AK262" s="195">
        <f t="shared" si="90"/>
        <v>4430.3348653972425</v>
      </c>
      <c r="AL262" s="195">
        <f t="shared" si="90"/>
        <v>4546.9395711500974</v>
      </c>
      <c r="AM262" s="195">
        <f t="shared" si="90"/>
        <v>4645.7088244663901</v>
      </c>
      <c r="AN262" s="195">
        <f t="shared" si="90"/>
        <v>4628.1424936386766</v>
      </c>
      <c r="AO262" s="195">
        <f t="shared" si="90"/>
        <v>4838.4758704948072</v>
      </c>
      <c r="AP262" s="195">
        <f t="shared" si="90"/>
        <v>4798.1183800623048</v>
      </c>
      <c r="AQ262" s="195">
        <f t="shared" si="90"/>
        <v>4640.172744721689</v>
      </c>
      <c r="AR262" s="195">
        <f t="shared" si="90"/>
        <v>4552.7200791295745</v>
      </c>
      <c r="AS262" s="195">
        <f t="shared" si="90"/>
        <v>4389.5631399317408</v>
      </c>
      <c r="AT262" s="195">
        <f t="shared" si="90"/>
        <v>4216.9244476122594</v>
      </c>
      <c r="AU262" s="195">
        <f t="shared" si="90"/>
        <v>4258.6310576582946</v>
      </c>
      <c r="AV262" s="195">
        <f t="shared" si="90"/>
        <v>4259.8820164461931</v>
      </c>
      <c r="AW262" s="195">
        <f t="shared" si="90"/>
        <v>4396.6137931034482</v>
      </c>
      <c r="AX262" s="195">
        <f t="shared" si="90"/>
        <v>4463.6008230452671</v>
      </c>
      <c r="AY262" s="195">
        <f t="shared" si="90"/>
        <v>4519.3024043345749</v>
      </c>
      <c r="AZ262" s="195">
        <f t="shared" si="90"/>
        <v>4677.0200196915002</v>
      </c>
      <c r="BA262" s="195">
        <f t="shared" si="90"/>
        <v>4799.1049085659288</v>
      </c>
      <c r="BB262" s="195">
        <f t="shared" si="90"/>
        <v>4906.4990571967319</v>
      </c>
      <c r="BC262" s="195">
        <f t="shared" si="90"/>
        <v>5029.9482811073931</v>
      </c>
      <c r="BD262" s="195">
        <f t="shared" si="90"/>
        <v>5118.9988009592325</v>
      </c>
      <c r="BE262" s="195">
        <f t="shared" si="90"/>
        <v>5246.7063607319196</v>
      </c>
      <c r="BF262" s="195">
        <f t="shared" si="90"/>
        <v>5597.1420719978014</v>
      </c>
      <c r="BG262" s="195">
        <f t="shared" si="90"/>
        <v>5647.7551020408164</v>
      </c>
      <c r="BH262" s="195">
        <f t="shared" si="90"/>
        <v>5889.2270408163258</v>
      </c>
      <c r="BI262" s="195">
        <f t="shared" si="90"/>
        <v>5977.0563622938707</v>
      </c>
      <c r="BJ262" s="195">
        <f t="shared" si="90"/>
        <v>5930.8900523560205</v>
      </c>
      <c r="BK262" s="195">
        <f t="shared" si="90"/>
        <v>5838.8194097048527</v>
      </c>
      <c r="BL262" s="195">
        <f t="shared" si="90"/>
        <v>5678.5241273100619</v>
      </c>
      <c r="BM262" s="195">
        <f t="shared" si="90"/>
        <v>5656.4620564620573</v>
      </c>
      <c r="BN262" s="195">
        <f t="shared" si="90"/>
        <v>5611.7974549310711</v>
      </c>
      <c r="BO262" s="195">
        <f t="shared" si="90"/>
        <v>5575.1205141938945</v>
      </c>
      <c r="BP262" s="195">
        <f t="shared" si="90"/>
        <v>5568.5706386508155</v>
      </c>
      <c r="BQ262" s="195">
        <f t="shared" si="90"/>
        <v>5493.804502707324</v>
      </c>
    </row>
    <row r="263" spans="1:69" s="105" customFormat="1">
      <c r="A263" s="105">
        <f>$A$92</f>
        <v>75</v>
      </c>
      <c r="B263" s="114"/>
      <c r="C263" s="114"/>
      <c r="D263" s="114"/>
      <c r="E263" s="114"/>
      <c r="F263" s="114"/>
      <c r="G263" s="114"/>
      <c r="H263" s="114"/>
      <c r="I263" s="114"/>
      <c r="J263" s="114"/>
      <c r="K263" s="114"/>
      <c r="L263" s="114"/>
      <c r="M263" s="195">
        <f>M$92*M$399</f>
        <v>1569.873417721519</v>
      </c>
      <c r="N263" s="195">
        <f t="shared" ref="N263:BQ263" si="91">N$92*N$399</f>
        <v>1428.7299465240642</v>
      </c>
      <c r="O263" s="195">
        <f t="shared" si="91"/>
        <v>1632.6050420168067</v>
      </c>
      <c r="P263" s="195">
        <f t="shared" si="91"/>
        <v>1771.7268623024831</v>
      </c>
      <c r="Q263" s="195">
        <f t="shared" si="91"/>
        <v>1914.3931256713211</v>
      </c>
      <c r="R263" s="195">
        <f t="shared" si="91"/>
        <v>2295.4979536152796</v>
      </c>
      <c r="S263" s="195">
        <f t="shared" si="91"/>
        <v>2359.6232410349526</v>
      </c>
      <c r="T263" s="195">
        <f t="shared" si="91"/>
        <v>2358.1126889601464</v>
      </c>
      <c r="U263" s="195">
        <f t="shared" si="91"/>
        <v>2463.1531933899064</v>
      </c>
      <c r="V263" s="195">
        <f t="shared" si="91"/>
        <v>2493.7762863534676</v>
      </c>
      <c r="W263" s="195">
        <f t="shared" si="91"/>
        <v>2605.9869565217391</v>
      </c>
      <c r="X263" s="195">
        <f t="shared" si="91"/>
        <v>2707.6847501067919</v>
      </c>
      <c r="Y263" s="195">
        <f t="shared" si="91"/>
        <v>2833.1290849673201</v>
      </c>
      <c r="Z263" s="195">
        <f t="shared" si="91"/>
        <v>2965.2744630071597</v>
      </c>
      <c r="AA263" s="195">
        <f t="shared" si="91"/>
        <v>3066.9138663576673</v>
      </c>
      <c r="AB263" s="195">
        <f t="shared" si="91"/>
        <v>3165.256458255335</v>
      </c>
      <c r="AC263" s="195">
        <f t="shared" si="91"/>
        <v>3300.5377532228363</v>
      </c>
      <c r="AD263" s="195">
        <f t="shared" si="91"/>
        <v>3443.9281942977823</v>
      </c>
      <c r="AE263" s="195">
        <f t="shared" si="91"/>
        <v>3537.5527134462495</v>
      </c>
      <c r="AF263" s="195">
        <f t="shared" si="91"/>
        <v>3716.3143989431965</v>
      </c>
      <c r="AG263" s="195">
        <f t="shared" si="91"/>
        <v>3838.5316946959897</v>
      </c>
      <c r="AH263" s="195">
        <f t="shared" si="91"/>
        <v>3920.8231902626521</v>
      </c>
      <c r="AI263" s="195">
        <f t="shared" si="91"/>
        <v>3861.0886571056062</v>
      </c>
      <c r="AJ263" s="195">
        <f t="shared" si="91"/>
        <v>3782.4267923258162</v>
      </c>
      <c r="AK263" s="195">
        <f t="shared" si="91"/>
        <v>3745.0945945945946</v>
      </c>
      <c r="AL263" s="195">
        <f t="shared" si="91"/>
        <v>3817.6100628930817</v>
      </c>
      <c r="AM263" s="195">
        <f t="shared" si="91"/>
        <v>3914.2927308447934</v>
      </c>
      <c r="AN263" s="195">
        <f t="shared" si="91"/>
        <v>4003.2423756019261</v>
      </c>
      <c r="AO263" s="195">
        <f t="shared" si="91"/>
        <v>3990.4998397949375</v>
      </c>
      <c r="AP263" s="195">
        <f t="shared" si="91"/>
        <v>4168.1574900030755</v>
      </c>
      <c r="AQ263" s="195">
        <f t="shared" si="91"/>
        <v>4131.3048933500631</v>
      </c>
      <c r="AR263" s="195">
        <f t="shared" si="91"/>
        <v>3999.6135265700486</v>
      </c>
      <c r="AS263" s="195">
        <f t="shared" si="91"/>
        <v>3927.93893129771</v>
      </c>
      <c r="AT263" s="195">
        <f t="shared" si="91"/>
        <v>3785.1682692307691</v>
      </c>
      <c r="AU263" s="195">
        <f t="shared" si="91"/>
        <v>3642.9688060236645</v>
      </c>
      <c r="AV263" s="195">
        <f t="shared" si="91"/>
        <v>3674.3202846975091</v>
      </c>
      <c r="AW263" s="195">
        <f t="shared" si="91"/>
        <v>3670.035971223022</v>
      </c>
      <c r="AX263" s="195">
        <f t="shared" si="91"/>
        <v>3787.1844660194174</v>
      </c>
      <c r="AY263" s="195">
        <f t="shared" si="91"/>
        <v>3850.724137931034</v>
      </c>
      <c r="AZ263" s="195">
        <f t="shared" si="91"/>
        <v>3895.5566905005103</v>
      </c>
      <c r="BA263" s="195">
        <f t="shared" si="91"/>
        <v>4029.6007918178816</v>
      </c>
      <c r="BB263" s="195">
        <f t="shared" si="91"/>
        <v>4140.270880361174</v>
      </c>
      <c r="BC263" s="195">
        <f t="shared" si="91"/>
        <v>4235.4864181933044</v>
      </c>
      <c r="BD263" s="195">
        <f t="shared" si="91"/>
        <v>4332.069703454601</v>
      </c>
      <c r="BE263" s="195">
        <f t="shared" si="91"/>
        <v>4420.2560240963858</v>
      </c>
      <c r="BF263" s="195">
        <f t="shared" si="91"/>
        <v>4521.8675226145315</v>
      </c>
      <c r="BG263" s="195">
        <f t="shared" si="91"/>
        <v>4821.6390728476817</v>
      </c>
      <c r="BH263" s="195">
        <f t="shared" si="91"/>
        <v>4872.9449838187702</v>
      </c>
      <c r="BI263" s="195">
        <f t="shared" si="91"/>
        <v>5079.4723360655735</v>
      </c>
      <c r="BJ263" s="195">
        <f t="shared" si="91"/>
        <v>5163.3605139609581</v>
      </c>
      <c r="BK263" s="195">
        <f t="shared" si="91"/>
        <v>5124.0700876095125</v>
      </c>
      <c r="BL263" s="195">
        <f t="shared" si="91"/>
        <v>5051.3432086367065</v>
      </c>
      <c r="BM263" s="195">
        <f t="shared" si="91"/>
        <v>4903.7670703426948</v>
      </c>
      <c r="BN263" s="195">
        <f t="shared" si="91"/>
        <v>4886.748115414608</v>
      </c>
      <c r="BO263" s="195">
        <f t="shared" si="91"/>
        <v>4852.2266560255393</v>
      </c>
      <c r="BP263" s="195">
        <f t="shared" si="91"/>
        <v>4813.7274926095133</v>
      </c>
      <c r="BQ263" s="195">
        <f t="shared" si="91"/>
        <v>4813.3259361997225</v>
      </c>
    </row>
    <row r="264" spans="1:69" s="105" customFormat="1">
      <c r="A264" s="105">
        <f>$A$93</f>
        <v>76</v>
      </c>
      <c r="B264" s="114"/>
      <c r="C264" s="114"/>
      <c r="D264" s="114"/>
      <c r="E264" s="114"/>
      <c r="F264" s="114"/>
      <c r="G264" s="114"/>
      <c r="H264" s="114"/>
      <c r="I264" s="114"/>
      <c r="J264" s="114"/>
      <c r="K264" s="114"/>
      <c r="L264" s="114"/>
      <c r="M264" s="195">
        <f>M$93*M$400</f>
        <v>1326.3009404388715</v>
      </c>
      <c r="N264" s="195">
        <f t="shared" ref="N264:BQ264" si="92">N$93*N$400</f>
        <v>1395.6073619631902</v>
      </c>
      <c r="O264" s="195">
        <f t="shared" si="92"/>
        <v>1268.1441196464989</v>
      </c>
      <c r="P264" s="195">
        <f t="shared" si="92"/>
        <v>1465.201465201465</v>
      </c>
      <c r="Q264" s="195">
        <f t="shared" si="92"/>
        <v>1583.2415375788869</v>
      </c>
      <c r="R264" s="195">
        <f t="shared" si="92"/>
        <v>1705.8078602620087</v>
      </c>
      <c r="S264" s="195">
        <f t="shared" si="92"/>
        <v>2038.8123844731979</v>
      </c>
      <c r="T264" s="195">
        <f t="shared" si="92"/>
        <v>2099.5573997233746</v>
      </c>
      <c r="U264" s="195">
        <f t="shared" si="92"/>
        <v>2100</v>
      </c>
      <c r="V264" s="195">
        <f t="shared" si="92"/>
        <v>2192.6144086995923</v>
      </c>
      <c r="W264" s="195">
        <f t="shared" si="92"/>
        <v>2224.0944167044936</v>
      </c>
      <c r="X264" s="195">
        <f t="shared" si="92"/>
        <v>2324.0961199294529</v>
      </c>
      <c r="Y264" s="195">
        <f t="shared" si="92"/>
        <v>2412.6666666666665</v>
      </c>
      <c r="Z264" s="195">
        <f t="shared" si="92"/>
        <v>2530.3311258278145</v>
      </c>
      <c r="AA264" s="195">
        <f t="shared" si="92"/>
        <v>2640.3908138597903</v>
      </c>
      <c r="AB264" s="195">
        <f t="shared" si="92"/>
        <v>2730.6489444878812</v>
      </c>
      <c r="AC264" s="195">
        <f t="shared" si="92"/>
        <v>2822.0833333333335</v>
      </c>
      <c r="AD264" s="195">
        <f t="shared" si="92"/>
        <v>2942.0126723816625</v>
      </c>
      <c r="AE264" s="195">
        <f t="shared" si="92"/>
        <v>3066.8422926308294</v>
      </c>
      <c r="AF264" s="195">
        <f t="shared" si="92"/>
        <v>3150.0594197832925</v>
      </c>
      <c r="AG264" s="195">
        <f t="shared" si="92"/>
        <v>3308.9185580774365</v>
      </c>
      <c r="AH264" s="195">
        <f t="shared" si="92"/>
        <v>3417.8006535947716</v>
      </c>
      <c r="AI264" s="195">
        <f t="shared" si="92"/>
        <v>3495.8317152103559</v>
      </c>
      <c r="AJ264" s="195">
        <f t="shared" si="92"/>
        <v>3436.9387755102039</v>
      </c>
      <c r="AK264" s="195">
        <f t="shared" si="92"/>
        <v>3375.2769283044513</v>
      </c>
      <c r="AL264" s="195">
        <f t="shared" si="92"/>
        <v>3341.5069894306171</v>
      </c>
      <c r="AM264" s="195">
        <f t="shared" si="92"/>
        <v>3395.6613226452905</v>
      </c>
      <c r="AN264" s="195">
        <f t="shared" si="92"/>
        <v>3486.5785997357993</v>
      </c>
      <c r="AO264" s="195">
        <f t="shared" si="92"/>
        <v>3566.7357512953367</v>
      </c>
      <c r="AP264" s="195">
        <f t="shared" si="92"/>
        <v>3556.2326332794833</v>
      </c>
      <c r="AQ264" s="195">
        <f t="shared" si="92"/>
        <v>3711.9503875968994</v>
      </c>
      <c r="AR264" s="195">
        <f t="shared" si="92"/>
        <v>3682.9465697122982</v>
      </c>
      <c r="AS264" s="195">
        <f t="shared" si="92"/>
        <v>3563.2154445165479</v>
      </c>
      <c r="AT264" s="195">
        <f t="shared" si="92"/>
        <v>3497.6596456034772</v>
      </c>
      <c r="AU264" s="195">
        <f t="shared" si="92"/>
        <v>3377.4195780006917</v>
      </c>
      <c r="AV264" s="195">
        <f t="shared" si="92"/>
        <v>3244.2888086642597</v>
      </c>
      <c r="AW264" s="195">
        <f t="shared" si="92"/>
        <v>3276.7072733787172</v>
      </c>
      <c r="AX264" s="195">
        <f t="shared" si="92"/>
        <v>3267.5561187545259</v>
      </c>
      <c r="AY264" s="195">
        <f t="shared" si="92"/>
        <v>3377.2739965095989</v>
      </c>
      <c r="AZ264" s="195">
        <f t="shared" si="92"/>
        <v>3424.8507980569052</v>
      </c>
      <c r="BA264" s="195">
        <f t="shared" si="92"/>
        <v>3478.5205479452056</v>
      </c>
      <c r="BB264" s="195">
        <f t="shared" si="92"/>
        <v>3602.4427480916029</v>
      </c>
      <c r="BC264" s="195">
        <f t="shared" si="92"/>
        <v>3690.4345006485082</v>
      </c>
      <c r="BD264" s="195">
        <f t="shared" si="92"/>
        <v>3774.0425531914893</v>
      </c>
      <c r="BE264" s="195">
        <f t="shared" si="92"/>
        <v>3864.1303011677933</v>
      </c>
      <c r="BF264" s="195">
        <f t="shared" si="92"/>
        <v>3940.3572509839541</v>
      </c>
      <c r="BG264" s="195">
        <f t="shared" si="92"/>
        <v>4033.8064516129034</v>
      </c>
      <c r="BH264" s="195">
        <f t="shared" si="92"/>
        <v>4308.8186356073211</v>
      </c>
      <c r="BI264" s="195">
        <f t="shared" si="92"/>
        <v>4355.9620596205959</v>
      </c>
      <c r="BJ264" s="195">
        <f t="shared" si="92"/>
        <v>4536.7164179104475</v>
      </c>
      <c r="BK264" s="195">
        <f t="shared" si="92"/>
        <v>4612.353525322741</v>
      </c>
      <c r="BL264" s="195">
        <f t="shared" si="92"/>
        <v>4580</v>
      </c>
      <c r="BM264" s="195">
        <f t="shared" si="92"/>
        <v>4503.6611195158848</v>
      </c>
      <c r="BN264" s="195">
        <f t="shared" si="92"/>
        <v>4386.6752910737387</v>
      </c>
      <c r="BO264" s="195">
        <f t="shared" si="92"/>
        <v>4368.5591229444008</v>
      </c>
      <c r="BP264" s="195">
        <f t="shared" si="92"/>
        <v>4335.3258547008545</v>
      </c>
      <c r="BQ264" s="195">
        <f t="shared" si="92"/>
        <v>4305.7081197734014</v>
      </c>
    </row>
    <row r="265" spans="1:69" s="105" customFormat="1">
      <c r="A265" s="105">
        <f>$A$94</f>
        <v>77</v>
      </c>
      <c r="B265" s="114"/>
      <c r="C265" s="114"/>
      <c r="D265" s="114"/>
      <c r="E265" s="114"/>
      <c r="F265" s="114"/>
      <c r="G265" s="114"/>
      <c r="H265" s="114"/>
      <c r="I265" s="114"/>
      <c r="J265" s="114"/>
      <c r="K265" s="114"/>
      <c r="L265" s="114"/>
      <c r="M265" s="195">
        <f>M$94*M$401</f>
        <v>1136.4799446749653</v>
      </c>
      <c r="N265" s="195">
        <f t="shared" ref="N265:BQ265" si="93">N$94*N$401</f>
        <v>1248.8803582853486</v>
      </c>
      <c r="O265" s="195">
        <f t="shared" si="93"/>
        <v>1314.0050062578223</v>
      </c>
      <c r="P265" s="195">
        <f t="shared" si="93"/>
        <v>1206.4864864864865</v>
      </c>
      <c r="Q265" s="195">
        <f t="shared" si="93"/>
        <v>1374.0485074626865</v>
      </c>
      <c r="R265" s="195">
        <f t="shared" si="93"/>
        <v>1484.395090590298</v>
      </c>
      <c r="S265" s="195">
        <f t="shared" si="93"/>
        <v>1605.3585325180654</v>
      </c>
      <c r="T265" s="195">
        <f t="shared" si="93"/>
        <v>1918.1091251175917</v>
      </c>
      <c r="U265" s="195">
        <f t="shared" si="93"/>
        <v>1966.2447257383967</v>
      </c>
      <c r="V265" s="195">
        <f t="shared" si="93"/>
        <v>1958.6808510638298</v>
      </c>
      <c r="W265" s="195">
        <f t="shared" si="93"/>
        <v>2061.3081529249193</v>
      </c>
      <c r="X265" s="195">
        <f t="shared" si="93"/>
        <v>2080.903642231443</v>
      </c>
      <c r="Y265" s="195">
        <f t="shared" si="93"/>
        <v>2170.4565801253357</v>
      </c>
      <c r="Z265" s="195">
        <f t="shared" si="93"/>
        <v>2257.0342706502638</v>
      </c>
      <c r="AA265" s="195">
        <f t="shared" si="93"/>
        <v>2365.7430730478591</v>
      </c>
      <c r="AB265" s="195">
        <f t="shared" si="93"/>
        <v>2463.7908496732025</v>
      </c>
      <c r="AC265" s="195">
        <f t="shared" si="93"/>
        <v>2555.4577883472057</v>
      </c>
      <c r="AD265" s="195">
        <f t="shared" si="93"/>
        <v>2636.7907869481764</v>
      </c>
      <c r="AE265" s="195">
        <f t="shared" si="93"/>
        <v>2743.1030577576444</v>
      </c>
      <c r="AF265" s="195">
        <f t="shared" si="93"/>
        <v>2869.1636625811102</v>
      </c>
      <c r="AG265" s="195">
        <f t="shared" si="93"/>
        <v>2943.241330502477</v>
      </c>
      <c r="AH265" s="195">
        <f t="shared" si="93"/>
        <v>3090.0371621621621</v>
      </c>
      <c r="AI265" s="195">
        <f t="shared" si="93"/>
        <v>3187.8902116402119</v>
      </c>
      <c r="AJ265" s="195">
        <f t="shared" si="93"/>
        <v>3263.3246073298428</v>
      </c>
      <c r="AK265" s="195">
        <f t="shared" si="93"/>
        <v>3214.9084858569054</v>
      </c>
      <c r="AL265" s="195">
        <f t="shared" si="93"/>
        <v>3151.6517857142858</v>
      </c>
      <c r="AM265" s="195">
        <f t="shared" si="93"/>
        <v>3119.641749913882</v>
      </c>
      <c r="AN265" s="195">
        <f t="shared" si="93"/>
        <v>3174.6356275303642</v>
      </c>
      <c r="AO265" s="195">
        <f t="shared" si="93"/>
        <v>3254.3695797198129</v>
      </c>
      <c r="AP265" s="195">
        <f t="shared" si="93"/>
        <v>3323.3409610983981</v>
      </c>
      <c r="AQ265" s="195">
        <f t="shared" si="93"/>
        <v>3324.0345727332028</v>
      </c>
      <c r="AR265" s="195">
        <f t="shared" si="93"/>
        <v>3468.3510638297876</v>
      </c>
      <c r="AS265" s="195">
        <f t="shared" si="93"/>
        <v>3437.5789473684208</v>
      </c>
      <c r="AT265" s="195">
        <f t="shared" si="93"/>
        <v>3329.4960732984296</v>
      </c>
      <c r="AU265" s="195">
        <f t="shared" si="93"/>
        <v>3263.0310182063386</v>
      </c>
      <c r="AV265" s="195">
        <f t="shared" si="93"/>
        <v>3153.3751743375174</v>
      </c>
      <c r="AW265" s="195">
        <f t="shared" si="93"/>
        <v>3029.8835516739446</v>
      </c>
      <c r="AX265" s="195">
        <f t="shared" si="93"/>
        <v>3061.0722021660649</v>
      </c>
      <c r="AY265" s="195">
        <f t="shared" si="93"/>
        <v>3061.5098468271335</v>
      </c>
      <c r="AZ265" s="195">
        <f t="shared" si="93"/>
        <v>3160.5975395430582</v>
      </c>
      <c r="BA265" s="195">
        <f t="shared" si="93"/>
        <v>3206.7120894479385</v>
      </c>
      <c r="BB265" s="195">
        <f t="shared" si="93"/>
        <v>3251.0172413793102</v>
      </c>
      <c r="BC265" s="195">
        <f t="shared" si="93"/>
        <v>3362.9301703975943</v>
      </c>
      <c r="BD265" s="195">
        <f t="shared" si="93"/>
        <v>3449.5496083550916</v>
      </c>
      <c r="BE265" s="195">
        <f t="shared" si="93"/>
        <v>3532.5663151166509</v>
      </c>
      <c r="BF265" s="195">
        <f t="shared" si="93"/>
        <v>3624.4897959183672</v>
      </c>
      <c r="BG265" s="195">
        <f t="shared" si="93"/>
        <v>3689.6162046908316</v>
      </c>
      <c r="BH265" s="195">
        <f t="shared" si="93"/>
        <v>3784.6991150442482</v>
      </c>
      <c r="BI265" s="195">
        <f t="shared" si="93"/>
        <v>4035.9832635983266</v>
      </c>
      <c r="BJ265" s="195">
        <f t="shared" si="93"/>
        <v>4075.8882833787466</v>
      </c>
      <c r="BK265" s="195">
        <f t="shared" si="93"/>
        <v>4248.9003880983182</v>
      </c>
      <c r="BL265" s="195">
        <f t="shared" si="93"/>
        <v>4318.662674650699</v>
      </c>
      <c r="BM265" s="195">
        <f t="shared" si="93"/>
        <v>4284.7864543846345</v>
      </c>
      <c r="BN265" s="195">
        <f t="shared" si="93"/>
        <v>4221.5252090195081</v>
      </c>
      <c r="BO265" s="195">
        <f t="shared" si="93"/>
        <v>4107.2004159085</v>
      </c>
      <c r="BP265" s="195">
        <f t="shared" si="93"/>
        <v>4096.6832721552173</v>
      </c>
      <c r="BQ265" s="195">
        <f t="shared" si="93"/>
        <v>4060.8666487791788</v>
      </c>
    </row>
    <row r="266" spans="1:69" s="105" customFormat="1">
      <c r="A266" s="105">
        <f>$A$95</f>
        <v>78</v>
      </c>
      <c r="B266" s="114"/>
      <c r="C266" s="114"/>
      <c r="D266" s="114"/>
      <c r="E266" s="114"/>
      <c r="F266" s="114"/>
      <c r="G266" s="114"/>
      <c r="H266" s="114"/>
      <c r="I266" s="114"/>
      <c r="J266" s="114"/>
      <c r="K266" s="114"/>
      <c r="L266" s="114"/>
      <c r="M266" s="195">
        <f>M$95*M$402</f>
        <v>911.48148148148141</v>
      </c>
      <c r="N266" s="195">
        <f t="shared" ref="N266:BQ266" si="94">N$95*N$402</f>
        <v>1019.4059405940594</v>
      </c>
      <c r="O266" s="195">
        <f t="shared" si="94"/>
        <v>1119.1628515369521</v>
      </c>
      <c r="P266" s="195">
        <f t="shared" si="94"/>
        <v>1189.872040946897</v>
      </c>
      <c r="Q266" s="195">
        <f t="shared" si="94"/>
        <v>1087.4787535410765</v>
      </c>
      <c r="R266" s="195">
        <f t="shared" si="94"/>
        <v>1236.1118170266836</v>
      </c>
      <c r="S266" s="195">
        <f t="shared" si="94"/>
        <v>1336.3603818615752</v>
      </c>
      <c r="T266" s="195">
        <f t="shared" si="94"/>
        <v>1444.7619047619048</v>
      </c>
      <c r="U266" s="195">
        <f t="shared" si="94"/>
        <v>1729.6306954436452</v>
      </c>
      <c r="V266" s="195">
        <f t="shared" si="94"/>
        <v>1776.257170172084</v>
      </c>
      <c r="W266" s="195">
        <f t="shared" si="94"/>
        <v>1770.028901734104</v>
      </c>
      <c r="X266" s="195">
        <f t="shared" si="94"/>
        <v>1850.126582278481</v>
      </c>
      <c r="Y266" s="195">
        <f t="shared" si="94"/>
        <v>1879.4746716697937</v>
      </c>
      <c r="Z266" s="195">
        <f t="shared" si="94"/>
        <v>1958.2832422586521</v>
      </c>
      <c r="AA266" s="195">
        <f t="shared" si="94"/>
        <v>2033.5120643431635</v>
      </c>
      <c r="AB266" s="195">
        <f t="shared" si="94"/>
        <v>2132.9692832764504</v>
      </c>
      <c r="AC266" s="195">
        <f t="shared" si="94"/>
        <v>2228.5269709543568</v>
      </c>
      <c r="AD266" s="195">
        <f t="shared" si="94"/>
        <v>2300.9336016096577</v>
      </c>
      <c r="AE266" s="195">
        <f t="shared" si="94"/>
        <v>2384.5440374123145</v>
      </c>
      <c r="AF266" s="195">
        <f t="shared" si="94"/>
        <v>2474.3010340865571</v>
      </c>
      <c r="AG266" s="195">
        <f t="shared" si="94"/>
        <v>2592.2193784277879</v>
      </c>
      <c r="AH266" s="195">
        <f t="shared" si="94"/>
        <v>2655.0071736011478</v>
      </c>
      <c r="AI266" s="195">
        <f t="shared" si="94"/>
        <v>2792.0027387880864</v>
      </c>
      <c r="AJ266" s="195">
        <f t="shared" si="94"/>
        <v>2878.3819095477388</v>
      </c>
      <c r="AK266" s="195">
        <f t="shared" si="94"/>
        <v>2950.7192575406029</v>
      </c>
      <c r="AL266" s="195">
        <f t="shared" si="94"/>
        <v>2903.9083557951481</v>
      </c>
      <c r="AM266" s="195">
        <f t="shared" si="94"/>
        <v>2847.4452554744526</v>
      </c>
      <c r="AN266" s="195">
        <f t="shared" si="94"/>
        <v>2819.0170791216456</v>
      </c>
      <c r="AO266" s="195">
        <f t="shared" si="94"/>
        <v>2864.2784032753325</v>
      </c>
      <c r="AP266" s="195">
        <f t="shared" si="94"/>
        <v>2939.6964586846543</v>
      </c>
      <c r="AQ266" s="195">
        <f t="shared" si="94"/>
        <v>3008.7739590218107</v>
      </c>
      <c r="AR266" s="195">
        <f t="shared" si="94"/>
        <v>3000.9887936717205</v>
      </c>
      <c r="AS266" s="195">
        <f t="shared" si="94"/>
        <v>3134.9478343344922</v>
      </c>
      <c r="AT266" s="195">
        <f t="shared" si="94"/>
        <v>3110.7603092783502</v>
      </c>
      <c r="AU266" s="195">
        <f t="shared" si="94"/>
        <v>3006.9398545935228</v>
      </c>
      <c r="AV266" s="195">
        <f t="shared" si="94"/>
        <v>2956.773315180395</v>
      </c>
      <c r="AW266" s="195">
        <f t="shared" si="94"/>
        <v>2848.7856388595565</v>
      </c>
      <c r="AX266" s="195">
        <f t="shared" si="94"/>
        <v>2745.8281307381562</v>
      </c>
      <c r="AY266" s="195">
        <f t="shared" si="94"/>
        <v>2765.7902403495996</v>
      </c>
      <c r="AZ266" s="195">
        <f t="shared" si="94"/>
        <v>2762.5597646193455</v>
      </c>
      <c r="BA266" s="195">
        <f t="shared" si="94"/>
        <v>2862.7933356965618</v>
      </c>
      <c r="BB266" s="195">
        <f t="shared" si="94"/>
        <v>2906.7558999647763</v>
      </c>
      <c r="BC266" s="195">
        <f t="shared" si="94"/>
        <v>2940.5213764337855</v>
      </c>
      <c r="BD266" s="195">
        <f t="shared" si="94"/>
        <v>3050.6630764052506</v>
      </c>
      <c r="BE266" s="195">
        <f t="shared" si="94"/>
        <v>3127.6455113449524</v>
      </c>
      <c r="BF266" s="195">
        <f t="shared" si="94"/>
        <v>3198.4385061171924</v>
      </c>
      <c r="BG266" s="195">
        <f t="shared" si="94"/>
        <v>3282.7156649018998</v>
      </c>
      <c r="BH266" s="195">
        <f t="shared" si="94"/>
        <v>3345.6761729530817</v>
      </c>
      <c r="BI266" s="195">
        <f t="shared" si="94"/>
        <v>3423.6263736263736</v>
      </c>
      <c r="BJ266" s="195">
        <f t="shared" si="94"/>
        <v>3659.6294216732172</v>
      </c>
      <c r="BK266" s="195">
        <f t="shared" si="94"/>
        <v>3693.7016726076231</v>
      </c>
      <c r="BL266" s="195">
        <f t="shared" si="94"/>
        <v>3849.835980213486</v>
      </c>
      <c r="BM266" s="195">
        <f t="shared" si="94"/>
        <v>3918.1697213155917</v>
      </c>
      <c r="BN266" s="195">
        <f t="shared" si="94"/>
        <v>3891.1032028469749</v>
      </c>
      <c r="BO266" s="195">
        <f t="shared" si="94"/>
        <v>3834.2711518858305</v>
      </c>
      <c r="BP266" s="195">
        <f t="shared" si="94"/>
        <v>3730.3137254901962</v>
      </c>
      <c r="BQ266" s="195">
        <f t="shared" si="94"/>
        <v>3718.2124967044556</v>
      </c>
    </row>
    <row r="267" spans="1:69" s="105" customFormat="1">
      <c r="A267" s="105">
        <f>$A$96</f>
        <v>79</v>
      </c>
      <c r="B267" s="114"/>
      <c r="C267" s="114"/>
      <c r="D267" s="114"/>
      <c r="E267" s="114"/>
      <c r="F267" s="114"/>
      <c r="G267" s="114"/>
      <c r="H267" s="114"/>
      <c r="I267" s="114"/>
      <c r="J267" s="114"/>
      <c r="K267" s="114"/>
      <c r="L267" s="114"/>
      <c r="M267" s="195">
        <f>M$96*M$403</f>
        <v>749.85821517931606</v>
      </c>
      <c r="N267" s="195">
        <f t="shared" ref="N267:BQ267" si="95">N$96*N$403</f>
        <v>815.5423594615994</v>
      </c>
      <c r="O267" s="195">
        <f t="shared" si="95"/>
        <v>907.0537010159652</v>
      </c>
      <c r="P267" s="195">
        <f t="shared" si="95"/>
        <v>1005.8215962441315</v>
      </c>
      <c r="Q267" s="195">
        <f t="shared" si="95"/>
        <v>1058.7680209698558</v>
      </c>
      <c r="R267" s="195">
        <f t="shared" si="95"/>
        <v>968.8179840464104</v>
      </c>
      <c r="S267" s="195">
        <f t="shared" si="95"/>
        <v>1106.6449934980494</v>
      </c>
      <c r="T267" s="195">
        <f t="shared" si="95"/>
        <v>1187.948717948718</v>
      </c>
      <c r="U267" s="195">
        <f t="shared" si="95"/>
        <v>1285.5652173913043</v>
      </c>
      <c r="V267" s="195">
        <f t="shared" si="95"/>
        <v>1530.4556589906908</v>
      </c>
      <c r="W267" s="195">
        <f t="shared" si="95"/>
        <v>1575.4270375793071</v>
      </c>
      <c r="X267" s="195">
        <f t="shared" si="95"/>
        <v>1570.6194690265486</v>
      </c>
      <c r="Y267" s="195">
        <f t="shared" si="95"/>
        <v>1649.5693779904307</v>
      </c>
      <c r="Z267" s="195">
        <f t="shared" si="95"/>
        <v>1669.090909090909</v>
      </c>
      <c r="AA267" s="195">
        <f t="shared" si="95"/>
        <v>1746.1188486536678</v>
      </c>
      <c r="AB267" s="195">
        <f t="shared" si="95"/>
        <v>1809.1761492944927</v>
      </c>
      <c r="AC267" s="195">
        <f t="shared" si="95"/>
        <v>1891.4167753150805</v>
      </c>
      <c r="AD267" s="195">
        <f t="shared" si="95"/>
        <v>1975.4964089564851</v>
      </c>
      <c r="AE267" s="195">
        <f t="shared" si="95"/>
        <v>2046.7813267813267</v>
      </c>
      <c r="AF267" s="195">
        <f t="shared" si="95"/>
        <v>2112.0570749108206</v>
      </c>
      <c r="AG267" s="195">
        <f t="shared" si="95"/>
        <v>2197.0911214953271</v>
      </c>
      <c r="AH267" s="195">
        <f t="shared" si="95"/>
        <v>2297.0977331846898</v>
      </c>
      <c r="AI267" s="195">
        <f t="shared" si="95"/>
        <v>2359.5153061224487</v>
      </c>
      <c r="AJ267" s="195">
        <f t="shared" si="95"/>
        <v>2475.9749739311783</v>
      </c>
      <c r="AK267" s="195">
        <f t="shared" si="95"/>
        <v>2558.9459367562054</v>
      </c>
      <c r="AL267" s="195">
        <f t="shared" si="95"/>
        <v>2609.1223940820441</v>
      </c>
      <c r="AM267" s="195">
        <f t="shared" si="95"/>
        <v>2572.9460013670541</v>
      </c>
      <c r="AN267" s="195">
        <f t="shared" si="95"/>
        <v>2524.15081042988</v>
      </c>
      <c r="AO267" s="195">
        <f t="shared" si="95"/>
        <v>2498.4740374425996</v>
      </c>
      <c r="AP267" s="195">
        <f t="shared" si="95"/>
        <v>2545.1261666090563</v>
      </c>
      <c r="AQ267" s="195">
        <f t="shared" si="95"/>
        <v>2607.1062521352924</v>
      </c>
      <c r="AR267" s="195">
        <f t="shared" si="95"/>
        <v>2665.3395784543327</v>
      </c>
      <c r="AS267" s="195">
        <f t="shared" si="95"/>
        <v>2659.3128752501666</v>
      </c>
      <c r="AT267" s="195">
        <f t="shared" si="95"/>
        <v>2782.859884836852</v>
      </c>
      <c r="AU267" s="195">
        <f t="shared" si="95"/>
        <v>2755.1775822743562</v>
      </c>
      <c r="AV267" s="195">
        <f t="shared" si="95"/>
        <v>2674.6256684491977</v>
      </c>
      <c r="AW267" s="195">
        <f t="shared" si="95"/>
        <v>2621.472814865795</v>
      </c>
      <c r="AX267" s="195">
        <f t="shared" si="95"/>
        <v>2534.3436499466379</v>
      </c>
      <c r="AY267" s="195">
        <f t="shared" si="95"/>
        <v>2430.5677179962895</v>
      </c>
      <c r="AZ267" s="195">
        <f t="shared" si="95"/>
        <v>2451.4569536423842</v>
      </c>
      <c r="BA267" s="195">
        <f t="shared" si="95"/>
        <v>2455.6575037147104</v>
      </c>
      <c r="BB267" s="195">
        <f t="shared" si="95"/>
        <v>2535.7909806728703</v>
      </c>
      <c r="BC267" s="195">
        <f t="shared" si="95"/>
        <v>2576.4379665837182</v>
      </c>
      <c r="BD267" s="195">
        <f t="shared" si="95"/>
        <v>2620.1613468958258</v>
      </c>
      <c r="BE267" s="195">
        <f t="shared" si="95"/>
        <v>2709.048913043478</v>
      </c>
      <c r="BF267" s="195">
        <f t="shared" si="95"/>
        <v>2774.3283582089553</v>
      </c>
      <c r="BG267" s="195">
        <f t="shared" si="95"/>
        <v>2844.2337662337663</v>
      </c>
      <c r="BH267" s="195">
        <f t="shared" si="95"/>
        <v>2920.1632653061224</v>
      </c>
      <c r="BI267" s="195">
        <f t="shared" si="95"/>
        <v>2971.7156105100462</v>
      </c>
      <c r="BJ267" s="195">
        <f t="shared" si="95"/>
        <v>3052.0802155043402</v>
      </c>
      <c r="BK267" s="195">
        <f t="shared" si="95"/>
        <v>3253.3974540311174</v>
      </c>
      <c r="BL267" s="195">
        <f t="shared" si="95"/>
        <v>3292.1961325966854</v>
      </c>
      <c r="BM267" s="195">
        <f t="shared" si="95"/>
        <v>3431.6601101494884</v>
      </c>
      <c r="BN267" s="195">
        <f t="shared" si="95"/>
        <v>3488.0657395701646</v>
      </c>
      <c r="BO267" s="195">
        <f t="shared" si="95"/>
        <v>3459.6877399539289</v>
      </c>
      <c r="BP267" s="195">
        <f t="shared" si="95"/>
        <v>3406.7342226782966</v>
      </c>
      <c r="BQ267" s="195">
        <f t="shared" si="95"/>
        <v>3323.8526315789472</v>
      </c>
    </row>
    <row r="268" spans="1:69" s="105" customFormat="1">
      <c r="A268" s="105" t="s">
        <v>1017</v>
      </c>
      <c r="B268" s="114"/>
      <c r="C268" s="114"/>
      <c r="D268" s="114"/>
      <c r="E268" s="114"/>
      <c r="F268" s="114"/>
      <c r="G268" s="114"/>
      <c r="H268" s="114"/>
      <c r="I268" s="114"/>
      <c r="J268" s="114"/>
      <c r="K268" s="114"/>
      <c r="L268" s="114"/>
      <c r="M268" s="195">
        <f>SUM(M$97:M$107)*M$404</f>
        <v>3953.3771667662882</v>
      </c>
      <c r="N268" s="195">
        <f t="shared" ref="N268:BQ268" si="96">SUM(N$97:N$107)*N$404</f>
        <v>4216.0792309933004</v>
      </c>
      <c r="O268" s="195">
        <f t="shared" si="96"/>
        <v>4486.4197530864194</v>
      </c>
      <c r="P268" s="195">
        <f t="shared" si="96"/>
        <v>4779.0343074968232</v>
      </c>
      <c r="Q268" s="195">
        <f t="shared" si="96"/>
        <v>5166.970644432864</v>
      </c>
      <c r="R268" s="195">
        <f t="shared" si="96"/>
        <v>5556.3742203742204</v>
      </c>
      <c r="S268" s="195">
        <f t="shared" si="96"/>
        <v>5742.1516327190429</v>
      </c>
      <c r="T268" s="195">
        <f t="shared" si="96"/>
        <v>6122.562825799424</v>
      </c>
      <c r="U268" s="195">
        <f t="shared" si="96"/>
        <v>6498.5901834999258</v>
      </c>
      <c r="V268" s="195">
        <f t="shared" si="96"/>
        <v>6973.5558408215666</v>
      </c>
      <c r="W268" s="195">
        <f t="shared" si="96"/>
        <v>7540.0174367916297</v>
      </c>
      <c r="X268" s="195">
        <f t="shared" si="96"/>
        <v>8116.0218191044014</v>
      </c>
      <c r="Y268" s="195">
        <f t="shared" si="96"/>
        <v>8580.3585440936804</v>
      </c>
      <c r="Z268" s="195">
        <f t="shared" si="96"/>
        <v>9051.1507479861921</v>
      </c>
      <c r="AA268" s="195">
        <f t="shared" si="96"/>
        <v>9521.833314959762</v>
      </c>
      <c r="AB268" s="195">
        <f t="shared" si="96"/>
        <v>9994.8837209302328</v>
      </c>
      <c r="AC268" s="195">
        <f t="shared" si="96"/>
        <v>10477.000050794941</v>
      </c>
      <c r="AD268" s="195">
        <f t="shared" si="96"/>
        <v>10948.024968301959</v>
      </c>
      <c r="AE268" s="195">
        <f t="shared" si="96"/>
        <v>11523.014905784195</v>
      </c>
      <c r="AF268" s="195">
        <f t="shared" si="96"/>
        <v>11997.226856653289</v>
      </c>
      <c r="AG268" s="195">
        <f t="shared" si="96"/>
        <v>12557.6252061453</v>
      </c>
      <c r="AH268" s="195">
        <f t="shared" si="96"/>
        <v>13043.294826720241</v>
      </c>
      <c r="AI268" s="195">
        <f t="shared" si="96"/>
        <v>13614.916948879214</v>
      </c>
      <c r="AJ268" s="195">
        <f t="shared" si="96"/>
        <v>14188.491615764697</v>
      </c>
      <c r="AK268" s="195">
        <f t="shared" si="96"/>
        <v>14758.549844411953</v>
      </c>
      <c r="AL268" s="195">
        <f t="shared" si="96"/>
        <v>15335.648148148148</v>
      </c>
      <c r="AM268" s="195">
        <f t="shared" si="96"/>
        <v>15923.692953313517</v>
      </c>
      <c r="AN268" s="195">
        <f t="shared" si="96"/>
        <v>16407.471205789421</v>
      </c>
      <c r="AO268" s="195">
        <f t="shared" si="96"/>
        <v>16708.597795777452</v>
      </c>
      <c r="AP268" s="195">
        <f t="shared" si="96"/>
        <v>17089.828965337842</v>
      </c>
      <c r="AQ268" s="195">
        <f t="shared" si="96"/>
        <v>17457.947378479963</v>
      </c>
      <c r="AR268" s="195">
        <f t="shared" si="96"/>
        <v>17749.344036983821</v>
      </c>
      <c r="AS268" s="195">
        <f t="shared" si="96"/>
        <v>18136.843233969546</v>
      </c>
      <c r="AT268" s="195">
        <f t="shared" si="96"/>
        <v>18416.468039003252</v>
      </c>
      <c r="AU268" s="195">
        <f t="shared" si="96"/>
        <v>18793.863039565691</v>
      </c>
      <c r="AV268" s="195">
        <f t="shared" si="96"/>
        <v>19089.051751661682</v>
      </c>
      <c r="AW268" s="195">
        <f t="shared" si="96"/>
        <v>19271.597260038405</v>
      </c>
      <c r="AX268" s="195">
        <f t="shared" si="96"/>
        <v>19469.616225889837</v>
      </c>
      <c r="AY268" s="195">
        <f t="shared" si="96"/>
        <v>19467.073584265851</v>
      </c>
      <c r="AZ268" s="195">
        <f t="shared" si="96"/>
        <v>19465.79266743812</v>
      </c>
      <c r="BA268" s="195">
        <f t="shared" si="96"/>
        <v>19465.565266422327</v>
      </c>
      <c r="BB268" s="195">
        <f t="shared" si="96"/>
        <v>19384.321687392494</v>
      </c>
      <c r="BC268" s="195">
        <f t="shared" si="96"/>
        <v>19490.695776946235</v>
      </c>
      <c r="BD268" s="195">
        <f t="shared" si="96"/>
        <v>19511.451345813803</v>
      </c>
      <c r="BE268" s="195">
        <f t="shared" si="96"/>
        <v>19635.142697257976</v>
      </c>
      <c r="BF268" s="195">
        <f t="shared" si="96"/>
        <v>19763.111036919567</v>
      </c>
      <c r="BG268" s="195">
        <f t="shared" si="96"/>
        <v>19991.037149564978</v>
      </c>
      <c r="BH268" s="195">
        <f t="shared" si="96"/>
        <v>20226.046371574826</v>
      </c>
      <c r="BI268" s="195">
        <f t="shared" si="96"/>
        <v>20537.553769986203</v>
      </c>
      <c r="BJ268" s="195">
        <f t="shared" si="96"/>
        <v>20856.332122636471</v>
      </c>
      <c r="BK268" s="195">
        <f t="shared" si="96"/>
        <v>21257.338942939787</v>
      </c>
      <c r="BL268" s="195">
        <f t="shared" si="96"/>
        <v>21773.705097149923</v>
      </c>
      <c r="BM268" s="195">
        <f t="shared" si="96"/>
        <v>22256.897247151355</v>
      </c>
      <c r="BN268" s="195">
        <f t="shared" si="96"/>
        <v>22913.060352238954</v>
      </c>
      <c r="BO268" s="195">
        <f t="shared" si="96"/>
        <v>23516.746651386005</v>
      </c>
      <c r="BP268" s="195">
        <f t="shared" si="96"/>
        <v>24032.291157791893</v>
      </c>
      <c r="BQ268" s="195">
        <f t="shared" si="96"/>
        <v>24513.709823860543</v>
      </c>
    </row>
    <row r="269" spans="1:69" s="105" customFormat="1">
      <c r="A269" s="108" t="str">
        <f>$A$108</f>
        <v>Female total</v>
      </c>
      <c r="B269" s="114"/>
      <c r="C269" s="114"/>
      <c r="D269" s="114"/>
      <c r="E269" s="114"/>
      <c r="F269" s="114"/>
      <c r="G269" s="114"/>
      <c r="H269" s="114"/>
      <c r="I269" s="114"/>
      <c r="J269" s="114"/>
      <c r="K269" s="114"/>
      <c r="L269" s="114"/>
      <c r="M269" s="114">
        <f>SUM(M$203:M$268)</f>
        <v>1251253.9575531203</v>
      </c>
      <c r="N269" s="200">
        <f t="shared" ref="N269:BQ269" si="97">SUM(N$203:N$268)</f>
        <v>1277305.1122612257</v>
      </c>
      <c r="O269" s="200">
        <f t="shared" si="97"/>
        <v>1300684.2460368839</v>
      </c>
      <c r="P269" s="200">
        <f t="shared" si="97"/>
        <v>1334317.5680838395</v>
      </c>
      <c r="Q269" s="200">
        <f t="shared" si="97"/>
        <v>1344657.1825760002</v>
      </c>
      <c r="R269" s="200">
        <f t="shared" si="97"/>
        <v>1357220.2736668959</v>
      </c>
      <c r="S269" s="200">
        <f t="shared" si="97"/>
        <v>1370827.0465798792</v>
      </c>
      <c r="T269" s="200">
        <f t="shared" si="97"/>
        <v>1384983.1068940482</v>
      </c>
      <c r="U269" s="200">
        <f t="shared" si="97"/>
        <v>1398897.7458450801</v>
      </c>
      <c r="V269" s="200">
        <f t="shared" si="97"/>
        <v>1412612.4541097635</v>
      </c>
      <c r="W269" s="200">
        <f t="shared" si="97"/>
        <v>1425973.1238607846</v>
      </c>
      <c r="X269" s="200">
        <f t="shared" si="97"/>
        <v>1439023.7465734861</v>
      </c>
      <c r="Y269" s="200">
        <f t="shared" si="97"/>
        <v>1451609.7863745114</v>
      </c>
      <c r="Z269" s="200">
        <f t="shared" si="97"/>
        <v>1463714.6394902745</v>
      </c>
      <c r="AA269" s="200">
        <f t="shared" si="97"/>
        <v>1475491.7827470927</v>
      </c>
      <c r="AB269" s="200">
        <f t="shared" si="97"/>
        <v>1486852.7776655525</v>
      </c>
      <c r="AC269" s="200">
        <f t="shared" si="97"/>
        <v>1497687.2040396887</v>
      </c>
      <c r="AD269" s="200">
        <f t="shared" si="97"/>
        <v>1507938.745491738</v>
      </c>
      <c r="AE269" s="200">
        <f t="shared" si="97"/>
        <v>1517896.3905995991</v>
      </c>
      <c r="AF269" s="200">
        <f t="shared" si="97"/>
        <v>1527210.1859244688</v>
      </c>
      <c r="AG269" s="200">
        <f t="shared" si="97"/>
        <v>1536205.5631293361</v>
      </c>
      <c r="AH269" s="200">
        <f t="shared" si="97"/>
        <v>1544716.4607412526</v>
      </c>
      <c r="AI269" s="200">
        <f t="shared" si="97"/>
        <v>1552964.4691324111</v>
      </c>
      <c r="AJ269" s="200">
        <f t="shared" si="97"/>
        <v>1561066.6106737377</v>
      </c>
      <c r="AK269" s="200">
        <f t="shared" si="97"/>
        <v>1569036.4883774568</v>
      </c>
      <c r="AL269" s="200">
        <f t="shared" si="97"/>
        <v>1576687.5319210966</v>
      </c>
      <c r="AM269" s="200">
        <f t="shared" si="97"/>
        <v>1584390.8932314289</v>
      </c>
      <c r="AN269" s="200">
        <f t="shared" si="97"/>
        <v>1591811.7955756134</v>
      </c>
      <c r="AO269" s="200">
        <f t="shared" si="97"/>
        <v>1599097.3629431515</v>
      </c>
      <c r="AP269" s="200">
        <f t="shared" si="97"/>
        <v>1606273.3103107521</v>
      </c>
      <c r="AQ269" s="200">
        <f t="shared" si="97"/>
        <v>1613160.5459971079</v>
      </c>
      <c r="AR269" s="200">
        <f t="shared" si="97"/>
        <v>1619488.5649772352</v>
      </c>
      <c r="AS269" s="200">
        <f t="shared" si="97"/>
        <v>1625689.2293709908</v>
      </c>
      <c r="AT269" s="200">
        <f t="shared" si="97"/>
        <v>1631279.2449734069</v>
      </c>
      <c r="AU269" s="200">
        <f t="shared" si="97"/>
        <v>1636526.956982723</v>
      </c>
      <c r="AV269" s="200">
        <f t="shared" si="97"/>
        <v>1641264.0161838932</v>
      </c>
      <c r="AW269" s="200">
        <f t="shared" si="97"/>
        <v>1645506.5779776589</v>
      </c>
      <c r="AX269" s="200">
        <f t="shared" si="97"/>
        <v>1649353.7735028686</v>
      </c>
      <c r="AY269" s="200">
        <f t="shared" si="97"/>
        <v>1652734.5444479035</v>
      </c>
      <c r="AZ269" s="200">
        <f t="shared" si="97"/>
        <v>1655834.4165610434</v>
      </c>
      <c r="BA269" s="200">
        <f t="shared" si="97"/>
        <v>1658690.506057028</v>
      </c>
      <c r="BB269" s="200">
        <f t="shared" si="97"/>
        <v>1661198.1515766922</v>
      </c>
      <c r="BC269" s="200">
        <f t="shared" si="97"/>
        <v>1663746.280121153</v>
      </c>
      <c r="BD269" s="200">
        <f t="shared" si="97"/>
        <v>1666035.1657667027</v>
      </c>
      <c r="BE269" s="200">
        <f t="shared" si="97"/>
        <v>1668441.2814992238</v>
      </c>
      <c r="BF269" s="200">
        <f t="shared" si="97"/>
        <v>1670705.8520585683</v>
      </c>
      <c r="BG269" s="200">
        <f t="shared" si="97"/>
        <v>1673147.4446295565</v>
      </c>
      <c r="BH269" s="200">
        <f t="shared" si="97"/>
        <v>1675645.1641094228</v>
      </c>
      <c r="BI269" s="200">
        <f t="shared" si="97"/>
        <v>1678052.0916181463</v>
      </c>
      <c r="BJ269" s="200">
        <f t="shared" si="97"/>
        <v>1680523.2880221857</v>
      </c>
      <c r="BK269" s="200">
        <f t="shared" si="97"/>
        <v>1683000.7329218634</v>
      </c>
      <c r="BL269" s="200">
        <f t="shared" si="97"/>
        <v>1685382.358838371</v>
      </c>
      <c r="BM269" s="200">
        <f t="shared" si="97"/>
        <v>1687460.3688577125</v>
      </c>
      <c r="BN269" s="200">
        <f t="shared" si="97"/>
        <v>1689674.843077753</v>
      </c>
      <c r="BO269" s="200">
        <f t="shared" si="97"/>
        <v>1691399.9099576573</v>
      </c>
      <c r="BP269" s="200">
        <f t="shared" si="97"/>
        <v>1692960.0406595352</v>
      </c>
      <c r="BQ269" s="200">
        <f t="shared" si="97"/>
        <v>1694167.4169886704</v>
      </c>
    </row>
    <row r="270" spans="1:69" s="105" customFormat="1">
      <c r="A270" s="108" t="s">
        <v>1018</v>
      </c>
      <c r="B270" s="114"/>
      <c r="C270" s="114"/>
      <c r="D270" s="114"/>
      <c r="E270" s="114"/>
      <c r="F270" s="114"/>
      <c r="G270" s="114"/>
      <c r="H270" s="114"/>
      <c r="I270" s="114"/>
      <c r="J270" s="114"/>
      <c r="K270" s="114"/>
      <c r="L270" s="114"/>
      <c r="M270" s="114"/>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0"/>
    </row>
    <row r="271" spans="1:69" s="105" customFormat="1">
      <c r="A271" s="105">
        <f>$A$32</f>
        <v>15</v>
      </c>
      <c r="B271" s="114"/>
      <c r="C271" s="114"/>
      <c r="D271" s="114"/>
      <c r="E271" s="114"/>
      <c r="F271" s="114"/>
      <c r="G271" s="114"/>
      <c r="H271" s="114"/>
      <c r="I271" s="114"/>
      <c r="J271" s="114"/>
      <c r="K271" s="114"/>
      <c r="L271" s="114"/>
      <c r="M271" s="111">
        <f>M$125*M$407</f>
        <v>5646.9956939383901</v>
      </c>
      <c r="N271" s="195">
        <f t="shared" ref="N271:BQ271" si="98">N$125*N$407</f>
        <v>5695.3946937438586</v>
      </c>
      <c r="O271" s="195">
        <f t="shared" si="98"/>
        <v>5620.4522129570232</v>
      </c>
      <c r="P271" s="195">
        <f t="shared" si="98"/>
        <v>5594.2268041237112</v>
      </c>
      <c r="Q271" s="195">
        <f t="shared" si="98"/>
        <v>5634.1081593927893</v>
      </c>
      <c r="R271" s="195">
        <f t="shared" si="98"/>
        <v>5879.6577604323029</v>
      </c>
      <c r="S271" s="195">
        <f t="shared" si="98"/>
        <v>5981.7788045047646</v>
      </c>
      <c r="T271" s="195">
        <f t="shared" si="98"/>
        <v>6023.1019708654667</v>
      </c>
      <c r="U271" s="195">
        <f t="shared" si="98"/>
        <v>6054.0295538505252</v>
      </c>
      <c r="V271" s="195">
        <f t="shared" si="98"/>
        <v>5954.0874855156435</v>
      </c>
      <c r="W271" s="195">
        <f t="shared" si="98"/>
        <v>5885.2262044653344</v>
      </c>
      <c r="X271" s="195">
        <f t="shared" si="98"/>
        <v>5796.572783871924</v>
      </c>
      <c r="Y271" s="195">
        <f t="shared" si="98"/>
        <v>5701.7625681405207</v>
      </c>
      <c r="Z271" s="195">
        <f t="shared" si="98"/>
        <v>5663.4284846644396</v>
      </c>
      <c r="AA271" s="195">
        <f t="shared" si="98"/>
        <v>5582.2724496029323</v>
      </c>
      <c r="AB271" s="195">
        <f t="shared" si="98"/>
        <v>5511.6455696202529</v>
      </c>
      <c r="AC271" s="195">
        <f t="shared" si="98"/>
        <v>5370.4497041420118</v>
      </c>
      <c r="AD271" s="195">
        <f t="shared" si="98"/>
        <v>5348.4570596797666</v>
      </c>
      <c r="AE271" s="195">
        <f t="shared" si="98"/>
        <v>5223.578403216542</v>
      </c>
      <c r="AF271" s="195">
        <f t="shared" si="98"/>
        <v>5176.3341858482518</v>
      </c>
      <c r="AG271" s="195">
        <f t="shared" si="98"/>
        <v>5153.6681715575623</v>
      </c>
      <c r="AH271" s="195">
        <f t="shared" si="98"/>
        <v>5122.5737566732232</v>
      </c>
      <c r="AI271" s="195">
        <f t="shared" si="98"/>
        <v>5098.4856982613574</v>
      </c>
      <c r="AJ271" s="195">
        <f t="shared" si="98"/>
        <v>5098.7885586090861</v>
      </c>
      <c r="AK271" s="195">
        <f t="shared" si="98"/>
        <v>5101.348314606742</v>
      </c>
      <c r="AL271" s="195">
        <f t="shared" si="98"/>
        <v>5098.6306001690618</v>
      </c>
      <c r="AM271" s="195">
        <f t="shared" si="98"/>
        <v>5101.3590033975079</v>
      </c>
      <c r="AN271" s="195">
        <f t="shared" si="98"/>
        <v>5095.9111617312074</v>
      </c>
      <c r="AO271" s="195">
        <f t="shared" si="98"/>
        <v>5086.8013757523649</v>
      </c>
      <c r="AP271" s="195">
        <f t="shared" si="98"/>
        <v>5089.9653579676678</v>
      </c>
      <c r="AQ271" s="195">
        <f t="shared" si="98"/>
        <v>5091.625</v>
      </c>
      <c r="AR271" s="195">
        <f t="shared" si="98"/>
        <v>5093.3294324166172</v>
      </c>
      <c r="AS271" s="195">
        <f t="shared" si="98"/>
        <v>5093.5069137981764</v>
      </c>
      <c r="AT271" s="195">
        <f t="shared" si="98"/>
        <v>5110.2482269503553</v>
      </c>
      <c r="AU271" s="195">
        <f t="shared" si="98"/>
        <v>5122.5125925925922</v>
      </c>
      <c r="AV271" s="195">
        <f t="shared" si="98"/>
        <v>5140.1008602788497</v>
      </c>
      <c r="AW271" s="195">
        <f t="shared" si="98"/>
        <v>5163.0614061109463</v>
      </c>
      <c r="AX271" s="195">
        <f t="shared" si="98"/>
        <v>5181.3981042654032</v>
      </c>
      <c r="AY271" s="195">
        <f t="shared" si="98"/>
        <v>5205.1388888888896</v>
      </c>
      <c r="AZ271" s="195">
        <f t="shared" si="98"/>
        <v>5234.3589743589737</v>
      </c>
      <c r="BA271" s="195">
        <f t="shared" si="98"/>
        <v>5248.8980311489868</v>
      </c>
      <c r="BB271" s="195">
        <f t="shared" si="98"/>
        <v>5267.3989455184537</v>
      </c>
      <c r="BC271" s="195">
        <f t="shared" si="98"/>
        <v>5272.7686915887853</v>
      </c>
      <c r="BD271" s="195">
        <f t="shared" si="98"/>
        <v>5282.1054164239958</v>
      </c>
      <c r="BE271" s="195">
        <f t="shared" si="98"/>
        <v>5278.3328492593664</v>
      </c>
      <c r="BF271" s="195">
        <f t="shared" si="98"/>
        <v>5271.5270935960598</v>
      </c>
      <c r="BG271" s="195">
        <f t="shared" si="98"/>
        <v>5268.5953757225434</v>
      </c>
      <c r="BH271" s="195">
        <f t="shared" si="98"/>
        <v>5254.1522491349479</v>
      </c>
      <c r="BI271" s="195">
        <f t="shared" si="98"/>
        <v>5236.6743383199073</v>
      </c>
      <c r="BJ271" s="195">
        <f t="shared" si="98"/>
        <v>5219.2192881745123</v>
      </c>
      <c r="BK271" s="195">
        <f t="shared" si="98"/>
        <v>5210.0171821305848</v>
      </c>
      <c r="BL271" s="195">
        <f t="shared" si="98"/>
        <v>5194.0411546156038</v>
      </c>
      <c r="BM271" s="195">
        <f t="shared" si="98"/>
        <v>5179.6006845407874</v>
      </c>
      <c r="BN271" s="195">
        <f t="shared" si="98"/>
        <v>5161.5380233551687</v>
      </c>
      <c r="BO271" s="195">
        <f t="shared" si="98"/>
        <v>5156.1166429587474</v>
      </c>
      <c r="BP271" s="195">
        <f t="shared" si="98"/>
        <v>5147.0770543076487</v>
      </c>
      <c r="BQ271" s="195">
        <f t="shared" si="98"/>
        <v>5144.0233153255613</v>
      </c>
    </row>
    <row r="272" spans="1:69" s="105" customFormat="1">
      <c r="A272" s="105">
        <f>$A$33</f>
        <v>16</v>
      </c>
      <c r="B272" s="114"/>
      <c r="C272" s="114"/>
      <c r="D272" s="114"/>
      <c r="E272" s="114"/>
      <c r="F272" s="114"/>
      <c r="G272" s="114"/>
      <c r="H272" s="114"/>
      <c r="I272" s="114"/>
      <c r="J272" s="114"/>
      <c r="K272" s="114"/>
      <c r="L272" s="114"/>
      <c r="M272" s="195">
        <f>M$126*M$408</f>
        <v>11650.159574468085</v>
      </c>
      <c r="N272" s="195">
        <f t="shared" ref="N272:BQ272" si="99">N$126*N$408</f>
        <v>11430.558276199805</v>
      </c>
      <c r="O272" s="195">
        <f t="shared" si="99"/>
        <v>11688.25468648998</v>
      </c>
      <c r="P272" s="195">
        <f t="shared" si="99"/>
        <v>11768.291600633915</v>
      </c>
      <c r="Q272" s="195">
        <f t="shared" si="99"/>
        <v>11764.327597195666</v>
      </c>
      <c r="R272" s="195">
        <f t="shared" si="99"/>
        <v>12075.427497651111</v>
      </c>
      <c r="S272" s="195">
        <f t="shared" si="99"/>
        <v>12814.281463850046</v>
      </c>
      <c r="T272" s="195">
        <f t="shared" si="99"/>
        <v>13285.954766676208</v>
      </c>
      <c r="U272" s="195">
        <f t="shared" si="99"/>
        <v>13582.49787595582</v>
      </c>
      <c r="V272" s="195">
        <f t="shared" si="99"/>
        <v>13823.442253521127</v>
      </c>
      <c r="W272" s="195">
        <f t="shared" si="99"/>
        <v>13783.744974152785</v>
      </c>
      <c r="X272" s="195">
        <f t="shared" si="99"/>
        <v>13774.087336244542</v>
      </c>
      <c r="Y272" s="195">
        <f t="shared" si="99"/>
        <v>13714.416691154864</v>
      </c>
      <c r="Z272" s="195">
        <f t="shared" si="99"/>
        <v>13635.678271308523</v>
      </c>
      <c r="AA272" s="195">
        <f t="shared" si="99"/>
        <v>13648.279181708785</v>
      </c>
      <c r="AB272" s="195">
        <f t="shared" si="99"/>
        <v>13567.848714069592</v>
      </c>
      <c r="AC272" s="195">
        <f t="shared" si="99"/>
        <v>13516.273514481934</v>
      </c>
      <c r="AD272" s="195">
        <f t="shared" si="99"/>
        <v>13270.000000000002</v>
      </c>
      <c r="AE272" s="195">
        <f t="shared" si="99"/>
        <v>13297.657241777266</v>
      </c>
      <c r="AF272" s="195">
        <f t="shared" si="99"/>
        <v>13073.398804440649</v>
      </c>
      <c r="AG272" s="195">
        <f t="shared" si="99"/>
        <v>13022.929577464787</v>
      </c>
      <c r="AH272" s="195">
        <f t="shared" si="99"/>
        <v>13041.032167832169</v>
      </c>
      <c r="AI272" s="195">
        <f t="shared" si="99"/>
        <v>13040.643633324045</v>
      </c>
      <c r="AJ272" s="195">
        <f t="shared" si="99"/>
        <v>13022.31859883236</v>
      </c>
      <c r="AK272" s="195">
        <f t="shared" si="99"/>
        <v>13088.017792604947</v>
      </c>
      <c r="AL272" s="195">
        <f t="shared" si="99"/>
        <v>13132.208298524087</v>
      </c>
      <c r="AM272" s="195">
        <f t="shared" si="99"/>
        <v>13172.048058116794</v>
      </c>
      <c r="AN272" s="195">
        <f t="shared" si="99"/>
        <v>13190.861633454953</v>
      </c>
      <c r="AO272" s="195">
        <f t="shared" si="99"/>
        <v>13216.709003669208</v>
      </c>
      <c r="AP272" s="195">
        <f t="shared" si="99"/>
        <v>13229.542613636364</v>
      </c>
      <c r="AQ272" s="195">
        <f t="shared" si="99"/>
        <v>13259.542203147354</v>
      </c>
      <c r="AR272" s="195">
        <f t="shared" si="99"/>
        <v>13276.35839815615</v>
      </c>
      <c r="AS272" s="195">
        <f t="shared" si="99"/>
        <v>13303.195129022904</v>
      </c>
      <c r="AT272" s="195">
        <f t="shared" si="99"/>
        <v>13336.212827988338</v>
      </c>
      <c r="AU272" s="195">
        <f t="shared" si="99"/>
        <v>13371.449487554904</v>
      </c>
      <c r="AV272" s="195">
        <f t="shared" si="99"/>
        <v>13424.732824427481</v>
      </c>
      <c r="AW272" s="195">
        <f t="shared" si="99"/>
        <v>13486.172839506175</v>
      </c>
      <c r="AX272" s="195">
        <f t="shared" si="99"/>
        <v>13545.740740740741</v>
      </c>
      <c r="AY272" s="195">
        <f t="shared" si="99"/>
        <v>13613.395949515701</v>
      </c>
      <c r="AZ272" s="195">
        <f t="shared" si="99"/>
        <v>13679.121522693998</v>
      </c>
      <c r="BA272" s="195">
        <f t="shared" si="99"/>
        <v>13742.990654205607</v>
      </c>
      <c r="BB272" s="195">
        <f t="shared" si="99"/>
        <v>13794.909726266744</v>
      </c>
      <c r="BC272" s="195">
        <f t="shared" si="99"/>
        <v>13841.007256894049</v>
      </c>
      <c r="BD272" s="195">
        <f t="shared" si="99"/>
        <v>13869.088277858176</v>
      </c>
      <c r="BE272" s="195">
        <f t="shared" si="99"/>
        <v>13881.272727272728</v>
      </c>
      <c r="BF272" s="195">
        <f t="shared" si="99"/>
        <v>13875.474956822107</v>
      </c>
      <c r="BG272" s="195">
        <f t="shared" si="99"/>
        <v>13867.815101923628</v>
      </c>
      <c r="BH272" s="195">
        <f t="shared" si="99"/>
        <v>13842.188484674878</v>
      </c>
      <c r="BI272" s="195">
        <f t="shared" si="99"/>
        <v>13808.631037439269</v>
      </c>
      <c r="BJ272" s="195">
        <f t="shared" si="99"/>
        <v>13777.02879954377</v>
      </c>
      <c r="BK272" s="195">
        <f t="shared" si="99"/>
        <v>13735.5106685633</v>
      </c>
      <c r="BL272" s="195">
        <f t="shared" si="99"/>
        <v>13690.036900369003</v>
      </c>
      <c r="BM272" s="195">
        <f t="shared" si="99"/>
        <v>13652.422096317281</v>
      </c>
      <c r="BN272" s="195">
        <f t="shared" si="99"/>
        <v>13609.075487701442</v>
      </c>
      <c r="BO272" s="195">
        <f t="shared" si="99"/>
        <v>13581.403162055336</v>
      </c>
      <c r="BP272" s="195">
        <f t="shared" si="99"/>
        <v>13561.525662718557</v>
      </c>
      <c r="BQ272" s="195">
        <f t="shared" si="99"/>
        <v>13547.60428410372</v>
      </c>
    </row>
    <row r="273" spans="1:69" s="105" customFormat="1">
      <c r="A273" s="105">
        <f>$A$34</f>
        <v>17</v>
      </c>
      <c r="B273" s="114"/>
      <c r="C273" s="114"/>
      <c r="D273" s="114"/>
      <c r="E273" s="114"/>
      <c r="F273" s="114"/>
      <c r="G273" s="114"/>
      <c r="H273" s="114"/>
      <c r="I273" s="114"/>
      <c r="J273" s="114"/>
      <c r="K273" s="114"/>
      <c r="L273" s="114"/>
      <c r="M273" s="195">
        <f>M$127*M$409</f>
        <v>15437.85778849051</v>
      </c>
      <c r="N273" s="195">
        <f t="shared" ref="N273:BQ273" si="100">N$127*N$409</f>
        <v>15496.957729095957</v>
      </c>
      <c r="O273" s="195">
        <f t="shared" si="100"/>
        <v>15064.470209339775</v>
      </c>
      <c r="P273" s="195">
        <f t="shared" si="100"/>
        <v>15316.883780332057</v>
      </c>
      <c r="Q273" s="195">
        <f t="shared" si="100"/>
        <v>15248.21260583255</v>
      </c>
      <c r="R273" s="195">
        <f t="shared" si="100"/>
        <v>15255.68181818182</v>
      </c>
      <c r="S273" s="195">
        <f t="shared" si="100"/>
        <v>15637.766056469129</v>
      </c>
      <c r="T273" s="195">
        <f t="shared" si="100"/>
        <v>16626.120283018867</v>
      </c>
      <c r="U273" s="195">
        <f t="shared" si="100"/>
        <v>17192.962542565267</v>
      </c>
      <c r="V273" s="195">
        <f t="shared" si="100"/>
        <v>17504.730488489611</v>
      </c>
      <c r="W273" s="195">
        <f t="shared" si="100"/>
        <v>17784.659217877095</v>
      </c>
      <c r="X273" s="195">
        <f t="shared" si="100"/>
        <v>17684.144605750073</v>
      </c>
      <c r="Y273" s="195">
        <f t="shared" si="100"/>
        <v>17639.826839826841</v>
      </c>
      <c r="Z273" s="195">
        <f t="shared" si="100"/>
        <v>17531.153174140942</v>
      </c>
      <c r="AA273" s="195">
        <f t="shared" si="100"/>
        <v>17392.402616711272</v>
      </c>
      <c r="AB273" s="195">
        <f t="shared" si="100"/>
        <v>17383.720930232557</v>
      </c>
      <c r="AC273" s="195">
        <f t="shared" si="100"/>
        <v>17262.538968824938</v>
      </c>
      <c r="AD273" s="195">
        <f t="shared" si="100"/>
        <v>17163.272189349114</v>
      </c>
      <c r="AE273" s="195">
        <f t="shared" si="100"/>
        <v>16847.027027027027</v>
      </c>
      <c r="AF273" s="195">
        <f t="shared" si="100"/>
        <v>16854.633867276887</v>
      </c>
      <c r="AG273" s="195">
        <f t="shared" si="100"/>
        <v>16558.374717832958</v>
      </c>
      <c r="AH273" s="195">
        <f t="shared" si="100"/>
        <v>16489.092432281486</v>
      </c>
      <c r="AI273" s="195">
        <f t="shared" si="100"/>
        <v>16486.47711511789</v>
      </c>
      <c r="AJ273" s="195">
        <f t="shared" si="100"/>
        <v>16467.845303867402</v>
      </c>
      <c r="AK273" s="195">
        <f t="shared" si="100"/>
        <v>16433.916758544652</v>
      </c>
      <c r="AL273" s="195">
        <f t="shared" si="100"/>
        <v>16506.813671444321</v>
      </c>
      <c r="AM273" s="195">
        <f t="shared" si="100"/>
        <v>16554.721148536719</v>
      </c>
      <c r="AN273" s="195">
        <f t="shared" si="100"/>
        <v>16592.337950138502</v>
      </c>
      <c r="AO273" s="195">
        <f t="shared" si="100"/>
        <v>16619.866444073457</v>
      </c>
      <c r="AP273" s="195">
        <f t="shared" si="100"/>
        <v>16632.47691015953</v>
      </c>
      <c r="AQ273" s="195">
        <f t="shared" si="100"/>
        <v>16659.408450704224</v>
      </c>
      <c r="AR273" s="195">
        <f t="shared" si="100"/>
        <v>16671.979580260919</v>
      </c>
      <c r="AS273" s="195">
        <f t="shared" si="100"/>
        <v>16694.229011993146</v>
      </c>
      <c r="AT273" s="195">
        <f t="shared" si="100"/>
        <v>16716.80459770115</v>
      </c>
      <c r="AU273" s="195">
        <f t="shared" si="100"/>
        <v>16754.368679572377</v>
      </c>
      <c r="AV273" s="195">
        <f t="shared" si="100"/>
        <v>16802.159024956472</v>
      </c>
      <c r="AW273" s="195">
        <f t="shared" si="100"/>
        <v>16865.266220541169</v>
      </c>
      <c r="AX273" s="195">
        <f t="shared" si="100"/>
        <v>16933.667346344304</v>
      </c>
      <c r="AY273" s="195">
        <f t="shared" si="100"/>
        <v>17022.336149140694</v>
      </c>
      <c r="AZ273" s="195">
        <f t="shared" si="100"/>
        <v>17096.33507853403</v>
      </c>
      <c r="BA273" s="195">
        <f t="shared" si="100"/>
        <v>17180.560069645966</v>
      </c>
      <c r="BB273" s="195">
        <f t="shared" si="100"/>
        <v>17260.133140376267</v>
      </c>
      <c r="BC273" s="195">
        <f t="shared" si="100"/>
        <v>17324.891774891774</v>
      </c>
      <c r="BD273" s="195">
        <f t="shared" si="100"/>
        <v>17369.907940161105</v>
      </c>
      <c r="BE273" s="195">
        <f t="shared" si="100"/>
        <v>17405.180722891568</v>
      </c>
      <c r="BF273" s="195">
        <f t="shared" si="100"/>
        <v>17420.795194508009</v>
      </c>
      <c r="BG273" s="195">
        <f t="shared" si="100"/>
        <v>17416.51925820257</v>
      </c>
      <c r="BH273" s="195">
        <f t="shared" si="100"/>
        <v>17407.60956175299</v>
      </c>
      <c r="BI273" s="195">
        <f t="shared" si="100"/>
        <v>17378.807495741057</v>
      </c>
      <c r="BJ273" s="195">
        <f t="shared" si="100"/>
        <v>17340.169971671388</v>
      </c>
      <c r="BK273" s="195">
        <f t="shared" si="100"/>
        <v>17296.61107970605</v>
      </c>
      <c r="BL273" s="195">
        <f t="shared" si="100"/>
        <v>17243.21489001692</v>
      </c>
      <c r="BM273" s="195">
        <f t="shared" si="100"/>
        <v>17184.884637028699</v>
      </c>
      <c r="BN273" s="195">
        <f t="shared" si="100"/>
        <v>17136.440202133632</v>
      </c>
      <c r="BO273" s="195">
        <f t="shared" si="100"/>
        <v>17092.732623318385</v>
      </c>
      <c r="BP273" s="195">
        <f t="shared" si="100"/>
        <v>17058.706968933671</v>
      </c>
      <c r="BQ273" s="195">
        <f t="shared" si="100"/>
        <v>17034.464635169137</v>
      </c>
    </row>
    <row r="274" spans="1:69" s="105" customFormat="1">
      <c r="A274" s="105">
        <f>$A$35</f>
        <v>18</v>
      </c>
      <c r="B274" s="114"/>
      <c r="C274" s="114"/>
      <c r="D274" s="114"/>
      <c r="E274" s="114"/>
      <c r="F274" s="114"/>
      <c r="G274" s="114"/>
      <c r="H274" s="114"/>
      <c r="I274" s="114"/>
      <c r="J274" s="114"/>
      <c r="K274" s="114"/>
      <c r="L274" s="114"/>
      <c r="M274" s="195">
        <f>M$128*M$410</f>
        <v>18112.906941497422</v>
      </c>
      <c r="N274" s="195">
        <f t="shared" ref="N274:BQ274" si="101">N$128*N$410</f>
        <v>18714.58026509573</v>
      </c>
      <c r="O274" s="195">
        <f t="shared" si="101"/>
        <v>18756.313085524329</v>
      </c>
      <c r="P274" s="195">
        <f t="shared" si="101"/>
        <v>18246.41592920354</v>
      </c>
      <c r="Q274" s="195">
        <f t="shared" si="101"/>
        <v>18404.172164624568</v>
      </c>
      <c r="R274" s="195">
        <f t="shared" si="101"/>
        <v>18410.550913030023</v>
      </c>
      <c r="S274" s="195">
        <f t="shared" si="101"/>
        <v>18445.063843039552</v>
      </c>
      <c r="T274" s="195">
        <f t="shared" si="101"/>
        <v>19062.98315467075</v>
      </c>
      <c r="U274" s="195">
        <f t="shared" si="101"/>
        <v>20213.692486895747</v>
      </c>
      <c r="V274" s="195">
        <f t="shared" si="101"/>
        <v>20848.359506449804</v>
      </c>
      <c r="W274" s="195">
        <f t="shared" si="101"/>
        <v>21202.694228634849</v>
      </c>
      <c r="X274" s="195">
        <f t="shared" si="101"/>
        <v>21504.307012700163</v>
      </c>
      <c r="Y274" s="195">
        <f t="shared" si="101"/>
        <v>21361.597749648383</v>
      </c>
      <c r="Z274" s="195">
        <f t="shared" si="101"/>
        <v>21295.306529797548</v>
      </c>
      <c r="AA274" s="195">
        <f t="shared" si="101"/>
        <v>21147.816455696204</v>
      </c>
      <c r="AB274" s="195">
        <f t="shared" si="101"/>
        <v>20958.660792951545</v>
      </c>
      <c r="AC274" s="195">
        <f t="shared" si="101"/>
        <v>20935.602001766263</v>
      </c>
      <c r="AD274" s="195">
        <f t="shared" si="101"/>
        <v>20778.436944937832</v>
      </c>
      <c r="AE274" s="195">
        <f t="shared" si="101"/>
        <v>20649.976621858561</v>
      </c>
      <c r="AF274" s="195">
        <f t="shared" si="101"/>
        <v>20264.939724454649</v>
      </c>
      <c r="AG274" s="195">
        <f t="shared" si="101"/>
        <v>20252.817179994348</v>
      </c>
      <c r="AH274" s="195">
        <f t="shared" si="101"/>
        <v>19902.440044617961</v>
      </c>
      <c r="AI274" s="195">
        <f t="shared" si="101"/>
        <v>19801.153739994483</v>
      </c>
      <c r="AJ274" s="195">
        <f t="shared" si="101"/>
        <v>19799.734100877191</v>
      </c>
      <c r="AK274" s="195">
        <f t="shared" si="101"/>
        <v>19769.01446901447</v>
      </c>
      <c r="AL274" s="195">
        <f t="shared" si="101"/>
        <v>19726.572207084468</v>
      </c>
      <c r="AM274" s="195">
        <f t="shared" si="101"/>
        <v>19799.466085535278</v>
      </c>
      <c r="AN274" s="195">
        <f t="shared" si="101"/>
        <v>19855.021834061132</v>
      </c>
      <c r="AO274" s="195">
        <f t="shared" si="101"/>
        <v>19883.044073364355</v>
      </c>
      <c r="AP274" s="195">
        <f t="shared" si="101"/>
        <v>19913.294829482948</v>
      </c>
      <c r="AQ274" s="195">
        <f t="shared" si="101"/>
        <v>19935.237831858405</v>
      </c>
      <c r="AR274" s="195">
        <f t="shared" si="101"/>
        <v>19948.831060395212</v>
      </c>
      <c r="AS274" s="195">
        <f t="shared" si="101"/>
        <v>19964.062762678619</v>
      </c>
      <c r="AT274" s="195">
        <f t="shared" si="101"/>
        <v>19994.820874471086</v>
      </c>
      <c r="AU274" s="195">
        <f t="shared" si="101"/>
        <v>20014.334374112972</v>
      </c>
      <c r="AV274" s="195">
        <f t="shared" si="101"/>
        <v>20063.741438356166</v>
      </c>
      <c r="AW274" s="195">
        <f t="shared" si="101"/>
        <v>20111.745485812553</v>
      </c>
      <c r="AX274" s="195">
        <f t="shared" si="101"/>
        <v>20182.5</v>
      </c>
      <c r="AY274" s="195">
        <f t="shared" si="101"/>
        <v>20266.041426927502</v>
      </c>
      <c r="AZ274" s="195">
        <f t="shared" si="101"/>
        <v>20358.055235903335</v>
      </c>
      <c r="BA274" s="195">
        <f t="shared" si="101"/>
        <v>20457.092789428327</v>
      </c>
      <c r="BB274" s="195">
        <f t="shared" si="101"/>
        <v>20558.950988822013</v>
      </c>
      <c r="BC274" s="195">
        <f t="shared" si="101"/>
        <v>20643.419096626643</v>
      </c>
      <c r="BD274" s="195">
        <f t="shared" si="101"/>
        <v>20714.836135651181</v>
      </c>
      <c r="BE274" s="195">
        <f t="shared" si="101"/>
        <v>20774.901960784311</v>
      </c>
      <c r="BF274" s="195">
        <f t="shared" si="101"/>
        <v>20817.710399546613</v>
      </c>
      <c r="BG274" s="195">
        <f t="shared" si="101"/>
        <v>20827.267589714611</v>
      </c>
      <c r="BH274" s="195">
        <f t="shared" si="101"/>
        <v>20835.687711386698</v>
      </c>
      <c r="BI274" s="195">
        <f t="shared" si="101"/>
        <v>20816.626370536967</v>
      </c>
      <c r="BJ274" s="195">
        <f t="shared" si="101"/>
        <v>20786.151472650774</v>
      </c>
      <c r="BK274" s="195">
        <f t="shared" si="101"/>
        <v>20734.0470193115</v>
      </c>
      <c r="BL274" s="195">
        <f t="shared" si="101"/>
        <v>20674.762702400894</v>
      </c>
      <c r="BM274" s="195">
        <f t="shared" si="101"/>
        <v>20621.239554317548</v>
      </c>
      <c r="BN274" s="195">
        <f t="shared" si="101"/>
        <v>20557.703641923825</v>
      </c>
      <c r="BO274" s="195">
        <f t="shared" si="101"/>
        <v>20494.235783633841</v>
      </c>
      <c r="BP274" s="195">
        <f t="shared" si="101"/>
        <v>20447.895319855998</v>
      </c>
      <c r="BQ274" s="195">
        <f t="shared" si="101"/>
        <v>20403.207077688694</v>
      </c>
    </row>
    <row r="275" spans="1:69" s="105" customFormat="1">
      <c r="A275" s="105">
        <f>$A$36</f>
        <v>19</v>
      </c>
      <c r="B275" s="114"/>
      <c r="C275" s="114"/>
      <c r="D275" s="114"/>
      <c r="E275" s="114"/>
      <c r="F275" s="114"/>
      <c r="G275" s="114"/>
      <c r="H275" s="114"/>
      <c r="I275" s="114"/>
      <c r="J275" s="114"/>
      <c r="K275" s="114"/>
      <c r="L275" s="114"/>
      <c r="M275" s="195">
        <f>M$129*M$411</f>
        <v>21517.578916883867</v>
      </c>
      <c r="N275" s="195">
        <f t="shared" ref="N275:BQ275" si="102">N$129*N$411</f>
        <v>21083.826366559482</v>
      </c>
      <c r="O275" s="195">
        <f t="shared" si="102"/>
        <v>21716.036550542547</v>
      </c>
      <c r="P275" s="195">
        <f t="shared" si="102"/>
        <v>21855.689908796707</v>
      </c>
      <c r="Q275" s="195">
        <f t="shared" si="102"/>
        <v>20925.682520074122</v>
      </c>
      <c r="R275" s="195">
        <f t="shared" si="102"/>
        <v>21277.517752392716</v>
      </c>
      <c r="S275" s="195">
        <f t="shared" si="102"/>
        <v>21360.364963503649</v>
      </c>
      <c r="T275" s="195">
        <f t="shared" si="102"/>
        <v>21640.165289256198</v>
      </c>
      <c r="U275" s="195">
        <f t="shared" si="102"/>
        <v>22313.777844671884</v>
      </c>
      <c r="V275" s="195">
        <f t="shared" si="102"/>
        <v>23620.994269340972</v>
      </c>
      <c r="W275" s="195">
        <f t="shared" si="102"/>
        <v>24336.775262286028</v>
      </c>
      <c r="X275" s="195">
        <f t="shared" si="102"/>
        <v>24720.17486338798</v>
      </c>
      <c r="Y275" s="195">
        <f t="shared" si="102"/>
        <v>25044.487632508837</v>
      </c>
      <c r="Z275" s="195">
        <f t="shared" si="102"/>
        <v>24871.478814732764</v>
      </c>
      <c r="AA275" s="195">
        <f t="shared" si="102"/>
        <v>24772.415824915824</v>
      </c>
      <c r="AB275" s="195">
        <f t="shared" si="102"/>
        <v>24596.161902066233</v>
      </c>
      <c r="AC275" s="195">
        <f t="shared" si="102"/>
        <v>24380.153090699019</v>
      </c>
      <c r="AD275" s="195">
        <f t="shared" si="102"/>
        <v>24341.184134337</v>
      </c>
      <c r="AE275" s="195">
        <f t="shared" si="102"/>
        <v>24150.145560407567</v>
      </c>
      <c r="AF275" s="195">
        <f t="shared" si="102"/>
        <v>24010.224202357</v>
      </c>
      <c r="AG275" s="195">
        <f t="shared" si="102"/>
        <v>23553.818130471616</v>
      </c>
      <c r="AH275" s="195">
        <f t="shared" si="102"/>
        <v>23547.69744160178</v>
      </c>
      <c r="AI275" s="195">
        <f t="shared" si="102"/>
        <v>23137.139720010979</v>
      </c>
      <c r="AJ275" s="195">
        <f t="shared" si="102"/>
        <v>23020.092391304348</v>
      </c>
      <c r="AK275" s="195">
        <f t="shared" si="102"/>
        <v>23007.983805668016</v>
      </c>
      <c r="AL275" s="195">
        <f t="shared" si="102"/>
        <v>22971.483870967739</v>
      </c>
      <c r="AM275" s="195">
        <f t="shared" si="102"/>
        <v>22917.32760933727</v>
      </c>
      <c r="AN275" s="195">
        <f t="shared" si="102"/>
        <v>22998.605150214593</v>
      </c>
      <c r="AO275" s="195">
        <f t="shared" si="102"/>
        <v>23049.60773777539</v>
      </c>
      <c r="AP275" s="195">
        <f t="shared" si="102"/>
        <v>23096.2102425876</v>
      </c>
      <c r="AQ275" s="195">
        <f t="shared" si="102"/>
        <v>23126.036816459124</v>
      </c>
      <c r="AR275" s="195">
        <f t="shared" si="102"/>
        <v>23151.832289681461</v>
      </c>
      <c r="AS275" s="195">
        <f t="shared" si="102"/>
        <v>23158.036154478224</v>
      </c>
      <c r="AT275" s="195">
        <f t="shared" si="102"/>
        <v>23179.983452840595</v>
      </c>
      <c r="AU275" s="195">
        <f t="shared" si="102"/>
        <v>23211.937812326483</v>
      </c>
      <c r="AV275" s="195">
        <f t="shared" si="102"/>
        <v>23237.5</v>
      </c>
      <c r="AW275" s="195">
        <f t="shared" si="102"/>
        <v>23280.019657399607</v>
      </c>
      <c r="AX275" s="195">
        <f t="shared" si="102"/>
        <v>23346.055821821257</v>
      </c>
      <c r="AY275" s="195">
        <f t="shared" si="102"/>
        <v>23422.674582979929</v>
      </c>
      <c r="AZ275" s="195">
        <f t="shared" si="102"/>
        <v>23509.629210302857</v>
      </c>
      <c r="BA275" s="195">
        <f t="shared" si="102"/>
        <v>23617.249575551785</v>
      </c>
      <c r="BB275" s="195">
        <f t="shared" si="102"/>
        <v>23725.202034473015</v>
      </c>
      <c r="BC275" s="195">
        <f t="shared" si="102"/>
        <v>23840.372250423014</v>
      </c>
      <c r="BD275" s="195">
        <f t="shared" si="102"/>
        <v>23932.71091113611</v>
      </c>
      <c r="BE275" s="195">
        <f t="shared" si="102"/>
        <v>24022.394840157038</v>
      </c>
      <c r="BF275" s="195">
        <f t="shared" si="102"/>
        <v>24085.837293821638</v>
      </c>
      <c r="BG275" s="195">
        <f t="shared" si="102"/>
        <v>24126.155561750766</v>
      </c>
      <c r="BH275" s="195">
        <f t="shared" si="102"/>
        <v>24150.809007506257</v>
      </c>
      <c r="BI275" s="195">
        <f t="shared" si="102"/>
        <v>24152.329450915142</v>
      </c>
      <c r="BJ275" s="195">
        <f t="shared" si="102"/>
        <v>24124.066390041495</v>
      </c>
      <c r="BK275" s="195">
        <f t="shared" si="102"/>
        <v>24093.237648357714</v>
      </c>
      <c r="BL275" s="195">
        <f t="shared" si="102"/>
        <v>24039.154502891764</v>
      </c>
      <c r="BM275" s="195">
        <f t="shared" si="102"/>
        <v>23978.58752404507</v>
      </c>
      <c r="BN275" s="195">
        <f t="shared" si="102"/>
        <v>23915.119276117355</v>
      </c>
      <c r="BO275" s="195">
        <f t="shared" si="102"/>
        <v>23848.041039671683</v>
      </c>
      <c r="BP275" s="195">
        <f t="shared" si="102"/>
        <v>23770.999180999181</v>
      </c>
      <c r="BQ275" s="195">
        <f t="shared" si="102"/>
        <v>23723.434178250205</v>
      </c>
    </row>
    <row r="276" spans="1:69" s="105" customFormat="1">
      <c r="A276" s="105">
        <f>$A$37</f>
        <v>20</v>
      </c>
      <c r="B276" s="114"/>
      <c r="C276" s="114"/>
      <c r="D276" s="114"/>
      <c r="E276" s="114"/>
      <c r="F276" s="114"/>
      <c r="G276" s="114"/>
      <c r="H276" s="114"/>
      <c r="I276" s="114"/>
      <c r="J276" s="114"/>
      <c r="K276" s="114"/>
      <c r="L276" s="114"/>
      <c r="M276" s="195">
        <f>M$130*M$412</f>
        <v>24364.761639252854</v>
      </c>
      <c r="N276" s="195">
        <f t="shared" ref="N276:BQ276" si="103">N$130*N$412</f>
        <v>24260.050293378041</v>
      </c>
      <c r="O276" s="195">
        <f t="shared" si="103"/>
        <v>23624.994331065758</v>
      </c>
      <c r="P276" s="195">
        <f t="shared" si="103"/>
        <v>24650.228539576368</v>
      </c>
      <c r="Q276" s="195">
        <f t="shared" si="103"/>
        <v>24252.640692640693</v>
      </c>
      <c r="R276" s="195">
        <f t="shared" si="103"/>
        <v>23350.121802679656</v>
      </c>
      <c r="S276" s="195">
        <f t="shared" si="103"/>
        <v>23793.642726719416</v>
      </c>
      <c r="T276" s="195">
        <f t="shared" si="103"/>
        <v>23986.844631073785</v>
      </c>
      <c r="U276" s="195">
        <f t="shared" si="103"/>
        <v>24292.275196137598</v>
      </c>
      <c r="V276" s="195">
        <f t="shared" si="103"/>
        <v>25042.56235154394</v>
      </c>
      <c r="W276" s="195">
        <f t="shared" si="103"/>
        <v>26466.938083121291</v>
      </c>
      <c r="X276" s="195">
        <f t="shared" si="103"/>
        <v>27245.827200872172</v>
      </c>
      <c r="Y276" s="195">
        <f t="shared" si="103"/>
        <v>27661.934178581065</v>
      </c>
      <c r="Z276" s="195">
        <f t="shared" si="103"/>
        <v>28024.053691275167</v>
      </c>
      <c r="AA276" s="195">
        <f t="shared" si="103"/>
        <v>27826.287588846364</v>
      </c>
      <c r="AB276" s="195">
        <f t="shared" si="103"/>
        <v>27718.429797839934</v>
      </c>
      <c r="AC276" s="195">
        <f t="shared" si="103"/>
        <v>27520.553227158423</v>
      </c>
      <c r="AD276" s="195">
        <f t="shared" si="103"/>
        <v>27263.921345112569</v>
      </c>
      <c r="AE276" s="195">
        <f t="shared" si="103"/>
        <v>27229.48</v>
      </c>
      <c r="AF276" s="195">
        <f t="shared" si="103"/>
        <v>27006.306720275705</v>
      </c>
      <c r="AG276" s="195">
        <f t="shared" si="103"/>
        <v>26839.76176971072</v>
      </c>
      <c r="AH276" s="195">
        <f t="shared" si="103"/>
        <v>26348.901589071647</v>
      </c>
      <c r="AI276" s="195">
        <f t="shared" si="103"/>
        <v>26326.335437825968</v>
      </c>
      <c r="AJ276" s="195">
        <f t="shared" si="103"/>
        <v>25871.317073170732</v>
      </c>
      <c r="AK276" s="195">
        <f t="shared" si="103"/>
        <v>25747.196136302657</v>
      </c>
      <c r="AL276" s="195">
        <f t="shared" si="103"/>
        <v>25719.402985074626</v>
      </c>
      <c r="AM276" s="195">
        <f t="shared" si="103"/>
        <v>25678.831961773292</v>
      </c>
      <c r="AN276" s="195">
        <f t="shared" si="103"/>
        <v>25623.675145733971</v>
      </c>
      <c r="AO276" s="195">
        <f t="shared" si="103"/>
        <v>25710.039735099341</v>
      </c>
      <c r="AP276" s="195">
        <f t="shared" si="103"/>
        <v>25770.220217564343</v>
      </c>
      <c r="AQ276" s="195">
        <f t="shared" si="103"/>
        <v>25818.96726111259</v>
      </c>
      <c r="AR276" s="195">
        <f t="shared" si="103"/>
        <v>25852.157177225341</v>
      </c>
      <c r="AS276" s="195">
        <f t="shared" si="103"/>
        <v>25860.080623488309</v>
      </c>
      <c r="AT276" s="195">
        <f t="shared" si="103"/>
        <v>25886.319632233641</v>
      </c>
      <c r="AU276" s="195">
        <f t="shared" si="103"/>
        <v>25916.896270078956</v>
      </c>
      <c r="AV276" s="195">
        <f t="shared" si="103"/>
        <v>25937.758289942452</v>
      </c>
      <c r="AW276" s="195">
        <f t="shared" si="103"/>
        <v>25981.315136476427</v>
      </c>
      <c r="AX276" s="195">
        <f t="shared" si="103"/>
        <v>26020.573725055434</v>
      </c>
      <c r="AY276" s="195">
        <f t="shared" si="103"/>
        <v>26092.662771285475</v>
      </c>
      <c r="AZ276" s="195">
        <f t="shared" si="103"/>
        <v>26173.270089285717</v>
      </c>
      <c r="BA276" s="195">
        <f t="shared" si="103"/>
        <v>26272.312849162008</v>
      </c>
      <c r="BB276" s="195">
        <f t="shared" si="103"/>
        <v>26389.946942194914</v>
      </c>
      <c r="BC276" s="195">
        <f t="shared" si="103"/>
        <v>26505.819854991634</v>
      </c>
      <c r="BD276" s="195">
        <f t="shared" si="103"/>
        <v>26630.434056761271</v>
      </c>
      <c r="BE276" s="195">
        <f t="shared" si="103"/>
        <v>26743.646960865946</v>
      </c>
      <c r="BF276" s="195">
        <f t="shared" si="103"/>
        <v>26827.675705589376</v>
      </c>
      <c r="BG276" s="195">
        <f t="shared" si="103"/>
        <v>26907.969094922737</v>
      </c>
      <c r="BH276" s="195">
        <f t="shared" si="103"/>
        <v>26956.395156851955</v>
      </c>
      <c r="BI276" s="195">
        <f t="shared" si="103"/>
        <v>26976.141602634467</v>
      </c>
      <c r="BJ276" s="195">
        <f t="shared" si="103"/>
        <v>26981.768409526416</v>
      </c>
      <c r="BK276" s="195">
        <f t="shared" si="103"/>
        <v>26955.581649371925</v>
      </c>
      <c r="BL276" s="195">
        <f t="shared" si="103"/>
        <v>26915.247956403273</v>
      </c>
      <c r="BM276" s="195">
        <f t="shared" si="103"/>
        <v>26853.248165262303</v>
      </c>
      <c r="BN276" s="195">
        <f t="shared" si="103"/>
        <v>26791.385950637377</v>
      </c>
      <c r="BO276" s="195">
        <f t="shared" si="103"/>
        <v>26705.07442489851</v>
      </c>
      <c r="BP276" s="195">
        <f t="shared" si="103"/>
        <v>26636.038347285987</v>
      </c>
      <c r="BQ276" s="195">
        <f t="shared" si="103"/>
        <v>26564.150943396224</v>
      </c>
    </row>
    <row r="277" spans="1:69" s="105" customFormat="1">
      <c r="A277" s="105">
        <f>$A$38</f>
        <v>21</v>
      </c>
      <c r="B277" s="114"/>
      <c r="C277" s="114"/>
      <c r="D277" s="114"/>
      <c r="E277" s="114"/>
      <c r="F277" s="114"/>
      <c r="G277" s="114"/>
      <c r="H277" s="114"/>
      <c r="I277" s="114"/>
      <c r="J277" s="114"/>
      <c r="K277" s="114"/>
      <c r="L277" s="114"/>
      <c r="M277" s="195">
        <f>M$131*M$413</f>
        <v>27244.80085538626</v>
      </c>
      <c r="N277" s="195">
        <f t="shared" ref="N277:BQ277" si="104">N$131*N$413</f>
        <v>26426.925162689808</v>
      </c>
      <c r="O277" s="195">
        <f t="shared" si="104"/>
        <v>26457.666666666668</v>
      </c>
      <c r="P277" s="195">
        <f t="shared" si="104"/>
        <v>26077.635907443546</v>
      </c>
      <c r="Q277" s="195">
        <f t="shared" si="104"/>
        <v>26557.793712079427</v>
      </c>
      <c r="R277" s="195">
        <f t="shared" si="104"/>
        <v>26235.281447443998</v>
      </c>
      <c r="S277" s="195">
        <f t="shared" si="104"/>
        <v>25333.868524689486</v>
      </c>
      <c r="T277" s="195">
        <f t="shared" si="104"/>
        <v>25771.571298819257</v>
      </c>
      <c r="U277" s="195">
        <f t="shared" si="104"/>
        <v>25984.725536992843</v>
      </c>
      <c r="V277" s="195">
        <f t="shared" si="104"/>
        <v>26312.233563494447</v>
      </c>
      <c r="W277" s="195">
        <f t="shared" si="104"/>
        <v>27104.406379208507</v>
      </c>
      <c r="X277" s="195">
        <f t="shared" si="104"/>
        <v>28661.623522791222</v>
      </c>
      <c r="Y277" s="195">
        <f t="shared" si="104"/>
        <v>29507.145957677698</v>
      </c>
      <c r="Z277" s="195">
        <f t="shared" si="104"/>
        <v>29953.941997851773</v>
      </c>
      <c r="AA277" s="195">
        <f t="shared" si="104"/>
        <v>30345.989847715737</v>
      </c>
      <c r="AB277" s="195">
        <f t="shared" si="104"/>
        <v>30121.901523394998</v>
      </c>
      <c r="AC277" s="195">
        <f t="shared" si="104"/>
        <v>30001.341967484153</v>
      </c>
      <c r="AD277" s="195">
        <f t="shared" si="104"/>
        <v>29795.729774812342</v>
      </c>
      <c r="AE277" s="195">
        <f t="shared" si="104"/>
        <v>29526.090161610435</v>
      </c>
      <c r="AF277" s="195">
        <f t="shared" si="104"/>
        <v>29482.342239909041</v>
      </c>
      <c r="AG277" s="195">
        <f t="shared" si="104"/>
        <v>29252.642857142859</v>
      </c>
      <c r="AH277" s="195">
        <f t="shared" si="104"/>
        <v>29067.096501128668</v>
      </c>
      <c r="AI277" s="195">
        <f t="shared" si="104"/>
        <v>28534.675540765391</v>
      </c>
      <c r="AJ277" s="195">
        <f t="shared" si="104"/>
        <v>28516.443594646273</v>
      </c>
      <c r="AK277" s="195">
        <f t="shared" si="104"/>
        <v>28028.249730312837</v>
      </c>
      <c r="AL277" s="195">
        <f t="shared" si="104"/>
        <v>27892.849132176234</v>
      </c>
      <c r="AM277" s="195">
        <f t="shared" si="104"/>
        <v>27876.031830238728</v>
      </c>
      <c r="AN277" s="195">
        <f t="shared" si="104"/>
        <v>27833.405548216644</v>
      </c>
      <c r="AO277" s="195">
        <f t="shared" si="104"/>
        <v>27769.319620253165</v>
      </c>
      <c r="AP277" s="195">
        <f t="shared" si="104"/>
        <v>27854.822040601106</v>
      </c>
      <c r="AQ277" s="195">
        <f t="shared" si="104"/>
        <v>27922.814893055191</v>
      </c>
      <c r="AR277" s="195">
        <f t="shared" si="104"/>
        <v>27971.960264900659</v>
      </c>
      <c r="AS277" s="195">
        <f t="shared" si="104"/>
        <v>28006.573556797019</v>
      </c>
      <c r="AT277" s="195">
        <f t="shared" si="104"/>
        <v>28024.728537041989</v>
      </c>
      <c r="AU277" s="195">
        <f t="shared" si="104"/>
        <v>28047.965554359525</v>
      </c>
      <c r="AV277" s="195">
        <f t="shared" si="104"/>
        <v>28067.007042253525</v>
      </c>
      <c r="AW277" s="195">
        <f t="shared" si="104"/>
        <v>28103.623227917124</v>
      </c>
      <c r="AX277" s="195">
        <f t="shared" si="104"/>
        <v>28142.60010970927</v>
      </c>
      <c r="AY277" s="195">
        <f t="shared" si="104"/>
        <v>28193.826854149433</v>
      </c>
      <c r="AZ277" s="195">
        <f t="shared" si="104"/>
        <v>28269.634551495015</v>
      </c>
      <c r="BA277" s="195">
        <f t="shared" si="104"/>
        <v>28362.187066333612</v>
      </c>
      <c r="BB277" s="195">
        <f t="shared" si="104"/>
        <v>28471.542095026398</v>
      </c>
      <c r="BC277" s="195">
        <f t="shared" si="104"/>
        <v>28587.455555555553</v>
      </c>
      <c r="BD277" s="195">
        <f t="shared" si="104"/>
        <v>28720.360610263524</v>
      </c>
      <c r="BE277" s="195">
        <f t="shared" si="104"/>
        <v>28849.9529476889</v>
      </c>
      <c r="BF277" s="195">
        <f t="shared" si="104"/>
        <v>28966.397018221975</v>
      </c>
      <c r="BG277" s="195">
        <f t="shared" si="104"/>
        <v>29069.702643171804</v>
      </c>
      <c r="BH277" s="195">
        <f t="shared" si="104"/>
        <v>29141.789733735932</v>
      </c>
      <c r="BI277" s="195">
        <f t="shared" si="104"/>
        <v>29198.661374212974</v>
      </c>
      <c r="BJ277" s="195">
        <f t="shared" si="104"/>
        <v>29224.570024570025</v>
      </c>
      <c r="BK277" s="195">
        <f t="shared" si="104"/>
        <v>29224.923747276687</v>
      </c>
      <c r="BL277" s="195">
        <f t="shared" si="104"/>
        <v>29202.056506384135</v>
      </c>
      <c r="BM277" s="195">
        <f t="shared" si="104"/>
        <v>29153.659528327462</v>
      </c>
      <c r="BN277" s="195">
        <f t="shared" si="104"/>
        <v>29092.09843158464</v>
      </c>
      <c r="BO277" s="195">
        <f t="shared" si="104"/>
        <v>29020.507285483</v>
      </c>
      <c r="BP277" s="195">
        <f t="shared" si="104"/>
        <v>28933.457189014542</v>
      </c>
      <c r="BQ277" s="195">
        <f t="shared" si="104"/>
        <v>28854.164427727032</v>
      </c>
    </row>
    <row r="278" spans="1:69" s="105" customFormat="1">
      <c r="A278" s="105">
        <f>$A$39</f>
        <v>22</v>
      </c>
      <c r="B278" s="114"/>
      <c r="C278" s="114"/>
      <c r="D278" s="114"/>
      <c r="E278" s="114"/>
      <c r="F278" s="114"/>
      <c r="G278" s="114"/>
      <c r="H278" s="114"/>
      <c r="I278" s="114"/>
      <c r="J278" s="114"/>
      <c r="K278" s="114"/>
      <c r="L278" s="114"/>
      <c r="M278" s="195">
        <f>M$132*M$414</f>
        <v>28865.365138592751</v>
      </c>
      <c r="N278" s="195">
        <f t="shared" ref="N278:BQ278" si="105">N$132*N$414</f>
        <v>28704.004160166405</v>
      </c>
      <c r="O278" s="195">
        <f t="shared" si="105"/>
        <v>27941.512738853504</v>
      </c>
      <c r="P278" s="195">
        <f t="shared" si="105"/>
        <v>28371.082390953154</v>
      </c>
      <c r="Q278" s="195">
        <f t="shared" si="105"/>
        <v>27473.003318584069</v>
      </c>
      <c r="R278" s="195">
        <f t="shared" si="105"/>
        <v>28121.438412785894</v>
      </c>
      <c r="S278" s="195">
        <f t="shared" si="105"/>
        <v>27848.301778542744</v>
      </c>
      <c r="T278" s="195">
        <f t="shared" si="105"/>
        <v>26789.409984871407</v>
      </c>
      <c r="U278" s="195">
        <f t="shared" si="105"/>
        <v>27268.134260659208</v>
      </c>
      <c r="V278" s="195">
        <f t="shared" si="105"/>
        <v>27509.621460506707</v>
      </c>
      <c r="W278" s="195">
        <f t="shared" si="105"/>
        <v>27856.137931034482</v>
      </c>
      <c r="X278" s="195">
        <f t="shared" si="105"/>
        <v>28709.513274336285</v>
      </c>
      <c r="Y278" s="195">
        <f t="shared" si="105"/>
        <v>30353.007307476109</v>
      </c>
      <c r="Z278" s="195">
        <f t="shared" si="105"/>
        <v>31247.934959349594</v>
      </c>
      <c r="AA278" s="195">
        <f t="shared" si="105"/>
        <v>31733.739270386264</v>
      </c>
      <c r="AB278" s="195">
        <f t="shared" si="105"/>
        <v>32157.880405766151</v>
      </c>
      <c r="AC278" s="195">
        <f t="shared" si="105"/>
        <v>31939.260668659961</v>
      </c>
      <c r="AD278" s="195">
        <f t="shared" si="105"/>
        <v>31812.841409691631</v>
      </c>
      <c r="AE278" s="195">
        <f t="shared" si="105"/>
        <v>31590.158289364066</v>
      </c>
      <c r="AF278" s="195">
        <f t="shared" si="105"/>
        <v>31317.337864627585</v>
      </c>
      <c r="AG278" s="195">
        <f t="shared" si="105"/>
        <v>31266.672345258376</v>
      </c>
      <c r="AH278" s="195">
        <f t="shared" si="105"/>
        <v>31029.075342465756</v>
      </c>
      <c r="AI278" s="195">
        <f t="shared" si="105"/>
        <v>30843.108793686584</v>
      </c>
      <c r="AJ278" s="195">
        <f t="shared" si="105"/>
        <v>30280.775838182322</v>
      </c>
      <c r="AK278" s="195">
        <f t="shared" si="105"/>
        <v>30265.729877216916</v>
      </c>
      <c r="AL278" s="195">
        <f t="shared" si="105"/>
        <v>29746.419719827587</v>
      </c>
      <c r="AM278" s="195">
        <f t="shared" si="105"/>
        <v>29605.590824219795</v>
      </c>
      <c r="AN278" s="195">
        <f t="shared" si="105"/>
        <v>29577.734499205089</v>
      </c>
      <c r="AO278" s="195">
        <f t="shared" si="105"/>
        <v>29525.771971496437</v>
      </c>
      <c r="AP278" s="195">
        <f t="shared" si="105"/>
        <v>29472.181243414121</v>
      </c>
      <c r="AQ278" s="195">
        <f t="shared" si="105"/>
        <v>29572.270213326312</v>
      </c>
      <c r="AR278" s="195">
        <f t="shared" si="105"/>
        <v>29637.087839620155</v>
      </c>
      <c r="AS278" s="195">
        <f t="shared" si="105"/>
        <v>29694.308017994179</v>
      </c>
      <c r="AT278" s="195">
        <f t="shared" si="105"/>
        <v>29728.275312250862</v>
      </c>
      <c r="AU278" s="195">
        <f t="shared" si="105"/>
        <v>29756.772642265561</v>
      </c>
      <c r="AV278" s="195">
        <f t="shared" si="105"/>
        <v>29780.056451612905</v>
      </c>
      <c r="AW278" s="195">
        <f t="shared" si="105"/>
        <v>29793.352272727272</v>
      </c>
      <c r="AX278" s="195">
        <f t="shared" si="105"/>
        <v>29832.908496732027</v>
      </c>
      <c r="AY278" s="195">
        <f t="shared" si="105"/>
        <v>29874.378082191779</v>
      </c>
      <c r="AZ278" s="195">
        <f t="shared" si="105"/>
        <v>29927.628752409804</v>
      </c>
      <c r="BA278" s="195">
        <f t="shared" si="105"/>
        <v>30006.32015482444</v>
      </c>
      <c r="BB278" s="195">
        <f t="shared" si="105"/>
        <v>30106.820072082064</v>
      </c>
      <c r="BC278" s="195">
        <f t="shared" si="105"/>
        <v>30224.546211490426</v>
      </c>
      <c r="BD278" s="195">
        <f t="shared" si="105"/>
        <v>30347.391786903441</v>
      </c>
      <c r="BE278" s="195">
        <f t="shared" si="105"/>
        <v>30485.785536159601</v>
      </c>
      <c r="BF278" s="195">
        <f t="shared" si="105"/>
        <v>30629.742880840477</v>
      </c>
      <c r="BG278" s="195">
        <f t="shared" si="105"/>
        <v>30759.169884169885</v>
      </c>
      <c r="BH278" s="195">
        <f t="shared" si="105"/>
        <v>30855.226835303823</v>
      </c>
      <c r="BI278" s="195">
        <f t="shared" si="105"/>
        <v>30945.500411296955</v>
      </c>
      <c r="BJ278" s="195">
        <f t="shared" si="105"/>
        <v>30992.345544013122</v>
      </c>
      <c r="BK278" s="195">
        <f t="shared" si="105"/>
        <v>31014.874591057796</v>
      </c>
      <c r="BL278" s="195">
        <f t="shared" si="105"/>
        <v>31021.245580636387</v>
      </c>
      <c r="BM278" s="195">
        <f t="shared" si="105"/>
        <v>31001.131614654001</v>
      </c>
      <c r="BN278" s="195">
        <f t="shared" si="105"/>
        <v>30956.199242014074</v>
      </c>
      <c r="BO278" s="195">
        <f t="shared" si="105"/>
        <v>30895.035116153431</v>
      </c>
      <c r="BP278" s="195">
        <f t="shared" si="105"/>
        <v>30817.423180592992</v>
      </c>
      <c r="BQ278" s="195">
        <f t="shared" si="105"/>
        <v>30729.693383539536</v>
      </c>
    </row>
    <row r="279" spans="1:69" s="105" customFormat="1">
      <c r="A279" s="105">
        <f>$A$40</f>
        <v>23</v>
      </c>
      <c r="B279" s="114"/>
      <c r="C279" s="114"/>
      <c r="D279" s="114"/>
      <c r="E279" s="114"/>
      <c r="F279" s="114"/>
      <c r="G279" s="114"/>
      <c r="H279" s="114"/>
      <c r="I279" s="114"/>
      <c r="J279" s="114"/>
      <c r="K279" s="114"/>
      <c r="L279" s="114"/>
      <c r="M279" s="195">
        <f>M$133*M$415</f>
        <v>30246.046387629965</v>
      </c>
      <c r="N279" s="195">
        <f t="shared" ref="N279:BQ279" si="106">N$133*N$415</f>
        <v>30297.198865101884</v>
      </c>
      <c r="O279" s="195">
        <f t="shared" si="106"/>
        <v>30151.94923857868</v>
      </c>
      <c r="P279" s="195">
        <f t="shared" si="106"/>
        <v>29809.36847599165</v>
      </c>
      <c r="Q279" s="195">
        <f t="shared" si="106"/>
        <v>29532.898318654923</v>
      </c>
      <c r="R279" s="195">
        <f t="shared" si="106"/>
        <v>28751.948051948049</v>
      </c>
      <c r="S279" s="195">
        <f t="shared" si="106"/>
        <v>29509.664189375173</v>
      </c>
      <c r="T279" s="195">
        <f t="shared" si="106"/>
        <v>29149.131556319862</v>
      </c>
      <c r="U279" s="195">
        <f t="shared" si="106"/>
        <v>28048.473859171954</v>
      </c>
      <c r="V279" s="195">
        <f t="shared" si="106"/>
        <v>28556.611295681065</v>
      </c>
      <c r="W279" s="195">
        <f t="shared" si="106"/>
        <v>28810.288776421556</v>
      </c>
      <c r="X279" s="195">
        <f t="shared" si="106"/>
        <v>29170.458221024259</v>
      </c>
      <c r="Y279" s="195">
        <f t="shared" si="106"/>
        <v>30078.234600648397</v>
      </c>
      <c r="Z279" s="195">
        <f t="shared" si="106"/>
        <v>31794.559236384051</v>
      </c>
      <c r="AA279" s="195">
        <f t="shared" si="106"/>
        <v>32730.844612885761</v>
      </c>
      <c r="AB279" s="195">
        <f t="shared" si="106"/>
        <v>33243.885316184351</v>
      </c>
      <c r="AC279" s="195">
        <f t="shared" si="106"/>
        <v>33689.599999999999</v>
      </c>
      <c r="AD279" s="195">
        <f t="shared" si="106"/>
        <v>33465.259299484118</v>
      </c>
      <c r="AE279" s="195">
        <f t="shared" si="106"/>
        <v>33340.808580858087</v>
      </c>
      <c r="AF279" s="195">
        <f t="shared" si="106"/>
        <v>33108.998613037445</v>
      </c>
      <c r="AG279" s="195">
        <f t="shared" si="106"/>
        <v>32818.834512022629</v>
      </c>
      <c r="AH279" s="195">
        <f t="shared" si="106"/>
        <v>32768.848553601812</v>
      </c>
      <c r="AI279" s="195">
        <f t="shared" si="106"/>
        <v>32527.371721778793</v>
      </c>
      <c r="AJ279" s="195">
        <f t="shared" si="106"/>
        <v>32336.309121621623</v>
      </c>
      <c r="AK279" s="195">
        <f t="shared" si="106"/>
        <v>31744.748201438848</v>
      </c>
      <c r="AL279" s="195">
        <f t="shared" si="106"/>
        <v>31728.291087489779</v>
      </c>
      <c r="AM279" s="195">
        <f t="shared" si="106"/>
        <v>31197.373519913886</v>
      </c>
      <c r="AN279" s="195">
        <f t="shared" si="106"/>
        <v>31046.011191047161</v>
      </c>
      <c r="AO279" s="195">
        <f t="shared" si="106"/>
        <v>31025.833774483854</v>
      </c>
      <c r="AP279" s="195">
        <f t="shared" si="106"/>
        <v>30975.781703137356</v>
      </c>
      <c r="AQ279" s="195">
        <f t="shared" si="106"/>
        <v>30900</v>
      </c>
      <c r="AR279" s="195">
        <f t="shared" si="106"/>
        <v>31012.373059721125</v>
      </c>
      <c r="AS279" s="195">
        <f t="shared" si="106"/>
        <v>31090.919631093544</v>
      </c>
      <c r="AT279" s="195">
        <f t="shared" si="106"/>
        <v>31146.511627906977</v>
      </c>
      <c r="AU279" s="195">
        <f t="shared" si="106"/>
        <v>31178.121019108279</v>
      </c>
      <c r="AV279" s="195">
        <f t="shared" si="106"/>
        <v>31196.723585912488</v>
      </c>
      <c r="AW279" s="195">
        <f t="shared" si="106"/>
        <v>31229.516778523492</v>
      </c>
      <c r="AX279" s="195">
        <f t="shared" si="106"/>
        <v>31251.16455012159</v>
      </c>
      <c r="AY279" s="195">
        <f t="shared" si="106"/>
        <v>31291.248300244766</v>
      </c>
      <c r="AZ279" s="195">
        <f t="shared" si="106"/>
        <v>31332.845417236662</v>
      </c>
      <c r="BA279" s="195">
        <f t="shared" si="106"/>
        <v>31395.874587458748</v>
      </c>
      <c r="BB279" s="195">
        <f t="shared" si="106"/>
        <v>31481.864125932061</v>
      </c>
      <c r="BC279" s="195">
        <f t="shared" si="106"/>
        <v>31582.001661129569</v>
      </c>
      <c r="BD279" s="195">
        <f t="shared" si="106"/>
        <v>31696.299889135254</v>
      </c>
      <c r="BE279" s="195">
        <f t="shared" si="106"/>
        <v>31835.012468827928</v>
      </c>
      <c r="BF279" s="195">
        <f t="shared" si="106"/>
        <v>31977.863862755949</v>
      </c>
      <c r="BG279" s="195">
        <f t="shared" si="106"/>
        <v>32125.11043622308</v>
      </c>
      <c r="BH279" s="195">
        <f t="shared" si="106"/>
        <v>32256.678600936382</v>
      </c>
      <c r="BI279" s="195">
        <f t="shared" si="106"/>
        <v>32363.679297089511</v>
      </c>
      <c r="BJ279" s="195">
        <f t="shared" si="106"/>
        <v>32453.83077765608</v>
      </c>
      <c r="BK279" s="195">
        <f t="shared" si="106"/>
        <v>32509.36390936391</v>
      </c>
      <c r="BL279" s="195">
        <f t="shared" si="106"/>
        <v>32548.319716775601</v>
      </c>
      <c r="BM279" s="195">
        <f t="shared" si="106"/>
        <v>32532.031504617058</v>
      </c>
      <c r="BN279" s="195">
        <f t="shared" si="106"/>
        <v>32517.994579945796</v>
      </c>
      <c r="BO279" s="195">
        <f t="shared" si="106"/>
        <v>32459.12949445796</v>
      </c>
      <c r="BP279" s="195">
        <f t="shared" si="106"/>
        <v>32391.907202589693</v>
      </c>
      <c r="BQ279" s="195">
        <f t="shared" si="106"/>
        <v>32316.094212651413</v>
      </c>
    </row>
    <row r="280" spans="1:69" s="105" customFormat="1">
      <c r="A280" s="105">
        <f>$A$41</f>
        <v>24</v>
      </c>
      <c r="B280" s="114"/>
      <c r="C280" s="114"/>
      <c r="D280" s="114"/>
      <c r="E280" s="114"/>
      <c r="F280" s="114"/>
      <c r="G280" s="114"/>
      <c r="H280" s="114"/>
      <c r="I280" s="114"/>
      <c r="J280" s="114"/>
      <c r="K280" s="114"/>
      <c r="L280" s="114"/>
      <c r="M280" s="195">
        <f>M$134*M$416</f>
        <v>32259.069404730959</v>
      </c>
      <c r="N280" s="195">
        <f t="shared" ref="N280:BQ280" si="107">N$134*N$416</f>
        <v>31469.721577726217</v>
      </c>
      <c r="O280" s="195">
        <f t="shared" si="107"/>
        <v>31490.488173125315</v>
      </c>
      <c r="P280" s="195">
        <f t="shared" si="107"/>
        <v>32016.994508237643</v>
      </c>
      <c r="Q280" s="195">
        <f t="shared" si="107"/>
        <v>30688.769071631756</v>
      </c>
      <c r="R280" s="195">
        <f t="shared" si="107"/>
        <v>30560.957078112504</v>
      </c>
      <c r="S280" s="195">
        <f t="shared" si="107"/>
        <v>29837.422025945347</v>
      </c>
      <c r="T280" s="195">
        <f t="shared" si="107"/>
        <v>30519.989001924663</v>
      </c>
      <c r="U280" s="195">
        <f t="shared" si="107"/>
        <v>30166.298310907529</v>
      </c>
      <c r="V280" s="195">
        <f t="shared" si="107"/>
        <v>29028.759432538485</v>
      </c>
      <c r="W280" s="195">
        <f t="shared" si="107"/>
        <v>29562.473604826544</v>
      </c>
      <c r="X280" s="195">
        <f t="shared" si="107"/>
        <v>29820.99881093936</v>
      </c>
      <c r="Y280" s="195">
        <f t="shared" si="107"/>
        <v>30216.401435836076</v>
      </c>
      <c r="Z280" s="195">
        <f t="shared" si="107"/>
        <v>31151.115361977634</v>
      </c>
      <c r="AA280" s="195">
        <f t="shared" si="107"/>
        <v>32935.490745933821</v>
      </c>
      <c r="AB280" s="195">
        <f t="shared" si="107"/>
        <v>33915.105462412117</v>
      </c>
      <c r="AC280" s="195">
        <f t="shared" si="107"/>
        <v>34443.766059957168</v>
      </c>
      <c r="AD280" s="195">
        <f t="shared" si="107"/>
        <v>34899.685752330224</v>
      </c>
      <c r="AE280" s="195">
        <f t="shared" si="107"/>
        <v>34666.640455531451</v>
      </c>
      <c r="AF280" s="195">
        <f t="shared" si="107"/>
        <v>34552.430650920076</v>
      </c>
      <c r="AG280" s="195">
        <f t="shared" si="107"/>
        <v>34311.168975069253</v>
      </c>
      <c r="AH280" s="195">
        <f t="shared" si="107"/>
        <v>34032.105114439102</v>
      </c>
      <c r="AI280" s="195">
        <f t="shared" si="107"/>
        <v>33971.033701500994</v>
      </c>
      <c r="AJ280" s="195">
        <f t="shared" si="107"/>
        <v>33717.520637631656</v>
      </c>
      <c r="AK280" s="195">
        <f t="shared" si="107"/>
        <v>33524.447568175427</v>
      </c>
      <c r="AL280" s="195">
        <f t="shared" si="107"/>
        <v>32923.736871199559</v>
      </c>
      <c r="AM280" s="195">
        <f t="shared" si="107"/>
        <v>32900.465432770819</v>
      </c>
      <c r="AN280" s="195">
        <f t="shared" si="107"/>
        <v>32344.654662725075</v>
      </c>
      <c r="AO280" s="195">
        <f t="shared" si="107"/>
        <v>32196.327833954234</v>
      </c>
      <c r="AP280" s="195">
        <f t="shared" si="107"/>
        <v>32168.628072957967</v>
      </c>
      <c r="AQ280" s="195">
        <f t="shared" si="107"/>
        <v>32121.895734597158</v>
      </c>
      <c r="AR280" s="195">
        <f t="shared" si="107"/>
        <v>32049.894902785076</v>
      </c>
      <c r="AS280" s="195">
        <f t="shared" si="107"/>
        <v>32165.948502364688</v>
      </c>
      <c r="AT280" s="195">
        <f t="shared" si="107"/>
        <v>32249.013157894737</v>
      </c>
      <c r="AU280" s="195">
        <f t="shared" si="107"/>
        <v>32300.807600950116</v>
      </c>
      <c r="AV280" s="195">
        <f t="shared" si="107"/>
        <v>32338.404452690167</v>
      </c>
      <c r="AW280" s="195">
        <f t="shared" si="107"/>
        <v>32362.80841993072</v>
      </c>
      <c r="AX280" s="195">
        <f t="shared" si="107"/>
        <v>32393.6836461126</v>
      </c>
      <c r="AY280" s="195">
        <f t="shared" si="107"/>
        <v>32423.521316783594</v>
      </c>
      <c r="AZ280" s="195">
        <f t="shared" si="107"/>
        <v>32462.292232482345</v>
      </c>
      <c r="BA280" s="195">
        <f t="shared" si="107"/>
        <v>32502.229508196724</v>
      </c>
      <c r="BB280" s="195">
        <f t="shared" si="107"/>
        <v>32563.238121395221</v>
      </c>
      <c r="BC280" s="195">
        <f t="shared" si="107"/>
        <v>32647.648194099806</v>
      </c>
      <c r="BD280" s="195">
        <f t="shared" si="107"/>
        <v>32763.312137130219</v>
      </c>
      <c r="BE280" s="195">
        <f t="shared" si="107"/>
        <v>32874.100719424459</v>
      </c>
      <c r="BF280" s="195">
        <f t="shared" si="107"/>
        <v>33026.541228555616</v>
      </c>
      <c r="BG280" s="195">
        <f t="shared" si="107"/>
        <v>33173.053329649076</v>
      </c>
      <c r="BH280" s="195">
        <f t="shared" si="107"/>
        <v>33322.994210090983</v>
      </c>
      <c r="BI280" s="195">
        <f t="shared" si="107"/>
        <v>33457.464943634863</v>
      </c>
      <c r="BJ280" s="195">
        <f t="shared" si="107"/>
        <v>33574.165067178503</v>
      </c>
      <c r="BK280" s="195">
        <f t="shared" si="107"/>
        <v>33655.002733734284</v>
      </c>
      <c r="BL280" s="195">
        <f t="shared" si="107"/>
        <v>33728.73500545256</v>
      </c>
      <c r="BM280" s="195">
        <f t="shared" si="107"/>
        <v>33746.23164763458</v>
      </c>
      <c r="BN280" s="195">
        <f t="shared" si="107"/>
        <v>33756.566314076481</v>
      </c>
      <c r="BO280" s="195">
        <f t="shared" si="107"/>
        <v>33719.642857142855</v>
      </c>
      <c r="BP280" s="195">
        <f t="shared" si="107"/>
        <v>33684.341252699785</v>
      </c>
      <c r="BQ280" s="195">
        <f t="shared" si="107"/>
        <v>33603.064907083222</v>
      </c>
    </row>
    <row r="281" spans="1:69" s="105" customFormat="1">
      <c r="A281" s="105">
        <f>$A$42</f>
        <v>25</v>
      </c>
      <c r="B281" s="114"/>
      <c r="C281" s="114"/>
      <c r="D281" s="114"/>
      <c r="E281" s="114"/>
      <c r="F281" s="114"/>
      <c r="G281" s="114"/>
      <c r="H281" s="114"/>
      <c r="I281" s="114"/>
      <c r="J281" s="114"/>
      <c r="K281" s="114"/>
      <c r="L281" s="114"/>
      <c r="M281" s="195">
        <f>M$135*M$417</f>
        <v>33371.528861154446</v>
      </c>
      <c r="N281" s="195">
        <f t="shared" ref="N281:BQ281" si="108">N$135*N$417</f>
        <v>33511.581863979853</v>
      </c>
      <c r="O281" s="195">
        <f t="shared" si="108"/>
        <v>32442.751069720616</v>
      </c>
      <c r="P281" s="195">
        <f t="shared" si="108"/>
        <v>33158.781575037145</v>
      </c>
      <c r="Q281" s="195">
        <f t="shared" si="108"/>
        <v>32729.109131403118</v>
      </c>
      <c r="R281" s="195">
        <f t="shared" si="108"/>
        <v>31524.243285123968</v>
      </c>
      <c r="S281" s="195">
        <f t="shared" si="108"/>
        <v>31469.310620175671</v>
      </c>
      <c r="T281" s="195">
        <f t="shared" si="108"/>
        <v>30716.825571782862</v>
      </c>
      <c r="U281" s="195">
        <f t="shared" si="108"/>
        <v>31431.438769906643</v>
      </c>
      <c r="V281" s="195">
        <f t="shared" si="108"/>
        <v>31061.714775650187</v>
      </c>
      <c r="W281" s="195">
        <f t="shared" si="108"/>
        <v>29904.983428743599</v>
      </c>
      <c r="X281" s="195">
        <f t="shared" si="108"/>
        <v>30461.728395061727</v>
      </c>
      <c r="Y281" s="195">
        <f t="shared" si="108"/>
        <v>30743.977441377261</v>
      </c>
      <c r="Z281" s="195">
        <f t="shared" si="108"/>
        <v>31145.482233502538</v>
      </c>
      <c r="AA281" s="195">
        <f t="shared" si="108"/>
        <v>32101.559929494713</v>
      </c>
      <c r="AB281" s="195">
        <f t="shared" si="108"/>
        <v>33943.952967525191</v>
      </c>
      <c r="AC281" s="195">
        <f t="shared" si="108"/>
        <v>34958.012958963285</v>
      </c>
      <c r="AD281" s="195">
        <f t="shared" si="108"/>
        <v>35511.886691608765</v>
      </c>
      <c r="AE281" s="195">
        <f t="shared" si="108"/>
        <v>35985.620845519807</v>
      </c>
      <c r="AF281" s="195">
        <f t="shared" si="108"/>
        <v>35741.962642122358</v>
      </c>
      <c r="AG281" s="195">
        <f t="shared" si="108"/>
        <v>35625.6896078969</v>
      </c>
      <c r="AH281" s="195">
        <f t="shared" si="108"/>
        <v>35385.530973451328</v>
      </c>
      <c r="AI281" s="195">
        <f t="shared" si="108"/>
        <v>35085.552735476595</v>
      </c>
      <c r="AJ281" s="195">
        <f t="shared" si="108"/>
        <v>35045.682782018659</v>
      </c>
      <c r="AK281" s="195">
        <f t="shared" si="108"/>
        <v>34778.402955385049</v>
      </c>
      <c r="AL281" s="195">
        <f t="shared" si="108"/>
        <v>34588.82963794555</v>
      </c>
      <c r="AM281" s="195">
        <f t="shared" si="108"/>
        <v>33954.907586206893</v>
      </c>
      <c r="AN281" s="195">
        <f t="shared" si="108"/>
        <v>33955.108695652176</v>
      </c>
      <c r="AO281" s="195">
        <f t="shared" si="108"/>
        <v>33381.722565065735</v>
      </c>
      <c r="AP281" s="195">
        <f t="shared" si="108"/>
        <v>33229.128586609986</v>
      </c>
      <c r="AQ281" s="195">
        <f t="shared" si="108"/>
        <v>33203.312219583</v>
      </c>
      <c r="AR281" s="195">
        <f t="shared" si="108"/>
        <v>33160.893796004202</v>
      </c>
      <c r="AS281" s="195">
        <f t="shared" si="108"/>
        <v>33075.70828961175</v>
      </c>
      <c r="AT281" s="195">
        <f t="shared" si="108"/>
        <v>33194.879328436517</v>
      </c>
      <c r="AU281" s="195">
        <f t="shared" si="108"/>
        <v>33273.020751247699</v>
      </c>
      <c r="AV281" s="195">
        <f t="shared" si="108"/>
        <v>33337.135704874832</v>
      </c>
      <c r="AW281" s="195">
        <f t="shared" si="108"/>
        <v>33379.743318338187</v>
      </c>
      <c r="AX281" s="195">
        <f t="shared" si="108"/>
        <v>33409.944134078214</v>
      </c>
      <c r="AY281" s="195">
        <f t="shared" si="108"/>
        <v>33428.522483940047</v>
      </c>
      <c r="AZ281" s="195">
        <f t="shared" si="108"/>
        <v>33455.404094827587</v>
      </c>
      <c r="BA281" s="195">
        <f t="shared" si="108"/>
        <v>33501.353036876353</v>
      </c>
      <c r="BB281" s="195">
        <f t="shared" si="108"/>
        <v>33548.292416803051</v>
      </c>
      <c r="BC281" s="195">
        <f t="shared" si="108"/>
        <v>33596.833881578947</v>
      </c>
      <c r="BD281" s="195">
        <f t="shared" si="108"/>
        <v>33686.341866226256</v>
      </c>
      <c r="BE281" s="195">
        <f t="shared" si="108"/>
        <v>33798.410596026486</v>
      </c>
      <c r="BF281" s="195">
        <f t="shared" si="108"/>
        <v>33922.928176795584</v>
      </c>
      <c r="BG281" s="195">
        <f t="shared" si="108"/>
        <v>34070.107705053852</v>
      </c>
      <c r="BH281" s="195">
        <f t="shared" si="108"/>
        <v>34229.972421400991</v>
      </c>
      <c r="BI281" s="195">
        <f t="shared" si="108"/>
        <v>34382.168409466154</v>
      </c>
      <c r="BJ281" s="195">
        <f t="shared" si="108"/>
        <v>34527.312654405709</v>
      </c>
      <c r="BK281" s="195">
        <f t="shared" si="108"/>
        <v>34635.2162014231</v>
      </c>
      <c r="BL281" s="195">
        <f t="shared" si="108"/>
        <v>34744.675218340613</v>
      </c>
      <c r="BM281" s="195">
        <f t="shared" si="108"/>
        <v>34788.571428571428</v>
      </c>
      <c r="BN281" s="195">
        <f t="shared" si="108"/>
        <v>34823.666214382632</v>
      </c>
      <c r="BO281" s="195">
        <f t="shared" si="108"/>
        <v>34831.624255549541</v>
      </c>
      <c r="BP281" s="195">
        <f t="shared" si="108"/>
        <v>34801.825546853899</v>
      </c>
      <c r="BQ281" s="195">
        <f t="shared" si="108"/>
        <v>34753.974669900294</v>
      </c>
    </row>
    <row r="282" spans="1:69" s="105" customFormat="1">
      <c r="A282" s="105">
        <f>$A$43</f>
        <v>26</v>
      </c>
      <c r="B282" s="114"/>
      <c r="C282" s="114"/>
      <c r="D282" s="114"/>
      <c r="E282" s="114"/>
      <c r="F282" s="114"/>
      <c r="G282" s="114"/>
      <c r="H282" s="114"/>
      <c r="I282" s="114"/>
      <c r="J282" s="114"/>
      <c r="K282" s="114"/>
      <c r="L282" s="114"/>
      <c r="M282" s="195">
        <f>M$136*M$418</f>
        <v>33753.318641431164</v>
      </c>
      <c r="N282" s="195">
        <f t="shared" ref="N282:BQ282" si="109">N$136*N$418</f>
        <v>34696.440849342769</v>
      </c>
      <c r="O282" s="195">
        <f t="shared" si="109"/>
        <v>34453.050554870533</v>
      </c>
      <c r="P282" s="195">
        <f t="shared" si="109"/>
        <v>34040.625</v>
      </c>
      <c r="Q282" s="195">
        <f t="shared" si="109"/>
        <v>33635.593220338982</v>
      </c>
      <c r="R282" s="195">
        <f t="shared" si="109"/>
        <v>33344.378552013834</v>
      </c>
      <c r="S282" s="195">
        <f t="shared" si="109"/>
        <v>32186.178442496133</v>
      </c>
      <c r="T282" s="195">
        <f t="shared" si="109"/>
        <v>32127.515280361415</v>
      </c>
      <c r="U282" s="195">
        <f t="shared" si="109"/>
        <v>31351.77392739274</v>
      </c>
      <c r="V282" s="195">
        <f t="shared" si="109"/>
        <v>32075.598794190188</v>
      </c>
      <c r="W282" s="195">
        <f t="shared" si="109"/>
        <v>31690.447803764975</v>
      </c>
      <c r="X282" s="195">
        <f t="shared" si="109"/>
        <v>30519.717378232108</v>
      </c>
      <c r="Y282" s="195">
        <f t="shared" si="109"/>
        <v>31065.1171875</v>
      </c>
      <c r="Z282" s="195">
        <f t="shared" si="109"/>
        <v>31345.051821143028</v>
      </c>
      <c r="AA282" s="195">
        <f t="shared" si="109"/>
        <v>31764.779499404052</v>
      </c>
      <c r="AB282" s="195">
        <f t="shared" si="109"/>
        <v>32737.81882145998</v>
      </c>
      <c r="AC282" s="195">
        <f t="shared" si="109"/>
        <v>34594.054205085216</v>
      </c>
      <c r="AD282" s="195">
        <f t="shared" si="109"/>
        <v>35624.826192400971</v>
      </c>
      <c r="AE282" s="195">
        <f t="shared" si="109"/>
        <v>36181.194985329421</v>
      </c>
      <c r="AF282" s="195">
        <f t="shared" si="109"/>
        <v>36659.036624203822</v>
      </c>
      <c r="AG282" s="195">
        <f t="shared" si="109"/>
        <v>36410.672791137527</v>
      </c>
      <c r="AH282" s="195">
        <f t="shared" si="109"/>
        <v>36288.505747126437</v>
      </c>
      <c r="AI282" s="195">
        <f t="shared" si="109"/>
        <v>36038.219707424782</v>
      </c>
      <c r="AJ282" s="195">
        <f t="shared" si="109"/>
        <v>35733.025612158737</v>
      </c>
      <c r="AK282" s="195">
        <f t="shared" si="109"/>
        <v>35683.503526093089</v>
      </c>
      <c r="AL282" s="195">
        <f t="shared" si="109"/>
        <v>35433.996029495174</v>
      </c>
      <c r="AM282" s="195">
        <f t="shared" si="109"/>
        <v>35215.695883506021</v>
      </c>
      <c r="AN282" s="195">
        <f t="shared" si="109"/>
        <v>34592.973568281937</v>
      </c>
      <c r="AO282" s="195">
        <f t="shared" si="109"/>
        <v>34576.064551125579</v>
      </c>
      <c r="AP282" s="195">
        <f t="shared" si="109"/>
        <v>33988.03212851406</v>
      </c>
      <c r="AQ282" s="195">
        <f t="shared" si="109"/>
        <v>33838.123011664902</v>
      </c>
      <c r="AR282" s="195">
        <f t="shared" si="109"/>
        <v>33809.091387937842</v>
      </c>
      <c r="AS282" s="195">
        <f t="shared" si="109"/>
        <v>33754.422875131168</v>
      </c>
      <c r="AT282" s="195">
        <f t="shared" si="109"/>
        <v>33685.848167539269</v>
      </c>
      <c r="AU282" s="195">
        <f t="shared" si="109"/>
        <v>33806.628272251306</v>
      </c>
      <c r="AV282" s="195">
        <f t="shared" si="109"/>
        <v>33895.477189302568</v>
      </c>
      <c r="AW282" s="195">
        <f t="shared" si="109"/>
        <v>33943.428871943201</v>
      </c>
      <c r="AX282" s="195">
        <f t="shared" si="109"/>
        <v>33979.318721943491</v>
      </c>
      <c r="AY282" s="195">
        <f t="shared" si="109"/>
        <v>34002.736925935758</v>
      </c>
      <c r="AZ282" s="195">
        <f t="shared" si="109"/>
        <v>34033.760683760687</v>
      </c>
      <c r="BA282" s="195">
        <f t="shared" si="109"/>
        <v>34064.112903225803</v>
      </c>
      <c r="BB282" s="195">
        <f t="shared" si="109"/>
        <v>34103.777056277053</v>
      </c>
      <c r="BC282" s="195">
        <f t="shared" si="109"/>
        <v>34154.207947740884</v>
      </c>
      <c r="BD282" s="195">
        <f t="shared" si="109"/>
        <v>34216.080415754921</v>
      </c>
      <c r="BE282" s="195">
        <f t="shared" si="109"/>
        <v>34298.670694864049</v>
      </c>
      <c r="BF282" s="195">
        <f t="shared" si="109"/>
        <v>34413.518722466957</v>
      </c>
      <c r="BG282" s="195">
        <f t="shared" si="109"/>
        <v>34540.407938257995</v>
      </c>
      <c r="BH282" s="195">
        <f t="shared" si="109"/>
        <v>34689.556351612016</v>
      </c>
      <c r="BI282" s="195">
        <f t="shared" si="109"/>
        <v>34850.982388552555</v>
      </c>
      <c r="BJ282" s="195">
        <f t="shared" si="109"/>
        <v>35004.316309719936</v>
      </c>
      <c r="BK282" s="195">
        <f t="shared" si="109"/>
        <v>35150.213640098606</v>
      </c>
      <c r="BL282" s="195">
        <f t="shared" si="109"/>
        <v>35258.306936100489</v>
      </c>
      <c r="BM282" s="195">
        <f t="shared" si="109"/>
        <v>35348.957255649337</v>
      </c>
      <c r="BN282" s="195">
        <f t="shared" si="109"/>
        <v>35421.406462123268</v>
      </c>
      <c r="BO282" s="195">
        <f t="shared" si="109"/>
        <v>35455.6593555375</v>
      </c>
      <c r="BP282" s="195">
        <f t="shared" si="109"/>
        <v>35462.404105888709</v>
      </c>
      <c r="BQ282" s="195">
        <f t="shared" si="109"/>
        <v>35430.988951765023</v>
      </c>
    </row>
    <row r="283" spans="1:69" s="105" customFormat="1">
      <c r="A283" s="105">
        <f>$A$44</f>
        <v>27</v>
      </c>
      <c r="B283" s="114"/>
      <c r="C283" s="114"/>
      <c r="D283" s="114"/>
      <c r="E283" s="114"/>
      <c r="F283" s="114"/>
      <c r="G283" s="114"/>
      <c r="H283" s="114"/>
      <c r="I283" s="114"/>
      <c r="J283" s="114"/>
      <c r="K283" s="114"/>
      <c r="L283" s="114"/>
      <c r="M283" s="195">
        <f>M$137*M$419</f>
        <v>33071.038784919991</v>
      </c>
      <c r="N283" s="195">
        <f t="shared" ref="N283:BQ283" si="110">N$137*N$419</f>
        <v>34879.413993432681</v>
      </c>
      <c r="O283" s="195">
        <f t="shared" si="110"/>
        <v>35430.324739712443</v>
      </c>
      <c r="P283" s="195">
        <f t="shared" si="110"/>
        <v>35744.423357664229</v>
      </c>
      <c r="Q283" s="195">
        <f t="shared" si="110"/>
        <v>34194.052657480315</v>
      </c>
      <c r="R283" s="195">
        <f t="shared" si="110"/>
        <v>33899.215686274511</v>
      </c>
      <c r="S283" s="195">
        <f t="shared" si="110"/>
        <v>33653.004683263498</v>
      </c>
      <c r="T283" s="195">
        <f t="shared" si="110"/>
        <v>32495.920781893004</v>
      </c>
      <c r="U283" s="195">
        <f t="shared" si="110"/>
        <v>32432.949907235623</v>
      </c>
      <c r="V283" s="195">
        <f t="shared" si="110"/>
        <v>31648.526748971191</v>
      </c>
      <c r="W283" s="195">
        <f t="shared" si="110"/>
        <v>32357.045640885488</v>
      </c>
      <c r="X283" s="195">
        <f t="shared" si="110"/>
        <v>31966.393629124006</v>
      </c>
      <c r="Y283" s="195">
        <f t="shared" si="110"/>
        <v>30777.769784172659</v>
      </c>
      <c r="Z283" s="195">
        <f t="shared" si="110"/>
        <v>31315.200718993408</v>
      </c>
      <c r="AA283" s="195">
        <f t="shared" si="110"/>
        <v>31584.127546501328</v>
      </c>
      <c r="AB283" s="195">
        <f t="shared" si="110"/>
        <v>31995.760546642898</v>
      </c>
      <c r="AC283" s="195">
        <f t="shared" si="110"/>
        <v>32959.80707395498</v>
      </c>
      <c r="AD283" s="195">
        <f t="shared" si="110"/>
        <v>34827.216494845357</v>
      </c>
      <c r="AE283" s="195">
        <f t="shared" si="110"/>
        <v>35846.686374630473</v>
      </c>
      <c r="AF283" s="195">
        <f t="shared" si="110"/>
        <v>36393.048683160414</v>
      </c>
      <c r="AG283" s="195">
        <f t="shared" si="110"/>
        <v>36871.582848067759</v>
      </c>
      <c r="AH283" s="195">
        <f t="shared" si="110"/>
        <v>36624.217192131502</v>
      </c>
      <c r="AI283" s="195">
        <f t="shared" si="110"/>
        <v>36492.120633187777</v>
      </c>
      <c r="AJ283" s="195">
        <f t="shared" si="110"/>
        <v>36241.937792458026</v>
      </c>
      <c r="AK283" s="195">
        <f t="shared" si="110"/>
        <v>35926.747123210778</v>
      </c>
      <c r="AL283" s="195">
        <f t="shared" si="110"/>
        <v>35866.374120956396</v>
      </c>
      <c r="AM283" s="195">
        <f t="shared" si="110"/>
        <v>35606.661012157194</v>
      </c>
      <c r="AN283" s="195">
        <f t="shared" si="110"/>
        <v>35397.263334264171</v>
      </c>
      <c r="AO283" s="195">
        <f t="shared" si="110"/>
        <v>34762.144426139486</v>
      </c>
      <c r="AP283" s="195">
        <f t="shared" si="110"/>
        <v>34735.083829096809</v>
      </c>
      <c r="AQ283" s="195">
        <f t="shared" si="110"/>
        <v>34164.865153538049</v>
      </c>
      <c r="AR283" s="195">
        <f t="shared" si="110"/>
        <v>34004.455314648338</v>
      </c>
      <c r="AS283" s="195">
        <f t="shared" si="110"/>
        <v>33984.360388757552</v>
      </c>
      <c r="AT283" s="195">
        <f t="shared" si="110"/>
        <v>33929.4400837258</v>
      </c>
      <c r="AU283" s="195">
        <f t="shared" si="110"/>
        <v>33851.396866840732</v>
      </c>
      <c r="AV283" s="195">
        <f t="shared" si="110"/>
        <v>33963.194988253716</v>
      </c>
      <c r="AW283" s="195">
        <f t="shared" si="110"/>
        <v>34042.875816993466</v>
      </c>
      <c r="AX283" s="195">
        <f t="shared" si="110"/>
        <v>34109.52006294256</v>
      </c>
      <c r="AY283" s="195">
        <f t="shared" si="110"/>
        <v>34145.246247037132</v>
      </c>
      <c r="AZ283" s="195">
        <f t="shared" si="110"/>
        <v>34178.625893566321</v>
      </c>
      <c r="BA283" s="195">
        <f t="shared" si="110"/>
        <v>34200.862849533958</v>
      </c>
      <c r="BB283" s="195">
        <f t="shared" si="110"/>
        <v>34231.48753685339</v>
      </c>
      <c r="BC283" s="195">
        <f t="shared" si="110"/>
        <v>34271.437820339896</v>
      </c>
      <c r="BD283" s="195">
        <f t="shared" si="110"/>
        <v>34312.119402985074</v>
      </c>
      <c r="BE283" s="195">
        <f t="shared" si="110"/>
        <v>34383.557010365519</v>
      </c>
      <c r="BF283" s="195">
        <f t="shared" si="110"/>
        <v>34467.11938663746</v>
      </c>
      <c r="BG283" s="195">
        <f t="shared" si="110"/>
        <v>34571.968158111442</v>
      </c>
      <c r="BH283" s="195">
        <f t="shared" si="110"/>
        <v>34709.266281945595</v>
      </c>
      <c r="BI283" s="195">
        <f t="shared" si="110"/>
        <v>34848.258241758245</v>
      </c>
      <c r="BJ283" s="195">
        <f t="shared" si="110"/>
        <v>35009.777777777774</v>
      </c>
      <c r="BK283" s="195">
        <f t="shared" si="110"/>
        <v>35163.175472214622</v>
      </c>
      <c r="BL283" s="195">
        <f t="shared" si="110"/>
        <v>35309.120699071544</v>
      </c>
      <c r="BM283" s="195">
        <f t="shared" si="110"/>
        <v>35427.606860876673</v>
      </c>
      <c r="BN283" s="195">
        <f t="shared" si="110"/>
        <v>35527.884876459408</v>
      </c>
      <c r="BO283" s="195">
        <f t="shared" si="110"/>
        <v>35590.660530590147</v>
      </c>
      <c r="BP283" s="195">
        <f t="shared" si="110"/>
        <v>35624.84611231101</v>
      </c>
      <c r="BQ283" s="195">
        <f t="shared" si="110"/>
        <v>35621.166172906007</v>
      </c>
    </row>
    <row r="284" spans="1:69" s="105" customFormat="1">
      <c r="A284" s="105">
        <f>$A$45</f>
        <v>28</v>
      </c>
      <c r="B284" s="114"/>
      <c r="C284" s="114"/>
      <c r="D284" s="114"/>
      <c r="E284" s="114"/>
      <c r="F284" s="114"/>
      <c r="G284" s="114"/>
      <c r="H284" s="114"/>
      <c r="I284" s="114"/>
      <c r="J284" s="114"/>
      <c r="K284" s="114"/>
      <c r="L284" s="114"/>
      <c r="M284" s="195">
        <f>M$138*M$420</f>
        <v>31652.822419216471</v>
      </c>
      <c r="N284" s="195">
        <f t="shared" ref="N284:BQ284" si="111">N$138*N$420</f>
        <v>34418.157825283713</v>
      </c>
      <c r="O284" s="195">
        <f t="shared" si="111"/>
        <v>35678.362196932212</v>
      </c>
      <c r="P284" s="195">
        <f t="shared" si="111"/>
        <v>36702.891654465595</v>
      </c>
      <c r="Q284" s="195">
        <f t="shared" si="111"/>
        <v>35902.104502769085</v>
      </c>
      <c r="R284" s="195">
        <f t="shared" si="111"/>
        <v>34481.482387475538</v>
      </c>
      <c r="S284" s="195">
        <f t="shared" si="111"/>
        <v>34246.78362573099</v>
      </c>
      <c r="T284" s="195">
        <f t="shared" si="111"/>
        <v>34100.583190394515</v>
      </c>
      <c r="U284" s="195">
        <f t="shared" si="111"/>
        <v>32935.812883435581</v>
      </c>
      <c r="V284" s="195">
        <f t="shared" si="111"/>
        <v>32851.490258030542</v>
      </c>
      <c r="W284" s="195">
        <f t="shared" si="111"/>
        <v>32050.136239782019</v>
      </c>
      <c r="X284" s="195">
        <f t="shared" si="111"/>
        <v>32752.410423452766</v>
      </c>
      <c r="Y284" s="195">
        <f t="shared" si="111"/>
        <v>32366.212934199379</v>
      </c>
      <c r="Z284" s="195">
        <f t="shared" si="111"/>
        <v>31160.059506099376</v>
      </c>
      <c r="AA284" s="195">
        <f t="shared" si="111"/>
        <v>31700.151650312222</v>
      </c>
      <c r="AB284" s="195">
        <f t="shared" si="111"/>
        <v>31967.863423212191</v>
      </c>
      <c r="AC284" s="195">
        <f t="shared" si="111"/>
        <v>32372.279563550575</v>
      </c>
      <c r="AD284" s="195">
        <f t="shared" si="111"/>
        <v>33338.403946604754</v>
      </c>
      <c r="AE284" s="195">
        <f t="shared" si="111"/>
        <v>35206.82623132263</v>
      </c>
      <c r="AF284" s="195">
        <f t="shared" si="111"/>
        <v>36215.696743192741</v>
      </c>
      <c r="AG284" s="195">
        <f t="shared" si="111"/>
        <v>36772.050739957718</v>
      </c>
      <c r="AH284" s="195">
        <f t="shared" si="111"/>
        <v>37231.948461740729</v>
      </c>
      <c r="AI284" s="195">
        <f t="shared" si="111"/>
        <v>36986.217880085649</v>
      </c>
      <c r="AJ284" s="195">
        <f t="shared" si="111"/>
        <v>36854.020059636758</v>
      </c>
      <c r="AK284" s="195">
        <f t="shared" si="111"/>
        <v>36603.983050847462</v>
      </c>
      <c r="AL284" s="195">
        <f t="shared" si="111"/>
        <v>36280.228475898577</v>
      </c>
      <c r="AM284" s="195">
        <f t="shared" si="111"/>
        <v>36230.027932960897</v>
      </c>
      <c r="AN284" s="195">
        <f t="shared" si="111"/>
        <v>35959.039865244245</v>
      </c>
      <c r="AO284" s="195">
        <f t="shared" si="111"/>
        <v>35747.077093732667</v>
      </c>
      <c r="AP284" s="195">
        <f t="shared" si="111"/>
        <v>35107.982551799345</v>
      </c>
      <c r="AQ284" s="195">
        <f t="shared" si="111"/>
        <v>35088.246038141282</v>
      </c>
      <c r="AR284" s="195">
        <f t="shared" si="111"/>
        <v>34504.137931034478</v>
      </c>
      <c r="AS284" s="195">
        <f t="shared" si="111"/>
        <v>34332.878151260506</v>
      </c>
      <c r="AT284" s="195">
        <f t="shared" si="111"/>
        <v>34311.935820506129</v>
      </c>
      <c r="AU284" s="195">
        <f t="shared" si="111"/>
        <v>34256.385135135133</v>
      </c>
      <c r="AV284" s="195">
        <f t="shared" si="111"/>
        <v>34177.826763485478</v>
      </c>
      <c r="AW284" s="195">
        <f t="shared" si="111"/>
        <v>34308.443983402489</v>
      </c>
      <c r="AX284" s="195">
        <f t="shared" si="111"/>
        <v>34379.028571428571</v>
      </c>
      <c r="AY284" s="195">
        <f t="shared" si="111"/>
        <v>34437.280541807762</v>
      </c>
      <c r="AZ284" s="195">
        <f t="shared" si="111"/>
        <v>34473.609730578079</v>
      </c>
      <c r="BA284" s="195">
        <f t="shared" si="111"/>
        <v>34507.683407835917</v>
      </c>
      <c r="BB284" s="195">
        <f t="shared" si="111"/>
        <v>34539.825396825399</v>
      </c>
      <c r="BC284" s="195">
        <f t="shared" si="111"/>
        <v>34561.474973375931</v>
      </c>
      <c r="BD284" s="195">
        <f t="shared" si="111"/>
        <v>34593.029734797747</v>
      </c>
      <c r="BE284" s="195">
        <f t="shared" si="111"/>
        <v>34644.524386957695</v>
      </c>
      <c r="BF284" s="195">
        <f t="shared" si="111"/>
        <v>34716.793066088838</v>
      </c>
      <c r="BG284" s="195">
        <f t="shared" si="111"/>
        <v>34790.94616639478</v>
      </c>
      <c r="BH284" s="195">
        <f t="shared" si="111"/>
        <v>34906.63941128373</v>
      </c>
      <c r="BI284" s="195">
        <f t="shared" si="111"/>
        <v>35034.253751705321</v>
      </c>
      <c r="BJ284" s="195">
        <f t="shared" si="111"/>
        <v>35184.001636661211</v>
      </c>
      <c r="BK284" s="195">
        <f t="shared" si="111"/>
        <v>35345.900299645873</v>
      </c>
      <c r="BL284" s="195">
        <f t="shared" si="111"/>
        <v>35508.899157379725</v>
      </c>
      <c r="BM284" s="195">
        <f t="shared" si="111"/>
        <v>35655.021691973969</v>
      </c>
      <c r="BN284" s="195">
        <f t="shared" si="111"/>
        <v>35773.560421735609</v>
      </c>
      <c r="BO284" s="195">
        <f t="shared" si="111"/>
        <v>35873.820436775408</v>
      </c>
      <c r="BP284" s="195">
        <f t="shared" si="111"/>
        <v>35926.088709677417</v>
      </c>
      <c r="BQ284" s="195">
        <f t="shared" si="111"/>
        <v>35961.126005361926</v>
      </c>
    </row>
    <row r="285" spans="1:69" s="105" customFormat="1">
      <c r="A285" s="105">
        <f>$A$46</f>
        <v>29</v>
      </c>
      <c r="B285" s="114"/>
      <c r="C285" s="114"/>
      <c r="D285" s="114"/>
      <c r="E285" s="114"/>
      <c r="F285" s="114"/>
      <c r="G285" s="114"/>
      <c r="H285" s="114"/>
      <c r="I285" s="114"/>
      <c r="J285" s="114"/>
      <c r="K285" s="114"/>
      <c r="L285" s="114"/>
      <c r="M285" s="195">
        <f>M$139*M$421</f>
        <v>31148.815236952611</v>
      </c>
      <c r="N285" s="195">
        <f t="shared" ref="N285:BQ285" si="112">N$139*N$421</f>
        <v>32935.705947748749</v>
      </c>
      <c r="O285" s="195">
        <f t="shared" si="112"/>
        <v>35398.412903225806</v>
      </c>
      <c r="P285" s="195">
        <f t="shared" si="112"/>
        <v>37132.775480418386</v>
      </c>
      <c r="Q285" s="195">
        <f t="shared" si="112"/>
        <v>36910.057803468211</v>
      </c>
      <c r="R285" s="195">
        <f t="shared" si="112"/>
        <v>36270.181297709925</v>
      </c>
      <c r="S285" s="195">
        <f t="shared" si="112"/>
        <v>34915.277441240607</v>
      </c>
      <c r="T285" s="195">
        <f t="shared" si="112"/>
        <v>34889.39174511224</v>
      </c>
      <c r="U285" s="195">
        <f t="shared" si="112"/>
        <v>34734.012135922334</v>
      </c>
      <c r="V285" s="195">
        <f t="shared" si="112"/>
        <v>33552.581624905084</v>
      </c>
      <c r="W285" s="195">
        <f t="shared" si="112"/>
        <v>33474.087591240874</v>
      </c>
      <c r="X285" s="195">
        <f t="shared" si="112"/>
        <v>32665.84254516042</v>
      </c>
      <c r="Y285" s="195">
        <f t="shared" si="112"/>
        <v>33372.167606768737</v>
      </c>
      <c r="Z285" s="195">
        <f t="shared" si="112"/>
        <v>32963.321229050278</v>
      </c>
      <c r="AA285" s="195">
        <f t="shared" si="112"/>
        <v>31760.241176470587</v>
      </c>
      <c r="AB285" s="195">
        <f t="shared" si="112"/>
        <v>32293.718400940623</v>
      </c>
      <c r="AC285" s="195">
        <f t="shared" si="112"/>
        <v>32559.91017096494</v>
      </c>
      <c r="AD285" s="195">
        <f t="shared" si="112"/>
        <v>32958.694258233751</v>
      </c>
      <c r="AE285" s="195">
        <f t="shared" si="112"/>
        <v>33946.596843615494</v>
      </c>
      <c r="AF285" s="195">
        <f t="shared" si="112"/>
        <v>35817.601970982752</v>
      </c>
      <c r="AG285" s="195">
        <f t="shared" si="112"/>
        <v>36833.896961690887</v>
      </c>
      <c r="AH285" s="195">
        <f t="shared" si="112"/>
        <v>37392.477112215536</v>
      </c>
      <c r="AI285" s="195">
        <f t="shared" si="112"/>
        <v>37863.459135866739</v>
      </c>
      <c r="AJ285" s="195">
        <f t="shared" si="112"/>
        <v>37609.695364238411</v>
      </c>
      <c r="AK285" s="195">
        <f t="shared" si="112"/>
        <v>37460.235988200591</v>
      </c>
      <c r="AL285" s="195">
        <f t="shared" si="112"/>
        <v>37209.037317468901</v>
      </c>
      <c r="AM285" s="195">
        <f t="shared" si="112"/>
        <v>36897.698456449834</v>
      </c>
      <c r="AN285" s="195">
        <f t="shared" si="112"/>
        <v>36837.480662983427</v>
      </c>
      <c r="AO285" s="195">
        <f t="shared" si="112"/>
        <v>36556.524153248196</v>
      </c>
      <c r="AP285" s="195">
        <f t="shared" si="112"/>
        <v>36349.829950630832</v>
      </c>
      <c r="AQ285" s="195">
        <f t="shared" si="112"/>
        <v>35712.802805503103</v>
      </c>
      <c r="AR285" s="195">
        <f t="shared" si="112"/>
        <v>35680.148817432899</v>
      </c>
      <c r="AS285" s="195">
        <f t="shared" si="112"/>
        <v>35099.850393700784</v>
      </c>
      <c r="AT285" s="195">
        <f t="shared" si="112"/>
        <v>34934.536002079542</v>
      </c>
      <c r="AU285" s="195">
        <f t="shared" si="112"/>
        <v>34912.004132231406</v>
      </c>
      <c r="AV285" s="195">
        <f t="shared" si="112"/>
        <v>34855.261126833029</v>
      </c>
      <c r="AW285" s="195">
        <f t="shared" si="112"/>
        <v>34775.738125802309</v>
      </c>
      <c r="AX285" s="195">
        <f t="shared" si="112"/>
        <v>34888.603696098566</v>
      </c>
      <c r="AY285" s="195">
        <f t="shared" si="112"/>
        <v>34969.511568123395</v>
      </c>
      <c r="AZ285" s="195">
        <f t="shared" si="112"/>
        <v>35028.692962103632</v>
      </c>
      <c r="BA285" s="195">
        <f t="shared" si="112"/>
        <v>35066.114418845456</v>
      </c>
      <c r="BB285" s="195">
        <f t="shared" si="112"/>
        <v>35091.712204007286</v>
      </c>
      <c r="BC285" s="195">
        <f t="shared" si="112"/>
        <v>35125.235602094246</v>
      </c>
      <c r="BD285" s="195">
        <f t="shared" si="112"/>
        <v>35158.21390937829</v>
      </c>
      <c r="BE285" s="195">
        <f t="shared" si="112"/>
        <v>35191.306652531144</v>
      </c>
      <c r="BF285" s="195">
        <f t="shared" si="112"/>
        <v>35234.337509997335</v>
      </c>
      <c r="BG285" s="195">
        <f t="shared" si="112"/>
        <v>35308.054662379422</v>
      </c>
      <c r="BH285" s="195">
        <f t="shared" si="112"/>
        <v>35383.496503496506</v>
      </c>
      <c r="BI285" s="195">
        <f t="shared" si="112"/>
        <v>35509.946062567426</v>
      </c>
      <c r="BJ285" s="195">
        <f t="shared" si="112"/>
        <v>35638.369770580299</v>
      </c>
      <c r="BK285" s="195">
        <f t="shared" si="112"/>
        <v>35779.584457636265</v>
      </c>
      <c r="BL285" s="195">
        <f t="shared" si="112"/>
        <v>35951.517111290756</v>
      </c>
      <c r="BM285" s="195">
        <f t="shared" si="112"/>
        <v>36105.687012637805</v>
      </c>
      <c r="BN285" s="195">
        <f t="shared" si="112"/>
        <v>36252.124463519314</v>
      </c>
      <c r="BO285" s="195">
        <f t="shared" si="112"/>
        <v>36370.751537844342</v>
      </c>
      <c r="BP285" s="195">
        <f t="shared" si="112"/>
        <v>36470.989597225926</v>
      </c>
      <c r="BQ285" s="195">
        <f t="shared" si="112"/>
        <v>36533.382978723406</v>
      </c>
    </row>
    <row r="286" spans="1:69" s="105" customFormat="1">
      <c r="A286" s="105">
        <f>$A$47</f>
        <v>30</v>
      </c>
      <c r="B286" s="114"/>
      <c r="C286" s="114"/>
      <c r="D286" s="114"/>
      <c r="E286" s="114"/>
      <c r="F286" s="114"/>
      <c r="G286" s="114"/>
      <c r="H286" s="114"/>
      <c r="I286" s="114"/>
      <c r="J286" s="114"/>
      <c r="K286" s="114"/>
      <c r="L286" s="114"/>
      <c r="M286" s="195">
        <f>M$140*M$422</f>
        <v>30338.856432566809</v>
      </c>
      <c r="N286" s="195">
        <f t="shared" ref="N286:BQ286" si="113">N$140*N$422</f>
        <v>32496.73957421989</v>
      </c>
      <c r="O286" s="195">
        <f t="shared" si="113"/>
        <v>33828.379994563744</v>
      </c>
      <c r="P286" s="195">
        <f t="shared" si="113"/>
        <v>36739.484771573603</v>
      </c>
      <c r="Q286" s="195">
        <f t="shared" si="113"/>
        <v>37217.609322441131</v>
      </c>
      <c r="R286" s="195">
        <f t="shared" si="113"/>
        <v>37137.23495702006</v>
      </c>
      <c r="S286" s="195">
        <f t="shared" si="113"/>
        <v>36556.731315042576</v>
      </c>
      <c r="T286" s="195">
        <f t="shared" si="113"/>
        <v>35429.397069421088</v>
      </c>
      <c r="U286" s="195">
        <f t="shared" si="113"/>
        <v>35402.742282842788</v>
      </c>
      <c r="V286" s="195">
        <f t="shared" si="113"/>
        <v>35238.279595765162</v>
      </c>
      <c r="W286" s="195">
        <f t="shared" si="113"/>
        <v>34057.848006019565</v>
      </c>
      <c r="X286" s="195">
        <f t="shared" si="113"/>
        <v>33964.505551252259</v>
      </c>
      <c r="Y286" s="195">
        <f t="shared" si="113"/>
        <v>33147.252336448597</v>
      </c>
      <c r="Z286" s="195">
        <f t="shared" si="113"/>
        <v>33855.461558925243</v>
      </c>
      <c r="AA286" s="195">
        <f t="shared" si="113"/>
        <v>33458.893805309737</v>
      </c>
      <c r="AB286" s="195">
        <f t="shared" si="113"/>
        <v>32227.902240325868</v>
      </c>
      <c r="AC286" s="195">
        <f t="shared" si="113"/>
        <v>32762.721721430647</v>
      </c>
      <c r="AD286" s="195">
        <f t="shared" si="113"/>
        <v>33028.348623853213</v>
      </c>
      <c r="AE286" s="195">
        <f t="shared" si="113"/>
        <v>33438.295356215749</v>
      </c>
      <c r="AF286" s="195">
        <f t="shared" si="113"/>
        <v>34408.364565587734</v>
      </c>
      <c r="AG286" s="195">
        <f t="shared" si="113"/>
        <v>36278.742547425478</v>
      </c>
      <c r="AH286" s="195">
        <f t="shared" si="113"/>
        <v>37295.51282051282</v>
      </c>
      <c r="AI286" s="195">
        <f t="shared" si="113"/>
        <v>37853.373056994824</v>
      </c>
      <c r="AJ286" s="195">
        <f t="shared" si="113"/>
        <v>38315.55297757154</v>
      </c>
      <c r="AK286" s="195">
        <f t="shared" si="113"/>
        <v>38062.602308499474</v>
      </c>
      <c r="AL286" s="195">
        <f t="shared" si="113"/>
        <v>37923.162506638342</v>
      </c>
      <c r="AM286" s="195">
        <f t="shared" si="113"/>
        <v>37662.698795180724</v>
      </c>
      <c r="AN286" s="195">
        <f t="shared" si="113"/>
        <v>37341.304229195091</v>
      </c>
      <c r="AO286" s="195">
        <f t="shared" si="113"/>
        <v>37281.115668580802</v>
      </c>
      <c r="AP286" s="195">
        <f t="shared" si="113"/>
        <v>37009.337730145642</v>
      </c>
      <c r="AQ286" s="195">
        <f t="shared" si="113"/>
        <v>36801.425468368179</v>
      </c>
      <c r="AR286" s="195">
        <f t="shared" si="113"/>
        <v>36162.131410256407</v>
      </c>
      <c r="AS286" s="195">
        <f t="shared" si="113"/>
        <v>36128.460526315786</v>
      </c>
      <c r="AT286" s="195">
        <f t="shared" si="113"/>
        <v>35546.347803483237</v>
      </c>
      <c r="AU286" s="195">
        <f t="shared" si="113"/>
        <v>35380.149330587024</v>
      </c>
      <c r="AV286" s="195">
        <f t="shared" si="113"/>
        <v>35357.183422870301</v>
      </c>
      <c r="AW286" s="195">
        <f t="shared" si="113"/>
        <v>35300.109582059122</v>
      </c>
      <c r="AX286" s="195">
        <f t="shared" si="113"/>
        <v>35220.325534079348</v>
      </c>
      <c r="AY286" s="195">
        <f t="shared" si="113"/>
        <v>35342.944317315028</v>
      </c>
      <c r="AZ286" s="195">
        <f t="shared" si="113"/>
        <v>35414.509803921566</v>
      </c>
      <c r="BA286" s="195">
        <f t="shared" si="113"/>
        <v>35473.963227783453</v>
      </c>
      <c r="BB286" s="195">
        <f t="shared" si="113"/>
        <v>35511.699999999997</v>
      </c>
      <c r="BC286" s="195">
        <f t="shared" si="113"/>
        <v>35537.659793814433</v>
      </c>
      <c r="BD286" s="195">
        <f t="shared" si="113"/>
        <v>35571.60746694322</v>
      </c>
      <c r="BE286" s="195">
        <f t="shared" si="113"/>
        <v>35595.743348982789</v>
      </c>
      <c r="BF286" s="195">
        <f t="shared" si="113"/>
        <v>35638.561679790029</v>
      </c>
      <c r="BG286" s="195">
        <f t="shared" si="113"/>
        <v>35682.038014783524</v>
      </c>
      <c r="BH286" s="195">
        <f t="shared" si="113"/>
        <v>35756.200583709207</v>
      </c>
      <c r="BI286" s="195">
        <f t="shared" si="113"/>
        <v>35841.411451398133</v>
      </c>
      <c r="BJ286" s="195">
        <f t="shared" si="113"/>
        <v>35958.649225840898</v>
      </c>
      <c r="BK286" s="195">
        <f t="shared" si="113"/>
        <v>36087.578834847678</v>
      </c>
      <c r="BL286" s="195">
        <f t="shared" si="113"/>
        <v>36238.418380977826</v>
      </c>
      <c r="BM286" s="195">
        <f t="shared" si="113"/>
        <v>36401.181963713978</v>
      </c>
      <c r="BN286" s="195">
        <f t="shared" si="113"/>
        <v>36555.495207667729</v>
      </c>
      <c r="BO286" s="195">
        <f t="shared" si="113"/>
        <v>36692.286245353156</v>
      </c>
      <c r="BP286" s="195">
        <f t="shared" si="113"/>
        <v>36820.683262711864</v>
      </c>
      <c r="BQ286" s="195">
        <f t="shared" si="113"/>
        <v>36911.169791391607</v>
      </c>
    </row>
    <row r="287" spans="1:69" s="105" customFormat="1">
      <c r="A287" s="105">
        <f>$A$48</f>
        <v>31</v>
      </c>
      <c r="B287" s="114"/>
      <c r="C287" s="114"/>
      <c r="D287" s="114"/>
      <c r="E287" s="114"/>
      <c r="F287" s="114"/>
      <c r="G287" s="114"/>
      <c r="H287" s="114"/>
      <c r="I287" s="114"/>
      <c r="J287" s="114"/>
      <c r="K287" s="114"/>
      <c r="L287" s="114"/>
      <c r="M287" s="195">
        <f>M$141*M$423</f>
        <v>29338.579710144924</v>
      </c>
      <c r="N287" s="195">
        <f t="shared" ref="N287:BQ287" si="114">N$141*N$423</f>
        <v>31640.018181818181</v>
      </c>
      <c r="O287" s="195">
        <f t="shared" si="114"/>
        <v>33383.197026022302</v>
      </c>
      <c r="P287" s="195">
        <f t="shared" si="114"/>
        <v>35282.57969461559</v>
      </c>
      <c r="Q287" s="195">
        <f t="shared" si="114"/>
        <v>36866.244662145189</v>
      </c>
      <c r="R287" s="195">
        <f t="shared" si="114"/>
        <v>37484.745762711864</v>
      </c>
      <c r="S287" s="195">
        <f t="shared" si="114"/>
        <v>37467.046263345197</v>
      </c>
      <c r="T287" s="195">
        <f t="shared" si="114"/>
        <v>37142.185663924793</v>
      </c>
      <c r="U287" s="195">
        <f t="shared" si="114"/>
        <v>36003.186157517899</v>
      </c>
      <c r="V287" s="195">
        <f t="shared" si="114"/>
        <v>35966.737993342846</v>
      </c>
      <c r="W287" s="195">
        <f t="shared" si="114"/>
        <v>35811.781018407841</v>
      </c>
      <c r="X287" s="195">
        <f t="shared" si="114"/>
        <v>34614.515566625152</v>
      </c>
      <c r="Y287" s="195">
        <f t="shared" si="114"/>
        <v>34515.149961548319</v>
      </c>
      <c r="Z287" s="195">
        <f t="shared" si="114"/>
        <v>33698.892128279884</v>
      </c>
      <c r="AA287" s="195">
        <f t="shared" si="114"/>
        <v>34409.136519672567</v>
      </c>
      <c r="AB287" s="195">
        <f t="shared" si="114"/>
        <v>33987.122085048009</v>
      </c>
      <c r="AC287" s="195">
        <f t="shared" si="114"/>
        <v>32766.935064935067</v>
      </c>
      <c r="AD287" s="195">
        <f t="shared" si="114"/>
        <v>33312.890106720508</v>
      </c>
      <c r="AE287" s="195">
        <f t="shared" si="114"/>
        <v>33567.696245733787</v>
      </c>
      <c r="AF287" s="195">
        <f t="shared" si="114"/>
        <v>33969.816933638445</v>
      </c>
      <c r="AG287" s="195">
        <f t="shared" si="114"/>
        <v>34941.087017741484</v>
      </c>
      <c r="AH287" s="195">
        <f t="shared" si="114"/>
        <v>36813.218607152463</v>
      </c>
      <c r="AI287" s="195">
        <f t="shared" si="114"/>
        <v>37837.963636363638</v>
      </c>
      <c r="AJ287" s="195">
        <f t="shared" si="114"/>
        <v>38386.959876543209</v>
      </c>
      <c r="AK287" s="195">
        <f t="shared" si="114"/>
        <v>38859.283337599176</v>
      </c>
      <c r="AL287" s="195">
        <f t="shared" si="114"/>
        <v>38597.427753189273</v>
      </c>
      <c r="AM287" s="195">
        <f t="shared" si="114"/>
        <v>38459.528202424881</v>
      </c>
      <c r="AN287" s="195">
        <f t="shared" si="114"/>
        <v>38197.820887589689</v>
      </c>
      <c r="AO287" s="195">
        <f t="shared" si="114"/>
        <v>37867.162966973468</v>
      </c>
      <c r="AP287" s="195">
        <f t="shared" si="114"/>
        <v>37817.291723202172</v>
      </c>
      <c r="AQ287" s="195">
        <f t="shared" si="114"/>
        <v>37545.30679029179</v>
      </c>
      <c r="AR287" s="195">
        <f t="shared" si="114"/>
        <v>37325.700431034478</v>
      </c>
      <c r="AS287" s="195">
        <f t="shared" si="114"/>
        <v>36674.264510999201</v>
      </c>
      <c r="AT287" s="195">
        <f t="shared" si="114"/>
        <v>36658.307210031351</v>
      </c>
      <c r="AU287" s="195">
        <f t="shared" si="114"/>
        <v>36064.434984520121</v>
      </c>
      <c r="AV287" s="195">
        <f t="shared" si="114"/>
        <v>35906.917965755172</v>
      </c>
      <c r="AW287" s="195">
        <f t="shared" si="114"/>
        <v>35873.68207211783</v>
      </c>
      <c r="AX287" s="195">
        <f t="shared" si="114"/>
        <v>35825.833544143687</v>
      </c>
      <c r="AY287" s="195">
        <f t="shared" si="114"/>
        <v>35736.112092905831</v>
      </c>
      <c r="AZ287" s="195">
        <f t="shared" si="114"/>
        <v>35858.970217062095</v>
      </c>
      <c r="BA287" s="195">
        <f t="shared" si="114"/>
        <v>35949.853387259864</v>
      </c>
      <c r="BB287" s="195">
        <f t="shared" si="114"/>
        <v>35999.992395437264</v>
      </c>
      <c r="BC287" s="195">
        <f t="shared" si="114"/>
        <v>36038.116569101556</v>
      </c>
      <c r="BD287" s="195">
        <f t="shared" si="114"/>
        <v>36074.3207981581</v>
      </c>
      <c r="BE287" s="195">
        <f t="shared" si="114"/>
        <v>36089.593412249102</v>
      </c>
      <c r="BF287" s="195">
        <f t="shared" si="114"/>
        <v>36123.634480973335</v>
      </c>
      <c r="BG287" s="195">
        <f t="shared" si="114"/>
        <v>36157.634800729356</v>
      </c>
      <c r="BH287" s="195">
        <f t="shared" si="114"/>
        <v>36211.053183128111</v>
      </c>
      <c r="BI287" s="195">
        <f t="shared" si="114"/>
        <v>36285.792522380201</v>
      </c>
      <c r="BJ287" s="195">
        <f t="shared" si="114"/>
        <v>36362.050739957718</v>
      </c>
      <c r="BK287" s="195">
        <f t="shared" si="114"/>
        <v>36479.74569536424</v>
      </c>
      <c r="BL287" s="195">
        <f t="shared" si="114"/>
        <v>36609.037390612568</v>
      </c>
      <c r="BM287" s="195">
        <f t="shared" si="114"/>
        <v>36760.188229056206</v>
      </c>
      <c r="BN287" s="195">
        <f t="shared" si="114"/>
        <v>36923.208895949167</v>
      </c>
      <c r="BO287" s="195">
        <f t="shared" si="114"/>
        <v>37077.677675033025</v>
      </c>
      <c r="BP287" s="195">
        <f t="shared" si="114"/>
        <v>37214.545454545456</v>
      </c>
      <c r="BQ287" s="195">
        <f t="shared" si="114"/>
        <v>37352.431011826542</v>
      </c>
    </row>
    <row r="288" spans="1:69" s="105" customFormat="1">
      <c r="A288" s="105">
        <f>$A$49</f>
        <v>32</v>
      </c>
      <c r="B288" s="114"/>
      <c r="C288" s="114"/>
      <c r="D288" s="114"/>
      <c r="E288" s="114"/>
      <c r="F288" s="114"/>
      <c r="G288" s="114"/>
      <c r="H288" s="114"/>
      <c r="I288" s="114"/>
      <c r="J288" s="114"/>
      <c r="K288" s="114"/>
      <c r="L288" s="114"/>
      <c r="M288" s="195">
        <f>M$142*M$424</f>
        <v>28604.809619238476</v>
      </c>
      <c r="N288" s="195">
        <f t="shared" ref="N288:BQ288" si="115">N$142*N$424</f>
        <v>30522.545799115604</v>
      </c>
      <c r="O288" s="195">
        <f t="shared" si="115"/>
        <v>32495.843535383698</v>
      </c>
      <c r="P288" s="195">
        <f t="shared" si="115"/>
        <v>34667.208710407242</v>
      </c>
      <c r="Q288" s="195">
        <f t="shared" si="115"/>
        <v>35445.872340425529</v>
      </c>
      <c r="R288" s="195">
        <f t="shared" si="115"/>
        <v>37148.578934200646</v>
      </c>
      <c r="S288" s="195">
        <f t="shared" si="115"/>
        <v>37826.485136741976</v>
      </c>
      <c r="T288" s="195">
        <f t="shared" si="115"/>
        <v>38003.167099976366</v>
      </c>
      <c r="U288" s="195">
        <f t="shared" si="115"/>
        <v>37675.630999765861</v>
      </c>
      <c r="V288" s="195">
        <f t="shared" si="115"/>
        <v>36525.083214455539</v>
      </c>
      <c r="W288" s="195">
        <f t="shared" si="115"/>
        <v>36478.73045949787</v>
      </c>
      <c r="X288" s="195">
        <f t="shared" si="115"/>
        <v>36314.798761609905</v>
      </c>
      <c r="Y288" s="195">
        <f t="shared" si="115"/>
        <v>35118.620689655174</v>
      </c>
      <c r="Z288" s="195">
        <f t="shared" si="115"/>
        <v>35022.517232575949</v>
      </c>
      <c r="AA288" s="195">
        <f t="shared" si="115"/>
        <v>34189.171503957783</v>
      </c>
      <c r="AB288" s="195">
        <f t="shared" si="115"/>
        <v>34900.886142519063</v>
      </c>
      <c r="AC288" s="195">
        <f t="shared" si="115"/>
        <v>34481.357552581263</v>
      </c>
      <c r="AD288" s="195">
        <f t="shared" si="115"/>
        <v>33262.849755817297</v>
      </c>
      <c r="AE288" s="195">
        <f t="shared" si="115"/>
        <v>33790.63145809414</v>
      </c>
      <c r="AF288" s="195">
        <f t="shared" si="115"/>
        <v>34064.779161947903</v>
      </c>
      <c r="AG288" s="195">
        <f t="shared" si="115"/>
        <v>34458.51366742597</v>
      </c>
      <c r="AH288" s="195">
        <f t="shared" si="115"/>
        <v>35431.132604429491</v>
      </c>
      <c r="AI288" s="195">
        <f t="shared" si="115"/>
        <v>37303.90896921017</v>
      </c>
      <c r="AJ288" s="195">
        <f t="shared" si="115"/>
        <v>38328.541505042667</v>
      </c>
      <c r="AK288" s="195">
        <f t="shared" si="115"/>
        <v>38878.053777208705</v>
      </c>
      <c r="AL288" s="195">
        <f t="shared" si="115"/>
        <v>39351.185015290524</v>
      </c>
      <c r="AM288" s="195">
        <f t="shared" si="115"/>
        <v>39089.83666061706</v>
      </c>
      <c r="AN288" s="195">
        <f t="shared" si="115"/>
        <v>38942.692206769876</v>
      </c>
      <c r="AO288" s="195">
        <f t="shared" si="115"/>
        <v>38691.989417989418</v>
      </c>
      <c r="AP288" s="195">
        <f t="shared" si="115"/>
        <v>38372.741239892181</v>
      </c>
      <c r="AQ288" s="195">
        <f t="shared" si="115"/>
        <v>38301.717990275531</v>
      </c>
      <c r="AR288" s="195">
        <f t="shared" si="115"/>
        <v>38029.538545059717</v>
      </c>
      <c r="AS288" s="195">
        <f t="shared" si="115"/>
        <v>37818.307403433479</v>
      </c>
      <c r="AT288" s="195">
        <f t="shared" si="115"/>
        <v>37162.970976253302</v>
      </c>
      <c r="AU288" s="195">
        <f t="shared" si="115"/>
        <v>37146.460338101431</v>
      </c>
      <c r="AV288" s="195">
        <f t="shared" si="115"/>
        <v>36539.737991266375</v>
      </c>
      <c r="AW288" s="195">
        <f t="shared" si="115"/>
        <v>36381.038167938932</v>
      </c>
      <c r="AX288" s="195">
        <f t="shared" si="115"/>
        <v>36356.890012642223</v>
      </c>
      <c r="AY288" s="195">
        <f t="shared" si="115"/>
        <v>36298.881612090678</v>
      </c>
      <c r="AZ288" s="195">
        <f t="shared" si="115"/>
        <v>36227.833081950732</v>
      </c>
      <c r="BA288" s="195">
        <f t="shared" si="115"/>
        <v>36331.882382508171</v>
      </c>
      <c r="BB288" s="195">
        <f t="shared" si="115"/>
        <v>36423.141203121064</v>
      </c>
      <c r="BC288" s="195">
        <f t="shared" si="115"/>
        <v>36473.619384149417</v>
      </c>
      <c r="BD288" s="195">
        <f t="shared" si="115"/>
        <v>36512.194627470853</v>
      </c>
      <c r="BE288" s="195">
        <f t="shared" si="115"/>
        <v>36548.968415690273</v>
      </c>
      <c r="BF288" s="195">
        <f t="shared" si="115"/>
        <v>36574.78483606557</v>
      </c>
      <c r="BG288" s="195">
        <f t="shared" si="115"/>
        <v>36599.430412371134</v>
      </c>
      <c r="BH288" s="195">
        <f t="shared" si="115"/>
        <v>36643.529564315351</v>
      </c>
      <c r="BI288" s="195">
        <f t="shared" si="115"/>
        <v>36688.158581116331</v>
      </c>
      <c r="BJ288" s="195">
        <f t="shared" si="115"/>
        <v>36753.938679245286</v>
      </c>
      <c r="BK288" s="195">
        <f t="shared" si="115"/>
        <v>36849.763220205205</v>
      </c>
      <c r="BL288" s="195">
        <f t="shared" si="115"/>
        <v>36967.993143459913</v>
      </c>
      <c r="BM288" s="195">
        <f t="shared" si="115"/>
        <v>37087.909738717339</v>
      </c>
      <c r="BN288" s="195">
        <f t="shared" si="115"/>
        <v>37239.382585751977</v>
      </c>
      <c r="BO288" s="195">
        <f t="shared" si="115"/>
        <v>37402.671936758896</v>
      </c>
      <c r="BP288" s="195">
        <f t="shared" si="115"/>
        <v>37557.291611885354</v>
      </c>
      <c r="BQ288" s="195">
        <f t="shared" si="115"/>
        <v>37704.118572927597</v>
      </c>
    </row>
    <row r="289" spans="1:69" s="105" customFormat="1">
      <c r="A289" s="105">
        <f>$A$50</f>
        <v>33</v>
      </c>
      <c r="B289" s="114"/>
      <c r="C289" s="114"/>
      <c r="D289" s="114"/>
      <c r="E289" s="114"/>
      <c r="F289" s="114"/>
      <c r="G289" s="114"/>
      <c r="H289" s="114"/>
      <c r="I289" s="114"/>
      <c r="J289" s="114"/>
      <c r="K289" s="114"/>
      <c r="L289" s="114"/>
      <c r="M289" s="195">
        <f>M$143*M$425</f>
        <v>28714.966216216217</v>
      </c>
      <c r="N289" s="195">
        <f t="shared" ref="N289:BQ289" si="116">N$143*N$425</f>
        <v>29731.084812623274</v>
      </c>
      <c r="O289" s="195">
        <f t="shared" si="116"/>
        <v>31329.666146645865</v>
      </c>
      <c r="P289" s="195">
        <f t="shared" si="116"/>
        <v>33696.53049141504</v>
      </c>
      <c r="Q289" s="195">
        <f t="shared" si="116"/>
        <v>34785.531496062991</v>
      </c>
      <c r="R289" s="195">
        <f t="shared" si="116"/>
        <v>35655.894988066822</v>
      </c>
      <c r="S289" s="195">
        <f t="shared" si="116"/>
        <v>37422.450711255304</v>
      </c>
      <c r="T289" s="195">
        <f t="shared" si="116"/>
        <v>38209.110320284701</v>
      </c>
      <c r="U289" s="195">
        <f t="shared" si="116"/>
        <v>38376.081112945059</v>
      </c>
      <c r="V289" s="195">
        <f t="shared" si="116"/>
        <v>38037.673440784863</v>
      </c>
      <c r="W289" s="195">
        <f t="shared" si="116"/>
        <v>36886.124288425046</v>
      </c>
      <c r="X289" s="195">
        <f t="shared" si="116"/>
        <v>36840.200803212851</v>
      </c>
      <c r="Y289" s="195">
        <f t="shared" si="116"/>
        <v>36676.456057007126</v>
      </c>
      <c r="Z289" s="195">
        <f t="shared" si="116"/>
        <v>35471.49925779317</v>
      </c>
      <c r="AA289" s="195">
        <f t="shared" si="116"/>
        <v>35376.307613954668</v>
      </c>
      <c r="AB289" s="195">
        <f t="shared" si="116"/>
        <v>34543.278947368417</v>
      </c>
      <c r="AC289" s="195">
        <f t="shared" si="116"/>
        <v>35237.265338227582</v>
      </c>
      <c r="AD289" s="195">
        <f t="shared" si="116"/>
        <v>34818.744553376906</v>
      </c>
      <c r="AE289" s="195">
        <f t="shared" si="116"/>
        <v>33600.701402805615</v>
      </c>
      <c r="AF289" s="195">
        <f t="shared" si="116"/>
        <v>34129.270386266093</v>
      </c>
      <c r="AG289" s="195">
        <f t="shared" si="116"/>
        <v>34383.318284424378</v>
      </c>
      <c r="AH289" s="195">
        <f t="shared" si="116"/>
        <v>34787.88876276958</v>
      </c>
      <c r="AI289" s="195">
        <f t="shared" si="116"/>
        <v>35760.290665176071</v>
      </c>
      <c r="AJ289" s="195">
        <f t="shared" si="116"/>
        <v>37633.259476775231</v>
      </c>
      <c r="AK289" s="195">
        <f t="shared" si="116"/>
        <v>38657.710159876224</v>
      </c>
      <c r="AL289" s="195">
        <f t="shared" si="116"/>
        <v>39207.400408580186</v>
      </c>
      <c r="AM289" s="195">
        <f t="shared" si="116"/>
        <v>39680.782719186784</v>
      </c>
      <c r="AN289" s="195">
        <f t="shared" si="116"/>
        <v>39409.594210390285</v>
      </c>
      <c r="AO289" s="195">
        <f t="shared" si="116"/>
        <v>39271.412872841443</v>
      </c>
      <c r="AP289" s="195">
        <f t="shared" si="116"/>
        <v>39011.374307570557</v>
      </c>
      <c r="AQ289" s="195">
        <f t="shared" si="116"/>
        <v>38681.963997850617</v>
      </c>
      <c r="AR289" s="195">
        <f t="shared" si="116"/>
        <v>38621.319687584168</v>
      </c>
      <c r="AS289" s="195">
        <f t="shared" si="116"/>
        <v>38338.771645021647</v>
      </c>
      <c r="AT289" s="195">
        <f t="shared" si="116"/>
        <v>38127.435828877002</v>
      </c>
      <c r="AU289" s="195">
        <f t="shared" si="116"/>
        <v>37481.68902920284</v>
      </c>
      <c r="AV289" s="195">
        <f t="shared" si="116"/>
        <v>37464.703137153228</v>
      </c>
      <c r="AW289" s="195">
        <f t="shared" si="116"/>
        <v>36867.156762295082</v>
      </c>
      <c r="AX289" s="195">
        <f t="shared" si="116"/>
        <v>36708.292311596044</v>
      </c>
      <c r="AY289" s="195">
        <f t="shared" si="116"/>
        <v>36674.807159062264</v>
      </c>
      <c r="AZ289" s="195">
        <f t="shared" si="116"/>
        <v>36616.755399296839</v>
      </c>
      <c r="BA289" s="195">
        <f t="shared" si="116"/>
        <v>36535.994987468672</v>
      </c>
      <c r="BB289" s="195">
        <f t="shared" si="116"/>
        <v>36658.907268170427</v>
      </c>
      <c r="BC289" s="195">
        <f t="shared" si="116"/>
        <v>36741.04140526976</v>
      </c>
      <c r="BD289" s="195">
        <f t="shared" si="116"/>
        <v>36800.775232821543</v>
      </c>
      <c r="BE289" s="195">
        <f t="shared" si="116"/>
        <v>36830.128852956033</v>
      </c>
      <c r="BF289" s="195">
        <f t="shared" si="116"/>
        <v>36866.98831894363</v>
      </c>
      <c r="BG289" s="195">
        <f t="shared" si="116"/>
        <v>36902.257982120049</v>
      </c>
      <c r="BH289" s="195">
        <f t="shared" si="116"/>
        <v>36926.995630943202</v>
      </c>
      <c r="BI289" s="195">
        <f t="shared" si="116"/>
        <v>36961.690796277144</v>
      </c>
      <c r="BJ289" s="195">
        <f t="shared" si="116"/>
        <v>37006.354654186172</v>
      </c>
      <c r="BK289" s="195">
        <f t="shared" si="116"/>
        <v>37081.865691141888</v>
      </c>
      <c r="BL289" s="195">
        <f t="shared" si="116"/>
        <v>37158.623131392604</v>
      </c>
      <c r="BM289" s="195">
        <f t="shared" si="116"/>
        <v>37276.916403785486</v>
      </c>
      <c r="BN289" s="195">
        <f t="shared" si="116"/>
        <v>37406.235201262825</v>
      </c>
      <c r="BO289" s="195">
        <f t="shared" si="116"/>
        <v>37557.738032614412</v>
      </c>
      <c r="BP289" s="195">
        <f t="shared" si="116"/>
        <v>37721.063829787236</v>
      </c>
      <c r="BQ289" s="195">
        <f t="shared" si="116"/>
        <v>37886.196592398424</v>
      </c>
    </row>
    <row r="290" spans="1:69" s="105" customFormat="1">
      <c r="A290" s="105">
        <f>$A$51</f>
        <v>34</v>
      </c>
      <c r="B290" s="114"/>
      <c r="C290" s="114"/>
      <c r="D290" s="114"/>
      <c r="E290" s="114"/>
      <c r="F290" s="114"/>
      <c r="G290" s="114"/>
      <c r="H290" s="114"/>
      <c r="I290" s="114"/>
      <c r="J290" s="114"/>
      <c r="K290" s="114"/>
      <c r="L290" s="114"/>
      <c r="M290" s="195">
        <f>M$144*M$426</f>
        <v>28387.633378932969</v>
      </c>
      <c r="N290" s="195">
        <f t="shared" ref="N290:BQ290" si="117">N$144*N$426</f>
        <v>29790.479201331113</v>
      </c>
      <c r="O290" s="195">
        <f t="shared" si="117"/>
        <v>30486.541084767781</v>
      </c>
      <c r="P290" s="195">
        <f t="shared" si="117"/>
        <v>32282.709557686361</v>
      </c>
      <c r="Q290" s="195">
        <f t="shared" si="117"/>
        <v>33799.782224838142</v>
      </c>
      <c r="R290" s="195">
        <f t="shared" si="117"/>
        <v>34994.385866517106</v>
      </c>
      <c r="S290" s="195">
        <f t="shared" si="117"/>
        <v>35918.624702459667</v>
      </c>
      <c r="T290" s="195">
        <f t="shared" si="117"/>
        <v>37739.691388750623</v>
      </c>
      <c r="U290" s="195">
        <f t="shared" si="117"/>
        <v>38534.07573964497</v>
      </c>
      <c r="V290" s="195">
        <f t="shared" si="117"/>
        <v>38701.136203246293</v>
      </c>
      <c r="W290" s="195">
        <f t="shared" si="117"/>
        <v>38353.299161230199</v>
      </c>
      <c r="X290" s="195">
        <f t="shared" si="117"/>
        <v>37201.514076176958</v>
      </c>
      <c r="Y290" s="195">
        <f t="shared" si="117"/>
        <v>37145.642234268205</v>
      </c>
      <c r="Z290" s="195">
        <f t="shared" si="117"/>
        <v>36982.080568720376</v>
      </c>
      <c r="AA290" s="195">
        <f t="shared" si="117"/>
        <v>35777.354392892397</v>
      </c>
      <c r="AB290" s="195">
        <f t="shared" si="117"/>
        <v>35673.646521076691</v>
      </c>
      <c r="AC290" s="195">
        <f t="shared" si="117"/>
        <v>34840.787194961951</v>
      </c>
      <c r="AD290" s="195">
        <f t="shared" si="117"/>
        <v>35534.470588235294</v>
      </c>
      <c r="AE290" s="195">
        <f t="shared" si="117"/>
        <v>35106.549008960086</v>
      </c>
      <c r="AF290" s="195">
        <f t="shared" si="117"/>
        <v>33878.28767123288</v>
      </c>
      <c r="AG290" s="195">
        <f t="shared" si="117"/>
        <v>34417.159155733025</v>
      </c>
      <c r="AH290" s="195">
        <f t="shared" si="117"/>
        <v>34671.282700421936</v>
      </c>
      <c r="AI290" s="195">
        <f t="shared" si="117"/>
        <v>35065.346534653465</v>
      </c>
      <c r="AJ290" s="195">
        <f t="shared" si="117"/>
        <v>36027.604456824512</v>
      </c>
      <c r="AK290" s="195">
        <f t="shared" si="117"/>
        <v>37900.500266098985</v>
      </c>
      <c r="AL290" s="195">
        <f t="shared" si="117"/>
        <v>38924.556441244538</v>
      </c>
      <c r="AM290" s="195">
        <f t="shared" si="117"/>
        <v>39474.206773618534</v>
      </c>
      <c r="AN290" s="195">
        <f t="shared" si="117"/>
        <v>39947.47085656361</v>
      </c>
      <c r="AO290" s="195">
        <f t="shared" si="117"/>
        <v>39676.036082474224</v>
      </c>
      <c r="AP290" s="195">
        <f t="shared" si="117"/>
        <v>39537.646751891472</v>
      </c>
      <c r="AQ290" s="195">
        <f t="shared" si="117"/>
        <v>39267.310018406519</v>
      </c>
      <c r="AR290" s="195">
        <f t="shared" si="117"/>
        <v>38957.393517278324</v>
      </c>
      <c r="AS290" s="195">
        <f t="shared" si="117"/>
        <v>38886.314093959736</v>
      </c>
      <c r="AT290" s="195">
        <f t="shared" si="117"/>
        <v>38614.281089830052</v>
      </c>
      <c r="AU290" s="195">
        <f t="shared" si="117"/>
        <v>38394.001599573443</v>
      </c>
      <c r="AV290" s="195">
        <f t="shared" si="117"/>
        <v>37748.644112247574</v>
      </c>
      <c r="AW290" s="195">
        <f t="shared" si="117"/>
        <v>37722.169079627718</v>
      </c>
      <c r="AX290" s="195">
        <f t="shared" si="117"/>
        <v>37126.14913176711</v>
      </c>
      <c r="AY290" s="195">
        <f t="shared" si="117"/>
        <v>36957.880091070074</v>
      </c>
      <c r="AZ290" s="195">
        <f t="shared" si="117"/>
        <v>36933.964303670182</v>
      </c>
      <c r="BA290" s="195">
        <f t="shared" si="117"/>
        <v>36885.504633107943</v>
      </c>
      <c r="BB290" s="195">
        <f t="shared" si="117"/>
        <v>36805.186203449135</v>
      </c>
      <c r="BC290" s="195">
        <f t="shared" si="117"/>
        <v>36928.275862068964</v>
      </c>
      <c r="BD290" s="195">
        <f t="shared" si="117"/>
        <v>37000.290290290293</v>
      </c>
      <c r="BE290" s="195">
        <f t="shared" si="117"/>
        <v>37060.456712672523</v>
      </c>
      <c r="BF290" s="195">
        <f t="shared" si="117"/>
        <v>37108.38246409675</v>
      </c>
      <c r="BG290" s="195">
        <f t="shared" si="117"/>
        <v>37125.772151898731</v>
      </c>
      <c r="BH290" s="195">
        <f t="shared" si="117"/>
        <v>37151.367456073342</v>
      </c>
      <c r="BI290" s="195">
        <f t="shared" si="117"/>
        <v>37195.321547527543</v>
      </c>
      <c r="BJ290" s="195">
        <f t="shared" si="117"/>
        <v>37229.768041237112</v>
      </c>
      <c r="BK290" s="195">
        <f t="shared" si="117"/>
        <v>37274.183514774493</v>
      </c>
      <c r="BL290" s="195">
        <f t="shared" si="117"/>
        <v>37349.512893982806</v>
      </c>
      <c r="BM290" s="195">
        <f t="shared" si="117"/>
        <v>37426.026143790848</v>
      </c>
      <c r="BN290" s="195">
        <f t="shared" si="117"/>
        <v>37544.158805031446</v>
      </c>
      <c r="BO290" s="195">
        <f t="shared" si="117"/>
        <v>37673.259900340934</v>
      </c>
      <c r="BP290" s="195">
        <f t="shared" si="117"/>
        <v>37824.635553224958</v>
      </c>
      <c r="BQ290" s="195">
        <f t="shared" si="117"/>
        <v>37987.873788949983</v>
      </c>
    </row>
    <row r="291" spans="1:69" s="105" customFormat="1">
      <c r="A291" s="105">
        <f>$A$52</f>
        <v>35</v>
      </c>
      <c r="B291" s="114"/>
      <c r="C291" s="114"/>
      <c r="D291" s="114"/>
      <c r="E291" s="114"/>
      <c r="F291" s="114"/>
      <c r="G291" s="114"/>
      <c r="H291" s="114"/>
      <c r="I291" s="114"/>
      <c r="J291" s="114"/>
      <c r="K291" s="114"/>
      <c r="L291" s="114"/>
      <c r="M291" s="195">
        <f>M$145*M$427</f>
        <v>27761.98440822112</v>
      </c>
      <c r="N291" s="195">
        <f t="shared" ref="N291:BQ291" si="118">N$145*N$427</f>
        <v>29357.150084317032</v>
      </c>
      <c r="O291" s="195">
        <f t="shared" si="118"/>
        <v>30505.121790651745</v>
      </c>
      <c r="P291" s="195">
        <f t="shared" si="118"/>
        <v>31611.340206185567</v>
      </c>
      <c r="Q291" s="195">
        <f t="shared" si="118"/>
        <v>32372.969230769231</v>
      </c>
      <c r="R291" s="195">
        <f t="shared" si="118"/>
        <v>33987.455239213385</v>
      </c>
      <c r="S291" s="195">
        <f t="shared" si="118"/>
        <v>35217.021812080537</v>
      </c>
      <c r="T291" s="195">
        <f t="shared" si="118"/>
        <v>36195.77947771037</v>
      </c>
      <c r="U291" s="195">
        <f t="shared" si="118"/>
        <v>38026.35212316861</v>
      </c>
      <c r="V291" s="195">
        <f t="shared" si="118"/>
        <v>38811.272727272728</v>
      </c>
      <c r="W291" s="195">
        <f t="shared" si="118"/>
        <v>38959.352264726593</v>
      </c>
      <c r="X291" s="195">
        <f t="shared" si="118"/>
        <v>38630.020925366196</v>
      </c>
      <c r="Y291" s="195">
        <f t="shared" si="118"/>
        <v>37468.873937677054</v>
      </c>
      <c r="Z291" s="195">
        <f t="shared" si="118"/>
        <v>37422.523518344307</v>
      </c>
      <c r="AA291" s="195">
        <f t="shared" si="118"/>
        <v>37240.926713947993</v>
      </c>
      <c r="AB291" s="195">
        <f t="shared" si="118"/>
        <v>36036.225997045789</v>
      </c>
      <c r="AC291" s="195">
        <f t="shared" si="118"/>
        <v>35932.279635258354</v>
      </c>
      <c r="AD291" s="195">
        <f t="shared" si="118"/>
        <v>35089.62051818896</v>
      </c>
      <c r="AE291" s="195">
        <f t="shared" si="118"/>
        <v>35792.923076923078</v>
      </c>
      <c r="AF291" s="195">
        <f t="shared" si="118"/>
        <v>35374.102355808282</v>
      </c>
      <c r="AG291" s="195">
        <f t="shared" si="118"/>
        <v>34136.311895276034</v>
      </c>
      <c r="AH291" s="195">
        <f t="shared" si="118"/>
        <v>34673.984641638228</v>
      </c>
      <c r="AI291" s="195">
        <f t="shared" si="118"/>
        <v>34928.330995792428</v>
      </c>
      <c r="AJ291" s="195">
        <f t="shared" si="118"/>
        <v>35322.019746121296</v>
      </c>
      <c r="AK291" s="195">
        <f t="shared" si="118"/>
        <v>36284</v>
      </c>
      <c r="AL291" s="195">
        <f t="shared" si="118"/>
        <v>38156.831210191085</v>
      </c>
      <c r="AM291" s="195">
        <f t="shared" si="118"/>
        <v>39171.723518850988</v>
      </c>
      <c r="AN291" s="195">
        <f t="shared" si="118"/>
        <v>39720.0127000254</v>
      </c>
      <c r="AO291" s="195">
        <f t="shared" si="118"/>
        <v>40173.520343694719</v>
      </c>
      <c r="AP291" s="195">
        <f t="shared" si="118"/>
        <v>39921.285347043704</v>
      </c>
      <c r="AQ291" s="195">
        <f t="shared" si="118"/>
        <v>39773.826742976067</v>
      </c>
      <c r="AR291" s="195">
        <f t="shared" si="118"/>
        <v>39512.226593233674</v>
      </c>
      <c r="AS291" s="195">
        <f t="shared" si="118"/>
        <v>39182.083333333336</v>
      </c>
      <c r="AT291" s="195">
        <f t="shared" si="118"/>
        <v>39132.562248995986</v>
      </c>
      <c r="AU291" s="195">
        <f t="shared" si="118"/>
        <v>38848.499193114578</v>
      </c>
      <c r="AV291" s="195">
        <f t="shared" si="118"/>
        <v>38629.090909090912</v>
      </c>
      <c r="AW291" s="195">
        <f t="shared" si="118"/>
        <v>37975.849895397485</v>
      </c>
      <c r="AX291" s="195">
        <f t="shared" si="118"/>
        <v>37959.481825212686</v>
      </c>
      <c r="AY291" s="195">
        <f t="shared" si="118"/>
        <v>37374.223127865516</v>
      </c>
      <c r="AZ291" s="195">
        <f t="shared" si="118"/>
        <v>37197.053481331983</v>
      </c>
      <c r="BA291" s="195">
        <f t="shared" si="118"/>
        <v>37173.464527450487</v>
      </c>
      <c r="BB291" s="195">
        <f t="shared" si="118"/>
        <v>37125.214785214783</v>
      </c>
      <c r="BC291" s="195">
        <f t="shared" si="118"/>
        <v>37045.102193419742</v>
      </c>
      <c r="BD291" s="195">
        <f t="shared" si="118"/>
        <v>37168.063792673813</v>
      </c>
      <c r="BE291" s="195">
        <f t="shared" si="118"/>
        <v>37249.323683553783</v>
      </c>
      <c r="BF291" s="195">
        <f t="shared" si="118"/>
        <v>37309.324324324327</v>
      </c>
      <c r="BG291" s="195">
        <f t="shared" si="118"/>
        <v>37347.610552763814</v>
      </c>
      <c r="BH291" s="195">
        <f t="shared" si="118"/>
        <v>37374.141414141413</v>
      </c>
      <c r="BI291" s="195">
        <f t="shared" si="118"/>
        <v>37399.469273743016</v>
      </c>
      <c r="BJ291" s="195">
        <f t="shared" si="118"/>
        <v>37433.725089422587</v>
      </c>
      <c r="BK291" s="195">
        <f t="shared" si="118"/>
        <v>37467.848882035469</v>
      </c>
      <c r="BL291" s="195">
        <f t="shared" si="118"/>
        <v>37511.94107004394</v>
      </c>
      <c r="BM291" s="195">
        <f t="shared" si="118"/>
        <v>37587.012987012989</v>
      </c>
      <c r="BN291" s="195">
        <f t="shared" si="118"/>
        <v>37672.632950990614</v>
      </c>
      <c r="BO291" s="195">
        <f t="shared" si="118"/>
        <v>37790.546119675986</v>
      </c>
      <c r="BP291" s="195">
        <f t="shared" si="118"/>
        <v>37920.502092050207</v>
      </c>
      <c r="BQ291" s="195">
        <f t="shared" si="118"/>
        <v>38071.749019607843</v>
      </c>
    </row>
    <row r="292" spans="1:69" s="105" customFormat="1">
      <c r="A292" s="105">
        <f>$A$53</f>
        <v>36</v>
      </c>
      <c r="B292" s="114"/>
      <c r="C292" s="114"/>
      <c r="D292" s="114"/>
      <c r="E292" s="114"/>
      <c r="F292" s="114"/>
      <c r="G292" s="114"/>
      <c r="H292" s="114"/>
      <c r="I292" s="114"/>
      <c r="J292" s="114"/>
      <c r="K292" s="114"/>
      <c r="L292" s="114"/>
      <c r="M292" s="195">
        <f>M$146*M$428</f>
        <v>27397.975766215251</v>
      </c>
      <c r="N292" s="195">
        <f t="shared" ref="N292:BQ292" si="119">N$146*N$428</f>
        <v>28763.685314685314</v>
      </c>
      <c r="O292" s="195">
        <f t="shared" si="119"/>
        <v>30130.423898531375</v>
      </c>
      <c r="P292" s="195">
        <f t="shared" si="119"/>
        <v>31471.022541653056</v>
      </c>
      <c r="Q292" s="195">
        <f t="shared" si="119"/>
        <v>31701.51923076923</v>
      </c>
      <c r="R292" s="195">
        <f t="shared" si="119"/>
        <v>32569.244935543276</v>
      </c>
      <c r="S292" s="195">
        <f t="shared" si="119"/>
        <v>34209.613583138176</v>
      </c>
      <c r="T292" s="195">
        <f t="shared" si="119"/>
        <v>35495.5078125</v>
      </c>
      <c r="U292" s="195">
        <f t="shared" si="119"/>
        <v>36473.556198999737</v>
      </c>
      <c r="V292" s="195">
        <f t="shared" si="119"/>
        <v>38304</v>
      </c>
      <c r="W292" s="195">
        <f t="shared" si="119"/>
        <v>39087.623762376235</v>
      </c>
      <c r="X292" s="195">
        <f t="shared" si="119"/>
        <v>39235.759137769448</v>
      </c>
      <c r="Y292" s="195">
        <f t="shared" si="119"/>
        <v>38897.12230215827</v>
      </c>
      <c r="Z292" s="195">
        <f t="shared" si="119"/>
        <v>37735.871819038643</v>
      </c>
      <c r="AA292" s="195">
        <f t="shared" si="119"/>
        <v>37680.13145539906</v>
      </c>
      <c r="AB292" s="195">
        <f t="shared" si="119"/>
        <v>37498.607833883907</v>
      </c>
      <c r="AC292" s="195">
        <f t="shared" si="119"/>
        <v>36294.054054054053</v>
      </c>
      <c r="AD292" s="195">
        <f t="shared" si="119"/>
        <v>36199.696663296258</v>
      </c>
      <c r="AE292" s="195">
        <f t="shared" si="119"/>
        <v>35357.746736292429</v>
      </c>
      <c r="AF292" s="195">
        <f t="shared" si="119"/>
        <v>36051.233090530695</v>
      </c>
      <c r="AG292" s="195">
        <f t="shared" si="119"/>
        <v>35632.360886007562</v>
      </c>
      <c r="AH292" s="195">
        <f t="shared" si="119"/>
        <v>34394.561453306836</v>
      </c>
      <c r="AI292" s="195">
        <f t="shared" si="119"/>
        <v>34932.224113475175</v>
      </c>
      <c r="AJ292" s="195">
        <f t="shared" si="119"/>
        <v>35186.653609401234</v>
      </c>
      <c r="AK292" s="195">
        <f t="shared" si="119"/>
        <v>35580.303882948792</v>
      </c>
      <c r="AL292" s="195">
        <f t="shared" si="119"/>
        <v>36542.24438902743</v>
      </c>
      <c r="AM292" s="195">
        <f t="shared" si="119"/>
        <v>38415.107227958702</v>
      </c>
      <c r="AN292" s="195">
        <f t="shared" si="119"/>
        <v>39430.07932446264</v>
      </c>
      <c r="AO292" s="195">
        <f t="shared" si="119"/>
        <v>39968.955904713635</v>
      </c>
      <c r="AP292" s="195">
        <f t="shared" si="119"/>
        <v>40442.042875157626</v>
      </c>
      <c r="AQ292" s="195">
        <f t="shared" si="119"/>
        <v>40170.197486535006</v>
      </c>
      <c r="AR292" s="195">
        <f t="shared" si="119"/>
        <v>40021.074487412407</v>
      </c>
      <c r="AS292" s="195">
        <f t="shared" si="119"/>
        <v>39770.518053375199</v>
      </c>
      <c r="AT292" s="195">
        <f t="shared" si="119"/>
        <v>39440.319744204637</v>
      </c>
      <c r="AU292" s="195">
        <f t="shared" si="119"/>
        <v>39369.172229639516</v>
      </c>
      <c r="AV292" s="195">
        <f t="shared" si="119"/>
        <v>39097.357123691974</v>
      </c>
      <c r="AW292" s="195">
        <f t="shared" si="119"/>
        <v>38887.478122513923</v>
      </c>
      <c r="AX292" s="195">
        <f t="shared" si="119"/>
        <v>38234.388207670236</v>
      </c>
      <c r="AY292" s="195">
        <f t="shared" si="119"/>
        <v>38218.104423868317</v>
      </c>
      <c r="AZ292" s="195">
        <f t="shared" si="119"/>
        <v>37633.016518424396</v>
      </c>
      <c r="BA292" s="195">
        <f t="shared" si="119"/>
        <v>37465.288195318397</v>
      </c>
      <c r="BB292" s="195">
        <f t="shared" si="119"/>
        <v>37441.755877938973</v>
      </c>
      <c r="BC292" s="195">
        <f t="shared" si="119"/>
        <v>37384.111637179165</v>
      </c>
      <c r="BD292" s="195">
        <f t="shared" si="119"/>
        <v>37303.596120368071</v>
      </c>
      <c r="BE292" s="195">
        <f t="shared" si="119"/>
        <v>37417.105917453999</v>
      </c>
      <c r="BF292" s="195">
        <f t="shared" si="119"/>
        <v>37508.217131474106</v>
      </c>
      <c r="BG292" s="195">
        <f t="shared" si="119"/>
        <v>37568.214731585518</v>
      </c>
      <c r="BH292" s="195">
        <f t="shared" si="119"/>
        <v>37606.480320882423</v>
      </c>
      <c r="BI292" s="195">
        <f t="shared" si="119"/>
        <v>37623.49622166247</v>
      </c>
      <c r="BJ292" s="195">
        <f t="shared" si="119"/>
        <v>37658.259437547509</v>
      </c>
      <c r="BK292" s="195">
        <f t="shared" si="119"/>
        <v>37682.90519877676</v>
      </c>
      <c r="BL292" s="195">
        <f t="shared" si="119"/>
        <v>37726.584615384614</v>
      </c>
      <c r="BM292" s="195">
        <f t="shared" si="119"/>
        <v>37780.04125838061</v>
      </c>
      <c r="BN292" s="195">
        <f t="shared" si="119"/>
        <v>37845.318652849739</v>
      </c>
      <c r="BO292" s="195">
        <f t="shared" si="119"/>
        <v>37931.877275090999</v>
      </c>
      <c r="BP292" s="195">
        <f t="shared" si="119"/>
        <v>38039.254626009904</v>
      </c>
      <c r="BQ292" s="195">
        <f t="shared" si="119"/>
        <v>38188.51030524393</v>
      </c>
    </row>
    <row r="293" spans="1:69" s="105" customFormat="1">
      <c r="A293" s="105">
        <f>$A$54</f>
        <v>37</v>
      </c>
      <c r="B293" s="114"/>
      <c r="C293" s="114"/>
      <c r="D293" s="114"/>
      <c r="E293" s="114"/>
      <c r="F293" s="114"/>
      <c r="G293" s="114"/>
      <c r="H293" s="114"/>
      <c r="I293" s="114"/>
      <c r="J293" s="114"/>
      <c r="K293" s="114"/>
      <c r="L293" s="114"/>
      <c r="M293" s="195">
        <f>M$147*M$429</f>
        <v>26907.22891566265</v>
      </c>
      <c r="N293" s="195">
        <f t="shared" ref="N293:BQ293" si="120">N$147*N$429</f>
        <v>28305</v>
      </c>
      <c r="O293" s="195">
        <f t="shared" si="120"/>
        <v>29584.314404432131</v>
      </c>
      <c r="P293" s="195">
        <f t="shared" si="120"/>
        <v>31142.472654955254</v>
      </c>
      <c r="Q293" s="195">
        <f t="shared" si="120"/>
        <v>31549.700910273081</v>
      </c>
      <c r="R293" s="195">
        <f t="shared" si="120"/>
        <v>31888.493763991042</v>
      </c>
      <c r="S293" s="195">
        <f t="shared" si="120"/>
        <v>32782.853643600734</v>
      </c>
      <c r="T293" s="195">
        <f t="shared" si="120"/>
        <v>34479.956178790533</v>
      </c>
      <c r="U293" s="195">
        <f t="shared" si="120"/>
        <v>35765.566694514062</v>
      </c>
      <c r="V293" s="195">
        <f t="shared" si="120"/>
        <v>36742.574881765635</v>
      </c>
      <c r="W293" s="195">
        <f t="shared" si="120"/>
        <v>38572.746165264718</v>
      </c>
      <c r="X293" s="195">
        <f t="shared" si="120"/>
        <v>39355.424805836665</v>
      </c>
      <c r="Y293" s="195">
        <f t="shared" si="120"/>
        <v>39503.57192982456</v>
      </c>
      <c r="Z293" s="195">
        <f t="shared" si="120"/>
        <v>39164.411492122337</v>
      </c>
      <c r="AA293" s="195">
        <f t="shared" si="120"/>
        <v>38012.128910844505</v>
      </c>
      <c r="AB293" s="195">
        <f t="shared" si="120"/>
        <v>37947.399250234303</v>
      </c>
      <c r="AC293" s="195">
        <f t="shared" si="120"/>
        <v>37765.465253239105</v>
      </c>
      <c r="AD293" s="195">
        <f t="shared" si="120"/>
        <v>36561.672388425701</v>
      </c>
      <c r="AE293" s="195">
        <f t="shared" si="120"/>
        <v>36458.62764883956</v>
      </c>
      <c r="AF293" s="195">
        <f t="shared" si="120"/>
        <v>35626.223612197027</v>
      </c>
      <c r="AG293" s="195">
        <f t="shared" si="120"/>
        <v>36320.277849909115</v>
      </c>
      <c r="AH293" s="195">
        <f t="shared" si="120"/>
        <v>35902.359126449177</v>
      </c>
      <c r="AI293" s="195">
        <f t="shared" si="120"/>
        <v>34664.6898895497</v>
      </c>
      <c r="AJ293" s="195">
        <f t="shared" si="120"/>
        <v>35193.388055476935</v>
      </c>
      <c r="AK293" s="195">
        <f t="shared" si="120"/>
        <v>35447.682858738131</v>
      </c>
      <c r="AL293" s="195">
        <f t="shared" si="120"/>
        <v>35841.802358225716</v>
      </c>
      <c r="AM293" s="195">
        <f t="shared" si="120"/>
        <v>36804.053082665196</v>
      </c>
      <c r="AN293" s="195">
        <f t="shared" si="120"/>
        <v>38666.208718626156</v>
      </c>
      <c r="AO293" s="195">
        <f t="shared" si="120"/>
        <v>39681.082737487231</v>
      </c>
      <c r="AP293" s="195">
        <f t="shared" si="120"/>
        <v>40240.252908447146</v>
      </c>
      <c r="AQ293" s="195">
        <f t="shared" si="120"/>
        <v>40693.269569594762</v>
      </c>
      <c r="AR293" s="195">
        <f t="shared" si="120"/>
        <v>40431.000767852573</v>
      </c>
      <c r="AS293" s="195">
        <f t="shared" si="120"/>
        <v>40293.069153069155</v>
      </c>
      <c r="AT293" s="195">
        <f t="shared" si="120"/>
        <v>40042.605744125329</v>
      </c>
      <c r="AU293" s="195">
        <f t="shared" si="120"/>
        <v>39701.46237702739</v>
      </c>
      <c r="AV293" s="195">
        <f t="shared" si="120"/>
        <v>39641.521449507061</v>
      </c>
      <c r="AW293" s="195">
        <f t="shared" si="120"/>
        <v>39369.68406961178</v>
      </c>
      <c r="AX293" s="195">
        <f t="shared" si="120"/>
        <v>39148.356708123843</v>
      </c>
      <c r="AY293" s="195">
        <f t="shared" si="120"/>
        <v>38494.725331944806</v>
      </c>
      <c r="AZ293" s="195">
        <f t="shared" si="120"/>
        <v>38488.714065708416</v>
      </c>
      <c r="BA293" s="195">
        <f t="shared" si="120"/>
        <v>37883.144016227183</v>
      </c>
      <c r="BB293" s="195">
        <f t="shared" si="120"/>
        <v>37724.782717910071</v>
      </c>
      <c r="BC293" s="195">
        <f t="shared" si="120"/>
        <v>37701.168247628557</v>
      </c>
      <c r="BD293" s="195">
        <f t="shared" si="120"/>
        <v>37644.022874191942</v>
      </c>
      <c r="BE293" s="195">
        <f t="shared" si="120"/>
        <v>37563.424317617864</v>
      </c>
      <c r="BF293" s="195">
        <f t="shared" si="120"/>
        <v>37686.327543424319</v>
      </c>
      <c r="BG293" s="195">
        <f t="shared" si="120"/>
        <v>37768.17391304348</v>
      </c>
      <c r="BH293" s="195">
        <f t="shared" si="120"/>
        <v>37818.243647234682</v>
      </c>
      <c r="BI293" s="195">
        <f t="shared" si="120"/>
        <v>37866.595797898946</v>
      </c>
      <c r="BJ293" s="195">
        <f t="shared" si="120"/>
        <v>37902.589240824534</v>
      </c>
      <c r="BK293" s="195">
        <f t="shared" si="120"/>
        <v>37927.957532861474</v>
      </c>
      <c r="BL293" s="195">
        <f t="shared" si="120"/>
        <v>37962.34231943031</v>
      </c>
      <c r="BM293" s="195">
        <f t="shared" si="120"/>
        <v>37996.508058326937</v>
      </c>
      <c r="BN293" s="195">
        <f t="shared" si="120"/>
        <v>38040.648314895807</v>
      </c>
      <c r="BO293" s="195">
        <f t="shared" si="120"/>
        <v>38106.024812613083</v>
      </c>
      <c r="BP293" s="195">
        <f t="shared" si="120"/>
        <v>38202.101167315173</v>
      </c>
      <c r="BQ293" s="195">
        <f t="shared" si="120"/>
        <v>38309.539781591266</v>
      </c>
    </row>
    <row r="294" spans="1:69" s="105" customFormat="1">
      <c r="A294" s="105">
        <f>$A$55</f>
        <v>38</v>
      </c>
      <c r="B294" s="114"/>
      <c r="C294" s="114"/>
      <c r="D294" s="114"/>
      <c r="E294" s="114"/>
      <c r="F294" s="114"/>
      <c r="G294" s="114"/>
      <c r="H294" s="114"/>
      <c r="I294" s="114"/>
      <c r="J294" s="114"/>
      <c r="K294" s="114"/>
      <c r="L294" s="114"/>
      <c r="M294" s="195">
        <f>M$148*M$430</f>
        <v>26422.79466271312</v>
      </c>
      <c r="N294" s="195">
        <f t="shared" ref="N294:BQ294" si="121">N$148*N$430</f>
        <v>27773.444043321302</v>
      </c>
      <c r="O294" s="195">
        <f t="shared" si="121"/>
        <v>28908.998604326585</v>
      </c>
      <c r="P294" s="195">
        <f t="shared" si="121"/>
        <v>30407.98073615411</v>
      </c>
      <c r="Q294" s="195">
        <f t="shared" si="121"/>
        <v>31228.976897689769</v>
      </c>
      <c r="R294" s="195">
        <f t="shared" si="121"/>
        <v>31715.872809863726</v>
      </c>
      <c r="S294" s="195">
        <f t="shared" si="121"/>
        <v>32100.191448627949</v>
      </c>
      <c r="T294" s="195">
        <f t="shared" si="121"/>
        <v>33032.420537897313</v>
      </c>
      <c r="U294" s="195">
        <f t="shared" si="121"/>
        <v>34729.731700204145</v>
      </c>
      <c r="V294" s="195">
        <f t="shared" si="121"/>
        <v>36015.187656380316</v>
      </c>
      <c r="W294" s="195">
        <f t="shared" si="121"/>
        <v>36991.500524658972</v>
      </c>
      <c r="X294" s="195">
        <f t="shared" si="121"/>
        <v>38821.52173913044</v>
      </c>
      <c r="Y294" s="195">
        <f t="shared" si="121"/>
        <v>39594.218566392476</v>
      </c>
      <c r="Z294" s="195">
        <f t="shared" si="121"/>
        <v>39761.681850035035</v>
      </c>
      <c r="AA294" s="195">
        <f t="shared" si="121"/>
        <v>39402.906062008333</v>
      </c>
      <c r="AB294" s="195">
        <f t="shared" si="121"/>
        <v>38250.387596899229</v>
      </c>
      <c r="AC294" s="195">
        <f t="shared" si="121"/>
        <v>38185.566214319137</v>
      </c>
      <c r="AD294" s="195">
        <f t="shared" si="121"/>
        <v>38013.116913667371</v>
      </c>
      <c r="AE294" s="195">
        <f t="shared" si="121"/>
        <v>36809.564152791383</v>
      </c>
      <c r="AF294" s="195">
        <f t="shared" si="121"/>
        <v>36707.183879093202</v>
      </c>
      <c r="AG294" s="195">
        <f t="shared" si="121"/>
        <v>35865.759625390216</v>
      </c>
      <c r="AH294" s="195">
        <f t="shared" si="121"/>
        <v>36560.069984447902</v>
      </c>
      <c r="AI294" s="195">
        <f t="shared" si="121"/>
        <v>36142.586114101185</v>
      </c>
      <c r="AJ294" s="195">
        <f t="shared" si="121"/>
        <v>34905.138496325606</v>
      </c>
      <c r="AK294" s="195">
        <f t="shared" si="121"/>
        <v>35443.505649717517</v>
      </c>
      <c r="AL294" s="195">
        <f t="shared" si="121"/>
        <v>35697.743103928668</v>
      </c>
      <c r="AM294" s="195">
        <f t="shared" si="121"/>
        <v>36092.149061361728</v>
      </c>
      <c r="AN294" s="195">
        <f t="shared" si="121"/>
        <v>37054.580573951433</v>
      </c>
      <c r="AO294" s="195">
        <f t="shared" si="121"/>
        <v>38916.793248945149</v>
      </c>
      <c r="AP294" s="195">
        <f t="shared" si="121"/>
        <v>39931.572775936787</v>
      </c>
      <c r="AQ294" s="195">
        <f t="shared" si="121"/>
        <v>40481.444079777837</v>
      </c>
      <c r="AR294" s="195">
        <f t="shared" si="121"/>
        <v>40943.977386934668</v>
      </c>
      <c r="AS294" s="195">
        <f t="shared" si="121"/>
        <v>40672.457843638222</v>
      </c>
      <c r="AT294" s="195">
        <f t="shared" si="121"/>
        <v>40534.669079627718</v>
      </c>
      <c r="AU294" s="195">
        <f t="shared" si="121"/>
        <v>40273.783220427307</v>
      </c>
      <c r="AV294" s="195">
        <f t="shared" si="121"/>
        <v>39954.506369426752</v>
      </c>
      <c r="AW294" s="195">
        <f t="shared" si="121"/>
        <v>39892.755319148935</v>
      </c>
      <c r="AX294" s="195">
        <f t="shared" si="121"/>
        <v>39610.339300026717</v>
      </c>
      <c r="AY294" s="195">
        <f t="shared" si="121"/>
        <v>39399.949828360179</v>
      </c>
      <c r="AZ294" s="195">
        <f t="shared" si="121"/>
        <v>38745.778124188102</v>
      </c>
      <c r="BA294" s="195">
        <f t="shared" si="121"/>
        <v>38729.057377049183</v>
      </c>
      <c r="BB294" s="195">
        <f t="shared" si="121"/>
        <v>38143.199190078463</v>
      </c>
      <c r="BC294" s="195">
        <f t="shared" si="121"/>
        <v>37974.991225871141</v>
      </c>
      <c r="BD294" s="195">
        <f t="shared" si="121"/>
        <v>37951.292974588934</v>
      </c>
      <c r="BE294" s="195">
        <f t="shared" si="121"/>
        <v>37893.484735666418</v>
      </c>
      <c r="BF294" s="195">
        <f t="shared" si="121"/>
        <v>37822.752043596731</v>
      </c>
      <c r="BG294" s="195">
        <f t="shared" si="121"/>
        <v>37926.401684001983</v>
      </c>
      <c r="BH294" s="195">
        <f t="shared" si="121"/>
        <v>38008.251921646421</v>
      </c>
      <c r="BI294" s="195">
        <f t="shared" si="121"/>
        <v>38068.363998010944</v>
      </c>
      <c r="BJ294" s="195">
        <f t="shared" si="121"/>
        <v>38116.153270094859</v>
      </c>
      <c r="BK294" s="195">
        <f t="shared" si="121"/>
        <v>38152.910185649773</v>
      </c>
      <c r="BL294" s="195">
        <f t="shared" si="121"/>
        <v>38178.360242179617</v>
      </c>
      <c r="BM294" s="195">
        <f t="shared" si="121"/>
        <v>38202.578680203042</v>
      </c>
      <c r="BN294" s="195">
        <f t="shared" si="121"/>
        <v>38236.762828695428</v>
      </c>
      <c r="BO294" s="195">
        <f t="shared" si="121"/>
        <v>38291.360718870346</v>
      </c>
      <c r="BP294" s="195">
        <f t="shared" si="121"/>
        <v>38355.746711374777</v>
      </c>
      <c r="BQ294" s="195">
        <f t="shared" si="121"/>
        <v>38442.443696608854</v>
      </c>
    </row>
    <row r="295" spans="1:69" s="105" customFormat="1">
      <c r="A295" s="105">
        <f>$A$56</f>
        <v>39</v>
      </c>
      <c r="B295" s="114"/>
      <c r="C295" s="114"/>
      <c r="D295" s="114"/>
      <c r="E295" s="114"/>
      <c r="F295" s="114"/>
      <c r="G295" s="114"/>
      <c r="H295" s="114"/>
      <c r="I295" s="114"/>
      <c r="J295" s="114"/>
      <c r="K295" s="114"/>
      <c r="L295" s="114"/>
      <c r="M295" s="195">
        <f>M$149*M$431</f>
        <v>25691.700835231586</v>
      </c>
      <c r="N295" s="195">
        <f t="shared" ref="N295:BQ295" si="122">N$149*N$431</f>
        <v>27249.082905355834</v>
      </c>
      <c r="O295" s="195">
        <f t="shared" si="122"/>
        <v>28457.406876790832</v>
      </c>
      <c r="P295" s="195">
        <f t="shared" si="122"/>
        <v>29785.045107564194</v>
      </c>
      <c r="Q295" s="195">
        <f t="shared" si="122"/>
        <v>30483.899931459902</v>
      </c>
      <c r="R295" s="195">
        <f t="shared" si="122"/>
        <v>31385.176276771002</v>
      </c>
      <c r="S295" s="195">
        <f t="shared" si="122"/>
        <v>31918.600583090378</v>
      </c>
      <c r="T295" s="195">
        <f t="shared" si="122"/>
        <v>32312.233195285124</v>
      </c>
      <c r="U295" s="195">
        <f t="shared" si="122"/>
        <v>33243.395363026233</v>
      </c>
      <c r="V295" s="195">
        <f t="shared" si="122"/>
        <v>34941.7006406523</v>
      </c>
      <c r="W295" s="195">
        <f t="shared" si="122"/>
        <v>36236.313159355908</v>
      </c>
      <c r="X295" s="195">
        <f t="shared" si="122"/>
        <v>37202.585800366782</v>
      </c>
      <c r="Y295" s="195">
        <f t="shared" si="122"/>
        <v>39022.131754256108</v>
      </c>
      <c r="Z295" s="195">
        <f t="shared" si="122"/>
        <v>39804.485915492958</v>
      </c>
      <c r="AA295" s="195">
        <f t="shared" si="122"/>
        <v>39962.057862809146</v>
      </c>
      <c r="AB295" s="195">
        <f t="shared" si="122"/>
        <v>39621.618122977343</v>
      </c>
      <c r="AC295" s="195">
        <f t="shared" si="122"/>
        <v>38459.859221022998</v>
      </c>
      <c r="AD295" s="195">
        <f t="shared" si="122"/>
        <v>38413.548387096773</v>
      </c>
      <c r="AE295" s="195">
        <f t="shared" si="122"/>
        <v>38232.225093984962</v>
      </c>
      <c r="AF295" s="195">
        <f t="shared" si="122"/>
        <v>37019.263878698948</v>
      </c>
      <c r="AG295" s="195">
        <f t="shared" si="122"/>
        <v>36907.997987927563</v>
      </c>
      <c r="AH295" s="195">
        <f t="shared" si="122"/>
        <v>36085.424785658608</v>
      </c>
      <c r="AI295" s="195">
        <f t="shared" si="122"/>
        <v>36780.698938648718</v>
      </c>
      <c r="AJ295" s="195">
        <f t="shared" si="122"/>
        <v>36363.514239656099</v>
      </c>
      <c r="AK295" s="195">
        <f t="shared" si="122"/>
        <v>35126.283860045151</v>
      </c>
      <c r="AL295" s="195">
        <f t="shared" si="122"/>
        <v>35655.499153976314</v>
      </c>
      <c r="AM295" s="195">
        <f t="shared" si="122"/>
        <v>35899.05980528512</v>
      </c>
      <c r="AN295" s="195">
        <f t="shared" si="122"/>
        <v>36293.56083916084</v>
      </c>
      <c r="AO295" s="195">
        <f t="shared" si="122"/>
        <v>37266.950413223138</v>
      </c>
      <c r="AP295" s="195">
        <f t="shared" si="122"/>
        <v>39139.518040558338</v>
      </c>
      <c r="AQ295" s="195">
        <f t="shared" si="122"/>
        <v>40143.89412064138</v>
      </c>
      <c r="AR295" s="195">
        <f t="shared" si="122"/>
        <v>40682.972019158056</v>
      </c>
      <c r="AS295" s="195">
        <f t="shared" si="122"/>
        <v>41156.497742097337</v>
      </c>
      <c r="AT295" s="195">
        <f t="shared" si="122"/>
        <v>40894.551020408158</v>
      </c>
      <c r="AU295" s="195">
        <f t="shared" si="122"/>
        <v>40756.899845121327</v>
      </c>
      <c r="AV295" s="195">
        <f t="shared" si="122"/>
        <v>40484.859521331942</v>
      </c>
      <c r="AW295" s="195">
        <f t="shared" si="122"/>
        <v>40165.659777424487</v>
      </c>
      <c r="AX295" s="195">
        <f t="shared" si="122"/>
        <v>40105.778013807751</v>
      </c>
      <c r="AY295" s="195">
        <f t="shared" si="122"/>
        <v>39821.467057882102</v>
      </c>
      <c r="AZ295" s="195">
        <f t="shared" si="122"/>
        <v>39611.033482731342</v>
      </c>
      <c r="BA295" s="195">
        <f t="shared" si="122"/>
        <v>38956.721141374837</v>
      </c>
      <c r="BB295" s="195">
        <f t="shared" si="122"/>
        <v>38939.95396419437</v>
      </c>
      <c r="BC295" s="195">
        <f t="shared" si="122"/>
        <v>38354.025777103867</v>
      </c>
      <c r="BD295" s="195">
        <f t="shared" si="122"/>
        <v>38185.73717146433</v>
      </c>
      <c r="BE295" s="195">
        <f t="shared" si="122"/>
        <v>38162.032338308454</v>
      </c>
      <c r="BF295" s="195">
        <f t="shared" si="122"/>
        <v>38114.22552664188</v>
      </c>
      <c r="BG295" s="195">
        <f t="shared" si="122"/>
        <v>38033.472668810289</v>
      </c>
      <c r="BH295" s="195">
        <f t="shared" si="122"/>
        <v>38147.106824925817</v>
      </c>
      <c r="BI295" s="195">
        <f t="shared" si="122"/>
        <v>38228.992324832878</v>
      </c>
      <c r="BJ295" s="195">
        <f t="shared" si="122"/>
        <v>38298.597318768618</v>
      </c>
      <c r="BK295" s="195">
        <f t="shared" si="122"/>
        <v>38337.038883349953</v>
      </c>
      <c r="BL295" s="195">
        <f t="shared" si="122"/>
        <v>38354.099674430254</v>
      </c>
      <c r="BM295" s="195">
        <f t="shared" si="122"/>
        <v>38389.168765743074</v>
      </c>
      <c r="BN295" s="195">
        <f t="shared" si="122"/>
        <v>38413.995439574363</v>
      </c>
      <c r="BO295" s="195">
        <f t="shared" si="122"/>
        <v>38457.996431302578</v>
      </c>
      <c r="BP295" s="195">
        <f t="shared" si="122"/>
        <v>38512.270630445928</v>
      </c>
      <c r="BQ295" s="195">
        <f t="shared" si="122"/>
        <v>38577.156837496783</v>
      </c>
    </row>
    <row r="296" spans="1:69" s="105" customFormat="1">
      <c r="A296" s="105">
        <f>$A$57</f>
        <v>40</v>
      </c>
      <c r="B296" s="114"/>
      <c r="C296" s="114"/>
      <c r="D296" s="114"/>
      <c r="E296" s="114"/>
      <c r="F296" s="114"/>
      <c r="G296" s="114"/>
      <c r="H296" s="114"/>
      <c r="I296" s="114"/>
      <c r="J296" s="114"/>
      <c r="K296" s="114"/>
      <c r="L296" s="114"/>
      <c r="M296" s="195">
        <f>M$150*M$432</f>
        <v>26113.135656041512</v>
      </c>
      <c r="N296" s="195">
        <f t="shared" ref="N296:BQ296" si="123">N$150*N$432</f>
        <v>26459.638962015797</v>
      </c>
      <c r="O296" s="195">
        <f t="shared" si="123"/>
        <v>27895.713765477056</v>
      </c>
      <c r="P296" s="195">
        <f t="shared" si="123"/>
        <v>29258.425365158531</v>
      </c>
      <c r="Q296" s="195">
        <f t="shared" si="123"/>
        <v>29850.691562932228</v>
      </c>
      <c r="R296" s="195">
        <f t="shared" si="123"/>
        <v>30639.630390143735</v>
      </c>
      <c r="S296" s="195">
        <f t="shared" si="123"/>
        <v>31577.903915761763</v>
      </c>
      <c r="T296" s="195">
        <f t="shared" si="123"/>
        <v>32112.225097024577</v>
      </c>
      <c r="U296" s="195">
        <f t="shared" si="123"/>
        <v>32505.097041043588</v>
      </c>
      <c r="V296" s="195">
        <f t="shared" si="123"/>
        <v>33426.642291285803</v>
      </c>
      <c r="W296" s="195">
        <f t="shared" si="123"/>
        <v>35134.467713787082</v>
      </c>
      <c r="X296" s="195">
        <f t="shared" si="123"/>
        <v>36419.550748752081</v>
      </c>
      <c r="Y296" s="195">
        <f t="shared" si="123"/>
        <v>37394.905759162299</v>
      </c>
      <c r="Z296" s="195">
        <f t="shared" si="123"/>
        <v>39224.432938856015</v>
      </c>
      <c r="AA296" s="195">
        <f t="shared" si="123"/>
        <v>40004.933145672061</v>
      </c>
      <c r="AB296" s="195">
        <f t="shared" si="123"/>
        <v>40172.499417113548</v>
      </c>
      <c r="AC296" s="195">
        <f t="shared" si="123"/>
        <v>39812.806004618942</v>
      </c>
      <c r="AD296" s="195">
        <f t="shared" si="123"/>
        <v>38650.625879043597</v>
      </c>
      <c r="AE296" s="195">
        <f t="shared" si="123"/>
        <v>38604.016814572627</v>
      </c>
      <c r="AF296" s="195">
        <f t="shared" si="123"/>
        <v>38422.748826291085</v>
      </c>
      <c r="AG296" s="195">
        <f t="shared" si="123"/>
        <v>37210.261421939897</v>
      </c>
      <c r="AH296" s="195">
        <f t="shared" si="123"/>
        <v>37109.21608040201</v>
      </c>
      <c r="AI296" s="195">
        <f t="shared" si="123"/>
        <v>36268.209652309291</v>
      </c>
      <c r="AJ296" s="195">
        <f t="shared" si="123"/>
        <v>36963.133402275082</v>
      </c>
      <c r="AK296" s="195">
        <f t="shared" si="123"/>
        <v>36556.119162640898</v>
      </c>
      <c r="AL296" s="195">
        <f t="shared" si="123"/>
        <v>35319.241826381061</v>
      </c>
      <c r="AM296" s="195">
        <f t="shared" si="123"/>
        <v>35849.46212334554</v>
      </c>
      <c r="AN296" s="195">
        <f t="shared" si="123"/>
        <v>36092.85</v>
      </c>
      <c r="AO296" s="195">
        <f t="shared" si="123"/>
        <v>36487.779329608937</v>
      </c>
      <c r="AP296" s="195">
        <f t="shared" si="123"/>
        <v>37450.539202200824</v>
      </c>
      <c r="AQ296" s="195">
        <f t="shared" si="123"/>
        <v>39334.166228300899</v>
      </c>
      <c r="AR296" s="195">
        <f t="shared" si="123"/>
        <v>40348.568522756163</v>
      </c>
      <c r="AS296" s="195">
        <f t="shared" si="123"/>
        <v>40877.487411883187</v>
      </c>
      <c r="AT296" s="195">
        <f t="shared" si="123"/>
        <v>41351.210223001755</v>
      </c>
      <c r="AU296" s="195">
        <f t="shared" si="123"/>
        <v>41089.52866242038</v>
      </c>
      <c r="AV296" s="195">
        <f t="shared" si="123"/>
        <v>40952.10105697345</v>
      </c>
      <c r="AW296" s="195">
        <f t="shared" si="123"/>
        <v>40680.07014809041</v>
      </c>
      <c r="AX296" s="195">
        <f t="shared" si="123"/>
        <v>40350.486772486773</v>
      </c>
      <c r="AY296" s="195">
        <f t="shared" si="123"/>
        <v>40300.053022269356</v>
      </c>
      <c r="AZ296" s="195">
        <f t="shared" si="123"/>
        <v>40016.90996270645</v>
      </c>
      <c r="BA296" s="195">
        <f t="shared" si="123"/>
        <v>39806.05581885203</v>
      </c>
      <c r="BB296" s="195">
        <f t="shared" si="123"/>
        <v>39150.911917098449</v>
      </c>
      <c r="BC296" s="195">
        <f t="shared" si="123"/>
        <v>39133.793103448275</v>
      </c>
      <c r="BD296" s="195">
        <f t="shared" si="123"/>
        <v>38546.934140802427</v>
      </c>
      <c r="BE296" s="195">
        <f t="shared" si="123"/>
        <v>38378.6</v>
      </c>
      <c r="BF296" s="195">
        <f t="shared" si="123"/>
        <v>38354.747826086954</v>
      </c>
      <c r="BG296" s="195">
        <f t="shared" si="123"/>
        <v>38306.795347686217</v>
      </c>
      <c r="BH296" s="195">
        <f t="shared" si="123"/>
        <v>38225.971844899977</v>
      </c>
      <c r="BI296" s="195">
        <f t="shared" si="123"/>
        <v>38339.644444444442</v>
      </c>
      <c r="BJ296" s="195">
        <f t="shared" si="123"/>
        <v>38431.068249258162</v>
      </c>
      <c r="BK296" s="195">
        <f t="shared" si="123"/>
        <v>38491.361269526409</v>
      </c>
      <c r="BL296" s="195">
        <f t="shared" si="123"/>
        <v>38529.756097560974</v>
      </c>
      <c r="BM296" s="195">
        <f t="shared" si="123"/>
        <v>38566.730865432713</v>
      </c>
      <c r="BN296" s="195">
        <f t="shared" si="123"/>
        <v>38592.334004024146</v>
      </c>
      <c r="BO296" s="195">
        <f t="shared" si="123"/>
        <v>38627.079959514165</v>
      </c>
      <c r="BP296" s="195">
        <f t="shared" si="123"/>
        <v>38661.501654364976</v>
      </c>
      <c r="BQ296" s="195">
        <f t="shared" si="123"/>
        <v>38705.427328556805</v>
      </c>
    </row>
    <row r="297" spans="1:69" s="105" customFormat="1">
      <c r="A297" s="105">
        <f>$A$58</f>
        <v>41</v>
      </c>
      <c r="B297" s="114"/>
      <c r="C297" s="114"/>
      <c r="D297" s="114"/>
      <c r="E297" s="114"/>
      <c r="F297" s="114"/>
      <c r="G297" s="114"/>
      <c r="H297" s="114"/>
      <c r="I297" s="114"/>
      <c r="J297" s="114"/>
      <c r="K297" s="114"/>
      <c r="L297" s="114"/>
      <c r="M297" s="195">
        <f>M$151*M$433</f>
        <v>26138.053097345131</v>
      </c>
      <c r="N297" s="195">
        <f t="shared" ref="N297:BQ297" si="124">N$151*N$433</f>
        <v>26758.978316795296</v>
      </c>
      <c r="O297" s="195">
        <f t="shared" si="124"/>
        <v>26984.891710231514</v>
      </c>
      <c r="P297" s="195">
        <f t="shared" si="124"/>
        <v>28639.963768115944</v>
      </c>
      <c r="Q297" s="195">
        <f t="shared" si="124"/>
        <v>29334.694602272728</v>
      </c>
      <c r="R297" s="195">
        <f t="shared" si="124"/>
        <v>30007.153713298791</v>
      </c>
      <c r="S297" s="195">
        <f t="shared" si="124"/>
        <v>30823.386876281613</v>
      </c>
      <c r="T297" s="195">
        <f t="shared" si="124"/>
        <v>31763.443969766675</v>
      </c>
      <c r="U297" s="195">
        <f t="shared" si="124"/>
        <v>32306.390953150243</v>
      </c>
      <c r="V297" s="195">
        <f t="shared" si="124"/>
        <v>32699.968223705117</v>
      </c>
      <c r="W297" s="195">
        <f t="shared" si="124"/>
        <v>33631.257229832576</v>
      </c>
      <c r="X297" s="195">
        <f t="shared" si="124"/>
        <v>35319.706565950029</v>
      </c>
      <c r="Y297" s="195">
        <f t="shared" si="124"/>
        <v>36604.434903047091</v>
      </c>
      <c r="Z297" s="195">
        <f t="shared" si="124"/>
        <v>37588.12761506276</v>
      </c>
      <c r="AA297" s="195">
        <f t="shared" si="124"/>
        <v>39407.940886699507</v>
      </c>
      <c r="AB297" s="195">
        <f t="shared" si="124"/>
        <v>40196.905766526019</v>
      </c>
      <c r="AC297" s="195">
        <f t="shared" si="124"/>
        <v>40345.043093407876</v>
      </c>
      <c r="AD297" s="195">
        <f t="shared" si="124"/>
        <v>40004.034156473572</v>
      </c>
      <c r="AE297" s="195">
        <f t="shared" si="124"/>
        <v>38850.691028343877</v>
      </c>
      <c r="AF297" s="195">
        <f t="shared" si="124"/>
        <v>38785.478301446572</v>
      </c>
      <c r="AG297" s="195">
        <f t="shared" si="124"/>
        <v>38613.314567206195</v>
      </c>
      <c r="AH297" s="195">
        <f t="shared" si="124"/>
        <v>37401.46692701977</v>
      </c>
      <c r="AI297" s="195">
        <f t="shared" si="124"/>
        <v>37301.255020080323</v>
      </c>
      <c r="AJ297" s="195">
        <f t="shared" si="124"/>
        <v>36460.585795749095</v>
      </c>
      <c r="AK297" s="195">
        <f t="shared" si="124"/>
        <v>37156.030475206615</v>
      </c>
      <c r="AL297" s="195">
        <f t="shared" si="124"/>
        <v>36740.085767890647</v>
      </c>
      <c r="AM297" s="195">
        <f t="shared" si="124"/>
        <v>35514.185195609345</v>
      </c>
      <c r="AN297" s="195">
        <f t="shared" si="124"/>
        <v>36044.303797468354</v>
      </c>
      <c r="AO297" s="195">
        <f t="shared" si="124"/>
        <v>36296.870144284127</v>
      </c>
      <c r="AP297" s="195">
        <f t="shared" si="124"/>
        <v>36693.018131101817</v>
      </c>
      <c r="AQ297" s="195">
        <f t="shared" si="124"/>
        <v>37657.08711184391</v>
      </c>
      <c r="AR297" s="195">
        <f t="shared" si="124"/>
        <v>39519.537693722094</v>
      </c>
      <c r="AS297" s="195">
        <f t="shared" si="124"/>
        <v>40533.740477399697</v>
      </c>
      <c r="AT297" s="195">
        <f t="shared" si="124"/>
        <v>41082.477364185106</v>
      </c>
      <c r="AU297" s="195">
        <f t="shared" si="124"/>
        <v>41536.636636636635</v>
      </c>
      <c r="AV297" s="195">
        <f t="shared" si="124"/>
        <v>41275.221374045803</v>
      </c>
      <c r="AW297" s="195">
        <f t="shared" si="124"/>
        <v>41138.017507723998</v>
      </c>
      <c r="AX297" s="195">
        <f t="shared" si="124"/>
        <v>40876.605242668047</v>
      </c>
      <c r="AY297" s="195">
        <f t="shared" si="124"/>
        <v>40568.181818181816</v>
      </c>
      <c r="AZ297" s="195">
        <f t="shared" si="124"/>
        <v>40496.9968220339</v>
      </c>
      <c r="BA297" s="195">
        <f t="shared" si="124"/>
        <v>40214.41340782123</v>
      </c>
      <c r="BB297" s="195">
        <f t="shared" si="124"/>
        <v>40012.379700236655</v>
      </c>
      <c r="BC297" s="195">
        <f t="shared" si="124"/>
        <v>39356.046571798193</v>
      </c>
      <c r="BD297" s="195">
        <f t="shared" si="124"/>
        <v>39338.418367346938</v>
      </c>
      <c r="BE297" s="195">
        <f t="shared" si="124"/>
        <v>38750.614919354834</v>
      </c>
      <c r="BF297" s="195">
        <f t="shared" si="124"/>
        <v>38581.822721598</v>
      </c>
      <c r="BG297" s="195">
        <f t="shared" si="124"/>
        <v>38557.751861042183</v>
      </c>
      <c r="BH297" s="195">
        <f t="shared" si="124"/>
        <v>38509.624320316361</v>
      </c>
      <c r="BI297" s="195">
        <f t="shared" si="124"/>
        <v>38428.653182042428</v>
      </c>
      <c r="BJ297" s="195">
        <f t="shared" si="124"/>
        <v>38542.416769420466</v>
      </c>
      <c r="BK297" s="195">
        <f t="shared" si="124"/>
        <v>38633.983699678931</v>
      </c>
      <c r="BL297" s="195">
        <f t="shared" si="124"/>
        <v>38684.847734587769</v>
      </c>
      <c r="BM297" s="195">
        <f t="shared" si="124"/>
        <v>38732.96047725578</v>
      </c>
      <c r="BN297" s="195">
        <f t="shared" si="124"/>
        <v>38760.472027972028</v>
      </c>
      <c r="BO297" s="195">
        <f t="shared" si="124"/>
        <v>38795.960813865866</v>
      </c>
      <c r="BP297" s="195">
        <f t="shared" si="124"/>
        <v>38821.147043961595</v>
      </c>
      <c r="BQ297" s="195">
        <f t="shared" si="124"/>
        <v>38865.158831003813</v>
      </c>
    </row>
    <row r="298" spans="1:69" s="105" customFormat="1">
      <c r="A298" s="105">
        <f>$A$59</f>
        <v>42</v>
      </c>
      <c r="B298" s="114"/>
      <c r="C298" s="114"/>
      <c r="D298" s="114"/>
      <c r="E298" s="114"/>
      <c r="F298" s="114"/>
      <c r="G298" s="114"/>
      <c r="H298" s="114"/>
      <c r="I298" s="114"/>
      <c r="J298" s="114"/>
      <c r="K298" s="114"/>
      <c r="L298" s="114"/>
      <c r="M298" s="195">
        <f>M$152*M$434</f>
        <v>26797.507173601149</v>
      </c>
      <c r="N298" s="195">
        <f t="shared" ref="N298:BQ298" si="125">N$152*N$434</f>
        <v>26754.061470911085</v>
      </c>
      <c r="O298" s="195">
        <f t="shared" si="125"/>
        <v>27365.065741417093</v>
      </c>
      <c r="P298" s="195">
        <f t="shared" si="125"/>
        <v>27680.587360594793</v>
      </c>
      <c r="Q298" s="195">
        <f t="shared" si="125"/>
        <v>28704.118497109826</v>
      </c>
      <c r="R298" s="195">
        <f t="shared" si="125"/>
        <v>29470.929407591342</v>
      </c>
      <c r="S298" s="195">
        <f t="shared" si="125"/>
        <v>30170.08623663332</v>
      </c>
      <c r="T298" s="195">
        <f t="shared" si="125"/>
        <v>30978.641174462275</v>
      </c>
      <c r="U298" s="195">
        <f t="shared" si="125"/>
        <v>31907.327642810244</v>
      </c>
      <c r="V298" s="195">
        <f t="shared" si="125"/>
        <v>32441.819941916747</v>
      </c>
      <c r="W298" s="195">
        <f t="shared" si="125"/>
        <v>32834.666666666664</v>
      </c>
      <c r="X298" s="195">
        <f t="shared" si="125"/>
        <v>33764.913347522044</v>
      </c>
      <c r="Y298" s="195">
        <f t="shared" si="125"/>
        <v>35454.374455732941</v>
      </c>
      <c r="Z298" s="195">
        <f t="shared" si="125"/>
        <v>36748.372543592581</v>
      </c>
      <c r="AA298" s="195">
        <f t="shared" si="125"/>
        <v>37722.372615625813</v>
      </c>
      <c r="AB298" s="195">
        <f t="shared" si="125"/>
        <v>39561.201378631216</v>
      </c>
      <c r="AC298" s="195">
        <f t="shared" si="125"/>
        <v>40330.756617474821</v>
      </c>
      <c r="AD298" s="195">
        <f t="shared" si="125"/>
        <v>40488.321303841672</v>
      </c>
      <c r="AE298" s="195">
        <f t="shared" si="125"/>
        <v>40147.140221402216</v>
      </c>
      <c r="AF298" s="195">
        <f t="shared" si="125"/>
        <v>38984.283707865165</v>
      </c>
      <c r="AG298" s="195">
        <f t="shared" si="125"/>
        <v>38937.504664179105</v>
      </c>
      <c r="AH298" s="195">
        <f t="shared" si="125"/>
        <v>38756.333802156587</v>
      </c>
      <c r="AI298" s="195">
        <f t="shared" si="125"/>
        <v>37544.602439024391</v>
      </c>
      <c r="AJ298" s="195">
        <f t="shared" si="125"/>
        <v>37444.71532480562</v>
      </c>
      <c r="AK298" s="195">
        <f t="shared" si="125"/>
        <v>36604.195804195806</v>
      </c>
      <c r="AL298" s="195">
        <f t="shared" si="125"/>
        <v>37300.438596491229</v>
      </c>
      <c r="AM298" s="195">
        <f t="shared" si="125"/>
        <v>36894.71880021425</v>
      </c>
      <c r="AN298" s="195">
        <f t="shared" si="125"/>
        <v>35648.535282541467</v>
      </c>
      <c r="AO298" s="195">
        <f t="shared" si="125"/>
        <v>36188.142736723799</v>
      </c>
      <c r="AP298" s="195">
        <f t="shared" si="125"/>
        <v>36441.978935698447</v>
      </c>
      <c r="AQ298" s="195">
        <f t="shared" si="125"/>
        <v>36827.475619949852</v>
      </c>
      <c r="AR298" s="195">
        <f t="shared" si="125"/>
        <v>37801.029371397199</v>
      </c>
      <c r="AS298" s="195">
        <f t="shared" si="125"/>
        <v>39654.048806087645</v>
      </c>
      <c r="AT298" s="195">
        <f t="shared" si="125"/>
        <v>40668.242009132424</v>
      </c>
      <c r="AU298" s="195">
        <f t="shared" si="125"/>
        <v>41227.974874371859</v>
      </c>
      <c r="AV298" s="195">
        <f t="shared" si="125"/>
        <v>41671.17</v>
      </c>
      <c r="AW298" s="195">
        <f t="shared" si="125"/>
        <v>41409.786476868328</v>
      </c>
      <c r="AX298" s="195">
        <f t="shared" si="125"/>
        <v>41272.613168724281</v>
      </c>
      <c r="AY298" s="195">
        <f t="shared" si="125"/>
        <v>41011.850699844479</v>
      </c>
      <c r="AZ298" s="195">
        <f t="shared" si="125"/>
        <v>40692.098178939035</v>
      </c>
      <c r="BA298" s="195">
        <f t="shared" si="125"/>
        <v>40641.724411531344</v>
      </c>
      <c r="BB298" s="195">
        <f t="shared" si="125"/>
        <v>40358.490566037734</v>
      </c>
      <c r="BC298" s="195">
        <f t="shared" si="125"/>
        <v>40136.449579831933</v>
      </c>
      <c r="BD298" s="195">
        <f t="shared" si="125"/>
        <v>39500</v>
      </c>
      <c r="BE298" s="195">
        <f t="shared" si="125"/>
        <v>39472.28025477707</v>
      </c>
      <c r="BF298" s="195">
        <f t="shared" si="125"/>
        <v>38885.030211480364</v>
      </c>
      <c r="BG298" s="195">
        <f t="shared" si="125"/>
        <v>38726.221945137157</v>
      </c>
      <c r="BH298" s="195">
        <f t="shared" si="125"/>
        <v>38702.141263940524</v>
      </c>
      <c r="BI298" s="195">
        <f t="shared" si="125"/>
        <v>38653.424691358028</v>
      </c>
      <c r="BJ298" s="195">
        <f t="shared" si="125"/>
        <v>38573.000739098301</v>
      </c>
      <c r="BK298" s="195">
        <f t="shared" si="125"/>
        <v>38686.773399014775</v>
      </c>
      <c r="BL298" s="195">
        <f t="shared" si="125"/>
        <v>38778.36704489393</v>
      </c>
      <c r="BM298" s="195">
        <f t="shared" si="125"/>
        <v>38838.085580014842</v>
      </c>
      <c r="BN298" s="195">
        <f t="shared" si="125"/>
        <v>38877.358490566039</v>
      </c>
      <c r="BO298" s="195">
        <f t="shared" si="125"/>
        <v>38904.301397205585</v>
      </c>
      <c r="BP298" s="195">
        <f t="shared" si="125"/>
        <v>38930.055193176115</v>
      </c>
      <c r="BQ298" s="195">
        <f t="shared" si="125"/>
        <v>38964.617713853142</v>
      </c>
    </row>
    <row r="299" spans="1:69" s="105" customFormat="1">
      <c r="A299" s="105">
        <f>$A$60</f>
        <v>43</v>
      </c>
      <c r="B299" s="114"/>
      <c r="C299" s="114"/>
      <c r="D299" s="114"/>
      <c r="E299" s="114"/>
      <c r="F299" s="114"/>
      <c r="G299" s="114"/>
      <c r="H299" s="114"/>
      <c r="I299" s="114"/>
      <c r="J299" s="114"/>
      <c r="K299" s="114"/>
      <c r="L299" s="114"/>
      <c r="M299" s="195">
        <f>M$153*M$435</f>
        <v>27761.652892561986</v>
      </c>
      <c r="N299" s="195">
        <f t="shared" ref="N299:BQ299" si="126">N$153*N$435</f>
        <v>27382.883107626516</v>
      </c>
      <c r="O299" s="195">
        <f t="shared" si="126"/>
        <v>27255.638878776845</v>
      </c>
      <c r="P299" s="195">
        <f t="shared" si="126"/>
        <v>28002.96943231441</v>
      </c>
      <c r="Q299" s="195">
        <f t="shared" si="126"/>
        <v>27733.724035608309</v>
      </c>
      <c r="R299" s="195">
        <f t="shared" si="126"/>
        <v>28818.866425992779</v>
      </c>
      <c r="S299" s="195">
        <f t="shared" si="126"/>
        <v>29603.253012048193</v>
      </c>
      <c r="T299" s="195">
        <f t="shared" si="126"/>
        <v>30285.074112375045</v>
      </c>
      <c r="U299" s="195">
        <f t="shared" si="126"/>
        <v>31074.034788540244</v>
      </c>
      <c r="V299" s="195">
        <f t="shared" si="126"/>
        <v>32022.578740157482</v>
      </c>
      <c r="W299" s="195">
        <f t="shared" si="126"/>
        <v>32545.891647855529</v>
      </c>
      <c r="X299" s="195">
        <f t="shared" si="126"/>
        <v>32928.379321281318</v>
      </c>
      <c r="Y299" s="195">
        <f t="shared" si="126"/>
        <v>33859.76906715284</v>
      </c>
      <c r="Z299" s="195">
        <f t="shared" si="126"/>
        <v>35558.656803017118</v>
      </c>
      <c r="AA299" s="195">
        <f t="shared" si="126"/>
        <v>36832.459197787</v>
      </c>
      <c r="AB299" s="195">
        <f t="shared" si="126"/>
        <v>37806.816401149124</v>
      </c>
      <c r="AC299" s="195">
        <f t="shared" si="126"/>
        <v>39635.433070866144</v>
      </c>
      <c r="AD299" s="195">
        <f t="shared" si="126"/>
        <v>40405.619292905641</v>
      </c>
      <c r="AE299" s="195">
        <f t="shared" si="126"/>
        <v>40563.286013497789</v>
      </c>
      <c r="AF299" s="195">
        <f t="shared" si="126"/>
        <v>40221.893013603876</v>
      </c>
      <c r="AG299" s="195">
        <f t="shared" si="126"/>
        <v>39069.349555451568</v>
      </c>
      <c r="AH299" s="195">
        <f t="shared" si="126"/>
        <v>39013.314685314683</v>
      </c>
      <c r="AI299" s="195">
        <f t="shared" si="126"/>
        <v>38841.574507966259</v>
      </c>
      <c r="AJ299" s="195">
        <f t="shared" si="126"/>
        <v>37629.726962457338</v>
      </c>
      <c r="AK299" s="195">
        <f t="shared" si="126"/>
        <v>37520</v>
      </c>
      <c r="AL299" s="195">
        <f t="shared" si="126"/>
        <v>36679.257246376816</v>
      </c>
      <c r="AM299" s="195">
        <f t="shared" si="126"/>
        <v>37384.734399174835</v>
      </c>
      <c r="AN299" s="195">
        <f t="shared" si="126"/>
        <v>36968.654000535193</v>
      </c>
      <c r="AO299" s="195">
        <f t="shared" si="126"/>
        <v>35731.449438202246</v>
      </c>
      <c r="AP299" s="195">
        <f t="shared" si="126"/>
        <v>36261.240875912408</v>
      </c>
      <c r="AQ299" s="195">
        <f t="shared" si="126"/>
        <v>36515.306009415675</v>
      </c>
      <c r="AR299" s="195">
        <f t="shared" si="126"/>
        <v>36900.317371937643</v>
      </c>
      <c r="AS299" s="195">
        <f t="shared" si="126"/>
        <v>37863.175212503425</v>
      </c>
      <c r="AT299" s="195">
        <f t="shared" si="126"/>
        <v>39726.484006292609</v>
      </c>
      <c r="AU299" s="195">
        <f t="shared" si="126"/>
        <v>40740.958174904947</v>
      </c>
      <c r="AV299" s="195">
        <f t="shared" si="126"/>
        <v>41279.23192771084</v>
      </c>
      <c r="AW299" s="195">
        <f t="shared" si="126"/>
        <v>41753.015238571075</v>
      </c>
      <c r="AX299" s="195">
        <f t="shared" si="126"/>
        <v>41491.313182626363</v>
      </c>
      <c r="AY299" s="195">
        <f t="shared" si="126"/>
        <v>41353.883320483161</v>
      </c>
      <c r="AZ299" s="195">
        <f t="shared" si="126"/>
        <v>41093.084693084696</v>
      </c>
      <c r="BA299" s="195">
        <f t="shared" si="126"/>
        <v>40773.006329113923</v>
      </c>
      <c r="BB299" s="195">
        <f t="shared" si="126"/>
        <v>40702.438573315725</v>
      </c>
      <c r="BC299" s="195">
        <f t="shared" si="126"/>
        <v>40428.723121847623</v>
      </c>
      <c r="BD299" s="195">
        <f t="shared" si="126"/>
        <v>40207.40818467996</v>
      </c>
      <c r="BE299" s="195">
        <f t="shared" si="126"/>
        <v>39572.295378259747</v>
      </c>
      <c r="BF299" s="195">
        <f t="shared" si="126"/>
        <v>39555.843726138963</v>
      </c>
      <c r="BG299" s="195">
        <f t="shared" si="126"/>
        <v>38958.998993963782</v>
      </c>
      <c r="BH299" s="195">
        <f t="shared" si="126"/>
        <v>38800.724962630789</v>
      </c>
      <c r="BI299" s="195">
        <f t="shared" si="126"/>
        <v>38776.920029710323</v>
      </c>
      <c r="BJ299" s="195">
        <f t="shared" si="126"/>
        <v>38728.389245189937</v>
      </c>
      <c r="BK299" s="195">
        <f t="shared" si="126"/>
        <v>38648.114693576172</v>
      </c>
      <c r="BL299" s="195">
        <f t="shared" si="126"/>
        <v>38761.786417322837</v>
      </c>
      <c r="BM299" s="195">
        <f t="shared" si="126"/>
        <v>38853.252833908329</v>
      </c>
      <c r="BN299" s="195">
        <f t="shared" si="126"/>
        <v>38913.376976284584</v>
      </c>
      <c r="BO299" s="195">
        <f t="shared" si="126"/>
        <v>38951.884920634919</v>
      </c>
      <c r="BP299" s="195">
        <f t="shared" si="126"/>
        <v>38988.621978569645</v>
      </c>
      <c r="BQ299" s="195">
        <f t="shared" si="126"/>
        <v>39014.13179654222</v>
      </c>
    </row>
    <row r="300" spans="1:69" s="105" customFormat="1">
      <c r="A300" s="105">
        <f>$A$61</f>
        <v>44</v>
      </c>
      <c r="B300" s="114"/>
      <c r="C300" s="114"/>
      <c r="D300" s="114"/>
      <c r="E300" s="114"/>
      <c r="F300" s="114"/>
      <c r="G300" s="114"/>
      <c r="H300" s="114"/>
      <c r="I300" s="114"/>
      <c r="J300" s="114"/>
      <c r="K300" s="114"/>
      <c r="L300" s="114"/>
      <c r="M300" s="195">
        <f>M$154*M$436</f>
        <v>28807.786310517531</v>
      </c>
      <c r="N300" s="195">
        <f t="shared" ref="N300:BQ300" si="127">N$154*N$436</f>
        <v>28290.948630136987</v>
      </c>
      <c r="O300" s="195">
        <f t="shared" si="127"/>
        <v>27808.637331440739</v>
      </c>
      <c r="P300" s="195">
        <f t="shared" si="127"/>
        <v>27797.949927431062</v>
      </c>
      <c r="Q300" s="195">
        <f t="shared" si="127"/>
        <v>28033.943355119827</v>
      </c>
      <c r="R300" s="195">
        <f t="shared" si="127"/>
        <v>27837.153446997778</v>
      </c>
      <c r="S300" s="195">
        <f t="shared" si="127"/>
        <v>28940.952380952382</v>
      </c>
      <c r="T300" s="195">
        <f t="shared" si="127"/>
        <v>29687.566418703507</v>
      </c>
      <c r="U300" s="195">
        <f t="shared" si="127"/>
        <v>30349.73475714778</v>
      </c>
      <c r="V300" s="195">
        <f t="shared" si="127"/>
        <v>31158.540743266283</v>
      </c>
      <c r="W300" s="195">
        <f t="shared" si="127"/>
        <v>32076.045901639347</v>
      </c>
      <c r="X300" s="195">
        <f t="shared" si="127"/>
        <v>32599.448920399613</v>
      </c>
      <c r="Y300" s="195">
        <f t="shared" si="127"/>
        <v>33003.776157260625</v>
      </c>
      <c r="Z300" s="195">
        <f t="shared" si="127"/>
        <v>33924.185905224789</v>
      </c>
      <c r="AA300" s="195">
        <f t="shared" si="127"/>
        <v>35601.745433458978</v>
      </c>
      <c r="AB300" s="195">
        <f t="shared" si="127"/>
        <v>36897.096238938058</v>
      </c>
      <c r="AC300" s="195">
        <f t="shared" si="127"/>
        <v>37861.263707571801</v>
      </c>
      <c r="AD300" s="195">
        <f t="shared" si="127"/>
        <v>39679.773677736775</v>
      </c>
      <c r="AE300" s="195">
        <f t="shared" si="127"/>
        <v>40460.398033247482</v>
      </c>
      <c r="AF300" s="195">
        <f t="shared" si="127"/>
        <v>40608.72033503955</v>
      </c>
      <c r="AG300" s="195">
        <f t="shared" si="127"/>
        <v>40267.904564315351</v>
      </c>
      <c r="AH300" s="195">
        <f t="shared" si="127"/>
        <v>39106.077192982455</v>
      </c>
      <c r="AI300" s="195">
        <f t="shared" si="127"/>
        <v>39050.577819198508</v>
      </c>
      <c r="AJ300" s="195">
        <f t="shared" si="127"/>
        <v>38869.46135831382</v>
      </c>
      <c r="AK300" s="195">
        <f t="shared" si="127"/>
        <v>37666.652046783631</v>
      </c>
      <c r="AL300" s="195">
        <f t="shared" si="127"/>
        <v>37565.772989225756</v>
      </c>
      <c r="AM300" s="195">
        <f t="shared" si="127"/>
        <v>36724.687015002586</v>
      </c>
      <c r="AN300" s="195">
        <f t="shared" si="127"/>
        <v>37419.347938144332</v>
      </c>
      <c r="AO300" s="195">
        <f t="shared" si="127"/>
        <v>37002.609625668447</v>
      </c>
      <c r="AP300" s="195">
        <f t="shared" si="127"/>
        <v>35785.373385738349</v>
      </c>
      <c r="AQ300" s="195">
        <f t="shared" si="127"/>
        <v>36304.572230014026</v>
      </c>
      <c r="AR300" s="195">
        <f t="shared" si="127"/>
        <v>36557.589928057554</v>
      </c>
      <c r="AS300" s="195">
        <f t="shared" si="127"/>
        <v>36941.774687065372</v>
      </c>
      <c r="AT300" s="195">
        <f t="shared" si="127"/>
        <v>37905.06166072897</v>
      </c>
      <c r="AU300" s="195">
        <f t="shared" si="127"/>
        <v>39768.25471698113</v>
      </c>
      <c r="AV300" s="195">
        <f t="shared" si="127"/>
        <v>40771.215805471125</v>
      </c>
      <c r="AW300" s="195">
        <f t="shared" si="127"/>
        <v>41321.226793778224</v>
      </c>
      <c r="AX300" s="195">
        <f t="shared" si="127"/>
        <v>41783.670411985018</v>
      </c>
      <c r="AY300" s="195">
        <f t="shared" si="127"/>
        <v>41522.071065989847</v>
      </c>
      <c r="AZ300" s="195">
        <f t="shared" si="127"/>
        <v>41384.193631227528</v>
      </c>
      <c r="BA300" s="195">
        <f t="shared" si="127"/>
        <v>41123.325569358174</v>
      </c>
      <c r="BB300" s="195">
        <f t="shared" si="127"/>
        <v>40802.687747035568</v>
      </c>
      <c r="BC300" s="195">
        <f t="shared" si="127"/>
        <v>40741.512671594508</v>
      </c>
      <c r="BD300" s="195">
        <f t="shared" si="127"/>
        <v>40458.49336870027</v>
      </c>
      <c r="BE300" s="195">
        <f t="shared" si="127"/>
        <v>40247.522935779816</v>
      </c>
      <c r="BF300" s="195">
        <f t="shared" si="127"/>
        <v>39614.117647058825</v>
      </c>
      <c r="BG300" s="195">
        <f t="shared" si="127"/>
        <v>39578.331637843337</v>
      </c>
      <c r="BH300" s="195">
        <f t="shared" si="127"/>
        <v>39002.965569238499</v>
      </c>
      <c r="BI300" s="195">
        <f t="shared" si="127"/>
        <v>38835.100821508589</v>
      </c>
      <c r="BJ300" s="195">
        <f t="shared" si="127"/>
        <v>38811.716971796137</v>
      </c>
      <c r="BK300" s="195">
        <f t="shared" si="127"/>
        <v>38764.073435189748</v>
      </c>
      <c r="BL300" s="195">
        <f t="shared" si="127"/>
        <v>38693.548942449583</v>
      </c>
      <c r="BM300" s="195">
        <f t="shared" si="127"/>
        <v>38816.503565281535</v>
      </c>
      <c r="BN300" s="195">
        <f t="shared" si="127"/>
        <v>38898.225012309209</v>
      </c>
      <c r="BO300" s="195">
        <f t="shared" si="127"/>
        <v>38958.299185386328</v>
      </c>
      <c r="BP300" s="195">
        <f t="shared" si="127"/>
        <v>38996.313181367696</v>
      </c>
      <c r="BQ300" s="195">
        <f t="shared" si="127"/>
        <v>39033.017928286856</v>
      </c>
    </row>
    <row r="301" spans="1:69" s="105" customFormat="1">
      <c r="A301" s="105">
        <f>$A$62</f>
        <v>45</v>
      </c>
      <c r="B301" s="114"/>
      <c r="C301" s="114"/>
      <c r="D301" s="114"/>
      <c r="E301" s="114"/>
      <c r="F301" s="114"/>
      <c r="G301" s="114"/>
      <c r="H301" s="114"/>
      <c r="I301" s="114"/>
      <c r="J301" s="114"/>
      <c r="K301" s="114"/>
      <c r="L301" s="114"/>
      <c r="M301" s="195">
        <f>M$155*M$437</f>
        <v>29757.64895330113</v>
      </c>
      <c r="N301" s="195">
        <f t="shared" ref="N301:BQ301" si="128">N$155*N$437</f>
        <v>29379.461615154534</v>
      </c>
      <c r="O301" s="195">
        <f t="shared" si="128"/>
        <v>28639.549488054607</v>
      </c>
      <c r="P301" s="195">
        <f t="shared" si="128"/>
        <v>28246.528662420384</v>
      </c>
      <c r="Q301" s="195">
        <f t="shared" si="128"/>
        <v>27838.242753623188</v>
      </c>
      <c r="R301" s="195">
        <f t="shared" si="128"/>
        <v>28128.104575163397</v>
      </c>
      <c r="S301" s="195">
        <f t="shared" si="128"/>
        <v>27928.566135605779</v>
      </c>
      <c r="T301" s="195">
        <f t="shared" si="128"/>
        <v>28987.272727272728</v>
      </c>
      <c r="U301" s="195">
        <f t="shared" si="128"/>
        <v>29723.424220963174</v>
      </c>
      <c r="V301" s="195">
        <f t="shared" si="128"/>
        <v>30396.169479848431</v>
      </c>
      <c r="W301" s="195">
        <f t="shared" si="128"/>
        <v>31182.9754601227</v>
      </c>
      <c r="X301" s="195">
        <f t="shared" si="128"/>
        <v>32100.747295968533</v>
      </c>
      <c r="Y301" s="195">
        <f t="shared" si="128"/>
        <v>32634.740573638413</v>
      </c>
      <c r="Z301" s="195">
        <f t="shared" si="128"/>
        <v>33017.50237717908</v>
      </c>
      <c r="AA301" s="195">
        <f t="shared" si="128"/>
        <v>33938.463407227449</v>
      </c>
      <c r="AB301" s="195">
        <f t="shared" si="128"/>
        <v>35626.326471440996</v>
      </c>
      <c r="AC301" s="195">
        <f t="shared" si="128"/>
        <v>36900.884711086539</v>
      </c>
      <c r="AD301" s="195">
        <f t="shared" si="128"/>
        <v>37865.744125326368</v>
      </c>
      <c r="AE301" s="195">
        <f t="shared" si="128"/>
        <v>39675.483394833951</v>
      </c>
      <c r="AF301" s="195">
        <f t="shared" si="128"/>
        <v>40447.281667056894</v>
      </c>
      <c r="AG301" s="195">
        <f t="shared" si="128"/>
        <v>40605.1372731503</v>
      </c>
      <c r="AH301" s="195">
        <f t="shared" si="128"/>
        <v>40265.265099124023</v>
      </c>
      <c r="AI301" s="195">
        <f t="shared" si="128"/>
        <v>39104.182456140348</v>
      </c>
      <c r="AJ301" s="195">
        <f t="shared" si="128"/>
        <v>39048.970177073628</v>
      </c>
      <c r="AK301" s="195">
        <f t="shared" si="128"/>
        <v>38867.868852459018</v>
      </c>
      <c r="AL301" s="195">
        <f t="shared" si="128"/>
        <v>37665.286236297201</v>
      </c>
      <c r="AM301" s="195">
        <f t="shared" si="128"/>
        <v>37562.575150300603</v>
      </c>
      <c r="AN301" s="195">
        <f t="shared" si="128"/>
        <v>36731.073183346263</v>
      </c>
      <c r="AO301" s="195">
        <f t="shared" si="128"/>
        <v>37424.99613501675</v>
      </c>
      <c r="AP301" s="195">
        <f t="shared" si="128"/>
        <v>37006.960705693666</v>
      </c>
      <c r="AQ301" s="195">
        <f t="shared" si="128"/>
        <v>35778.916947250284</v>
      </c>
      <c r="AR301" s="195">
        <f t="shared" si="128"/>
        <v>36297.263807120828</v>
      </c>
      <c r="AS301" s="195">
        <f t="shared" si="128"/>
        <v>36550.705199115044</v>
      </c>
      <c r="AT301" s="195">
        <f t="shared" si="128"/>
        <v>36955.094549499445</v>
      </c>
      <c r="AU301" s="195">
        <f t="shared" si="128"/>
        <v>37896.507806080524</v>
      </c>
      <c r="AV301" s="195">
        <f t="shared" si="128"/>
        <v>39759.51807228916</v>
      </c>
      <c r="AW301" s="195">
        <f t="shared" si="128"/>
        <v>40763.965560901488</v>
      </c>
      <c r="AX301" s="195">
        <f t="shared" si="128"/>
        <v>41301.810431293881</v>
      </c>
      <c r="AY301" s="195">
        <f t="shared" si="128"/>
        <v>41774.86897928625</v>
      </c>
      <c r="AZ301" s="195">
        <f t="shared" si="128"/>
        <v>41501.405377980722</v>
      </c>
      <c r="BA301" s="195">
        <f t="shared" si="128"/>
        <v>41374.186344969195</v>
      </c>
      <c r="BB301" s="195">
        <f t="shared" si="128"/>
        <v>41101.914123124676</v>
      </c>
      <c r="BC301" s="195">
        <f t="shared" si="128"/>
        <v>40781.169036334912</v>
      </c>
      <c r="BD301" s="195">
        <f t="shared" si="128"/>
        <v>40730.699208443271</v>
      </c>
      <c r="BE301" s="195">
        <f t="shared" si="128"/>
        <v>40457.911476278823</v>
      </c>
      <c r="BF301" s="195">
        <f t="shared" si="128"/>
        <v>40237.98270893372</v>
      </c>
      <c r="BG301" s="195">
        <f t="shared" si="128"/>
        <v>39596.442382057234</v>
      </c>
      <c r="BH301" s="195">
        <f t="shared" si="128"/>
        <v>39581.20996441281</v>
      </c>
      <c r="BI301" s="195">
        <f t="shared" si="128"/>
        <v>38997.717227523855</v>
      </c>
      <c r="BJ301" s="195">
        <f t="shared" si="128"/>
        <v>38840.467778054241</v>
      </c>
      <c r="BK301" s="195">
        <f t="shared" si="128"/>
        <v>38807.911001236091</v>
      </c>
      <c r="BL301" s="195">
        <f t="shared" si="128"/>
        <v>38770.172413793109</v>
      </c>
      <c r="BM301" s="195">
        <f t="shared" si="128"/>
        <v>38699.886922320547</v>
      </c>
      <c r="BN301" s="195">
        <f t="shared" si="128"/>
        <v>38813.130221130225</v>
      </c>
      <c r="BO301" s="195">
        <f t="shared" si="128"/>
        <v>38904.183070866144</v>
      </c>
      <c r="BP301" s="195">
        <f t="shared" si="128"/>
        <v>38954.400592007893</v>
      </c>
      <c r="BQ301" s="195">
        <f t="shared" si="128"/>
        <v>39001.718672610201</v>
      </c>
    </row>
    <row r="302" spans="1:69" s="105" customFormat="1">
      <c r="A302" s="105">
        <f>$A$63</f>
        <v>46</v>
      </c>
      <c r="B302" s="114"/>
      <c r="C302" s="114"/>
      <c r="D302" s="114"/>
      <c r="E302" s="114"/>
      <c r="F302" s="114"/>
      <c r="G302" s="114"/>
      <c r="H302" s="114"/>
      <c r="I302" s="114"/>
      <c r="J302" s="114"/>
      <c r="K302" s="114"/>
      <c r="L302" s="114"/>
      <c r="M302" s="195">
        <f>M$156*M$438</f>
        <v>29751.677852348996</v>
      </c>
      <c r="N302" s="195">
        <f t="shared" ref="N302:BQ302" si="129">N$156*N$438</f>
        <v>30214.698331193838</v>
      </c>
      <c r="O302" s="195">
        <f t="shared" si="129"/>
        <v>29706.717506631299</v>
      </c>
      <c r="P302" s="195">
        <f t="shared" si="129"/>
        <v>29066.698466780239</v>
      </c>
      <c r="Q302" s="195">
        <f t="shared" si="129"/>
        <v>28285.074257425742</v>
      </c>
      <c r="R302" s="195">
        <f t="shared" si="129"/>
        <v>27911.156216020296</v>
      </c>
      <c r="S302" s="195">
        <f t="shared" si="129"/>
        <v>28198.293391430645</v>
      </c>
      <c r="T302" s="195">
        <f t="shared" si="129"/>
        <v>27946.219421793921</v>
      </c>
      <c r="U302" s="195">
        <f t="shared" si="129"/>
        <v>28983.210678210678</v>
      </c>
      <c r="V302" s="195">
        <f t="shared" si="129"/>
        <v>29719.259915014165</v>
      </c>
      <c r="W302" s="195">
        <f t="shared" si="129"/>
        <v>30380.899069927662</v>
      </c>
      <c r="X302" s="195">
        <f t="shared" si="129"/>
        <v>31169.39331970007</v>
      </c>
      <c r="Y302" s="195">
        <f t="shared" si="129"/>
        <v>32086.62295081967</v>
      </c>
      <c r="Z302" s="195">
        <f t="shared" si="129"/>
        <v>32610.167579761521</v>
      </c>
      <c r="AA302" s="195">
        <f t="shared" si="129"/>
        <v>33002.446909667196</v>
      </c>
      <c r="AB302" s="195">
        <f t="shared" si="129"/>
        <v>33912.906164591557</v>
      </c>
      <c r="AC302" s="195">
        <f t="shared" si="129"/>
        <v>35591.394607132504</v>
      </c>
      <c r="AD302" s="195">
        <f t="shared" si="129"/>
        <v>36865.801991150445</v>
      </c>
      <c r="AE302" s="195">
        <f t="shared" si="129"/>
        <v>37832.071036824236</v>
      </c>
      <c r="AF302" s="195">
        <f t="shared" si="129"/>
        <v>39631.958661417324</v>
      </c>
      <c r="AG302" s="195">
        <f t="shared" si="129"/>
        <v>40395.245901639348</v>
      </c>
      <c r="AH302" s="195">
        <f t="shared" si="129"/>
        <v>40553.283686292765</v>
      </c>
      <c r="AI302" s="195">
        <f t="shared" si="129"/>
        <v>40214.533087387594</v>
      </c>
      <c r="AJ302" s="195">
        <f t="shared" si="129"/>
        <v>39054.342536265794</v>
      </c>
      <c r="AK302" s="195">
        <f t="shared" si="129"/>
        <v>38999.468655325101</v>
      </c>
      <c r="AL302" s="195">
        <f t="shared" si="129"/>
        <v>38818.639344262294</v>
      </c>
      <c r="AM302" s="195">
        <f t="shared" si="129"/>
        <v>37624.692982456138</v>
      </c>
      <c r="AN302" s="195">
        <f t="shared" si="129"/>
        <v>37521.127254509018</v>
      </c>
      <c r="AO302" s="195">
        <f t="shared" si="129"/>
        <v>36689.081975691748</v>
      </c>
      <c r="AP302" s="195">
        <f t="shared" si="129"/>
        <v>37372.470376094796</v>
      </c>
      <c r="AQ302" s="195">
        <f t="shared" si="129"/>
        <v>36962.480620155038</v>
      </c>
      <c r="AR302" s="195">
        <f t="shared" si="129"/>
        <v>35744.200336700334</v>
      </c>
      <c r="AS302" s="195">
        <f t="shared" si="129"/>
        <v>36271.197084384636</v>
      </c>
      <c r="AT302" s="195">
        <f t="shared" si="129"/>
        <v>36515.625</v>
      </c>
      <c r="AU302" s="195">
        <f t="shared" si="129"/>
        <v>36897.948290241868</v>
      </c>
      <c r="AV302" s="195">
        <f t="shared" si="129"/>
        <v>37859.01423877327</v>
      </c>
      <c r="AW302" s="195">
        <f t="shared" si="129"/>
        <v>39710.748887143236</v>
      </c>
      <c r="AX302" s="195">
        <f t="shared" si="129"/>
        <v>40715.868354430379</v>
      </c>
      <c r="AY302" s="195">
        <f t="shared" si="129"/>
        <v>41244.07119578842</v>
      </c>
      <c r="AZ302" s="195">
        <f t="shared" si="129"/>
        <v>41705.548902195609</v>
      </c>
      <c r="BA302" s="195">
        <f t="shared" si="129"/>
        <v>41442.404260715193</v>
      </c>
      <c r="BB302" s="195">
        <f t="shared" si="129"/>
        <v>41314.536823197333</v>
      </c>
      <c r="BC302" s="195">
        <f t="shared" si="129"/>
        <v>41062.854926299457</v>
      </c>
      <c r="BD302" s="195">
        <f t="shared" si="129"/>
        <v>40730.002632271651</v>
      </c>
      <c r="BE302" s="195">
        <f t="shared" si="129"/>
        <v>40679.477710366657</v>
      </c>
      <c r="BF302" s="195">
        <f t="shared" si="129"/>
        <v>40406.865394806569</v>
      </c>
      <c r="BG302" s="195">
        <f t="shared" si="129"/>
        <v>40199.491880565743</v>
      </c>
      <c r="BH302" s="195">
        <f t="shared" si="129"/>
        <v>39560.056701030924</v>
      </c>
      <c r="BI302" s="195">
        <f t="shared" si="129"/>
        <v>39535.711382113819</v>
      </c>
      <c r="BJ302" s="195">
        <f t="shared" si="129"/>
        <v>38953.527491840323</v>
      </c>
      <c r="BK302" s="195">
        <f t="shared" si="129"/>
        <v>38787.590151703553</v>
      </c>
      <c r="BL302" s="195">
        <f t="shared" si="129"/>
        <v>38765.190311418686</v>
      </c>
      <c r="BM302" s="195">
        <f t="shared" si="129"/>
        <v>38718.26932545544</v>
      </c>
      <c r="BN302" s="195">
        <f t="shared" si="129"/>
        <v>38648.297297297293</v>
      </c>
      <c r="BO302" s="195">
        <f t="shared" si="129"/>
        <v>38770.847457627118</v>
      </c>
      <c r="BP302" s="195">
        <f t="shared" si="129"/>
        <v>38852.088047220859</v>
      </c>
      <c r="BQ302" s="195">
        <f t="shared" si="129"/>
        <v>38911.365877712036</v>
      </c>
    </row>
    <row r="303" spans="1:69" s="105" customFormat="1">
      <c r="A303" s="105">
        <f>$A$64</f>
        <v>47</v>
      </c>
      <c r="B303" s="114"/>
      <c r="C303" s="114"/>
      <c r="D303" s="114"/>
      <c r="E303" s="114"/>
      <c r="F303" s="114"/>
      <c r="G303" s="114"/>
      <c r="H303" s="114"/>
      <c r="I303" s="114"/>
      <c r="J303" s="114"/>
      <c r="K303" s="114"/>
      <c r="L303" s="114"/>
      <c r="M303" s="195">
        <f>M$157*M$439</f>
        <v>29110.693944353516</v>
      </c>
      <c r="N303" s="195">
        <f t="shared" ref="N303:BQ303" si="130">N$157*N$439</f>
        <v>30169.323979591834</v>
      </c>
      <c r="O303" s="195">
        <f t="shared" si="130"/>
        <v>30521.352130727329</v>
      </c>
      <c r="P303" s="195">
        <f t="shared" si="130"/>
        <v>30102.212653196424</v>
      </c>
      <c r="Q303" s="195">
        <f t="shared" si="130"/>
        <v>29083.492333901191</v>
      </c>
      <c r="R303" s="195">
        <f t="shared" si="130"/>
        <v>28346.902654867255</v>
      </c>
      <c r="S303" s="195">
        <f t="shared" si="130"/>
        <v>27990.631120783462</v>
      </c>
      <c r="T303" s="195">
        <f t="shared" si="130"/>
        <v>28186.499454743731</v>
      </c>
      <c r="U303" s="195">
        <f t="shared" si="130"/>
        <v>27912.874629080117</v>
      </c>
      <c r="V303" s="195">
        <f t="shared" si="130"/>
        <v>28940.425992779783</v>
      </c>
      <c r="W303" s="195">
        <f t="shared" si="130"/>
        <v>29676.346562721475</v>
      </c>
      <c r="X303" s="195">
        <f t="shared" si="130"/>
        <v>30338.14891416753</v>
      </c>
      <c r="Y303" s="195">
        <f t="shared" si="130"/>
        <v>31124.147339699863</v>
      </c>
      <c r="Z303" s="195">
        <f t="shared" si="130"/>
        <v>32053.087270341206</v>
      </c>
      <c r="AA303" s="195">
        <f t="shared" si="130"/>
        <v>32565.391809093839</v>
      </c>
      <c r="AB303" s="195">
        <f t="shared" si="130"/>
        <v>32937.34221376467</v>
      </c>
      <c r="AC303" s="195">
        <f t="shared" si="130"/>
        <v>33848.544515344882</v>
      </c>
      <c r="AD303" s="195">
        <f t="shared" si="130"/>
        <v>35526.218804410913</v>
      </c>
      <c r="AE303" s="195">
        <f t="shared" si="130"/>
        <v>36791.043165467629</v>
      </c>
      <c r="AF303" s="195">
        <f t="shared" si="130"/>
        <v>37748.497517637836</v>
      </c>
      <c r="AG303" s="195">
        <f t="shared" si="130"/>
        <v>39558.995321349423</v>
      </c>
      <c r="AH303" s="195">
        <f t="shared" si="130"/>
        <v>40323.932505273027</v>
      </c>
      <c r="AI303" s="195">
        <f t="shared" si="130"/>
        <v>40472.026082906385</v>
      </c>
      <c r="AJ303" s="195">
        <f t="shared" si="130"/>
        <v>40125.15801614763</v>
      </c>
      <c r="AK303" s="195">
        <f t="shared" si="130"/>
        <v>38975.351123595501</v>
      </c>
      <c r="AL303" s="195">
        <f t="shared" si="130"/>
        <v>38920.871998134768</v>
      </c>
      <c r="AM303" s="195">
        <f t="shared" si="130"/>
        <v>38739.770330442938</v>
      </c>
      <c r="AN303" s="195">
        <f t="shared" si="130"/>
        <v>37555.326669917114</v>
      </c>
      <c r="AO303" s="195">
        <f t="shared" si="130"/>
        <v>37450.26315789474</v>
      </c>
      <c r="AP303" s="195">
        <f t="shared" si="130"/>
        <v>36608.186756337302</v>
      </c>
      <c r="AQ303" s="195">
        <f t="shared" si="130"/>
        <v>37300.134020618556</v>
      </c>
      <c r="AR303" s="195">
        <f t="shared" si="130"/>
        <v>36878.647058823532</v>
      </c>
      <c r="AS303" s="195">
        <f t="shared" si="130"/>
        <v>35658.611111111109</v>
      </c>
      <c r="AT303" s="195">
        <f t="shared" si="130"/>
        <v>36185.915335015423</v>
      </c>
      <c r="AU303" s="195">
        <f t="shared" si="130"/>
        <v>36450.304287690182</v>
      </c>
      <c r="AV303" s="195">
        <f t="shared" si="130"/>
        <v>36831.590656284759</v>
      </c>
      <c r="AW303" s="195">
        <f t="shared" si="130"/>
        <v>37791.963845521772</v>
      </c>
      <c r="AX303" s="195">
        <f t="shared" si="130"/>
        <v>39623.053954950235</v>
      </c>
      <c r="AY303" s="195">
        <f t="shared" si="130"/>
        <v>40628.857938718662</v>
      </c>
      <c r="AZ303" s="195">
        <f t="shared" si="130"/>
        <v>41166.168505516551</v>
      </c>
      <c r="BA303" s="195">
        <f t="shared" si="130"/>
        <v>41617.793860743703</v>
      </c>
      <c r="BB303" s="195">
        <f t="shared" si="130"/>
        <v>41363.216641298837</v>
      </c>
      <c r="BC303" s="195">
        <f t="shared" si="130"/>
        <v>41224.108288427</v>
      </c>
      <c r="BD303" s="195">
        <f t="shared" si="130"/>
        <v>40972.283423842775</v>
      </c>
      <c r="BE303" s="195">
        <f t="shared" si="130"/>
        <v>40649.960515925239</v>
      </c>
      <c r="BF303" s="195">
        <f t="shared" si="130"/>
        <v>40599.377472962282</v>
      </c>
      <c r="BG303" s="195">
        <f t="shared" si="130"/>
        <v>40326.942236354</v>
      </c>
      <c r="BH303" s="195">
        <f t="shared" si="130"/>
        <v>40120.911471974861</v>
      </c>
      <c r="BI303" s="195">
        <f t="shared" si="130"/>
        <v>39473.087628865978</v>
      </c>
      <c r="BJ303" s="195">
        <f t="shared" si="130"/>
        <v>39459.377540650406</v>
      </c>
      <c r="BK303" s="195">
        <f t="shared" si="130"/>
        <v>38889.881998493598</v>
      </c>
      <c r="BL303" s="195">
        <f t="shared" si="130"/>
        <v>38724.92912210893</v>
      </c>
      <c r="BM303" s="195">
        <f t="shared" si="130"/>
        <v>38703.027681660904</v>
      </c>
      <c r="BN303" s="195">
        <f t="shared" si="130"/>
        <v>38646.307237813882</v>
      </c>
      <c r="BO303" s="195">
        <f t="shared" si="130"/>
        <v>38576.653562653562</v>
      </c>
      <c r="BP303" s="195">
        <f t="shared" si="130"/>
        <v>38709.125521984766</v>
      </c>
      <c r="BQ303" s="195">
        <f t="shared" si="130"/>
        <v>38790.122970978846</v>
      </c>
    </row>
    <row r="304" spans="1:69" s="105" customFormat="1">
      <c r="A304" s="105">
        <f>$A$65</f>
        <v>48</v>
      </c>
      <c r="B304" s="114"/>
      <c r="C304" s="114"/>
      <c r="D304" s="114"/>
      <c r="E304" s="114"/>
      <c r="F304" s="114"/>
      <c r="G304" s="114"/>
      <c r="H304" s="114"/>
      <c r="I304" s="114"/>
      <c r="J304" s="114"/>
      <c r="K304" s="114"/>
      <c r="L304" s="114"/>
      <c r="M304" s="195">
        <f>M$158*M$440</f>
        <v>29042.864125122189</v>
      </c>
      <c r="N304" s="195">
        <f t="shared" ref="N304:BQ304" si="131">N$158*N$440</f>
        <v>29472.539215686273</v>
      </c>
      <c r="O304" s="195">
        <f t="shared" si="131"/>
        <v>30409.748327492831</v>
      </c>
      <c r="P304" s="195">
        <f t="shared" si="131"/>
        <v>30851.015700096123</v>
      </c>
      <c r="Q304" s="195">
        <f t="shared" si="131"/>
        <v>30118.753728869739</v>
      </c>
      <c r="R304" s="195">
        <f t="shared" si="131"/>
        <v>29124.298874104403</v>
      </c>
      <c r="S304" s="195">
        <f t="shared" si="131"/>
        <v>28406.097128677775</v>
      </c>
      <c r="T304" s="195">
        <f t="shared" si="131"/>
        <v>27930.083545223391</v>
      </c>
      <c r="U304" s="195">
        <f t="shared" si="131"/>
        <v>28124.818049490535</v>
      </c>
      <c r="V304" s="195">
        <f t="shared" si="131"/>
        <v>27850.954326030449</v>
      </c>
      <c r="W304" s="195">
        <f t="shared" si="131"/>
        <v>28878.297795446331</v>
      </c>
      <c r="X304" s="195">
        <f t="shared" si="131"/>
        <v>29613.225691980129</v>
      </c>
      <c r="Y304" s="195">
        <f t="shared" si="131"/>
        <v>30275.205384880912</v>
      </c>
      <c r="Z304" s="195">
        <f t="shared" si="131"/>
        <v>31051.571038251364</v>
      </c>
      <c r="AA304" s="195">
        <f t="shared" si="131"/>
        <v>31968.236453201967</v>
      </c>
      <c r="AB304" s="195">
        <f t="shared" si="131"/>
        <v>32491.120439134644</v>
      </c>
      <c r="AC304" s="195">
        <f t="shared" si="131"/>
        <v>32863.289933312168</v>
      </c>
      <c r="AD304" s="195">
        <f t="shared" si="131"/>
        <v>33775.083662914512</v>
      </c>
      <c r="AE304" s="195">
        <f t="shared" si="131"/>
        <v>35431.341853035141</v>
      </c>
      <c r="AF304" s="195">
        <f t="shared" si="131"/>
        <v>36696.149584487539</v>
      </c>
      <c r="AG304" s="195">
        <f t="shared" si="131"/>
        <v>37655.422443107513</v>
      </c>
      <c r="AH304" s="195">
        <f t="shared" si="131"/>
        <v>39446.9016514666</v>
      </c>
      <c r="AI304" s="195">
        <f t="shared" si="131"/>
        <v>40203.69692704668</v>
      </c>
      <c r="AJ304" s="195">
        <f t="shared" si="131"/>
        <v>40351.997668997668</v>
      </c>
      <c r="AK304" s="195">
        <f t="shared" si="131"/>
        <v>40006.474255368274</v>
      </c>
      <c r="AL304" s="195">
        <f t="shared" si="131"/>
        <v>38867.036082474224</v>
      </c>
      <c r="AM304" s="195">
        <f t="shared" si="131"/>
        <v>38803.63127187865</v>
      </c>
      <c r="AN304" s="195">
        <f t="shared" si="131"/>
        <v>38622.788461538461</v>
      </c>
      <c r="AO304" s="195">
        <f t="shared" si="131"/>
        <v>37437.696999268112</v>
      </c>
      <c r="AP304" s="195">
        <f t="shared" si="131"/>
        <v>37330.624529721594</v>
      </c>
      <c r="AQ304" s="195">
        <f t="shared" si="131"/>
        <v>36507.274139269997</v>
      </c>
      <c r="AR304" s="195">
        <f t="shared" si="131"/>
        <v>37198.129997420685</v>
      </c>
      <c r="AS304" s="195">
        <f t="shared" si="131"/>
        <v>36775.441412520064</v>
      </c>
      <c r="AT304" s="195">
        <f t="shared" si="131"/>
        <v>35574.978938500426</v>
      </c>
      <c r="AU304" s="195">
        <f t="shared" si="131"/>
        <v>36090.684624017958</v>
      </c>
      <c r="AV304" s="195">
        <f t="shared" si="131"/>
        <v>36345.441461389426</v>
      </c>
      <c r="AW304" s="195">
        <f t="shared" si="131"/>
        <v>36725.509181969952</v>
      </c>
      <c r="AX304" s="195">
        <f t="shared" si="131"/>
        <v>37675.724856124965</v>
      </c>
      <c r="AY304" s="195">
        <f t="shared" si="131"/>
        <v>39515.943396226416</v>
      </c>
      <c r="AZ304" s="195">
        <f t="shared" si="131"/>
        <v>40511.446668355711</v>
      </c>
      <c r="BA304" s="195">
        <f t="shared" si="131"/>
        <v>41039.111891620669</v>
      </c>
      <c r="BB304" s="195">
        <f t="shared" si="131"/>
        <v>41510.621722846437</v>
      </c>
      <c r="BC304" s="195">
        <f t="shared" si="131"/>
        <v>41255.228426395937</v>
      </c>
      <c r="BD304" s="195">
        <f t="shared" si="131"/>
        <v>41115.471116816429</v>
      </c>
      <c r="BE304" s="195">
        <f t="shared" si="131"/>
        <v>40863.518758085382</v>
      </c>
      <c r="BF304" s="195">
        <f t="shared" si="131"/>
        <v>40540.389781406375</v>
      </c>
      <c r="BG304" s="195">
        <f t="shared" si="131"/>
        <v>40479.063324538256</v>
      </c>
      <c r="BH304" s="195">
        <f t="shared" si="131"/>
        <v>40217.492046659594</v>
      </c>
      <c r="BI304" s="195">
        <f t="shared" si="131"/>
        <v>40011.684569033278</v>
      </c>
      <c r="BJ304" s="195">
        <f t="shared" si="131"/>
        <v>39366.723382315031</v>
      </c>
      <c r="BK304" s="195">
        <f t="shared" si="131"/>
        <v>39354.94661921708</v>
      </c>
      <c r="BL304" s="195">
        <f t="shared" si="131"/>
        <v>38787.059266700147</v>
      </c>
      <c r="BM304" s="195">
        <f t="shared" si="131"/>
        <v>38632.853943767106</v>
      </c>
      <c r="BN304" s="195">
        <f t="shared" si="131"/>
        <v>38601.913473423978</v>
      </c>
      <c r="BO304" s="195">
        <f t="shared" si="131"/>
        <v>38545.61930558976</v>
      </c>
      <c r="BP304" s="195">
        <f t="shared" si="131"/>
        <v>38476.284099287295</v>
      </c>
      <c r="BQ304" s="195">
        <f t="shared" si="131"/>
        <v>38598.361179361178</v>
      </c>
    </row>
    <row r="305" spans="1:69" s="105" customFormat="1">
      <c r="A305" s="105">
        <f>$A$66</f>
        <v>49</v>
      </c>
      <c r="B305" s="114"/>
      <c r="C305" s="114"/>
      <c r="D305" s="114"/>
      <c r="E305" s="114"/>
      <c r="F305" s="114"/>
      <c r="G305" s="114"/>
      <c r="H305" s="114"/>
      <c r="I305" s="114"/>
      <c r="J305" s="114"/>
      <c r="K305" s="114"/>
      <c r="L305" s="114"/>
      <c r="M305" s="195">
        <f>M$159*M$441</f>
        <v>28515.696789142668</v>
      </c>
      <c r="N305" s="195">
        <f t="shared" ref="N305:BQ305" si="132">N$159*N$441</f>
        <v>29419.544122435691</v>
      </c>
      <c r="O305" s="195">
        <f t="shared" si="132"/>
        <v>29672.773603397582</v>
      </c>
      <c r="P305" s="195">
        <f t="shared" si="132"/>
        <v>30709.633407714377</v>
      </c>
      <c r="Q305" s="195">
        <f t="shared" si="132"/>
        <v>30845.717035611164</v>
      </c>
      <c r="R305" s="195">
        <f t="shared" si="132"/>
        <v>30139.090003321155</v>
      </c>
      <c r="S305" s="195">
        <f t="shared" si="132"/>
        <v>29164.909401709403</v>
      </c>
      <c r="T305" s="195">
        <f t="shared" si="132"/>
        <v>28306.25</v>
      </c>
      <c r="U305" s="195">
        <f t="shared" si="132"/>
        <v>27839.246724890829</v>
      </c>
      <c r="V305" s="195">
        <f t="shared" si="132"/>
        <v>28024.549763033174</v>
      </c>
      <c r="W305" s="195">
        <f t="shared" si="132"/>
        <v>27759.635416666668</v>
      </c>
      <c r="X305" s="195">
        <f t="shared" si="132"/>
        <v>28786.74873280232</v>
      </c>
      <c r="Y305" s="195">
        <f t="shared" si="132"/>
        <v>29511.016346837245</v>
      </c>
      <c r="Z305" s="195">
        <f t="shared" si="132"/>
        <v>30161.942620117523</v>
      </c>
      <c r="AA305" s="195">
        <f t="shared" si="132"/>
        <v>30937.612859097124</v>
      </c>
      <c r="AB305" s="195">
        <f t="shared" si="132"/>
        <v>31844.6875</v>
      </c>
      <c r="AC305" s="195">
        <f t="shared" si="132"/>
        <v>32357.167798254122</v>
      </c>
      <c r="AD305" s="195">
        <f t="shared" si="132"/>
        <v>32729.666136724958</v>
      </c>
      <c r="AE305" s="195">
        <f t="shared" si="132"/>
        <v>33641.590493601463</v>
      </c>
      <c r="AF305" s="195">
        <f t="shared" si="132"/>
        <v>35297.769051774289</v>
      </c>
      <c r="AG305" s="195">
        <f t="shared" si="132"/>
        <v>36563.317614424413</v>
      </c>
      <c r="AH305" s="195">
        <f t="shared" si="132"/>
        <v>37513.844944997378</v>
      </c>
      <c r="AI305" s="195">
        <f t="shared" si="132"/>
        <v>39295.774925962491</v>
      </c>
      <c r="AJ305" s="195">
        <f t="shared" si="132"/>
        <v>40044.772193518089</v>
      </c>
      <c r="AK305" s="195">
        <f t="shared" si="132"/>
        <v>40193.306884480742</v>
      </c>
      <c r="AL305" s="195">
        <f t="shared" si="132"/>
        <v>39857.930635838151</v>
      </c>
      <c r="AM305" s="195">
        <f t="shared" si="132"/>
        <v>38711.062631949331</v>
      </c>
      <c r="AN305" s="195">
        <f t="shared" si="132"/>
        <v>38657.43457943925</v>
      </c>
      <c r="AO305" s="195">
        <f t="shared" si="132"/>
        <v>38476.581357126088</v>
      </c>
      <c r="AP305" s="195">
        <f t="shared" si="132"/>
        <v>37290.830483634592</v>
      </c>
      <c r="AQ305" s="195">
        <f t="shared" si="132"/>
        <v>37182.405222194328</v>
      </c>
      <c r="AR305" s="195">
        <f t="shared" si="132"/>
        <v>36358.292303705624</v>
      </c>
      <c r="AS305" s="195">
        <f t="shared" si="132"/>
        <v>37038.322147651008</v>
      </c>
      <c r="AT305" s="195">
        <f t="shared" si="132"/>
        <v>36623.034279592932</v>
      </c>
      <c r="AU305" s="195">
        <f t="shared" si="132"/>
        <v>35421.984260820682</v>
      </c>
      <c r="AV305" s="195">
        <f t="shared" si="132"/>
        <v>35945.810165683797</v>
      </c>
      <c r="AW305" s="195">
        <f t="shared" si="132"/>
        <v>36191.84210526316</v>
      </c>
      <c r="AX305" s="195">
        <f t="shared" si="132"/>
        <v>36579.824561403511</v>
      </c>
      <c r="AY305" s="195">
        <f t="shared" si="132"/>
        <v>37529.116840373012</v>
      </c>
      <c r="AZ305" s="195">
        <f t="shared" si="132"/>
        <v>39357.985837922897</v>
      </c>
      <c r="BA305" s="195">
        <f t="shared" si="132"/>
        <v>40354.381338742394</v>
      </c>
      <c r="BB305" s="195">
        <f t="shared" si="132"/>
        <v>40881.722319859407</v>
      </c>
      <c r="BC305" s="195">
        <f t="shared" si="132"/>
        <v>41352.578710644673</v>
      </c>
      <c r="BD305" s="195">
        <f t="shared" si="132"/>
        <v>41086.817373634745</v>
      </c>
      <c r="BE305" s="195">
        <f t="shared" si="132"/>
        <v>40955.539568345324</v>
      </c>
      <c r="BF305" s="195">
        <f t="shared" si="132"/>
        <v>40704.196220553975</v>
      </c>
      <c r="BG305" s="195">
        <f t="shared" si="132"/>
        <v>40390.682656826568</v>
      </c>
      <c r="BH305" s="195">
        <f t="shared" si="132"/>
        <v>40329.316081330871</v>
      </c>
      <c r="BI305" s="195">
        <f t="shared" si="132"/>
        <v>40057.294429708221</v>
      </c>
      <c r="BJ305" s="195">
        <f t="shared" si="132"/>
        <v>39853.242463958064</v>
      </c>
      <c r="BK305" s="195">
        <f t="shared" si="132"/>
        <v>39230.962332301337</v>
      </c>
      <c r="BL305" s="195">
        <f t="shared" si="132"/>
        <v>39210.495930824007</v>
      </c>
      <c r="BM305" s="195">
        <f t="shared" si="132"/>
        <v>38635.157074641866</v>
      </c>
      <c r="BN305" s="195">
        <f t="shared" si="132"/>
        <v>38482.922579039085</v>
      </c>
      <c r="BO305" s="195">
        <f t="shared" si="132"/>
        <v>38461.973781845161</v>
      </c>
      <c r="BP305" s="195">
        <f t="shared" si="132"/>
        <v>38415.630852636772</v>
      </c>
      <c r="BQ305" s="195">
        <f t="shared" si="132"/>
        <v>38337.18957462503</v>
      </c>
    </row>
    <row r="306" spans="1:69" s="105" customFormat="1">
      <c r="A306" s="105">
        <f>$A$67</f>
        <v>50</v>
      </c>
      <c r="B306" s="114"/>
      <c r="C306" s="114"/>
      <c r="D306" s="114"/>
      <c r="E306" s="114"/>
      <c r="F306" s="114"/>
      <c r="G306" s="114"/>
      <c r="H306" s="114"/>
      <c r="I306" s="114"/>
      <c r="J306" s="114"/>
      <c r="K306" s="114"/>
      <c r="L306" s="114"/>
      <c r="M306" s="195">
        <f>M$160*M$442</f>
        <v>27798.178752107924</v>
      </c>
      <c r="N306" s="195">
        <f t="shared" ref="N306:BQ306" si="133">N$160*N$442</f>
        <v>28778.96095301125</v>
      </c>
      <c r="O306" s="195">
        <f t="shared" si="133"/>
        <v>29515.928338762213</v>
      </c>
      <c r="P306" s="195">
        <f t="shared" si="133"/>
        <v>29951.196860693261</v>
      </c>
      <c r="Q306" s="195">
        <f t="shared" si="133"/>
        <v>30672.860791826308</v>
      </c>
      <c r="R306" s="195">
        <f t="shared" si="133"/>
        <v>30845.054662379422</v>
      </c>
      <c r="S306" s="195">
        <f t="shared" si="133"/>
        <v>30147.443408788284</v>
      </c>
      <c r="T306" s="195">
        <f t="shared" si="133"/>
        <v>29024.378211716343</v>
      </c>
      <c r="U306" s="195">
        <f t="shared" si="133"/>
        <v>28176.26334519573</v>
      </c>
      <c r="V306" s="195">
        <f t="shared" si="133"/>
        <v>27708.971553610503</v>
      </c>
      <c r="W306" s="195">
        <f t="shared" si="133"/>
        <v>27893.956887102668</v>
      </c>
      <c r="X306" s="195">
        <f t="shared" si="133"/>
        <v>27618.337681699588</v>
      </c>
      <c r="Y306" s="195">
        <f t="shared" si="133"/>
        <v>28644.121915820029</v>
      </c>
      <c r="Z306" s="195">
        <f t="shared" si="133"/>
        <v>29368.091168091167</v>
      </c>
      <c r="AA306" s="195">
        <f t="shared" si="133"/>
        <v>30019.328022168342</v>
      </c>
      <c r="AB306" s="195">
        <f t="shared" si="133"/>
        <v>30782.847840986975</v>
      </c>
      <c r="AC306" s="195">
        <f t="shared" si="133"/>
        <v>31691.416803953871</v>
      </c>
      <c r="AD306" s="195">
        <f t="shared" si="133"/>
        <v>32203.142209264661</v>
      </c>
      <c r="AE306" s="195">
        <f t="shared" si="133"/>
        <v>32575.97961134119</v>
      </c>
      <c r="AF306" s="195">
        <f t="shared" si="133"/>
        <v>33467.586206896551</v>
      </c>
      <c r="AG306" s="195">
        <f t="shared" si="133"/>
        <v>35133.878205128203</v>
      </c>
      <c r="AH306" s="195">
        <f t="shared" si="133"/>
        <v>36380.133370380659</v>
      </c>
      <c r="AI306" s="195">
        <f t="shared" si="133"/>
        <v>37322.641657922351</v>
      </c>
      <c r="AJ306" s="195">
        <f t="shared" si="133"/>
        <v>39095.321304992583</v>
      </c>
      <c r="AK306" s="195">
        <f t="shared" si="133"/>
        <v>39856.571025399811</v>
      </c>
      <c r="AL306" s="195">
        <f t="shared" si="133"/>
        <v>40005.441795231418</v>
      </c>
      <c r="AM306" s="195">
        <f t="shared" si="133"/>
        <v>39662.403334105118</v>
      </c>
      <c r="AN306" s="195">
        <f t="shared" si="133"/>
        <v>38526.194503171246</v>
      </c>
      <c r="AO306" s="195">
        <f t="shared" si="133"/>
        <v>38463.378568086104</v>
      </c>
      <c r="AP306" s="195">
        <f t="shared" si="133"/>
        <v>38282.511168586876</v>
      </c>
      <c r="AQ306" s="195">
        <f t="shared" si="133"/>
        <v>37115.698214722426</v>
      </c>
      <c r="AR306" s="195">
        <f t="shared" si="133"/>
        <v>37005.002513826046</v>
      </c>
      <c r="AS306" s="195">
        <f t="shared" si="133"/>
        <v>36180.031136481579</v>
      </c>
      <c r="AT306" s="195">
        <f t="shared" si="133"/>
        <v>36858.663737399846</v>
      </c>
      <c r="AU306" s="195">
        <f t="shared" si="133"/>
        <v>36450.938337801606</v>
      </c>
      <c r="AV306" s="195">
        <f t="shared" si="133"/>
        <v>35248.438379290936</v>
      </c>
      <c r="AW306" s="195">
        <f t="shared" si="133"/>
        <v>35761.596851279166</v>
      </c>
      <c r="AX306" s="195">
        <f t="shared" si="133"/>
        <v>36017.609539656129</v>
      </c>
      <c r="AY306" s="195">
        <f t="shared" si="133"/>
        <v>36405.614719821577</v>
      </c>
      <c r="AZ306" s="195">
        <f t="shared" si="133"/>
        <v>37352.224052718288</v>
      </c>
      <c r="BA306" s="195">
        <f t="shared" si="133"/>
        <v>39171.499081123657</v>
      </c>
      <c r="BB306" s="195">
        <f t="shared" si="133"/>
        <v>40157.817258883246</v>
      </c>
      <c r="BC306" s="195">
        <f t="shared" si="133"/>
        <v>40684.795174667001</v>
      </c>
      <c r="BD306" s="195">
        <f t="shared" si="133"/>
        <v>41154.914957478737</v>
      </c>
      <c r="BE306" s="195">
        <f t="shared" si="133"/>
        <v>40898.093543467206</v>
      </c>
      <c r="BF306" s="195">
        <f t="shared" si="133"/>
        <v>40765.862689637441</v>
      </c>
      <c r="BG306" s="195">
        <f t="shared" si="133"/>
        <v>40513.565690593416</v>
      </c>
      <c r="BH306" s="195">
        <f t="shared" si="133"/>
        <v>40199.667633869693</v>
      </c>
      <c r="BI306" s="195">
        <f t="shared" si="133"/>
        <v>40138.253171247357</v>
      </c>
      <c r="BJ306" s="195">
        <f t="shared" si="133"/>
        <v>39877.886912662601</v>
      </c>
      <c r="BK306" s="195">
        <f t="shared" si="133"/>
        <v>39674.809761217526</v>
      </c>
      <c r="BL306" s="195">
        <f t="shared" si="133"/>
        <v>39045.685515104567</v>
      </c>
      <c r="BM306" s="195">
        <f t="shared" si="133"/>
        <v>39026.851616187327</v>
      </c>
      <c r="BN306" s="195">
        <f t="shared" si="133"/>
        <v>38463.682092555333</v>
      </c>
      <c r="BO306" s="195">
        <f t="shared" si="133"/>
        <v>38302.608370702546</v>
      </c>
      <c r="BP306" s="195">
        <f t="shared" si="133"/>
        <v>38282.457920792083</v>
      </c>
      <c r="BQ306" s="195">
        <f t="shared" si="133"/>
        <v>38237.396449704138</v>
      </c>
    </row>
    <row r="307" spans="1:69" s="105" customFormat="1">
      <c r="A307" s="105">
        <f>$A$68</f>
        <v>51</v>
      </c>
      <c r="B307" s="114"/>
      <c r="C307" s="114"/>
      <c r="D307" s="114"/>
      <c r="E307" s="114"/>
      <c r="F307" s="114"/>
      <c r="G307" s="114"/>
      <c r="H307" s="114"/>
      <c r="I307" s="114"/>
      <c r="J307" s="114"/>
      <c r="K307" s="114"/>
      <c r="L307" s="114"/>
      <c r="M307" s="195">
        <f>M$161*M$443</f>
        <v>27739.278523489931</v>
      </c>
      <c r="N307" s="195">
        <f t="shared" ref="N307:BQ307" si="134">N$161*N$443</f>
        <v>28013.220910623946</v>
      </c>
      <c r="O307" s="195">
        <f t="shared" si="134"/>
        <v>28783.334437086094</v>
      </c>
      <c r="P307" s="195">
        <f t="shared" si="134"/>
        <v>29709.308545335942</v>
      </c>
      <c r="Q307" s="195">
        <f t="shared" si="134"/>
        <v>29904.128440366974</v>
      </c>
      <c r="R307" s="195">
        <f t="shared" si="134"/>
        <v>30633.133802816901</v>
      </c>
      <c r="S307" s="195">
        <f t="shared" si="134"/>
        <v>30814.126370083817</v>
      </c>
      <c r="T307" s="195">
        <f t="shared" si="134"/>
        <v>29988.184245660879</v>
      </c>
      <c r="U307" s="195">
        <f t="shared" si="134"/>
        <v>28864.732142857141</v>
      </c>
      <c r="V307" s="195">
        <f t="shared" si="134"/>
        <v>28027.120941848018</v>
      </c>
      <c r="W307" s="195">
        <f t="shared" si="134"/>
        <v>27549.451754385966</v>
      </c>
      <c r="X307" s="195">
        <f t="shared" si="134"/>
        <v>27732.138410838521</v>
      </c>
      <c r="Y307" s="195">
        <f t="shared" si="134"/>
        <v>27467.090026148671</v>
      </c>
      <c r="Z307" s="195">
        <f t="shared" si="134"/>
        <v>28481.13818181818</v>
      </c>
      <c r="AA307" s="195">
        <f t="shared" si="134"/>
        <v>29195.531763026411</v>
      </c>
      <c r="AB307" s="195">
        <f t="shared" si="134"/>
        <v>29835.890315862547</v>
      </c>
      <c r="AC307" s="195">
        <f t="shared" si="134"/>
        <v>30618.983516483513</v>
      </c>
      <c r="AD307" s="195">
        <f t="shared" si="134"/>
        <v>31506.816380449141</v>
      </c>
      <c r="AE307" s="195">
        <f t="shared" si="134"/>
        <v>32017.468354430377</v>
      </c>
      <c r="AF307" s="195">
        <f t="shared" si="134"/>
        <v>32390.769230769234</v>
      </c>
      <c r="AG307" s="195">
        <f t="shared" si="134"/>
        <v>33283.705288902471</v>
      </c>
      <c r="AH307" s="195">
        <f t="shared" si="134"/>
        <v>34918.517221249269</v>
      </c>
      <c r="AI307" s="195">
        <f t="shared" si="134"/>
        <v>36166.10075146117</v>
      </c>
      <c r="AJ307" s="195">
        <f t="shared" si="134"/>
        <v>37111.05124835742</v>
      </c>
      <c r="AK307" s="195">
        <f t="shared" si="134"/>
        <v>38874.647189898489</v>
      </c>
      <c r="AL307" s="195">
        <f t="shared" si="134"/>
        <v>39619.846878680801</v>
      </c>
      <c r="AM307" s="195">
        <f t="shared" si="134"/>
        <v>39768.960674157308</v>
      </c>
      <c r="AN307" s="195">
        <f t="shared" si="134"/>
        <v>39428.193832599121</v>
      </c>
      <c r="AO307" s="195">
        <f t="shared" si="134"/>
        <v>38303.0345800988</v>
      </c>
      <c r="AP307" s="195">
        <f t="shared" si="134"/>
        <v>38250.585754451735</v>
      </c>
      <c r="AQ307" s="195">
        <f t="shared" si="134"/>
        <v>38069.703319990578</v>
      </c>
      <c r="AR307" s="195">
        <f t="shared" si="134"/>
        <v>36901.983835415136</v>
      </c>
      <c r="AS307" s="195">
        <f t="shared" si="134"/>
        <v>36788.51460221551</v>
      </c>
      <c r="AT307" s="195">
        <f t="shared" si="134"/>
        <v>35972.507144712916</v>
      </c>
      <c r="AU307" s="195">
        <f t="shared" si="134"/>
        <v>36640.181159420288</v>
      </c>
      <c r="AV307" s="195">
        <f t="shared" si="134"/>
        <v>36239.962416107381</v>
      </c>
      <c r="AW307" s="195">
        <f t="shared" si="134"/>
        <v>35045.111298957454</v>
      </c>
      <c r="AX307" s="195">
        <f t="shared" si="134"/>
        <v>35567.567567567567</v>
      </c>
      <c r="AY307" s="195">
        <f t="shared" si="134"/>
        <v>35803.567462520819</v>
      </c>
      <c r="AZ307" s="195">
        <f t="shared" si="134"/>
        <v>36189.628802679319</v>
      </c>
      <c r="BA307" s="195">
        <f t="shared" si="134"/>
        <v>37134.936778449694</v>
      </c>
      <c r="BB307" s="195">
        <f t="shared" si="134"/>
        <v>38953.860709592642</v>
      </c>
      <c r="BC307" s="195">
        <f t="shared" si="134"/>
        <v>39951.423125794157</v>
      </c>
      <c r="BD307" s="195">
        <f t="shared" si="134"/>
        <v>40478.032209360848</v>
      </c>
      <c r="BE307" s="195">
        <f t="shared" si="134"/>
        <v>40926.091637456186</v>
      </c>
      <c r="BF307" s="195">
        <f t="shared" si="134"/>
        <v>40678.25909900738</v>
      </c>
      <c r="BG307" s="195">
        <f t="shared" si="134"/>
        <v>40556.240988671474</v>
      </c>
      <c r="BH307" s="195">
        <f t="shared" si="134"/>
        <v>40293.30739299611</v>
      </c>
      <c r="BI307" s="195">
        <f t="shared" si="134"/>
        <v>39989.532611565883</v>
      </c>
      <c r="BJ307" s="195">
        <f t="shared" si="134"/>
        <v>39937.333333333336</v>
      </c>
      <c r="BK307" s="195">
        <f t="shared" si="134"/>
        <v>39665.838426787137</v>
      </c>
      <c r="BL307" s="195">
        <f t="shared" si="134"/>
        <v>39465.722163865546</v>
      </c>
      <c r="BM307" s="195">
        <f t="shared" si="134"/>
        <v>38840.558139534878</v>
      </c>
      <c r="BN307" s="195">
        <f t="shared" si="134"/>
        <v>38822.726114649682</v>
      </c>
      <c r="BO307" s="195">
        <f t="shared" si="134"/>
        <v>38253.08079536874</v>
      </c>
      <c r="BP307" s="195">
        <f t="shared" si="134"/>
        <v>38093.732236350035</v>
      </c>
      <c r="BQ307" s="195">
        <f t="shared" si="134"/>
        <v>38083.88503468781</v>
      </c>
    </row>
    <row r="308" spans="1:69" s="105" customFormat="1">
      <c r="A308" s="105">
        <f>$A$69</f>
        <v>52</v>
      </c>
      <c r="B308" s="114"/>
      <c r="C308" s="114"/>
      <c r="D308" s="114"/>
      <c r="E308" s="114"/>
      <c r="F308" s="114"/>
      <c r="G308" s="114"/>
      <c r="H308" s="114"/>
      <c r="I308" s="114"/>
      <c r="J308" s="114"/>
      <c r="K308" s="114"/>
      <c r="L308" s="114"/>
      <c r="M308" s="195">
        <f>M$162*M$444</f>
        <v>27919.930069930069</v>
      </c>
      <c r="N308" s="195">
        <f t="shared" ref="N308:BQ308" si="135">N$162*N$444</f>
        <v>27832.695535414568</v>
      </c>
      <c r="O308" s="195">
        <f t="shared" si="135"/>
        <v>27979.000675219446</v>
      </c>
      <c r="P308" s="195">
        <f t="shared" si="135"/>
        <v>28899.694859038143</v>
      </c>
      <c r="Q308" s="195">
        <f t="shared" si="135"/>
        <v>29632</v>
      </c>
      <c r="R308" s="195">
        <f t="shared" si="135"/>
        <v>29834.134078212293</v>
      </c>
      <c r="S308" s="195">
        <f t="shared" si="135"/>
        <v>30581.457463884431</v>
      </c>
      <c r="T308" s="195">
        <f t="shared" si="135"/>
        <v>30623.472356935014</v>
      </c>
      <c r="U308" s="195">
        <f t="shared" si="135"/>
        <v>29788.07293409167</v>
      </c>
      <c r="V308" s="195">
        <f t="shared" si="135"/>
        <v>28675.206611570247</v>
      </c>
      <c r="W308" s="195">
        <f t="shared" si="135"/>
        <v>27836.266094420604</v>
      </c>
      <c r="X308" s="195">
        <f t="shared" si="135"/>
        <v>27367.266397947966</v>
      </c>
      <c r="Y308" s="195">
        <f t="shared" si="135"/>
        <v>27560.407488986784</v>
      </c>
      <c r="Z308" s="195">
        <f t="shared" si="135"/>
        <v>27264.215649569451</v>
      </c>
      <c r="AA308" s="195">
        <f t="shared" si="135"/>
        <v>28277.492711370262</v>
      </c>
      <c r="AB308" s="195">
        <f t="shared" si="135"/>
        <v>29000.572246065811</v>
      </c>
      <c r="AC308" s="195">
        <f t="shared" si="135"/>
        <v>29641.460869565217</v>
      </c>
      <c r="AD308" s="195">
        <f t="shared" si="135"/>
        <v>30402.71851342051</v>
      </c>
      <c r="AE308" s="195">
        <f t="shared" si="135"/>
        <v>31300.761085373924</v>
      </c>
      <c r="AF308" s="195">
        <f t="shared" si="135"/>
        <v>31802.354471544717</v>
      </c>
      <c r="AG308" s="195">
        <f t="shared" si="135"/>
        <v>32164.988807163416</v>
      </c>
      <c r="AH308" s="195">
        <f t="shared" si="135"/>
        <v>33058.725490196077</v>
      </c>
      <c r="AI308" s="195">
        <f t="shared" si="135"/>
        <v>34683.228070175443</v>
      </c>
      <c r="AJ308" s="195">
        <f t="shared" si="135"/>
        <v>35940.619074177353</v>
      </c>
      <c r="AK308" s="195">
        <f t="shared" si="135"/>
        <v>36859.694656488551</v>
      </c>
      <c r="AL308" s="195">
        <f t="shared" si="135"/>
        <v>38624.206349206346</v>
      </c>
      <c r="AM308" s="195">
        <f t="shared" si="135"/>
        <v>39372.574935095588</v>
      </c>
      <c r="AN308" s="195">
        <f t="shared" si="135"/>
        <v>39512.771395076204</v>
      </c>
      <c r="AO308" s="195">
        <f t="shared" si="135"/>
        <v>39183.697166744074</v>
      </c>
      <c r="AP308" s="195">
        <f t="shared" si="135"/>
        <v>38051.251178133833</v>
      </c>
      <c r="AQ308" s="195">
        <f t="shared" si="135"/>
        <v>37999.835757860164</v>
      </c>
      <c r="AR308" s="195">
        <f t="shared" si="135"/>
        <v>37818.93657156331</v>
      </c>
      <c r="AS308" s="195">
        <f t="shared" si="135"/>
        <v>36659.833210694138</v>
      </c>
      <c r="AT308" s="195">
        <f t="shared" si="135"/>
        <v>36543.882026720443</v>
      </c>
      <c r="AU308" s="195">
        <f t="shared" si="135"/>
        <v>35746.042154566749</v>
      </c>
      <c r="AV308" s="195">
        <f t="shared" si="135"/>
        <v>36421.254536029031</v>
      </c>
      <c r="AW308" s="195">
        <f t="shared" si="135"/>
        <v>36008.322580645159</v>
      </c>
      <c r="AX308" s="195">
        <f t="shared" si="135"/>
        <v>34822.178329571107</v>
      </c>
      <c r="AY308" s="195">
        <f t="shared" si="135"/>
        <v>35342.220969560316</v>
      </c>
      <c r="AZ308" s="195">
        <f t="shared" si="135"/>
        <v>35579.827634139561</v>
      </c>
      <c r="BA308" s="195">
        <f t="shared" si="135"/>
        <v>35973.158188932364</v>
      </c>
      <c r="BB308" s="195">
        <f t="shared" si="135"/>
        <v>36907.919075144506</v>
      </c>
      <c r="BC308" s="195">
        <f t="shared" si="135"/>
        <v>38715.434210526313</v>
      </c>
      <c r="BD308" s="195">
        <f t="shared" si="135"/>
        <v>39693.090816586111</v>
      </c>
      <c r="BE308" s="195">
        <f t="shared" si="135"/>
        <v>40219.186397984886</v>
      </c>
      <c r="BF308" s="195">
        <f t="shared" si="135"/>
        <v>40677.333333333336</v>
      </c>
      <c r="BG308" s="195">
        <f t="shared" si="135"/>
        <v>40427.97961783439</v>
      </c>
      <c r="BH308" s="195">
        <f t="shared" si="135"/>
        <v>40304.708762886599</v>
      </c>
      <c r="BI308" s="195">
        <f t="shared" si="135"/>
        <v>40052.869384575439</v>
      </c>
      <c r="BJ308" s="195">
        <f t="shared" si="135"/>
        <v>39745.537932857522</v>
      </c>
      <c r="BK308" s="195">
        <f t="shared" si="135"/>
        <v>39704.634533898308</v>
      </c>
      <c r="BL308" s="195">
        <f t="shared" si="135"/>
        <v>39433.458366586856</v>
      </c>
      <c r="BM308" s="195">
        <f t="shared" si="135"/>
        <v>39235.701892744481</v>
      </c>
      <c r="BN308" s="195">
        <f t="shared" si="135"/>
        <v>38614.878427315052</v>
      </c>
      <c r="BO308" s="195">
        <f t="shared" si="135"/>
        <v>38598.360530341663</v>
      </c>
      <c r="BP308" s="195">
        <f t="shared" si="135"/>
        <v>38032.811791383217</v>
      </c>
      <c r="BQ308" s="195">
        <f t="shared" si="135"/>
        <v>37884.427252308458</v>
      </c>
    </row>
    <row r="309" spans="1:69" s="105" customFormat="1">
      <c r="A309" s="105">
        <f>$A$70</f>
        <v>53</v>
      </c>
      <c r="B309" s="114"/>
      <c r="C309" s="114"/>
      <c r="D309" s="114"/>
      <c r="E309" s="114"/>
      <c r="F309" s="114"/>
      <c r="G309" s="114"/>
      <c r="H309" s="114"/>
      <c r="I309" s="114"/>
      <c r="J309" s="114"/>
      <c r="K309" s="114"/>
      <c r="L309" s="114"/>
      <c r="M309" s="195">
        <f>M$163*M$445</f>
        <v>28510.865912762521</v>
      </c>
      <c r="N309" s="195">
        <f t="shared" ref="N309:BQ309" si="136">N$163*N$445</f>
        <v>28046.417860713096</v>
      </c>
      <c r="O309" s="195">
        <f t="shared" si="136"/>
        <v>27786.975806451614</v>
      </c>
      <c r="P309" s="195">
        <f t="shared" si="136"/>
        <v>28156.753466351034</v>
      </c>
      <c r="Q309" s="195">
        <f t="shared" si="136"/>
        <v>28803.084081090063</v>
      </c>
      <c r="R309" s="195">
        <f t="shared" si="136"/>
        <v>29551.517535234347</v>
      </c>
      <c r="S309" s="195">
        <f t="shared" si="136"/>
        <v>29752.355848434927</v>
      </c>
      <c r="T309" s="195">
        <f t="shared" si="136"/>
        <v>30381.686514322497</v>
      </c>
      <c r="U309" s="195">
        <f t="shared" si="136"/>
        <v>30433.957860615883</v>
      </c>
      <c r="V309" s="195">
        <f t="shared" si="136"/>
        <v>29607.272727272728</v>
      </c>
      <c r="W309" s="195">
        <f t="shared" si="136"/>
        <v>28495.961339316535</v>
      </c>
      <c r="X309" s="195">
        <f t="shared" si="136"/>
        <v>27665.657941914666</v>
      </c>
      <c r="Y309" s="195">
        <f t="shared" si="136"/>
        <v>27197.186926184353</v>
      </c>
      <c r="Z309" s="195">
        <f t="shared" si="136"/>
        <v>27380.662251655631</v>
      </c>
      <c r="AA309" s="195">
        <f t="shared" si="136"/>
        <v>27112.387387387385</v>
      </c>
      <c r="AB309" s="195">
        <f t="shared" si="136"/>
        <v>28105.770635500365</v>
      </c>
      <c r="AC309" s="195">
        <f t="shared" si="136"/>
        <v>28817.175627240144</v>
      </c>
      <c r="AD309" s="195">
        <f t="shared" si="136"/>
        <v>29458.51516207738</v>
      </c>
      <c r="AE309" s="195">
        <f t="shared" si="136"/>
        <v>30218.710344827588</v>
      </c>
      <c r="AF309" s="195">
        <f t="shared" si="136"/>
        <v>31117.5</v>
      </c>
      <c r="AG309" s="195">
        <f t="shared" si="136"/>
        <v>31619.21146953405</v>
      </c>
      <c r="AH309" s="195">
        <f t="shared" si="136"/>
        <v>31982.249279077219</v>
      </c>
      <c r="AI309" s="195">
        <f t="shared" si="136"/>
        <v>32877.102516881525</v>
      </c>
      <c r="AJ309" s="195">
        <f t="shared" si="136"/>
        <v>34490.509666080841</v>
      </c>
      <c r="AK309" s="195">
        <f t="shared" si="136"/>
        <v>35728.829608938548</v>
      </c>
      <c r="AL309" s="195">
        <f t="shared" si="136"/>
        <v>36669.699367088608</v>
      </c>
      <c r="AM309" s="195">
        <f t="shared" si="136"/>
        <v>38415.65217391304</v>
      </c>
      <c r="AN309" s="195">
        <f t="shared" si="136"/>
        <v>39157.433230914678</v>
      </c>
      <c r="AO309" s="195">
        <f t="shared" si="136"/>
        <v>39297.111319868483</v>
      </c>
      <c r="AP309" s="195">
        <f t="shared" si="136"/>
        <v>38969.755757152823</v>
      </c>
      <c r="AQ309" s="195">
        <f t="shared" si="136"/>
        <v>37848.678621991508</v>
      </c>
      <c r="AR309" s="195">
        <f t="shared" si="136"/>
        <v>37806.662749706229</v>
      </c>
      <c r="AS309" s="195">
        <f t="shared" si="136"/>
        <v>37616.868949232587</v>
      </c>
      <c r="AT309" s="195">
        <f t="shared" si="136"/>
        <v>36448.064833005898</v>
      </c>
      <c r="AU309" s="195">
        <f t="shared" si="136"/>
        <v>36357.977783388036</v>
      </c>
      <c r="AV309" s="195">
        <f t="shared" si="136"/>
        <v>35550.067743616462</v>
      </c>
      <c r="AW309" s="195">
        <f t="shared" si="136"/>
        <v>36223.867116532572</v>
      </c>
      <c r="AX309" s="195">
        <f t="shared" si="136"/>
        <v>35818.971736204578</v>
      </c>
      <c r="AY309" s="195">
        <f t="shared" si="136"/>
        <v>34641.5593220339</v>
      </c>
      <c r="AZ309" s="195">
        <f t="shared" si="136"/>
        <v>35140.403498871332</v>
      </c>
      <c r="BA309" s="195">
        <f t="shared" si="136"/>
        <v>35398.613971611463</v>
      </c>
      <c r="BB309" s="195">
        <f t="shared" si="136"/>
        <v>35781.281477336313</v>
      </c>
      <c r="BC309" s="195">
        <f t="shared" si="136"/>
        <v>36724.301460457427</v>
      </c>
      <c r="BD309" s="195">
        <f t="shared" si="136"/>
        <v>38511.317175974706</v>
      </c>
      <c r="BE309" s="195">
        <f t="shared" si="136"/>
        <v>39489.875222816401</v>
      </c>
      <c r="BF309" s="195">
        <f t="shared" si="136"/>
        <v>40024.836106908726</v>
      </c>
      <c r="BG309" s="195">
        <f t="shared" si="136"/>
        <v>40482.34320120421</v>
      </c>
      <c r="BH309" s="195">
        <f t="shared" si="136"/>
        <v>40231.928079571539</v>
      </c>
      <c r="BI309" s="195">
        <f t="shared" si="136"/>
        <v>40097.436161980913</v>
      </c>
      <c r="BJ309" s="195">
        <f t="shared" si="136"/>
        <v>39855.809721861195</v>
      </c>
      <c r="BK309" s="195">
        <f t="shared" si="136"/>
        <v>39548.314814814818</v>
      </c>
      <c r="BL309" s="195">
        <f t="shared" si="136"/>
        <v>39507.331036310628</v>
      </c>
      <c r="BM309" s="195">
        <f t="shared" si="136"/>
        <v>39236.397763578279</v>
      </c>
      <c r="BN309" s="195">
        <f t="shared" si="136"/>
        <v>39040.407787424367</v>
      </c>
      <c r="BO309" s="195">
        <f t="shared" si="136"/>
        <v>38432.047631374582</v>
      </c>
      <c r="BP309" s="195">
        <f t="shared" si="136"/>
        <v>38417.588055130167</v>
      </c>
      <c r="BQ309" s="195">
        <f t="shared" si="136"/>
        <v>37854.039334341905</v>
      </c>
    </row>
    <row r="310" spans="1:69" s="105" customFormat="1">
      <c r="A310" s="105">
        <f>$A$71</f>
        <v>54</v>
      </c>
      <c r="B310" s="114"/>
      <c r="C310" s="114"/>
      <c r="D310" s="114"/>
      <c r="E310" s="114"/>
      <c r="F310" s="114"/>
      <c r="G310" s="114"/>
      <c r="H310" s="114"/>
      <c r="I310" s="114"/>
      <c r="J310" s="114"/>
      <c r="K310" s="114"/>
      <c r="L310" s="114"/>
      <c r="M310" s="195">
        <f>M$164*M$446</f>
        <v>28606.895445798589</v>
      </c>
      <c r="N310" s="195">
        <f t="shared" ref="N310:BQ310" si="137">N$164*N$446</f>
        <v>28555.084087968949</v>
      </c>
      <c r="O310" s="195">
        <f t="shared" si="137"/>
        <v>27990.306973640305</v>
      </c>
      <c r="P310" s="195">
        <f t="shared" si="137"/>
        <v>27928.04442948502</v>
      </c>
      <c r="Q310" s="195">
        <f t="shared" si="137"/>
        <v>28052.765164351069</v>
      </c>
      <c r="R310" s="195">
        <f t="shared" si="137"/>
        <v>28735.033333333333</v>
      </c>
      <c r="S310" s="195">
        <f t="shared" si="137"/>
        <v>29473.440683535984</v>
      </c>
      <c r="T310" s="195">
        <f t="shared" si="137"/>
        <v>29594.033696729435</v>
      </c>
      <c r="U310" s="195">
        <f t="shared" si="137"/>
        <v>30223.46563407551</v>
      </c>
      <c r="V310" s="195">
        <f t="shared" si="137"/>
        <v>30265.545808966861</v>
      </c>
      <c r="W310" s="195">
        <f t="shared" si="137"/>
        <v>29449.414929388029</v>
      </c>
      <c r="X310" s="195">
        <f t="shared" si="137"/>
        <v>28347.577854671279</v>
      </c>
      <c r="Y310" s="195">
        <f t="shared" si="137"/>
        <v>27517.912324829318</v>
      </c>
      <c r="Z310" s="195">
        <f t="shared" si="137"/>
        <v>27049.168200220833</v>
      </c>
      <c r="AA310" s="195">
        <f t="shared" si="137"/>
        <v>27241.426991150442</v>
      </c>
      <c r="AB310" s="195">
        <f t="shared" si="137"/>
        <v>26984.828883038736</v>
      </c>
      <c r="AC310" s="195">
        <f t="shared" si="137"/>
        <v>27977.002196193265</v>
      </c>
      <c r="AD310" s="195">
        <f t="shared" si="137"/>
        <v>28699.493534482757</v>
      </c>
      <c r="AE310" s="195">
        <f t="shared" si="137"/>
        <v>29329.724065665385</v>
      </c>
      <c r="AF310" s="195">
        <f t="shared" si="137"/>
        <v>30090.452504317789</v>
      </c>
      <c r="AG310" s="195">
        <f t="shared" si="137"/>
        <v>30969.106609099967</v>
      </c>
      <c r="AH310" s="195">
        <f t="shared" si="137"/>
        <v>31480.026109660575</v>
      </c>
      <c r="AI310" s="195">
        <f t="shared" si="137"/>
        <v>31843.263799743261</v>
      </c>
      <c r="AJ310" s="195">
        <f t="shared" si="137"/>
        <v>32738.690439594222</v>
      </c>
      <c r="AK310" s="195">
        <f t="shared" si="137"/>
        <v>34352.957746478874</v>
      </c>
      <c r="AL310" s="195">
        <f t="shared" si="137"/>
        <v>35580.749860100725</v>
      </c>
      <c r="AM310" s="195">
        <f t="shared" si="137"/>
        <v>36522.789223454834</v>
      </c>
      <c r="AN310" s="195">
        <f t="shared" si="137"/>
        <v>38269.213734759891</v>
      </c>
      <c r="AO310" s="195">
        <f t="shared" si="137"/>
        <v>39011.268939393944</v>
      </c>
      <c r="AP310" s="195">
        <f t="shared" si="137"/>
        <v>39161.048918156164</v>
      </c>
      <c r="AQ310" s="195">
        <f t="shared" si="137"/>
        <v>38824.467738178428</v>
      </c>
      <c r="AR310" s="195">
        <f t="shared" si="137"/>
        <v>37713.742911153124</v>
      </c>
      <c r="AS310" s="195">
        <f t="shared" si="137"/>
        <v>37653.388235294115</v>
      </c>
      <c r="AT310" s="195">
        <f t="shared" si="137"/>
        <v>37482.113974934975</v>
      </c>
      <c r="AU310" s="195">
        <f t="shared" si="137"/>
        <v>36323.029259896728</v>
      </c>
      <c r="AV310" s="195">
        <f t="shared" si="137"/>
        <v>36232.095551061677</v>
      </c>
      <c r="AW310" s="195">
        <f t="shared" si="137"/>
        <v>35414.637454355761</v>
      </c>
      <c r="AX310" s="195">
        <f t="shared" si="137"/>
        <v>36087.783839958429</v>
      </c>
      <c r="AY310" s="195">
        <f t="shared" si="137"/>
        <v>35681.762328213415</v>
      </c>
      <c r="AZ310" s="195">
        <f t="shared" si="137"/>
        <v>34514.292986425338</v>
      </c>
      <c r="BA310" s="195">
        <f t="shared" si="137"/>
        <v>35032.627118644064</v>
      </c>
      <c r="BB310" s="195">
        <f t="shared" si="137"/>
        <v>35280.300919476176</v>
      </c>
      <c r="BC310" s="195">
        <f t="shared" si="137"/>
        <v>35652.405488658638</v>
      </c>
      <c r="BD310" s="195">
        <f t="shared" si="137"/>
        <v>36585.730832873691</v>
      </c>
      <c r="BE310" s="195">
        <f t="shared" si="137"/>
        <v>38391.943565400848</v>
      </c>
      <c r="BF310" s="195">
        <f t="shared" si="137"/>
        <v>39370.823349477439</v>
      </c>
      <c r="BG310" s="195">
        <f t="shared" si="137"/>
        <v>39896.458859162041</v>
      </c>
      <c r="BH310" s="195">
        <f t="shared" si="137"/>
        <v>40353.731793068808</v>
      </c>
      <c r="BI310" s="195">
        <f t="shared" si="137"/>
        <v>40101.8989280245</v>
      </c>
      <c r="BJ310" s="195">
        <f t="shared" si="137"/>
        <v>39978.255033557049</v>
      </c>
      <c r="BK310" s="195">
        <f t="shared" si="137"/>
        <v>39736.563475546303</v>
      </c>
      <c r="BL310" s="195">
        <f t="shared" si="137"/>
        <v>39428.710616891716</v>
      </c>
      <c r="BM310" s="195">
        <f t="shared" si="137"/>
        <v>39376.334217506628</v>
      </c>
      <c r="BN310" s="195">
        <f t="shared" si="137"/>
        <v>39115.623335109216</v>
      </c>
      <c r="BO310" s="195">
        <f t="shared" si="137"/>
        <v>38919.526066350707</v>
      </c>
      <c r="BP310" s="195">
        <f t="shared" si="137"/>
        <v>38303.455958549224</v>
      </c>
      <c r="BQ310" s="195">
        <f t="shared" si="137"/>
        <v>38289.070480081711</v>
      </c>
    </row>
    <row r="311" spans="1:69" s="105" customFormat="1">
      <c r="A311" s="105">
        <f>$A$72</f>
        <v>55</v>
      </c>
      <c r="B311" s="114"/>
      <c r="C311" s="114"/>
      <c r="D311" s="114"/>
      <c r="E311" s="114"/>
      <c r="F311" s="114"/>
      <c r="G311" s="114"/>
      <c r="H311" s="114"/>
      <c r="I311" s="114"/>
      <c r="J311" s="114"/>
      <c r="K311" s="114"/>
      <c r="L311" s="114"/>
      <c r="M311" s="195">
        <f>M$165*M$447</f>
        <v>28271.78994556516</v>
      </c>
      <c r="N311" s="195">
        <f t="shared" ref="N311:BQ311" si="138">N$165*N$447</f>
        <v>28655.648683365445</v>
      </c>
      <c r="O311" s="195">
        <f t="shared" si="138"/>
        <v>28423.636658031086</v>
      </c>
      <c r="P311" s="195">
        <f t="shared" si="138"/>
        <v>28100.320855614973</v>
      </c>
      <c r="Q311" s="195">
        <f t="shared" si="138"/>
        <v>27804.038461538461</v>
      </c>
      <c r="R311" s="195">
        <f t="shared" si="138"/>
        <v>27945.052667346245</v>
      </c>
      <c r="S311" s="195">
        <f t="shared" si="138"/>
        <v>28637.59692513369</v>
      </c>
      <c r="T311" s="195">
        <f t="shared" si="138"/>
        <v>29303.238879736407</v>
      </c>
      <c r="U311" s="195">
        <f t="shared" si="138"/>
        <v>29434.084133819146</v>
      </c>
      <c r="V311" s="195">
        <f t="shared" si="138"/>
        <v>30054.613393723714</v>
      </c>
      <c r="W311" s="195">
        <f t="shared" si="138"/>
        <v>30105.351791530946</v>
      </c>
      <c r="X311" s="195">
        <f t="shared" si="138"/>
        <v>29298.968655207282</v>
      </c>
      <c r="Y311" s="195">
        <f t="shared" si="138"/>
        <v>28207.697642163665</v>
      </c>
      <c r="Z311" s="195">
        <f t="shared" si="138"/>
        <v>27388.498379546272</v>
      </c>
      <c r="AA311" s="195">
        <f t="shared" si="138"/>
        <v>26919.498340095906</v>
      </c>
      <c r="AB311" s="195">
        <f t="shared" si="138"/>
        <v>27112.393793867752</v>
      </c>
      <c r="AC311" s="195">
        <f t="shared" si="138"/>
        <v>26844.310474755086</v>
      </c>
      <c r="AD311" s="195">
        <f t="shared" si="138"/>
        <v>27847.227722772277</v>
      </c>
      <c r="AE311" s="195">
        <f t="shared" si="138"/>
        <v>28558.207988485068</v>
      </c>
      <c r="AF311" s="195">
        <f t="shared" si="138"/>
        <v>29199.930020993699</v>
      </c>
      <c r="AG311" s="195">
        <f t="shared" si="138"/>
        <v>29948.761245674741</v>
      </c>
      <c r="AH311" s="195">
        <f t="shared" si="138"/>
        <v>30839.155023286759</v>
      </c>
      <c r="AI311" s="195">
        <f t="shared" si="138"/>
        <v>31350.114416475975</v>
      </c>
      <c r="AJ311" s="195">
        <f t="shared" si="138"/>
        <v>31713.555126968822</v>
      </c>
      <c r="AK311" s="195">
        <f t="shared" si="138"/>
        <v>32598.599137931033</v>
      </c>
      <c r="AL311" s="195">
        <f t="shared" si="138"/>
        <v>34212.788715838964</v>
      </c>
      <c r="AM311" s="195">
        <f t="shared" si="138"/>
        <v>35452.014569907536</v>
      </c>
      <c r="AN311" s="195">
        <f t="shared" si="138"/>
        <v>36374.207881512826</v>
      </c>
      <c r="AO311" s="195">
        <f t="shared" si="138"/>
        <v>38112.197309417039</v>
      </c>
      <c r="AP311" s="195">
        <f t="shared" si="138"/>
        <v>38865.110215690918</v>
      </c>
      <c r="AQ311" s="195">
        <f t="shared" si="138"/>
        <v>39005.04003768252</v>
      </c>
      <c r="AR311" s="195">
        <f t="shared" si="138"/>
        <v>38670.265858208957</v>
      </c>
      <c r="AS311" s="195">
        <f t="shared" si="138"/>
        <v>37569.496096522358</v>
      </c>
      <c r="AT311" s="195">
        <f t="shared" si="138"/>
        <v>37519.076560659596</v>
      </c>
      <c r="AU311" s="195">
        <f t="shared" si="138"/>
        <v>37356.964962121216</v>
      </c>
      <c r="AV311" s="195">
        <f t="shared" si="138"/>
        <v>36197.55539143279</v>
      </c>
      <c r="AW311" s="195">
        <f t="shared" si="138"/>
        <v>36096.396761133605</v>
      </c>
      <c r="AX311" s="195">
        <f t="shared" si="138"/>
        <v>35297.702349869454</v>
      </c>
      <c r="AY311" s="195">
        <f t="shared" si="138"/>
        <v>35970.195058517551</v>
      </c>
      <c r="AZ311" s="195">
        <f t="shared" si="138"/>
        <v>35573.498786080389</v>
      </c>
      <c r="BA311" s="195">
        <f t="shared" si="138"/>
        <v>34395.76563826776</v>
      </c>
      <c r="BB311" s="195">
        <f t="shared" si="138"/>
        <v>34913.474696070116</v>
      </c>
      <c r="BC311" s="195">
        <f t="shared" si="138"/>
        <v>35161.452872281094</v>
      </c>
      <c r="BD311" s="195">
        <f t="shared" si="138"/>
        <v>35532.847533632288</v>
      </c>
      <c r="BE311" s="195">
        <f t="shared" si="138"/>
        <v>36465.683135523046</v>
      </c>
      <c r="BF311" s="195">
        <f t="shared" si="138"/>
        <v>38261.635883905008</v>
      </c>
      <c r="BG311" s="195">
        <f t="shared" si="138"/>
        <v>39241.836734693876</v>
      </c>
      <c r="BH311" s="195">
        <f t="shared" si="138"/>
        <v>39776.499115938364</v>
      </c>
      <c r="BI311" s="195">
        <f t="shared" si="138"/>
        <v>40212.361809045222</v>
      </c>
      <c r="BJ311" s="195">
        <f t="shared" si="138"/>
        <v>39970.96527068437</v>
      </c>
      <c r="BK311" s="195">
        <f t="shared" si="138"/>
        <v>39857.142857142855</v>
      </c>
      <c r="BL311" s="195">
        <f t="shared" si="138"/>
        <v>39614.242581988547</v>
      </c>
      <c r="BM311" s="195">
        <f t="shared" si="138"/>
        <v>39305.817218543045</v>
      </c>
      <c r="BN311" s="195">
        <f t="shared" si="138"/>
        <v>39264.755838641191</v>
      </c>
      <c r="BO311" s="195">
        <f t="shared" si="138"/>
        <v>39004.157782515991</v>
      </c>
      <c r="BP311" s="195">
        <f t="shared" si="138"/>
        <v>38798.619963128789</v>
      </c>
      <c r="BQ311" s="195">
        <f t="shared" si="138"/>
        <v>38203.421461897356</v>
      </c>
    </row>
    <row r="312" spans="1:69" s="105" customFormat="1">
      <c r="A312" s="105">
        <f>$A$73</f>
        <v>56</v>
      </c>
      <c r="B312" s="114"/>
      <c r="C312" s="114"/>
      <c r="D312" s="114"/>
      <c r="E312" s="114"/>
      <c r="F312" s="114"/>
      <c r="G312" s="114"/>
      <c r="H312" s="114"/>
      <c r="I312" s="114"/>
      <c r="J312" s="114"/>
      <c r="K312" s="114"/>
      <c r="L312" s="114"/>
      <c r="M312" s="195">
        <f>M$166*M$448</f>
        <v>27151.668311944719</v>
      </c>
      <c r="N312" s="195">
        <f t="shared" ref="N312:BQ312" si="139">N$166*N$448</f>
        <v>28189.432510420007</v>
      </c>
      <c r="O312" s="195">
        <f t="shared" si="139"/>
        <v>28465.387584432294</v>
      </c>
      <c r="P312" s="195">
        <f t="shared" si="139"/>
        <v>28463.880597014922</v>
      </c>
      <c r="Q312" s="195">
        <f t="shared" si="139"/>
        <v>27925.145728643216</v>
      </c>
      <c r="R312" s="195">
        <f t="shared" si="139"/>
        <v>27656.454668470906</v>
      </c>
      <c r="S312" s="195">
        <f t="shared" si="139"/>
        <v>27805.41737649063</v>
      </c>
      <c r="T312" s="195">
        <f t="shared" si="139"/>
        <v>28425.058626465659</v>
      </c>
      <c r="U312" s="195">
        <f t="shared" si="139"/>
        <v>29101.106706309878</v>
      </c>
      <c r="V312" s="195">
        <f t="shared" si="139"/>
        <v>29221.454183266931</v>
      </c>
      <c r="W312" s="195">
        <f t="shared" si="139"/>
        <v>29840.648508430611</v>
      </c>
      <c r="X312" s="195">
        <f t="shared" si="139"/>
        <v>29902.349869451697</v>
      </c>
      <c r="Y312" s="195">
        <f t="shared" si="139"/>
        <v>29095.325903411009</v>
      </c>
      <c r="Z312" s="195">
        <f t="shared" si="139"/>
        <v>28024.913134120918</v>
      </c>
      <c r="AA312" s="195">
        <f t="shared" si="139"/>
        <v>27206.035353535353</v>
      </c>
      <c r="AB312" s="195">
        <f t="shared" si="139"/>
        <v>26756.422764227642</v>
      </c>
      <c r="AC312" s="195">
        <f t="shared" si="139"/>
        <v>26937.690599555885</v>
      </c>
      <c r="AD312" s="195">
        <f t="shared" si="139"/>
        <v>26680.811320754718</v>
      </c>
      <c r="AE312" s="195">
        <f t="shared" si="139"/>
        <v>27680.90708777084</v>
      </c>
      <c r="AF312" s="195">
        <f t="shared" si="139"/>
        <v>28382.227027027027</v>
      </c>
      <c r="AG312" s="195">
        <f t="shared" si="139"/>
        <v>29024.526979677645</v>
      </c>
      <c r="AH312" s="195">
        <f t="shared" si="139"/>
        <v>29772.037422037421</v>
      </c>
      <c r="AI312" s="195">
        <f t="shared" si="139"/>
        <v>30662.425858047318</v>
      </c>
      <c r="AJ312" s="195">
        <f t="shared" si="139"/>
        <v>31163.312602291324</v>
      </c>
      <c r="AK312" s="195">
        <f t="shared" si="139"/>
        <v>31527.338268426134</v>
      </c>
      <c r="AL312" s="195">
        <f t="shared" si="139"/>
        <v>32413.995067817512</v>
      </c>
      <c r="AM312" s="195">
        <f t="shared" si="139"/>
        <v>34028.022947925863</v>
      </c>
      <c r="AN312" s="195">
        <f t="shared" si="139"/>
        <v>35246.861150070123</v>
      </c>
      <c r="AO312" s="195">
        <f t="shared" si="139"/>
        <v>36173.35275423729</v>
      </c>
      <c r="AP312" s="195">
        <f t="shared" si="139"/>
        <v>37911.586430531308</v>
      </c>
      <c r="AQ312" s="195">
        <f t="shared" si="139"/>
        <v>38658.037028245904</v>
      </c>
      <c r="AR312" s="195">
        <f t="shared" si="139"/>
        <v>38799.146427729313</v>
      </c>
      <c r="AS312" s="195">
        <f t="shared" si="139"/>
        <v>38465.799673126312</v>
      </c>
      <c r="AT312" s="195">
        <f t="shared" si="139"/>
        <v>37366.816674561822</v>
      </c>
      <c r="AU312" s="195">
        <f t="shared" si="139"/>
        <v>37317.077830188682</v>
      </c>
      <c r="AV312" s="195">
        <f t="shared" si="139"/>
        <v>37155.734597156399</v>
      </c>
      <c r="AW312" s="195">
        <f t="shared" si="139"/>
        <v>36014.268112370628</v>
      </c>
      <c r="AX312" s="195">
        <f t="shared" si="139"/>
        <v>35911.207900734364</v>
      </c>
      <c r="AY312" s="195">
        <f t="shared" si="139"/>
        <v>35111.50770838777</v>
      </c>
      <c r="AZ312" s="195">
        <f t="shared" si="139"/>
        <v>35782.300884955752</v>
      </c>
      <c r="BA312" s="195">
        <f t="shared" si="139"/>
        <v>35392.7044534413</v>
      </c>
      <c r="BB312" s="195">
        <f t="shared" si="139"/>
        <v>34223.868592466722</v>
      </c>
      <c r="BC312" s="195">
        <f t="shared" si="139"/>
        <v>34729.349363507776</v>
      </c>
      <c r="BD312" s="195">
        <f t="shared" si="139"/>
        <v>34988.7890625</v>
      </c>
      <c r="BE312" s="195">
        <f t="shared" si="139"/>
        <v>35367.627593942794</v>
      </c>
      <c r="BF312" s="195">
        <f t="shared" si="139"/>
        <v>36299.295774647886</v>
      </c>
      <c r="BG312" s="195">
        <f t="shared" si="139"/>
        <v>38074.762407602961</v>
      </c>
      <c r="BH312" s="195">
        <f t="shared" si="139"/>
        <v>39056.003062787138</v>
      </c>
      <c r="BI312" s="195">
        <f t="shared" si="139"/>
        <v>39569.297625063162</v>
      </c>
      <c r="BJ312" s="195">
        <f t="shared" si="139"/>
        <v>40025.372046254401</v>
      </c>
      <c r="BK312" s="195">
        <f t="shared" si="139"/>
        <v>39782.713336739907</v>
      </c>
      <c r="BL312" s="195">
        <f t="shared" si="139"/>
        <v>39666.739018087857</v>
      </c>
      <c r="BM312" s="195">
        <f t="shared" si="139"/>
        <v>39434.855506378546</v>
      </c>
      <c r="BN312" s="195">
        <f t="shared" si="139"/>
        <v>39125.198728139905</v>
      </c>
      <c r="BO312" s="195">
        <f t="shared" si="139"/>
        <v>39084.045659676136</v>
      </c>
      <c r="BP312" s="195">
        <f t="shared" si="139"/>
        <v>38823.743001866169</v>
      </c>
      <c r="BQ312" s="195">
        <f t="shared" si="139"/>
        <v>38620.337197049528</v>
      </c>
    </row>
    <row r="313" spans="1:69" s="105" customFormat="1">
      <c r="A313" s="105">
        <f>$A$74</f>
        <v>57</v>
      </c>
      <c r="B313" s="114"/>
      <c r="C313" s="114"/>
      <c r="D313" s="114"/>
      <c r="E313" s="114"/>
      <c r="F313" s="114"/>
      <c r="G313" s="114"/>
      <c r="H313" s="114"/>
      <c r="I313" s="114"/>
      <c r="J313" s="114"/>
      <c r="K313" s="114"/>
      <c r="L313" s="114"/>
      <c r="M313" s="195">
        <f>M$167*M$449</f>
        <v>26130.326975476841</v>
      </c>
      <c r="N313" s="195">
        <f t="shared" ref="N313:BQ313" si="140">N$167*N$449</f>
        <v>27018.797364085665</v>
      </c>
      <c r="O313" s="195">
        <f t="shared" si="140"/>
        <v>27904.296724470136</v>
      </c>
      <c r="P313" s="195">
        <f t="shared" si="140"/>
        <v>28466.886883660973</v>
      </c>
      <c r="Q313" s="195">
        <f t="shared" si="140"/>
        <v>28208.718282368249</v>
      </c>
      <c r="R313" s="195">
        <f t="shared" si="140"/>
        <v>27694.726234464226</v>
      </c>
      <c r="S313" s="195">
        <f t="shared" si="140"/>
        <v>27435.345997286295</v>
      </c>
      <c r="T313" s="195">
        <f t="shared" si="140"/>
        <v>27530.204918032789</v>
      </c>
      <c r="U313" s="195">
        <f t="shared" si="140"/>
        <v>28138.616521155138</v>
      </c>
      <c r="V313" s="195">
        <f t="shared" si="140"/>
        <v>28822.102649006622</v>
      </c>
      <c r="W313" s="195">
        <f t="shared" si="140"/>
        <v>28931.370592149036</v>
      </c>
      <c r="X313" s="195">
        <f t="shared" si="140"/>
        <v>29561.994801819361</v>
      </c>
      <c r="Y313" s="195">
        <f t="shared" si="140"/>
        <v>29621.197252208047</v>
      </c>
      <c r="Z313" s="195">
        <f t="shared" si="140"/>
        <v>28834.003384094754</v>
      </c>
      <c r="AA313" s="195">
        <f t="shared" si="140"/>
        <v>27766.481030281935</v>
      </c>
      <c r="AB313" s="195">
        <f t="shared" si="140"/>
        <v>26955.388507408745</v>
      </c>
      <c r="AC313" s="195">
        <f t="shared" si="140"/>
        <v>26505.699481865286</v>
      </c>
      <c r="AD313" s="195">
        <f t="shared" si="140"/>
        <v>26705.578206078575</v>
      </c>
      <c r="AE313" s="195">
        <f t="shared" si="140"/>
        <v>26447.165532879819</v>
      </c>
      <c r="AF313" s="195">
        <f t="shared" si="140"/>
        <v>27436.667892607573</v>
      </c>
      <c r="AG313" s="195">
        <f t="shared" si="140"/>
        <v>28137.026344280042</v>
      </c>
      <c r="AH313" s="195">
        <f t="shared" si="140"/>
        <v>28759.172220273587</v>
      </c>
      <c r="AI313" s="195">
        <f t="shared" si="140"/>
        <v>29514.191533657184</v>
      </c>
      <c r="AJ313" s="195">
        <f t="shared" si="140"/>
        <v>30385.136757838558</v>
      </c>
      <c r="AK313" s="195">
        <f t="shared" si="140"/>
        <v>30896.519174041296</v>
      </c>
      <c r="AL313" s="195">
        <f t="shared" si="140"/>
        <v>31249.542525773195</v>
      </c>
      <c r="AM313" s="195">
        <f t="shared" si="140"/>
        <v>32140.370370370372</v>
      </c>
      <c r="AN313" s="195">
        <f t="shared" si="140"/>
        <v>33732.18556701031</v>
      </c>
      <c r="AO313" s="195">
        <f t="shared" si="140"/>
        <v>34933.91743892165</v>
      </c>
      <c r="AP313" s="195">
        <f t="shared" si="140"/>
        <v>35866.251325556732</v>
      </c>
      <c r="AQ313" s="195">
        <f t="shared" si="140"/>
        <v>37577.79275905119</v>
      </c>
      <c r="AR313" s="195">
        <f t="shared" si="140"/>
        <v>38311.746258018531</v>
      </c>
      <c r="AS313" s="195">
        <f t="shared" si="140"/>
        <v>38462.747226811422</v>
      </c>
      <c r="AT313" s="195">
        <f t="shared" si="140"/>
        <v>38144.014956765597</v>
      </c>
      <c r="AU313" s="195">
        <f t="shared" si="140"/>
        <v>37048.69843527738</v>
      </c>
      <c r="AV313" s="195">
        <f t="shared" si="140"/>
        <v>37000.708048147273</v>
      </c>
      <c r="AW313" s="195">
        <f t="shared" si="140"/>
        <v>36839.338392221958</v>
      </c>
      <c r="AX313" s="195">
        <f t="shared" si="140"/>
        <v>35705.568434032059</v>
      </c>
      <c r="AY313" s="195">
        <f t="shared" si="140"/>
        <v>35615.473897617841</v>
      </c>
      <c r="AZ313" s="195">
        <f t="shared" si="140"/>
        <v>34833.648012552301</v>
      </c>
      <c r="BA313" s="195">
        <f t="shared" si="140"/>
        <v>35491.833333333328</v>
      </c>
      <c r="BB313" s="195">
        <f t="shared" si="140"/>
        <v>35096.208479611123</v>
      </c>
      <c r="BC313" s="195">
        <f t="shared" si="140"/>
        <v>33954.111646358739</v>
      </c>
      <c r="BD313" s="195">
        <f t="shared" si="140"/>
        <v>34447.404472120012</v>
      </c>
      <c r="BE313" s="195">
        <f t="shared" si="140"/>
        <v>34697.094613452413</v>
      </c>
      <c r="BF313" s="195">
        <f t="shared" si="140"/>
        <v>35073.711079943896</v>
      </c>
      <c r="BG313" s="195">
        <f t="shared" si="140"/>
        <v>35991.90331491713</v>
      </c>
      <c r="BH313" s="195">
        <f t="shared" si="140"/>
        <v>37776.603275224508</v>
      </c>
      <c r="BI313" s="195">
        <f t="shared" si="140"/>
        <v>38737.352565739086</v>
      </c>
      <c r="BJ313" s="195">
        <f t="shared" si="140"/>
        <v>39270.5839231547</v>
      </c>
      <c r="BK313" s="195">
        <f t="shared" si="140"/>
        <v>39715.081719889364</v>
      </c>
      <c r="BL313" s="195">
        <f t="shared" si="140"/>
        <v>39480.797342192687</v>
      </c>
      <c r="BM313" s="195">
        <f t="shared" si="140"/>
        <v>39353.590074954765</v>
      </c>
      <c r="BN313" s="195">
        <f t="shared" si="140"/>
        <v>39110.109375</v>
      </c>
      <c r="BO313" s="195">
        <f t="shared" si="140"/>
        <v>38829.499072356215</v>
      </c>
      <c r="BP313" s="195">
        <f t="shared" si="140"/>
        <v>38777.873639500933</v>
      </c>
      <c r="BQ313" s="195">
        <f t="shared" si="140"/>
        <v>38518.181818181816</v>
      </c>
    </row>
    <row r="314" spans="1:69" s="105" customFormat="1">
      <c r="A314" s="105">
        <f>$A$75</f>
        <v>58</v>
      </c>
      <c r="B314" s="114"/>
      <c r="C314" s="114"/>
      <c r="D314" s="114"/>
      <c r="E314" s="114"/>
      <c r="F314" s="114"/>
      <c r="G314" s="114"/>
      <c r="H314" s="114"/>
      <c r="I314" s="114"/>
      <c r="J314" s="114"/>
      <c r="K314" s="114"/>
      <c r="L314" s="114"/>
      <c r="M314" s="195">
        <f>M$168*M$450</f>
        <v>25432.310093652446</v>
      </c>
      <c r="N314" s="195">
        <f t="shared" ref="N314:BQ314" si="141">N$168*N$450</f>
        <v>26040.613496932514</v>
      </c>
      <c r="O314" s="195">
        <f t="shared" si="141"/>
        <v>26823.49059716265</v>
      </c>
      <c r="P314" s="195">
        <f t="shared" si="141"/>
        <v>27942.648005148007</v>
      </c>
      <c r="Q314" s="195">
        <f t="shared" si="141"/>
        <v>28266.246770025842</v>
      </c>
      <c r="R314" s="195">
        <f t="shared" si="141"/>
        <v>28015.520052168242</v>
      </c>
      <c r="S314" s="195">
        <f t="shared" si="141"/>
        <v>27519.420875420874</v>
      </c>
      <c r="T314" s="195">
        <f t="shared" si="141"/>
        <v>27234.901427600274</v>
      </c>
      <c r="U314" s="195">
        <f t="shared" si="141"/>
        <v>27348.172484599592</v>
      </c>
      <c r="V314" s="195">
        <f t="shared" si="141"/>
        <v>27965.621003029286</v>
      </c>
      <c r="W314" s="195">
        <f t="shared" si="141"/>
        <v>28629.927007299269</v>
      </c>
      <c r="X314" s="195">
        <f t="shared" si="141"/>
        <v>28747.333333333336</v>
      </c>
      <c r="Y314" s="195">
        <f t="shared" si="141"/>
        <v>29369.375</v>
      </c>
      <c r="Z314" s="195">
        <f t="shared" si="141"/>
        <v>29437.844036697246</v>
      </c>
      <c r="AA314" s="195">
        <f t="shared" si="141"/>
        <v>28640.31853608946</v>
      </c>
      <c r="AB314" s="195">
        <f t="shared" si="141"/>
        <v>27593.642384105959</v>
      </c>
      <c r="AC314" s="195">
        <f t="shared" si="141"/>
        <v>26812.399565689466</v>
      </c>
      <c r="AD314" s="195">
        <f t="shared" si="141"/>
        <v>26361.430159318268</v>
      </c>
      <c r="AE314" s="195">
        <f t="shared" si="141"/>
        <v>26551.569573283861</v>
      </c>
      <c r="AF314" s="195">
        <f t="shared" si="141"/>
        <v>26301.316685584563</v>
      </c>
      <c r="AG314" s="195">
        <f t="shared" si="141"/>
        <v>27279.952153110047</v>
      </c>
      <c r="AH314" s="195">
        <f t="shared" si="141"/>
        <v>27979.718309859156</v>
      </c>
      <c r="AI314" s="195">
        <f t="shared" si="141"/>
        <v>28612.598314606741</v>
      </c>
      <c r="AJ314" s="195">
        <f t="shared" si="141"/>
        <v>29356.065972222223</v>
      </c>
      <c r="AK314" s="195">
        <f t="shared" si="141"/>
        <v>30238.196994991653</v>
      </c>
      <c r="AL314" s="195">
        <f t="shared" si="141"/>
        <v>30719.429321088883</v>
      </c>
      <c r="AM314" s="195">
        <f t="shared" si="141"/>
        <v>31094.227668494033</v>
      </c>
      <c r="AN314" s="195">
        <f t="shared" si="141"/>
        <v>31963.780111179738</v>
      </c>
      <c r="AO314" s="195">
        <f t="shared" si="141"/>
        <v>33556.25</v>
      </c>
      <c r="AP314" s="195">
        <f t="shared" si="141"/>
        <v>34759.409780775713</v>
      </c>
      <c r="AQ314" s="195">
        <f t="shared" si="141"/>
        <v>35674.263730432474</v>
      </c>
      <c r="AR314" s="195">
        <f t="shared" si="141"/>
        <v>37386.530867283182</v>
      </c>
      <c r="AS314" s="195">
        <f t="shared" si="141"/>
        <v>38115.256776034235</v>
      </c>
      <c r="AT314" s="195">
        <f t="shared" si="141"/>
        <v>38266.629664619744</v>
      </c>
      <c r="AU314" s="195">
        <f t="shared" si="141"/>
        <v>37940.507483629561</v>
      </c>
      <c r="AV314" s="195">
        <f t="shared" si="141"/>
        <v>36857.227229601522</v>
      </c>
      <c r="AW314" s="195">
        <f t="shared" si="141"/>
        <v>36809.659896079356</v>
      </c>
      <c r="AX314" s="195">
        <f t="shared" si="141"/>
        <v>36648.633451957299</v>
      </c>
      <c r="AY314" s="195">
        <f t="shared" si="141"/>
        <v>35523.76171682289</v>
      </c>
      <c r="AZ314" s="195">
        <f t="shared" si="141"/>
        <v>35431.117870722432</v>
      </c>
      <c r="BA314" s="195">
        <f t="shared" si="141"/>
        <v>34657.174993460634</v>
      </c>
      <c r="BB314" s="195">
        <f t="shared" si="141"/>
        <v>35313.4227663454</v>
      </c>
      <c r="BC314" s="195">
        <f t="shared" si="141"/>
        <v>34935.235008103729</v>
      </c>
      <c r="BD314" s="195">
        <f t="shared" si="141"/>
        <v>33790.903938792864</v>
      </c>
      <c r="BE314" s="195">
        <f t="shared" si="141"/>
        <v>34293.1927540334</v>
      </c>
      <c r="BF314" s="195">
        <f t="shared" si="141"/>
        <v>34543.672899804631</v>
      </c>
      <c r="BG314" s="195">
        <f t="shared" si="141"/>
        <v>34918.429172510521</v>
      </c>
      <c r="BH314" s="195">
        <f t="shared" si="141"/>
        <v>35835.359116022097</v>
      </c>
      <c r="BI314" s="195">
        <f t="shared" si="141"/>
        <v>37587.80036968577</v>
      </c>
      <c r="BJ314" s="195">
        <f t="shared" si="141"/>
        <v>38570.571866224149</v>
      </c>
      <c r="BK314" s="195">
        <f t="shared" si="141"/>
        <v>39082.537275713919</v>
      </c>
      <c r="BL314" s="195">
        <f t="shared" si="141"/>
        <v>39536.062358561729</v>
      </c>
      <c r="BM314" s="195">
        <f t="shared" si="141"/>
        <v>39300.306670074111</v>
      </c>
      <c r="BN314" s="195">
        <f t="shared" si="141"/>
        <v>39170.865633074936</v>
      </c>
      <c r="BO314" s="195">
        <f t="shared" si="141"/>
        <v>38949.544389481904</v>
      </c>
      <c r="BP314" s="195">
        <f t="shared" si="141"/>
        <v>38656.261261261257</v>
      </c>
      <c r="BQ314" s="195">
        <f t="shared" si="141"/>
        <v>38604.580679405517</v>
      </c>
    </row>
    <row r="315" spans="1:69" s="105" customFormat="1">
      <c r="A315" s="105">
        <f>$A$76</f>
        <v>59</v>
      </c>
      <c r="B315" s="114"/>
      <c r="C315" s="114"/>
      <c r="D315" s="114"/>
      <c r="E315" s="114"/>
      <c r="F315" s="114"/>
      <c r="G315" s="114"/>
      <c r="H315" s="114"/>
      <c r="I315" s="114"/>
      <c r="J315" s="114"/>
      <c r="K315" s="114"/>
      <c r="L315" s="114"/>
      <c r="M315" s="195">
        <f>M$169*M$451</f>
        <v>23974.09007689491</v>
      </c>
      <c r="N315" s="195">
        <f t="shared" ref="N315:BQ315" si="142">N$169*N$451</f>
        <v>25339.70843457133</v>
      </c>
      <c r="O315" s="195">
        <f t="shared" si="142"/>
        <v>25885.781569965871</v>
      </c>
      <c r="P315" s="195">
        <f t="shared" si="142"/>
        <v>26868.195637805686</v>
      </c>
      <c r="Q315" s="195">
        <f t="shared" si="142"/>
        <v>27766.963249516441</v>
      </c>
      <c r="R315" s="195">
        <f t="shared" si="142"/>
        <v>28105.69116218841</v>
      </c>
      <c r="S315" s="195">
        <f t="shared" si="142"/>
        <v>27893.366013071896</v>
      </c>
      <c r="T315" s="195">
        <f t="shared" si="142"/>
        <v>27389.416132298349</v>
      </c>
      <c r="U315" s="195">
        <f t="shared" si="142"/>
        <v>27106.23978201635</v>
      </c>
      <c r="V315" s="195">
        <f t="shared" si="142"/>
        <v>27227.880658436214</v>
      </c>
      <c r="W315" s="195">
        <f t="shared" si="142"/>
        <v>27826.86109238031</v>
      </c>
      <c r="X315" s="195">
        <f t="shared" si="142"/>
        <v>28510.21934197408</v>
      </c>
      <c r="Y315" s="195">
        <f t="shared" si="142"/>
        <v>28637.969949916529</v>
      </c>
      <c r="Z315" s="195">
        <f t="shared" si="142"/>
        <v>29249.429409846758</v>
      </c>
      <c r="AA315" s="195">
        <f t="shared" si="142"/>
        <v>29318.654855643046</v>
      </c>
      <c r="AB315" s="195">
        <f t="shared" si="142"/>
        <v>28540.61757719715</v>
      </c>
      <c r="AC315" s="195">
        <f t="shared" si="142"/>
        <v>27504.368457780878</v>
      </c>
      <c r="AD315" s="195">
        <f t="shared" si="142"/>
        <v>26713.147410358564</v>
      </c>
      <c r="AE315" s="195">
        <f t="shared" si="142"/>
        <v>26272.747497219134</v>
      </c>
      <c r="AF315" s="195">
        <f t="shared" si="142"/>
        <v>26471.567025621982</v>
      </c>
      <c r="AG315" s="195">
        <f t="shared" si="142"/>
        <v>26222.085541256623</v>
      </c>
      <c r="AH315" s="195">
        <f t="shared" si="142"/>
        <v>27210.430939226517</v>
      </c>
      <c r="AI315" s="195">
        <f t="shared" si="142"/>
        <v>27898.839898807375</v>
      </c>
      <c r="AJ315" s="195">
        <f t="shared" si="142"/>
        <v>28521.910783280648</v>
      </c>
      <c r="AK315" s="195">
        <f t="shared" si="142"/>
        <v>29286.170952050037</v>
      </c>
      <c r="AL315" s="195">
        <f t="shared" si="142"/>
        <v>30147.294589178357</v>
      </c>
      <c r="AM315" s="195">
        <f t="shared" si="142"/>
        <v>30638.674105677714</v>
      </c>
      <c r="AN315" s="195">
        <f t="shared" si="142"/>
        <v>31003.645161290322</v>
      </c>
      <c r="AO315" s="195">
        <f t="shared" si="142"/>
        <v>31874.721878862794</v>
      </c>
      <c r="AP315" s="195">
        <f t="shared" si="142"/>
        <v>33457.245650250668</v>
      </c>
      <c r="AQ315" s="195">
        <f t="shared" si="142"/>
        <v>34650.177115546809</v>
      </c>
      <c r="AR315" s="195">
        <f t="shared" si="142"/>
        <v>35586.633926201219</v>
      </c>
      <c r="AS315" s="195">
        <f t="shared" si="142"/>
        <v>37279.969992498125</v>
      </c>
      <c r="AT315" s="195">
        <f t="shared" si="142"/>
        <v>38009.039010466222</v>
      </c>
      <c r="AU315" s="195">
        <f t="shared" si="142"/>
        <v>38160.552930056714</v>
      </c>
      <c r="AV315" s="195">
        <f t="shared" si="142"/>
        <v>37845.16846045859</v>
      </c>
      <c r="AW315" s="195">
        <f t="shared" si="142"/>
        <v>36771.537731371616</v>
      </c>
      <c r="AX315" s="195">
        <f t="shared" si="142"/>
        <v>36724.564138908572</v>
      </c>
      <c r="AY315" s="195">
        <f t="shared" si="142"/>
        <v>36572.212200332309</v>
      </c>
      <c r="AZ315" s="195">
        <f t="shared" si="142"/>
        <v>35447.949666913395</v>
      </c>
      <c r="BA315" s="195">
        <f t="shared" si="142"/>
        <v>35363.367139959431</v>
      </c>
      <c r="BB315" s="195">
        <f t="shared" si="142"/>
        <v>34590</v>
      </c>
      <c r="BC315" s="195">
        <f t="shared" si="142"/>
        <v>35245.657723365461</v>
      </c>
      <c r="BD315" s="195">
        <f t="shared" si="142"/>
        <v>34857.007831487979</v>
      </c>
      <c r="BE315" s="195">
        <f t="shared" si="142"/>
        <v>33722.487252124643</v>
      </c>
      <c r="BF315" s="195">
        <f t="shared" si="142"/>
        <v>34222.555178268252</v>
      </c>
      <c r="BG315" s="195">
        <f t="shared" si="142"/>
        <v>34464.341517857145</v>
      </c>
      <c r="BH315" s="195">
        <f t="shared" si="142"/>
        <v>34847.313516545153</v>
      </c>
      <c r="BI315" s="195">
        <f t="shared" si="142"/>
        <v>35764.718387631139</v>
      </c>
      <c r="BJ315" s="195">
        <f t="shared" si="142"/>
        <v>37517.869588173176</v>
      </c>
      <c r="BK315" s="195">
        <f t="shared" si="142"/>
        <v>38480.301097218682</v>
      </c>
      <c r="BL315" s="195">
        <f t="shared" si="142"/>
        <v>39012.814552804448</v>
      </c>
      <c r="BM315" s="195">
        <f t="shared" si="142"/>
        <v>39445.184719778837</v>
      </c>
      <c r="BN315" s="195">
        <f t="shared" si="142"/>
        <v>39219.84674329502</v>
      </c>
      <c r="BO315" s="195">
        <f t="shared" si="142"/>
        <v>39111.252906225782</v>
      </c>
      <c r="BP315" s="195">
        <f t="shared" si="142"/>
        <v>38877.619047619046</v>
      </c>
      <c r="BQ315" s="195">
        <f t="shared" si="142"/>
        <v>38584.868943606038</v>
      </c>
    </row>
    <row r="316" spans="1:69" s="105" customFormat="1">
      <c r="A316" s="105">
        <f>$A$77</f>
        <v>60</v>
      </c>
      <c r="B316" s="114"/>
      <c r="C316" s="114"/>
      <c r="D316" s="114"/>
      <c r="E316" s="114"/>
      <c r="F316" s="114"/>
      <c r="G316" s="114"/>
      <c r="H316" s="114"/>
      <c r="I316" s="114"/>
      <c r="J316" s="114"/>
      <c r="K316" s="114"/>
      <c r="L316" s="114"/>
      <c r="M316" s="195">
        <f>M$170*M$452</f>
        <v>23082.136313668008</v>
      </c>
      <c r="N316" s="195">
        <f t="shared" ref="N316:BQ316" si="143">N$170*N$452</f>
        <v>23709.890109890108</v>
      </c>
      <c r="O316" s="195">
        <f t="shared" si="143"/>
        <v>24969.145239749825</v>
      </c>
      <c r="P316" s="195">
        <f t="shared" si="143"/>
        <v>25702.136021872862</v>
      </c>
      <c r="Q316" s="195">
        <f t="shared" si="143"/>
        <v>26430.463576158938</v>
      </c>
      <c r="R316" s="195">
        <f t="shared" si="143"/>
        <v>27341.797026502911</v>
      </c>
      <c r="S316" s="195">
        <f t="shared" si="143"/>
        <v>27685.895522388058</v>
      </c>
      <c r="T316" s="195">
        <f t="shared" si="143"/>
        <v>27475.519161480512</v>
      </c>
      <c r="U316" s="195">
        <f t="shared" si="143"/>
        <v>26968.728870858689</v>
      </c>
      <c r="V316" s="195">
        <f t="shared" si="143"/>
        <v>26705.834186284545</v>
      </c>
      <c r="W316" s="195">
        <f t="shared" si="143"/>
        <v>26826.183442116111</v>
      </c>
      <c r="X316" s="195">
        <f t="shared" si="143"/>
        <v>27423.646185010126</v>
      </c>
      <c r="Y316" s="195">
        <f t="shared" si="143"/>
        <v>28093.713810316138</v>
      </c>
      <c r="Z316" s="195">
        <f t="shared" si="143"/>
        <v>28218.816449348044</v>
      </c>
      <c r="AA316" s="195">
        <f t="shared" si="143"/>
        <v>28831.629121776037</v>
      </c>
      <c r="AB316" s="195">
        <f t="shared" si="143"/>
        <v>28898.324572930356</v>
      </c>
      <c r="AC316" s="195">
        <f t="shared" si="143"/>
        <v>28139.215353260868</v>
      </c>
      <c r="AD316" s="195">
        <f t="shared" si="143"/>
        <v>27126.014669926652</v>
      </c>
      <c r="AE316" s="195">
        <f t="shared" si="143"/>
        <v>26353.388909025009</v>
      </c>
      <c r="AF316" s="195">
        <f t="shared" si="143"/>
        <v>25921.966604823749</v>
      </c>
      <c r="AG316" s="195">
        <f t="shared" si="143"/>
        <v>26108.610698365526</v>
      </c>
      <c r="AH316" s="195">
        <f t="shared" si="143"/>
        <v>25867.29269216206</v>
      </c>
      <c r="AI316" s="195">
        <f t="shared" si="143"/>
        <v>26831.848987108653</v>
      </c>
      <c r="AJ316" s="195">
        <f t="shared" si="143"/>
        <v>27518.373689916876</v>
      </c>
      <c r="AK316" s="195">
        <f t="shared" si="143"/>
        <v>28142.466619817285</v>
      </c>
      <c r="AL316" s="195">
        <f t="shared" si="143"/>
        <v>28880.503822098679</v>
      </c>
      <c r="AM316" s="195">
        <f t="shared" si="143"/>
        <v>29744.223187437354</v>
      </c>
      <c r="AN316" s="195">
        <f t="shared" si="143"/>
        <v>30226.307843780771</v>
      </c>
      <c r="AO316" s="195">
        <f t="shared" si="143"/>
        <v>30582.322580645159</v>
      </c>
      <c r="AP316" s="195">
        <f t="shared" si="143"/>
        <v>31448.315822002471</v>
      </c>
      <c r="AQ316" s="195">
        <f t="shared" si="143"/>
        <v>33018.212389380533</v>
      </c>
      <c r="AR316" s="195">
        <f t="shared" si="143"/>
        <v>34194.583802024747</v>
      </c>
      <c r="AS316" s="195">
        <f t="shared" si="143"/>
        <v>35103.433351035579</v>
      </c>
      <c r="AT316" s="195">
        <f t="shared" si="143"/>
        <v>36780.465232616312</v>
      </c>
      <c r="AU316" s="195">
        <f t="shared" si="143"/>
        <v>37503.205616373161</v>
      </c>
      <c r="AV316" s="195">
        <f t="shared" si="143"/>
        <v>37647.09288584259</v>
      </c>
      <c r="AW316" s="195">
        <f t="shared" si="143"/>
        <v>37339.246431078864</v>
      </c>
      <c r="AX316" s="195">
        <f t="shared" si="143"/>
        <v>36281.99382862568</v>
      </c>
      <c r="AY316" s="195">
        <f t="shared" si="143"/>
        <v>36247.145557655953</v>
      </c>
      <c r="AZ316" s="195">
        <f t="shared" si="143"/>
        <v>36095.027296463326</v>
      </c>
      <c r="BA316" s="195">
        <f t="shared" si="143"/>
        <v>34986.750555144339</v>
      </c>
      <c r="BB316" s="195">
        <f t="shared" si="143"/>
        <v>34892.585551330798</v>
      </c>
      <c r="BC316" s="195">
        <f t="shared" si="143"/>
        <v>34144.246861924687</v>
      </c>
      <c r="BD316" s="195">
        <f t="shared" si="143"/>
        <v>34793.6875</v>
      </c>
      <c r="BE316" s="195">
        <f t="shared" si="143"/>
        <v>34424.030777537795</v>
      </c>
      <c r="BF316" s="195">
        <f t="shared" si="143"/>
        <v>33295.087768969424</v>
      </c>
      <c r="BG316" s="195">
        <f t="shared" si="143"/>
        <v>33800.172511312216</v>
      </c>
      <c r="BH316" s="195">
        <f t="shared" si="143"/>
        <v>34034.132738427215</v>
      </c>
      <c r="BI316" s="195">
        <f t="shared" si="143"/>
        <v>34400.812552535725</v>
      </c>
      <c r="BJ316" s="195">
        <f t="shared" si="143"/>
        <v>35312.607615894041</v>
      </c>
      <c r="BK316" s="195">
        <f t="shared" si="143"/>
        <v>37042.519788918202</v>
      </c>
      <c r="BL316" s="195">
        <f t="shared" si="143"/>
        <v>37997.980107115531</v>
      </c>
      <c r="BM316" s="195">
        <f t="shared" si="143"/>
        <v>38517.904040404035</v>
      </c>
      <c r="BN316" s="195">
        <f t="shared" si="143"/>
        <v>38958.35719668425</v>
      </c>
      <c r="BO316" s="195">
        <f t="shared" si="143"/>
        <v>38727.243491577334</v>
      </c>
      <c r="BP316" s="195">
        <f t="shared" si="143"/>
        <v>38625.769230769234</v>
      </c>
      <c r="BQ316" s="195">
        <f t="shared" si="143"/>
        <v>38391.450858034324</v>
      </c>
    </row>
    <row r="317" spans="1:69" s="105" customFormat="1">
      <c r="A317" s="105">
        <f>$A$78</f>
        <v>61</v>
      </c>
      <c r="B317" s="114"/>
      <c r="C317" s="114"/>
      <c r="D317" s="114"/>
      <c r="E317" s="114"/>
      <c r="F317" s="114"/>
      <c r="G317" s="114"/>
      <c r="H317" s="114"/>
      <c r="I317" s="114"/>
      <c r="J317" s="114"/>
      <c r="K317" s="114"/>
      <c r="L317" s="114"/>
      <c r="M317" s="195">
        <f>M$171*M$453</f>
        <v>21875.23558235959</v>
      </c>
      <c r="N317" s="195">
        <f t="shared" ref="N317:BQ317" si="144">N$171*N$453</f>
        <v>22469.101906158357</v>
      </c>
      <c r="O317" s="195">
        <f t="shared" si="144"/>
        <v>23116.055718475076</v>
      </c>
      <c r="P317" s="195">
        <f t="shared" si="144"/>
        <v>24536.31524008351</v>
      </c>
      <c r="Q317" s="195">
        <f t="shared" si="144"/>
        <v>25009.993150684932</v>
      </c>
      <c r="R317" s="195">
        <f t="shared" si="144"/>
        <v>25737.022900763361</v>
      </c>
      <c r="S317" s="195">
        <f t="shared" si="144"/>
        <v>26642.487852283772</v>
      </c>
      <c r="T317" s="195">
        <f t="shared" si="144"/>
        <v>26978.084552845528</v>
      </c>
      <c r="U317" s="195">
        <f t="shared" si="144"/>
        <v>26768.112897932395</v>
      </c>
      <c r="V317" s="195">
        <f t="shared" si="144"/>
        <v>26304.776422764226</v>
      </c>
      <c r="W317" s="195">
        <f t="shared" si="144"/>
        <v>26034.832535885165</v>
      </c>
      <c r="X317" s="195">
        <f t="shared" si="144"/>
        <v>26149.34640522876</v>
      </c>
      <c r="Y317" s="195">
        <f t="shared" si="144"/>
        <v>26753.96685830233</v>
      </c>
      <c r="Z317" s="195">
        <f t="shared" si="144"/>
        <v>27390.923025658114</v>
      </c>
      <c r="AA317" s="195">
        <f t="shared" si="144"/>
        <v>27512.717536813925</v>
      </c>
      <c r="AB317" s="195">
        <f t="shared" si="144"/>
        <v>28115.277777777781</v>
      </c>
      <c r="AC317" s="195">
        <f t="shared" si="144"/>
        <v>28187.977638934561</v>
      </c>
      <c r="AD317" s="195">
        <f t="shared" si="144"/>
        <v>27455.49132947977</v>
      </c>
      <c r="AE317" s="195">
        <f t="shared" si="144"/>
        <v>26460.817895840613</v>
      </c>
      <c r="AF317" s="195">
        <f t="shared" si="144"/>
        <v>25704.822335025379</v>
      </c>
      <c r="AG317" s="195">
        <f t="shared" si="144"/>
        <v>25300.167037861916</v>
      </c>
      <c r="AH317" s="195">
        <f t="shared" si="144"/>
        <v>25483.766716196136</v>
      </c>
      <c r="AI317" s="195">
        <f t="shared" si="144"/>
        <v>25245.84627035214</v>
      </c>
      <c r="AJ317" s="195">
        <f t="shared" si="144"/>
        <v>26195.173176123804</v>
      </c>
      <c r="AK317" s="195">
        <f t="shared" si="144"/>
        <v>26857.42681604626</v>
      </c>
      <c r="AL317" s="195">
        <f t="shared" si="144"/>
        <v>27463.281799016164</v>
      </c>
      <c r="AM317" s="195">
        <f t="shared" si="144"/>
        <v>28192.129951355109</v>
      </c>
      <c r="AN317" s="195">
        <f t="shared" si="144"/>
        <v>29029.081189442033</v>
      </c>
      <c r="AO317" s="195">
        <f t="shared" si="144"/>
        <v>29501.470298654414</v>
      </c>
      <c r="AP317" s="195">
        <f t="shared" si="144"/>
        <v>29850.406451612904</v>
      </c>
      <c r="AQ317" s="195">
        <f t="shared" si="144"/>
        <v>30694.502472187884</v>
      </c>
      <c r="AR317" s="195">
        <f t="shared" si="144"/>
        <v>32219.528023598821</v>
      </c>
      <c r="AS317" s="195">
        <f t="shared" si="144"/>
        <v>33373.248031496063</v>
      </c>
      <c r="AT317" s="195">
        <f t="shared" si="144"/>
        <v>34254.36802973978</v>
      </c>
      <c r="AU317" s="195">
        <f t="shared" si="144"/>
        <v>35892.0260130065</v>
      </c>
      <c r="AV317" s="195">
        <f t="shared" si="144"/>
        <v>36598.914544156149</v>
      </c>
      <c r="AW317" s="195">
        <f t="shared" si="144"/>
        <v>36745.437352245863</v>
      </c>
      <c r="AX317" s="195">
        <f t="shared" si="144"/>
        <v>36452.02247191011</v>
      </c>
      <c r="AY317" s="195">
        <f t="shared" si="144"/>
        <v>35426.831236648468</v>
      </c>
      <c r="AZ317" s="195">
        <f t="shared" si="144"/>
        <v>35387.133742911152</v>
      </c>
      <c r="BA317" s="195">
        <f t="shared" si="144"/>
        <v>35217.679164689136</v>
      </c>
      <c r="BB317" s="195">
        <f t="shared" si="144"/>
        <v>34150.389738529848</v>
      </c>
      <c r="BC317" s="195">
        <f t="shared" si="144"/>
        <v>34074.594526102381</v>
      </c>
      <c r="BD317" s="195">
        <f t="shared" si="144"/>
        <v>33330.162049137478</v>
      </c>
      <c r="BE317" s="195">
        <f t="shared" si="144"/>
        <v>33977.889120249871</v>
      </c>
      <c r="BF317" s="195">
        <f t="shared" si="144"/>
        <v>33599.579174534665</v>
      </c>
      <c r="BG317" s="195">
        <f t="shared" si="144"/>
        <v>32509.940594059404</v>
      </c>
      <c r="BH317" s="195">
        <f t="shared" si="144"/>
        <v>33004.238485447866</v>
      </c>
      <c r="BI317" s="195">
        <f t="shared" si="144"/>
        <v>33243.627751462802</v>
      </c>
      <c r="BJ317" s="195">
        <f t="shared" si="144"/>
        <v>33597.933930571111</v>
      </c>
      <c r="BK317" s="195">
        <f t="shared" si="144"/>
        <v>34490.350151640472</v>
      </c>
      <c r="BL317" s="195">
        <f t="shared" si="144"/>
        <v>36184.887951489589</v>
      </c>
      <c r="BM317" s="195">
        <f t="shared" si="144"/>
        <v>37115</v>
      </c>
      <c r="BN317" s="195">
        <f t="shared" si="144"/>
        <v>37620.842795861718</v>
      </c>
      <c r="BO317" s="195">
        <f t="shared" si="144"/>
        <v>38055.928714859438</v>
      </c>
      <c r="BP317" s="195">
        <f t="shared" si="144"/>
        <v>37837.776077531242</v>
      </c>
      <c r="BQ317" s="195">
        <f t="shared" si="144"/>
        <v>37719.236719958746</v>
      </c>
    </row>
    <row r="318" spans="1:69" s="105" customFormat="1">
      <c r="A318" s="105">
        <f>$A$79</f>
        <v>62</v>
      </c>
      <c r="B318" s="114"/>
      <c r="C318" s="114"/>
      <c r="D318" s="114"/>
      <c r="E318" s="114"/>
      <c r="F318" s="114"/>
      <c r="G318" s="114"/>
      <c r="H318" s="114"/>
      <c r="I318" s="114"/>
      <c r="J318" s="114"/>
      <c r="K318" s="114"/>
      <c r="L318" s="114"/>
      <c r="M318" s="195">
        <f>M$172*M$454</f>
        <v>20403.91083300743</v>
      </c>
      <c r="N318" s="195">
        <f t="shared" ref="N318:BQ318" si="145">N$172*N$454</f>
        <v>21143.891402714933</v>
      </c>
      <c r="O318" s="195">
        <f t="shared" si="145"/>
        <v>21760.998165137615</v>
      </c>
      <c r="P318" s="195">
        <f t="shared" si="145"/>
        <v>22640.242290748898</v>
      </c>
      <c r="Q318" s="195">
        <f t="shared" si="145"/>
        <v>23716.251743375175</v>
      </c>
      <c r="R318" s="195">
        <f t="shared" si="145"/>
        <v>24184.140061791968</v>
      </c>
      <c r="S318" s="195">
        <f t="shared" si="145"/>
        <v>24911.440931780366</v>
      </c>
      <c r="T318" s="195">
        <f t="shared" si="145"/>
        <v>25801.285714285714</v>
      </c>
      <c r="U318" s="195">
        <f t="shared" si="145"/>
        <v>26136.727509778357</v>
      </c>
      <c r="V318" s="195">
        <f t="shared" si="145"/>
        <v>25946.25</v>
      </c>
      <c r="W318" s="195">
        <f t="shared" si="145"/>
        <v>25486.372582287073</v>
      </c>
      <c r="X318" s="195">
        <f t="shared" si="145"/>
        <v>25248.168435467305</v>
      </c>
      <c r="Y318" s="195">
        <f t="shared" si="145"/>
        <v>25366.726395589249</v>
      </c>
      <c r="Z318" s="195">
        <f t="shared" si="145"/>
        <v>25930.667118184894</v>
      </c>
      <c r="AA318" s="195">
        <f t="shared" si="145"/>
        <v>26559.893226559892</v>
      </c>
      <c r="AB318" s="195">
        <f t="shared" si="145"/>
        <v>26686.802949061661</v>
      </c>
      <c r="AC318" s="195">
        <f t="shared" si="145"/>
        <v>27281.485602094242</v>
      </c>
      <c r="AD318" s="195">
        <f t="shared" si="145"/>
        <v>27347.972350230415</v>
      </c>
      <c r="AE318" s="195">
        <f t="shared" si="145"/>
        <v>26644.994896223205</v>
      </c>
      <c r="AF318" s="195">
        <f t="shared" si="145"/>
        <v>25688.072752710737</v>
      </c>
      <c r="AG318" s="195">
        <f t="shared" si="145"/>
        <v>24958.723249909319</v>
      </c>
      <c r="AH318" s="195">
        <f t="shared" si="145"/>
        <v>24562.175204157385</v>
      </c>
      <c r="AI318" s="195">
        <f t="shared" si="145"/>
        <v>24749.832775919731</v>
      </c>
      <c r="AJ318" s="195">
        <f t="shared" si="145"/>
        <v>24518.156001514577</v>
      </c>
      <c r="AK318" s="195">
        <f t="shared" si="145"/>
        <v>25447.737656595429</v>
      </c>
      <c r="AL318" s="195">
        <f t="shared" si="145"/>
        <v>26095.023491145643</v>
      </c>
      <c r="AM318" s="195">
        <f t="shared" si="145"/>
        <v>26683.362614195361</v>
      </c>
      <c r="AN318" s="195">
        <f t="shared" si="145"/>
        <v>27381.723419041002</v>
      </c>
      <c r="AO318" s="195">
        <f t="shared" si="145"/>
        <v>28183.767535070139</v>
      </c>
      <c r="AP318" s="195">
        <f t="shared" si="145"/>
        <v>28664.601247128325</v>
      </c>
      <c r="AQ318" s="195">
        <f t="shared" si="145"/>
        <v>29007.164516129033</v>
      </c>
      <c r="AR318" s="195">
        <f t="shared" si="145"/>
        <v>29820.377008652657</v>
      </c>
      <c r="AS318" s="195">
        <f t="shared" si="145"/>
        <v>31282.612798584487</v>
      </c>
      <c r="AT318" s="195">
        <f t="shared" si="145"/>
        <v>32405.314960629919</v>
      </c>
      <c r="AU318" s="195">
        <f t="shared" si="145"/>
        <v>33271.540095592143</v>
      </c>
      <c r="AV318" s="195">
        <f t="shared" si="145"/>
        <v>34860.192644483359</v>
      </c>
      <c r="AW318" s="195">
        <f t="shared" si="145"/>
        <v>35538.195667698164</v>
      </c>
      <c r="AX318" s="195">
        <f t="shared" si="145"/>
        <v>35686.368794326241</v>
      </c>
      <c r="AY318" s="195">
        <f t="shared" si="145"/>
        <v>35401.451310861419</v>
      </c>
      <c r="AZ318" s="195">
        <f t="shared" si="145"/>
        <v>34410.405886541659</v>
      </c>
      <c r="BA318" s="195">
        <f t="shared" si="145"/>
        <v>34367.115520907158</v>
      </c>
      <c r="BB318" s="195">
        <f t="shared" si="145"/>
        <v>34233.604651162786</v>
      </c>
      <c r="BC318" s="195">
        <f t="shared" si="145"/>
        <v>33189.198520345257</v>
      </c>
      <c r="BD318" s="195">
        <f t="shared" si="145"/>
        <v>33111.071428571428</v>
      </c>
      <c r="BE318" s="195">
        <f t="shared" si="145"/>
        <v>32396.637931034482</v>
      </c>
      <c r="BF318" s="195">
        <f t="shared" si="145"/>
        <v>33020.47346514048</v>
      </c>
      <c r="BG318" s="195">
        <f t="shared" si="145"/>
        <v>32659.757346993796</v>
      </c>
      <c r="BH318" s="195">
        <f t="shared" si="145"/>
        <v>31608.739400791404</v>
      </c>
      <c r="BI318" s="195">
        <f t="shared" si="145"/>
        <v>32082.024280067755</v>
      </c>
      <c r="BJ318" s="195">
        <f t="shared" si="145"/>
        <v>32314.986080178176</v>
      </c>
      <c r="BK318" s="195">
        <f t="shared" si="145"/>
        <v>32676.125874125875</v>
      </c>
      <c r="BL318" s="195">
        <f t="shared" si="145"/>
        <v>33527.678325530156</v>
      </c>
      <c r="BM318" s="195">
        <f t="shared" si="145"/>
        <v>35175.433236765864</v>
      </c>
      <c r="BN318" s="195">
        <f t="shared" si="145"/>
        <v>36071.428571428572</v>
      </c>
      <c r="BO318" s="195">
        <f t="shared" si="145"/>
        <v>36564.245021426774</v>
      </c>
      <c r="BP318" s="195">
        <f t="shared" si="145"/>
        <v>36990.546639919761</v>
      </c>
      <c r="BQ318" s="195">
        <f t="shared" si="145"/>
        <v>36783.582165605098</v>
      </c>
    </row>
    <row r="319" spans="1:69" s="105" customFormat="1">
      <c r="A319" s="105">
        <f>$A$80</f>
        <v>63</v>
      </c>
      <c r="B319" s="114"/>
      <c r="C319" s="114"/>
      <c r="D319" s="114"/>
      <c r="E319" s="114"/>
      <c r="F319" s="114"/>
      <c r="G319" s="114"/>
      <c r="H319" s="114"/>
      <c r="I319" s="114"/>
      <c r="J319" s="114"/>
      <c r="K319" s="114"/>
      <c r="L319" s="114"/>
      <c r="M319" s="195">
        <f>M$173*M$455</f>
        <v>18927.604501607715</v>
      </c>
      <c r="N319" s="195">
        <f t="shared" ref="N319:BQ319" si="146">N$173*N$455</f>
        <v>19455.841816758028</v>
      </c>
      <c r="O319" s="195">
        <f t="shared" si="146"/>
        <v>20252.315829240648</v>
      </c>
      <c r="P319" s="195">
        <f t="shared" si="146"/>
        <v>21048.635527767561</v>
      </c>
      <c r="Q319" s="195">
        <f t="shared" si="146"/>
        <v>21633.356643356645</v>
      </c>
      <c r="R319" s="195">
        <f t="shared" si="146"/>
        <v>22679.82161594963</v>
      </c>
      <c r="S319" s="195">
        <f t="shared" si="146"/>
        <v>23155.020661157025</v>
      </c>
      <c r="T319" s="195">
        <f t="shared" si="146"/>
        <v>23872.279706275032</v>
      </c>
      <c r="U319" s="195">
        <f t="shared" si="146"/>
        <v>24724.74763920547</v>
      </c>
      <c r="V319" s="195">
        <f t="shared" si="146"/>
        <v>25048.647058823528</v>
      </c>
      <c r="W319" s="195">
        <f t="shared" si="146"/>
        <v>24879.475766567753</v>
      </c>
      <c r="X319" s="195">
        <f t="shared" si="146"/>
        <v>24450.612244897959</v>
      </c>
      <c r="Y319" s="195">
        <f t="shared" si="146"/>
        <v>24225.509433962263</v>
      </c>
      <c r="Z319" s="195">
        <f t="shared" si="146"/>
        <v>24337.697618225749</v>
      </c>
      <c r="AA319" s="195">
        <f t="shared" si="146"/>
        <v>24896.465400271369</v>
      </c>
      <c r="AB319" s="195">
        <f t="shared" si="146"/>
        <v>25499.7493315508</v>
      </c>
      <c r="AC319" s="195">
        <f t="shared" si="146"/>
        <v>25638.234306814367</v>
      </c>
      <c r="AD319" s="195">
        <f t="shared" si="146"/>
        <v>26195.937090432504</v>
      </c>
      <c r="AE319" s="195">
        <f t="shared" si="146"/>
        <v>26265.807514831904</v>
      </c>
      <c r="AF319" s="195">
        <f t="shared" si="146"/>
        <v>25608.463373083476</v>
      </c>
      <c r="AG319" s="195">
        <f t="shared" si="146"/>
        <v>24693.056722689074</v>
      </c>
      <c r="AH319" s="195">
        <f t="shared" si="146"/>
        <v>23991.57894736842</v>
      </c>
      <c r="AI319" s="195">
        <f t="shared" si="146"/>
        <v>23627.544576523032</v>
      </c>
      <c r="AJ319" s="195">
        <f t="shared" si="146"/>
        <v>23799.442379182157</v>
      </c>
      <c r="AK319" s="195">
        <f t="shared" si="146"/>
        <v>23581.613636363636</v>
      </c>
      <c r="AL319" s="195">
        <f t="shared" si="146"/>
        <v>24463.728813559323</v>
      </c>
      <c r="AM319" s="195">
        <f t="shared" si="146"/>
        <v>25100.925524222705</v>
      </c>
      <c r="AN319" s="195">
        <f t="shared" si="146"/>
        <v>25665.026362038665</v>
      </c>
      <c r="AO319" s="195">
        <f t="shared" si="146"/>
        <v>26337.477414871439</v>
      </c>
      <c r="AP319" s="195">
        <f t="shared" si="146"/>
        <v>27125.846976277982</v>
      </c>
      <c r="AQ319" s="195">
        <f t="shared" si="146"/>
        <v>27568.736462093864</v>
      </c>
      <c r="AR319" s="195">
        <f t="shared" si="146"/>
        <v>27903.451612903227</v>
      </c>
      <c r="AS319" s="195">
        <f t="shared" si="146"/>
        <v>28689.703337453644</v>
      </c>
      <c r="AT319" s="195">
        <f t="shared" si="146"/>
        <v>30096.896755162241</v>
      </c>
      <c r="AU319" s="195">
        <f t="shared" si="146"/>
        <v>31180.219409282698</v>
      </c>
      <c r="AV319" s="195">
        <f t="shared" si="146"/>
        <v>32010.007968127491</v>
      </c>
      <c r="AW319" s="195">
        <f t="shared" si="146"/>
        <v>33532.432432432433</v>
      </c>
      <c r="AX319" s="195">
        <f t="shared" si="146"/>
        <v>34197.399380804956</v>
      </c>
      <c r="AY319" s="195">
        <f t="shared" si="146"/>
        <v>34339.299905392618</v>
      </c>
      <c r="AZ319" s="195">
        <f t="shared" si="146"/>
        <v>34059.932100210724</v>
      </c>
      <c r="BA319" s="195">
        <f t="shared" si="146"/>
        <v>33107.524329456443</v>
      </c>
      <c r="BB319" s="195">
        <f t="shared" si="146"/>
        <v>33079.300567107755</v>
      </c>
      <c r="BC319" s="195">
        <f t="shared" si="146"/>
        <v>32937.600854295204</v>
      </c>
      <c r="BD319" s="195">
        <f t="shared" si="146"/>
        <v>31940.384615384613</v>
      </c>
      <c r="BE319" s="195">
        <f t="shared" si="146"/>
        <v>31871.288933907319</v>
      </c>
      <c r="BF319" s="195">
        <f t="shared" si="146"/>
        <v>31185.557586837291</v>
      </c>
      <c r="BG319" s="195">
        <f t="shared" si="146"/>
        <v>31783.33853354134</v>
      </c>
      <c r="BH319" s="195">
        <f t="shared" si="146"/>
        <v>31451.894368094854</v>
      </c>
      <c r="BI319" s="195">
        <f t="shared" si="146"/>
        <v>30436.050847457627</v>
      </c>
      <c r="BJ319" s="195">
        <f t="shared" si="146"/>
        <v>30892.925246826519</v>
      </c>
      <c r="BK319" s="195">
        <f t="shared" si="146"/>
        <v>31114.976356050069</v>
      </c>
      <c r="BL319" s="195">
        <f t="shared" si="146"/>
        <v>31465.413638904414</v>
      </c>
      <c r="BM319" s="195">
        <f t="shared" si="146"/>
        <v>32285.302696752889</v>
      </c>
      <c r="BN319" s="195">
        <f t="shared" si="146"/>
        <v>33863.573684210525</v>
      </c>
      <c r="BO319" s="195">
        <f t="shared" si="146"/>
        <v>34738.007633587782</v>
      </c>
      <c r="BP319" s="195">
        <f t="shared" si="146"/>
        <v>35215.420654911839</v>
      </c>
      <c r="BQ319" s="195">
        <f t="shared" si="146"/>
        <v>35622.377850162869</v>
      </c>
    </row>
    <row r="320" spans="1:69" s="105" customFormat="1">
      <c r="A320" s="105">
        <f>$A$81</f>
        <v>64</v>
      </c>
      <c r="B320" s="114"/>
      <c r="C320" s="114"/>
      <c r="D320" s="114"/>
      <c r="E320" s="114"/>
      <c r="F320" s="114"/>
      <c r="G320" s="114"/>
      <c r="H320" s="114"/>
      <c r="I320" s="114"/>
      <c r="J320" s="114"/>
      <c r="K320" s="114"/>
      <c r="L320" s="114"/>
      <c r="M320" s="195">
        <f>M$174*M$456</f>
        <v>17058.052653572922</v>
      </c>
      <c r="N320" s="195">
        <f t="shared" ref="N320:BQ320" si="147">N$174*N$456</f>
        <v>17715.718888441403</v>
      </c>
      <c r="O320" s="195">
        <f t="shared" si="147"/>
        <v>18288.433451118963</v>
      </c>
      <c r="P320" s="195">
        <f t="shared" si="147"/>
        <v>19162.338006820766</v>
      </c>
      <c r="Q320" s="195">
        <f t="shared" si="147"/>
        <v>19685.455887781467</v>
      </c>
      <c r="R320" s="195">
        <f t="shared" si="147"/>
        <v>20262.439024390245</v>
      </c>
      <c r="S320" s="195">
        <f t="shared" si="147"/>
        <v>21265.238764044945</v>
      </c>
      <c r="T320" s="195">
        <f t="shared" si="147"/>
        <v>21733.753888696854</v>
      </c>
      <c r="U320" s="195">
        <f t="shared" si="147"/>
        <v>22409.005025125629</v>
      </c>
      <c r="V320" s="195">
        <f t="shared" si="147"/>
        <v>23231.352941176472</v>
      </c>
      <c r="W320" s="195">
        <f t="shared" si="147"/>
        <v>23554.142341751391</v>
      </c>
      <c r="X320" s="195">
        <f t="shared" si="147"/>
        <v>23399.255706252068</v>
      </c>
      <c r="Y320" s="195">
        <f t="shared" si="147"/>
        <v>22999.259890859481</v>
      </c>
      <c r="Z320" s="195">
        <f t="shared" si="147"/>
        <v>22799.363605091159</v>
      </c>
      <c r="AA320" s="195">
        <f t="shared" si="147"/>
        <v>22928.598130841121</v>
      </c>
      <c r="AB320" s="195">
        <f t="shared" si="147"/>
        <v>23462.204081632655</v>
      </c>
      <c r="AC320" s="195">
        <f t="shared" si="147"/>
        <v>24034.483914209115</v>
      </c>
      <c r="AD320" s="195">
        <f t="shared" si="147"/>
        <v>24156.912209889004</v>
      </c>
      <c r="AE320" s="195">
        <f t="shared" si="147"/>
        <v>24696.354679802957</v>
      </c>
      <c r="AF320" s="195">
        <f t="shared" si="147"/>
        <v>24777.429798480345</v>
      </c>
      <c r="AG320" s="195">
        <f t="shared" si="147"/>
        <v>24153.849829351537</v>
      </c>
      <c r="AH320" s="195">
        <f t="shared" si="147"/>
        <v>23294.978962131838</v>
      </c>
      <c r="AI320" s="195">
        <f t="shared" si="147"/>
        <v>22646.259541984735</v>
      </c>
      <c r="AJ320" s="195">
        <f t="shared" si="147"/>
        <v>22297.954629973967</v>
      </c>
      <c r="AK320" s="195">
        <f t="shared" si="147"/>
        <v>22471.380721994788</v>
      </c>
      <c r="AL320" s="195">
        <f t="shared" si="147"/>
        <v>22274.389689158452</v>
      </c>
      <c r="AM320" s="195">
        <f t="shared" si="147"/>
        <v>23110.195499815563</v>
      </c>
      <c r="AN320" s="195">
        <f t="shared" si="147"/>
        <v>23700.915340086831</v>
      </c>
      <c r="AO320" s="195">
        <f t="shared" si="147"/>
        <v>24248.469926134367</v>
      </c>
      <c r="AP320" s="195">
        <f t="shared" si="147"/>
        <v>24871.522948539638</v>
      </c>
      <c r="AQ320" s="195">
        <f t="shared" si="147"/>
        <v>25618.722835172186</v>
      </c>
      <c r="AR320" s="195">
        <f t="shared" si="147"/>
        <v>26042.440065681443</v>
      </c>
      <c r="AS320" s="195">
        <f t="shared" si="147"/>
        <v>26363.166559070367</v>
      </c>
      <c r="AT320" s="195">
        <f t="shared" si="147"/>
        <v>27107.272727272728</v>
      </c>
      <c r="AU320" s="195">
        <f t="shared" si="147"/>
        <v>28436.363636363636</v>
      </c>
      <c r="AV320" s="195">
        <f t="shared" si="147"/>
        <v>29453.999437095412</v>
      </c>
      <c r="AW320" s="195">
        <f t="shared" si="147"/>
        <v>30242.155768208399</v>
      </c>
      <c r="AX320" s="195">
        <f t="shared" si="147"/>
        <v>31674.027047332831</v>
      </c>
      <c r="AY320" s="195">
        <f t="shared" si="147"/>
        <v>32303.06244041945</v>
      </c>
      <c r="AZ320" s="195">
        <f t="shared" si="147"/>
        <v>32432.541410317084</v>
      </c>
      <c r="BA320" s="195">
        <f t="shared" si="147"/>
        <v>32192.179006560447</v>
      </c>
      <c r="BB320" s="195">
        <f t="shared" si="147"/>
        <v>31286.072191878415</v>
      </c>
      <c r="BC320" s="195">
        <f t="shared" si="147"/>
        <v>31258.042553191488</v>
      </c>
      <c r="BD320" s="195">
        <f t="shared" si="147"/>
        <v>31127.975314502728</v>
      </c>
      <c r="BE320" s="195">
        <f t="shared" si="147"/>
        <v>30194.108508014797</v>
      </c>
      <c r="BF320" s="195">
        <f t="shared" si="147"/>
        <v>30130.015197568388</v>
      </c>
      <c r="BG320" s="195">
        <f t="shared" si="147"/>
        <v>29480.757377905458</v>
      </c>
      <c r="BH320" s="195">
        <f t="shared" si="147"/>
        <v>30043.941757670309</v>
      </c>
      <c r="BI320" s="195">
        <f t="shared" si="147"/>
        <v>29730.9375</v>
      </c>
      <c r="BJ320" s="195">
        <f t="shared" si="147"/>
        <v>28785.088957921493</v>
      </c>
      <c r="BK320" s="195">
        <f t="shared" si="147"/>
        <v>29219.808234630571</v>
      </c>
      <c r="BL320" s="195">
        <f t="shared" si="147"/>
        <v>29429.165739710788</v>
      </c>
      <c r="BM320" s="195">
        <f t="shared" si="147"/>
        <v>29755.148044692738</v>
      </c>
      <c r="BN320" s="195">
        <f t="shared" si="147"/>
        <v>30536.058855885589</v>
      </c>
      <c r="BO320" s="195">
        <f t="shared" si="147"/>
        <v>32032.99131807419</v>
      </c>
      <c r="BP320" s="195">
        <f t="shared" si="147"/>
        <v>32857.004069175993</v>
      </c>
      <c r="BQ320" s="195">
        <f t="shared" si="147"/>
        <v>33306.306646525678</v>
      </c>
    </row>
    <row r="321" spans="1:69" s="105" customFormat="1">
      <c r="A321" s="105">
        <f>$A$82</f>
        <v>65</v>
      </c>
      <c r="B321" s="114"/>
      <c r="C321" s="114"/>
      <c r="D321" s="114"/>
      <c r="E321" s="114"/>
      <c r="F321" s="114"/>
      <c r="G321" s="114"/>
      <c r="H321" s="114"/>
      <c r="I321" s="114"/>
      <c r="J321" s="114"/>
      <c r="K321" s="114"/>
      <c r="L321" s="114"/>
      <c r="M321" s="195">
        <f>M$175*M$457</f>
        <v>15334.703389830509</v>
      </c>
      <c r="N321" s="195">
        <f t="shared" ref="N321:BQ321" si="148">N$175*N$457</f>
        <v>15670.909853249475</v>
      </c>
      <c r="O321" s="195">
        <f t="shared" si="148"/>
        <v>16246.849979781642</v>
      </c>
      <c r="P321" s="195">
        <f t="shared" si="148"/>
        <v>16985.488958990536</v>
      </c>
      <c r="Q321" s="195">
        <f t="shared" si="148"/>
        <v>17536.661591168631</v>
      </c>
      <c r="R321" s="195">
        <f t="shared" si="148"/>
        <v>18046.456400742114</v>
      </c>
      <c r="S321" s="195">
        <f t="shared" si="148"/>
        <v>18595.06869662087</v>
      </c>
      <c r="T321" s="195">
        <f t="shared" si="148"/>
        <v>19542.131263232179</v>
      </c>
      <c r="U321" s="195">
        <f t="shared" si="148"/>
        <v>19980.972222222223</v>
      </c>
      <c r="V321" s="195">
        <f t="shared" si="148"/>
        <v>20613.472409152087</v>
      </c>
      <c r="W321" s="195">
        <f t="shared" si="148"/>
        <v>21376.04857236626</v>
      </c>
      <c r="X321" s="195">
        <f t="shared" si="148"/>
        <v>21684.629568653279</v>
      </c>
      <c r="Y321" s="195">
        <f t="shared" si="148"/>
        <v>21562.975755562933</v>
      </c>
      <c r="Z321" s="195">
        <f t="shared" si="148"/>
        <v>21213.91304347826</v>
      </c>
      <c r="AA321" s="195">
        <f t="shared" si="148"/>
        <v>21029.637556092508</v>
      </c>
      <c r="AB321" s="195">
        <f t="shared" si="148"/>
        <v>21147</v>
      </c>
      <c r="AC321" s="195">
        <f t="shared" si="148"/>
        <v>21654.288638689864</v>
      </c>
      <c r="AD321" s="195">
        <f t="shared" si="148"/>
        <v>22192.880672268908</v>
      </c>
      <c r="AE321" s="195">
        <f t="shared" si="148"/>
        <v>22313.876518218625</v>
      </c>
      <c r="AF321" s="195">
        <f t="shared" si="148"/>
        <v>22817.154150197628</v>
      </c>
      <c r="AG321" s="195">
        <f t="shared" si="148"/>
        <v>22895.508446505464</v>
      </c>
      <c r="AH321" s="195">
        <f t="shared" si="148"/>
        <v>22318.614437222033</v>
      </c>
      <c r="AI321" s="195">
        <f t="shared" si="148"/>
        <v>21530.822206605764</v>
      </c>
      <c r="AJ321" s="195">
        <f t="shared" si="148"/>
        <v>20952.950819672133</v>
      </c>
      <c r="AK321" s="195">
        <f t="shared" si="148"/>
        <v>20637.347242921012</v>
      </c>
      <c r="AL321" s="195">
        <f t="shared" si="148"/>
        <v>20791.308237048081</v>
      </c>
      <c r="AM321" s="195">
        <f t="shared" si="148"/>
        <v>20620.04555808656</v>
      </c>
      <c r="AN321" s="195">
        <f t="shared" si="148"/>
        <v>21390.454377539714</v>
      </c>
      <c r="AO321" s="195">
        <f t="shared" si="148"/>
        <v>21938.902173913044</v>
      </c>
      <c r="AP321" s="195">
        <f t="shared" si="148"/>
        <v>22441.870376893272</v>
      </c>
      <c r="AQ321" s="195">
        <f t="shared" si="148"/>
        <v>23029.777158774374</v>
      </c>
      <c r="AR321" s="195">
        <f t="shared" si="148"/>
        <v>23717.335118848343</v>
      </c>
      <c r="AS321" s="195">
        <f t="shared" si="148"/>
        <v>24118.756987832949</v>
      </c>
      <c r="AT321" s="195">
        <f t="shared" si="148"/>
        <v>24401.583198707594</v>
      </c>
      <c r="AU321" s="195">
        <f t="shared" si="148"/>
        <v>25095.975232198143</v>
      </c>
      <c r="AV321" s="195">
        <f t="shared" si="148"/>
        <v>26335.531914893618</v>
      </c>
      <c r="AW321" s="195">
        <f t="shared" si="148"/>
        <v>27271.442659904198</v>
      </c>
      <c r="AX321" s="195">
        <f t="shared" si="148"/>
        <v>27993.060138371475</v>
      </c>
      <c r="AY321" s="195">
        <f t="shared" si="148"/>
        <v>29337.652958876632</v>
      </c>
      <c r="AZ321" s="195">
        <f t="shared" si="148"/>
        <v>29914.922452875209</v>
      </c>
      <c r="BA321" s="195">
        <f t="shared" si="148"/>
        <v>30038.839137645107</v>
      </c>
      <c r="BB321" s="195">
        <f t="shared" si="148"/>
        <v>29803.424015009383</v>
      </c>
      <c r="BC321" s="195">
        <f t="shared" si="148"/>
        <v>28970.057047777515</v>
      </c>
      <c r="BD321" s="195">
        <f t="shared" si="148"/>
        <v>28954.710196356755</v>
      </c>
      <c r="BE321" s="195">
        <f t="shared" si="148"/>
        <v>28839.101924447612</v>
      </c>
      <c r="BF321" s="195">
        <f t="shared" si="148"/>
        <v>27984.407699901283</v>
      </c>
      <c r="BG321" s="195">
        <f t="shared" si="148"/>
        <v>27910.917384693359</v>
      </c>
      <c r="BH321" s="195">
        <f t="shared" si="148"/>
        <v>27329.247648902819</v>
      </c>
      <c r="BI321" s="195">
        <f t="shared" si="148"/>
        <v>27851.235370611183</v>
      </c>
      <c r="BJ321" s="195">
        <f t="shared" si="148"/>
        <v>27558.868229587712</v>
      </c>
      <c r="BK321" s="195">
        <f t="shared" si="148"/>
        <v>26683.462298785656</v>
      </c>
      <c r="BL321" s="195">
        <f t="shared" si="148"/>
        <v>27079.201917653696</v>
      </c>
      <c r="BM321" s="195">
        <f t="shared" si="148"/>
        <v>27281.370967741936</v>
      </c>
      <c r="BN321" s="195">
        <f t="shared" si="148"/>
        <v>27588.016759776539</v>
      </c>
      <c r="BO321" s="195">
        <f t="shared" si="148"/>
        <v>28310.891089108911</v>
      </c>
      <c r="BP321" s="195">
        <f t="shared" si="148"/>
        <v>29702.375690607736</v>
      </c>
      <c r="BQ321" s="195">
        <f t="shared" si="148"/>
        <v>30452.049847405899</v>
      </c>
    </row>
    <row r="322" spans="1:69" s="105" customFormat="1">
      <c r="A322" s="105">
        <f>$A$83</f>
        <v>66</v>
      </c>
      <c r="B322" s="114"/>
      <c r="C322" s="114"/>
      <c r="D322" s="114"/>
      <c r="E322" s="114"/>
      <c r="F322" s="114"/>
      <c r="G322" s="114"/>
      <c r="H322" s="114"/>
      <c r="I322" s="114"/>
      <c r="J322" s="114"/>
      <c r="K322" s="114"/>
      <c r="L322" s="114"/>
      <c r="M322" s="195">
        <f>M$176*M$458</f>
        <v>13523.891519586741</v>
      </c>
      <c r="N322" s="195">
        <f t="shared" ref="N322:BQ322" si="149">N$176*N$458</f>
        <v>13887.713920817368</v>
      </c>
      <c r="O322" s="195">
        <f t="shared" si="149"/>
        <v>14229.380530973451</v>
      </c>
      <c r="P322" s="195">
        <f t="shared" si="149"/>
        <v>14932.175681171208</v>
      </c>
      <c r="Q322" s="195">
        <f t="shared" si="149"/>
        <v>15387.065820777159</v>
      </c>
      <c r="R322" s="195">
        <f t="shared" si="149"/>
        <v>15912.183908045978</v>
      </c>
      <c r="S322" s="195">
        <f t="shared" si="149"/>
        <v>16380.936916759985</v>
      </c>
      <c r="T322" s="195">
        <f t="shared" si="149"/>
        <v>16908.778483376915</v>
      </c>
      <c r="U322" s="195">
        <f t="shared" si="149"/>
        <v>17759.134137686302</v>
      </c>
      <c r="V322" s="195">
        <f t="shared" si="149"/>
        <v>18165.565642458099</v>
      </c>
      <c r="W322" s="195">
        <f t="shared" si="149"/>
        <v>18745.548037889039</v>
      </c>
      <c r="X322" s="195">
        <f t="shared" si="149"/>
        <v>19445.107225338172</v>
      </c>
      <c r="Y322" s="195">
        <f t="shared" si="149"/>
        <v>19725.71144937128</v>
      </c>
      <c r="Z322" s="195">
        <f t="shared" si="149"/>
        <v>19612.585919252586</v>
      </c>
      <c r="AA322" s="195">
        <f t="shared" si="149"/>
        <v>19299.284731774416</v>
      </c>
      <c r="AB322" s="195">
        <f t="shared" si="149"/>
        <v>19148.113730929268</v>
      </c>
      <c r="AC322" s="195">
        <f t="shared" si="149"/>
        <v>19253.912133891215</v>
      </c>
      <c r="AD322" s="195">
        <f t="shared" si="149"/>
        <v>19713.514902363822</v>
      </c>
      <c r="AE322" s="195">
        <f t="shared" si="149"/>
        <v>20200.080971659918</v>
      </c>
      <c r="AF322" s="195">
        <f t="shared" si="149"/>
        <v>20325.072807314598</v>
      </c>
      <c r="AG322" s="195">
        <f t="shared" si="149"/>
        <v>20785.849306014541</v>
      </c>
      <c r="AH322" s="195">
        <f t="shared" si="149"/>
        <v>20860.917248255235</v>
      </c>
      <c r="AI322" s="195">
        <f t="shared" si="149"/>
        <v>20337.659574468085</v>
      </c>
      <c r="AJ322" s="195">
        <f t="shared" si="149"/>
        <v>19635.967571378216</v>
      </c>
      <c r="AK322" s="195">
        <f t="shared" si="149"/>
        <v>19095.646457268078</v>
      </c>
      <c r="AL322" s="195">
        <f t="shared" si="149"/>
        <v>18808.098617855809</v>
      </c>
      <c r="AM322" s="195">
        <f t="shared" si="149"/>
        <v>18967.197309417039</v>
      </c>
      <c r="AN322" s="195">
        <f t="shared" si="149"/>
        <v>18805.479452054795</v>
      </c>
      <c r="AO322" s="195">
        <f t="shared" si="149"/>
        <v>19505.831173639395</v>
      </c>
      <c r="AP322" s="195">
        <f t="shared" si="149"/>
        <v>20011.111111111109</v>
      </c>
      <c r="AQ322" s="195">
        <f t="shared" si="149"/>
        <v>20463.345095271699</v>
      </c>
      <c r="AR322" s="195">
        <f t="shared" si="149"/>
        <v>21002.497384025115</v>
      </c>
      <c r="AS322" s="195">
        <f t="shared" si="149"/>
        <v>21625.774647887323</v>
      </c>
      <c r="AT322" s="195">
        <f t="shared" si="149"/>
        <v>21986.442687747036</v>
      </c>
      <c r="AU322" s="195">
        <f t="shared" si="149"/>
        <v>22262.54451278731</v>
      </c>
      <c r="AV322" s="195">
        <f t="shared" si="149"/>
        <v>22887.906976744187</v>
      </c>
      <c r="AW322" s="195">
        <f t="shared" si="149"/>
        <v>24023.066903493189</v>
      </c>
      <c r="AX322" s="195">
        <f t="shared" si="149"/>
        <v>24873.293818797632</v>
      </c>
      <c r="AY322" s="195">
        <f t="shared" si="149"/>
        <v>25538.656716417911</v>
      </c>
      <c r="AZ322" s="195">
        <f t="shared" si="149"/>
        <v>26753.392767453541</v>
      </c>
      <c r="BA322" s="195">
        <f t="shared" si="149"/>
        <v>27282.796367112813</v>
      </c>
      <c r="BB322" s="195">
        <f t="shared" si="149"/>
        <v>27404.010441385857</v>
      </c>
      <c r="BC322" s="195">
        <f t="shared" si="149"/>
        <v>27195.126820103334</v>
      </c>
      <c r="BD322" s="195">
        <f t="shared" si="149"/>
        <v>26434.648893120684</v>
      </c>
      <c r="BE322" s="195">
        <f t="shared" si="149"/>
        <v>26423.300165837478</v>
      </c>
      <c r="BF322" s="195">
        <f t="shared" si="149"/>
        <v>26319.790675547098</v>
      </c>
      <c r="BG322" s="195">
        <f t="shared" si="149"/>
        <v>25532.929841897232</v>
      </c>
      <c r="BH322" s="195">
        <f t="shared" si="149"/>
        <v>25486.088280060882</v>
      </c>
      <c r="BI322" s="195">
        <f t="shared" si="149"/>
        <v>24942.468619246862</v>
      </c>
      <c r="BJ322" s="195">
        <f t="shared" si="149"/>
        <v>25430.111950013015</v>
      </c>
      <c r="BK322" s="195">
        <f t="shared" si="149"/>
        <v>25160.523193096007</v>
      </c>
      <c r="BL322" s="195">
        <f t="shared" si="149"/>
        <v>24359.0081944052</v>
      </c>
      <c r="BM322" s="195">
        <f t="shared" si="149"/>
        <v>24734.224040632052</v>
      </c>
      <c r="BN322" s="195">
        <f t="shared" si="149"/>
        <v>24919.499304589706</v>
      </c>
      <c r="BO322" s="195">
        <f t="shared" si="149"/>
        <v>25189.891031014249</v>
      </c>
      <c r="BP322" s="195">
        <f t="shared" si="149"/>
        <v>25855.444291609354</v>
      </c>
      <c r="BQ322" s="195">
        <f t="shared" si="149"/>
        <v>27123.276315789473</v>
      </c>
    </row>
    <row r="323" spans="1:69" s="105" customFormat="1">
      <c r="A323" s="105">
        <f>$A$84</f>
        <v>67</v>
      </c>
      <c r="B323" s="114"/>
      <c r="C323" s="114"/>
      <c r="D323" s="114"/>
      <c r="E323" s="114"/>
      <c r="F323" s="114"/>
      <c r="G323" s="114"/>
      <c r="H323" s="114"/>
      <c r="I323" s="114"/>
      <c r="J323" s="114"/>
      <c r="K323" s="114"/>
      <c r="L323" s="114"/>
      <c r="M323" s="195">
        <f>M$177*M$459</f>
        <v>11882.621231979028</v>
      </c>
      <c r="N323" s="195">
        <f t="shared" ref="N323:BQ323" si="150">N$177*N$459</f>
        <v>12059.267764298093</v>
      </c>
      <c r="O323" s="195">
        <f t="shared" si="150"/>
        <v>12445.983711958852</v>
      </c>
      <c r="P323" s="195">
        <f t="shared" si="150"/>
        <v>12863.599320882851</v>
      </c>
      <c r="Q323" s="195">
        <f t="shared" si="150"/>
        <v>13359.328144203195</v>
      </c>
      <c r="R323" s="195">
        <f t="shared" si="150"/>
        <v>13778.377946464241</v>
      </c>
      <c r="S323" s="195">
        <f t="shared" si="150"/>
        <v>14264.492473948283</v>
      </c>
      <c r="T323" s="195">
        <f t="shared" si="150"/>
        <v>14700.093984962406</v>
      </c>
      <c r="U323" s="195">
        <f t="shared" si="150"/>
        <v>15174.862730349756</v>
      </c>
      <c r="V323" s="195">
        <f t="shared" si="150"/>
        <v>15961.500535905679</v>
      </c>
      <c r="W323" s="195">
        <f t="shared" si="150"/>
        <v>16335.479789103691</v>
      </c>
      <c r="X323" s="195">
        <f t="shared" si="150"/>
        <v>16873.094994892748</v>
      </c>
      <c r="Y323" s="195">
        <f t="shared" si="150"/>
        <v>17499.415670650731</v>
      </c>
      <c r="Z323" s="195">
        <f t="shared" si="150"/>
        <v>17759.986684420775</v>
      </c>
      <c r="AA323" s="195">
        <f t="shared" si="150"/>
        <v>17669.154362416106</v>
      </c>
      <c r="AB323" s="195">
        <f t="shared" si="150"/>
        <v>17398.720608575379</v>
      </c>
      <c r="AC323" s="195">
        <f t="shared" si="150"/>
        <v>17257.225514116417</v>
      </c>
      <c r="AD323" s="195">
        <f t="shared" si="150"/>
        <v>17358.458304134547</v>
      </c>
      <c r="AE323" s="195">
        <f t="shared" si="150"/>
        <v>17780.870912220311</v>
      </c>
      <c r="AF323" s="195">
        <f t="shared" si="150"/>
        <v>18233.491525423728</v>
      </c>
      <c r="AG323" s="195">
        <f t="shared" si="150"/>
        <v>18344.571428571431</v>
      </c>
      <c r="AH323" s="195">
        <f t="shared" si="150"/>
        <v>18765.922974767596</v>
      </c>
      <c r="AI323" s="195">
        <f t="shared" si="150"/>
        <v>18825.238571905236</v>
      </c>
      <c r="AJ323" s="195">
        <f t="shared" si="150"/>
        <v>18372.777394900069</v>
      </c>
      <c r="AK323" s="195">
        <f t="shared" si="150"/>
        <v>17742.420382165605</v>
      </c>
      <c r="AL323" s="195">
        <f t="shared" si="150"/>
        <v>17260.454545454548</v>
      </c>
      <c r="AM323" s="195">
        <f t="shared" si="150"/>
        <v>16998.395802098952</v>
      </c>
      <c r="AN323" s="195">
        <f t="shared" si="150"/>
        <v>17144.806899137606</v>
      </c>
      <c r="AO323" s="195">
        <f t="shared" si="150"/>
        <v>16994.087786259541</v>
      </c>
      <c r="AP323" s="195">
        <f t="shared" si="150"/>
        <v>17635.558856294094</v>
      </c>
      <c r="AQ323" s="195">
        <f t="shared" si="150"/>
        <v>18097.804078659869</v>
      </c>
      <c r="AR323" s="195">
        <f t="shared" si="150"/>
        <v>18507.024062278841</v>
      </c>
      <c r="AS323" s="195">
        <f t="shared" si="150"/>
        <v>18986.726128016788</v>
      </c>
      <c r="AT323" s="195">
        <f t="shared" si="150"/>
        <v>19563.688634835242</v>
      </c>
      <c r="AU323" s="195">
        <f t="shared" si="150"/>
        <v>19894.603698811097</v>
      </c>
      <c r="AV323" s="195">
        <f t="shared" si="150"/>
        <v>20131.155094094745</v>
      </c>
      <c r="AW323" s="195">
        <f t="shared" si="150"/>
        <v>20703.668013677339</v>
      </c>
      <c r="AX323" s="195">
        <f t="shared" si="150"/>
        <v>21725.626112759644</v>
      </c>
      <c r="AY323" s="195">
        <f t="shared" si="150"/>
        <v>22502.956152758135</v>
      </c>
      <c r="AZ323" s="195">
        <f t="shared" si="150"/>
        <v>23104.301362543414</v>
      </c>
      <c r="BA323" s="195">
        <f t="shared" si="150"/>
        <v>24206.194311603325</v>
      </c>
      <c r="BB323" s="195">
        <f t="shared" si="150"/>
        <v>24689.302994011978</v>
      </c>
      <c r="BC323" s="195">
        <f t="shared" si="150"/>
        <v>24791.88302425107</v>
      </c>
      <c r="BD323" s="195">
        <f t="shared" si="150"/>
        <v>24604.914097434688</v>
      </c>
      <c r="BE323" s="195">
        <f t="shared" si="150"/>
        <v>23925.513951824472</v>
      </c>
      <c r="BF323" s="195">
        <f t="shared" si="150"/>
        <v>23917.975314502728</v>
      </c>
      <c r="BG323" s="195">
        <f t="shared" si="150"/>
        <v>23824.155349058852</v>
      </c>
      <c r="BH323" s="195">
        <f t="shared" si="150"/>
        <v>23114.654788418706</v>
      </c>
      <c r="BI323" s="195">
        <f t="shared" si="150"/>
        <v>23078.536585365855</v>
      </c>
      <c r="BJ323" s="195">
        <f t="shared" si="150"/>
        <v>22587.169416077508</v>
      </c>
      <c r="BK323" s="195">
        <f t="shared" si="150"/>
        <v>23020.901981230447</v>
      </c>
      <c r="BL323" s="195">
        <f t="shared" si="150"/>
        <v>22785.010799136067</v>
      </c>
      <c r="BM323" s="195">
        <f t="shared" si="150"/>
        <v>22071.346534653465</v>
      </c>
      <c r="BN323" s="195">
        <f t="shared" si="150"/>
        <v>22399.011578650097</v>
      </c>
      <c r="BO323" s="195">
        <f t="shared" si="150"/>
        <v>22573.990531885269</v>
      </c>
      <c r="BP323" s="195">
        <f t="shared" si="150"/>
        <v>22830.013986013986</v>
      </c>
      <c r="BQ323" s="195">
        <f t="shared" si="150"/>
        <v>23427.937207380888</v>
      </c>
    </row>
    <row r="324" spans="1:69" s="105" customFormat="1">
      <c r="A324" s="105">
        <f>$A$85</f>
        <v>68</v>
      </c>
      <c r="B324" s="114"/>
      <c r="C324" s="114"/>
      <c r="D324" s="114"/>
      <c r="E324" s="114"/>
      <c r="F324" s="114"/>
      <c r="G324" s="114"/>
      <c r="H324" s="114"/>
      <c r="I324" s="114"/>
      <c r="J324" s="114"/>
      <c r="K324" s="114"/>
      <c r="L324" s="114"/>
      <c r="M324" s="195">
        <f>M$178*M$460</f>
        <v>10328.50155624722</v>
      </c>
      <c r="N324" s="195">
        <f t="shared" ref="N324:BQ324" si="151">N$178*N$460</f>
        <v>10535.215859030837</v>
      </c>
      <c r="O324" s="195">
        <f t="shared" si="151"/>
        <v>10725.910878112712</v>
      </c>
      <c r="P324" s="195">
        <f t="shared" si="151"/>
        <v>11194.43579766537</v>
      </c>
      <c r="Q324" s="195">
        <f t="shared" si="151"/>
        <v>11449.957191780823</v>
      </c>
      <c r="R324" s="195">
        <f t="shared" si="151"/>
        <v>11912.840016535758</v>
      </c>
      <c r="S324" s="195">
        <f t="shared" si="151"/>
        <v>12308.871422813383</v>
      </c>
      <c r="T324" s="195">
        <f t="shared" si="151"/>
        <v>12770.050603347607</v>
      </c>
      <c r="U324" s="195">
        <f t="shared" si="151"/>
        <v>13169.886277482941</v>
      </c>
      <c r="V324" s="195">
        <f t="shared" si="151"/>
        <v>13607.808946171341</v>
      </c>
      <c r="W324" s="195">
        <f t="shared" si="151"/>
        <v>14318.228941684663</v>
      </c>
      <c r="X324" s="195">
        <f t="shared" si="151"/>
        <v>14675.141643059491</v>
      </c>
      <c r="Y324" s="195">
        <f t="shared" si="151"/>
        <v>15164.423868312757</v>
      </c>
      <c r="Z324" s="195">
        <f t="shared" si="151"/>
        <v>15738.953527248412</v>
      </c>
      <c r="AA324" s="195">
        <f t="shared" si="151"/>
        <v>15993.550117331544</v>
      </c>
      <c r="AB324" s="195">
        <f t="shared" si="151"/>
        <v>15919.621621621623</v>
      </c>
      <c r="AC324" s="195">
        <f t="shared" si="151"/>
        <v>15683.710407239818</v>
      </c>
      <c r="AD324" s="195">
        <f t="shared" si="151"/>
        <v>15567.875175315568</v>
      </c>
      <c r="AE324" s="195">
        <f t="shared" si="151"/>
        <v>15666.429326753612</v>
      </c>
      <c r="AF324" s="195">
        <f t="shared" si="151"/>
        <v>16052.285318559556</v>
      </c>
      <c r="AG324" s="195">
        <f t="shared" si="151"/>
        <v>16466.738241308791</v>
      </c>
      <c r="AH324" s="195">
        <f t="shared" si="151"/>
        <v>16576.39534883721</v>
      </c>
      <c r="AI324" s="195">
        <f t="shared" si="151"/>
        <v>16955.622288955619</v>
      </c>
      <c r="AJ324" s="195">
        <f t="shared" si="151"/>
        <v>17019.751844399732</v>
      </c>
      <c r="AK324" s="195">
        <f t="shared" si="151"/>
        <v>16610.983379501384</v>
      </c>
      <c r="AL324" s="195">
        <f t="shared" si="151"/>
        <v>16050.010664770709</v>
      </c>
      <c r="AM324" s="195">
        <f t="shared" si="151"/>
        <v>15621.296023564064</v>
      </c>
      <c r="AN324" s="195">
        <f t="shared" si="151"/>
        <v>15392.540459164473</v>
      </c>
      <c r="AO324" s="195">
        <f t="shared" si="151"/>
        <v>15511.087692886715</v>
      </c>
      <c r="AP324" s="195">
        <f t="shared" si="151"/>
        <v>15385.501915708812</v>
      </c>
      <c r="AQ324" s="195">
        <f t="shared" si="151"/>
        <v>15969.783824077524</v>
      </c>
      <c r="AR324" s="195">
        <f t="shared" si="151"/>
        <v>16390.087719298248</v>
      </c>
      <c r="AS324" s="195">
        <f t="shared" si="151"/>
        <v>16760.571732954548</v>
      </c>
      <c r="AT324" s="195">
        <f t="shared" si="151"/>
        <v>17206.100386100385</v>
      </c>
      <c r="AU324" s="195">
        <f t="shared" si="151"/>
        <v>17723.228744939272</v>
      </c>
      <c r="AV324" s="195">
        <f t="shared" si="151"/>
        <v>18024.00596421471</v>
      </c>
      <c r="AW324" s="195">
        <f t="shared" si="151"/>
        <v>18248.876953125</v>
      </c>
      <c r="AX324" s="195">
        <f t="shared" si="151"/>
        <v>18772.740879326473</v>
      </c>
      <c r="AY324" s="195">
        <f t="shared" si="151"/>
        <v>19694.952380952378</v>
      </c>
      <c r="AZ324" s="195">
        <f t="shared" si="151"/>
        <v>20400.629965947788</v>
      </c>
      <c r="BA324" s="195">
        <f t="shared" si="151"/>
        <v>20934.004821859093</v>
      </c>
      <c r="BB324" s="195">
        <f t="shared" si="151"/>
        <v>21940.194346289751</v>
      </c>
      <c r="BC324" s="195">
        <f t="shared" si="151"/>
        <v>22383.84726224784</v>
      </c>
      <c r="BD324" s="195">
        <f t="shared" si="151"/>
        <v>22473.420738974972</v>
      </c>
      <c r="BE324" s="195">
        <f t="shared" si="151"/>
        <v>22311.908919301557</v>
      </c>
      <c r="BF324" s="195">
        <f t="shared" si="151"/>
        <v>21697.346402103754</v>
      </c>
      <c r="BG324" s="195">
        <f t="shared" si="151"/>
        <v>21692.288296860133</v>
      </c>
      <c r="BH324" s="195">
        <f t="shared" si="151"/>
        <v>21613.030809648913</v>
      </c>
      <c r="BI324" s="195">
        <f t="shared" si="151"/>
        <v>20979.186507936505</v>
      </c>
      <c r="BJ324" s="195">
        <f t="shared" si="151"/>
        <v>20935.66446028513</v>
      </c>
      <c r="BK324" s="195">
        <f t="shared" si="151"/>
        <v>20495.550891920251</v>
      </c>
      <c r="BL324" s="195">
        <f t="shared" si="151"/>
        <v>20899.394097675635</v>
      </c>
      <c r="BM324" s="195">
        <f t="shared" si="151"/>
        <v>20683.992426291588</v>
      </c>
      <c r="BN324" s="195">
        <f t="shared" si="151"/>
        <v>20034.514026636443</v>
      </c>
      <c r="BO324" s="195">
        <f t="shared" si="151"/>
        <v>20335.683168316835</v>
      </c>
      <c r="BP324" s="195">
        <f t="shared" si="151"/>
        <v>20485.959286112658</v>
      </c>
      <c r="BQ324" s="195">
        <f t="shared" si="151"/>
        <v>20726.442577030812</v>
      </c>
    </row>
    <row r="325" spans="1:69" s="105" customFormat="1">
      <c r="A325" s="105">
        <f>$A$86</f>
        <v>69</v>
      </c>
      <c r="B325" s="114"/>
      <c r="C325" s="114"/>
      <c r="D325" s="114"/>
      <c r="E325" s="114"/>
      <c r="F325" s="114"/>
      <c r="G325" s="114"/>
      <c r="H325" s="114"/>
      <c r="I325" s="114"/>
      <c r="J325" s="114"/>
      <c r="K325" s="114"/>
      <c r="L325" s="114"/>
      <c r="M325" s="195">
        <f>M$179*M$461</f>
        <v>9051.656963725929</v>
      </c>
      <c r="N325" s="195">
        <f t="shared" ref="N325:BQ325" si="152">N$179*N$461</f>
        <v>9210.0808625336922</v>
      </c>
      <c r="O325" s="195">
        <f t="shared" si="152"/>
        <v>9398.3533600356022</v>
      </c>
      <c r="P325" s="195">
        <f t="shared" si="152"/>
        <v>9695.6158940397363</v>
      </c>
      <c r="Q325" s="195">
        <f t="shared" si="152"/>
        <v>9985.0546089995642</v>
      </c>
      <c r="R325" s="195">
        <f t="shared" si="152"/>
        <v>10212.250108178278</v>
      </c>
      <c r="S325" s="195">
        <f t="shared" si="152"/>
        <v>10640.613778705638</v>
      </c>
      <c r="T325" s="195">
        <f t="shared" si="152"/>
        <v>10997.883597883598</v>
      </c>
      <c r="U325" s="195">
        <f t="shared" si="152"/>
        <v>11407.544204322199</v>
      </c>
      <c r="V325" s="195">
        <f t="shared" si="152"/>
        <v>11775.671641791045</v>
      </c>
      <c r="W325" s="195">
        <f t="shared" si="152"/>
        <v>12166.243305279266</v>
      </c>
      <c r="X325" s="195">
        <f t="shared" si="152"/>
        <v>12805.288775880857</v>
      </c>
      <c r="Y325" s="195">
        <f t="shared" si="152"/>
        <v>13124.857142857143</v>
      </c>
      <c r="Z325" s="195">
        <f t="shared" si="152"/>
        <v>13560.829875518673</v>
      </c>
      <c r="AA325" s="195">
        <f t="shared" si="152"/>
        <v>14079.555106167845</v>
      </c>
      <c r="AB325" s="195">
        <f t="shared" si="152"/>
        <v>14308.547297297297</v>
      </c>
      <c r="AC325" s="195">
        <f t="shared" si="152"/>
        <v>14251.552076242342</v>
      </c>
      <c r="AD325" s="195">
        <f t="shared" si="152"/>
        <v>14035.625657202943</v>
      </c>
      <c r="AE325" s="195">
        <f t="shared" si="152"/>
        <v>13935.282485875707</v>
      </c>
      <c r="AF325" s="195">
        <f t="shared" si="152"/>
        <v>14031.398154719658</v>
      </c>
      <c r="AG325" s="195">
        <f t="shared" si="152"/>
        <v>14375.836236933797</v>
      </c>
      <c r="AH325" s="195">
        <f t="shared" si="152"/>
        <v>14753.090909090908</v>
      </c>
      <c r="AI325" s="195">
        <f t="shared" si="152"/>
        <v>14850.743289745355</v>
      </c>
      <c r="AJ325" s="195">
        <f t="shared" si="152"/>
        <v>15189.11043974488</v>
      </c>
      <c r="AK325" s="195">
        <f t="shared" si="152"/>
        <v>15257.273954116059</v>
      </c>
      <c r="AL325" s="195">
        <f t="shared" si="152"/>
        <v>14887.32590529248</v>
      </c>
      <c r="AM325" s="195">
        <f t="shared" si="152"/>
        <v>14389.631879914225</v>
      </c>
      <c r="AN325" s="195">
        <f t="shared" si="152"/>
        <v>14003.730569948188</v>
      </c>
      <c r="AO325" s="195">
        <f t="shared" si="152"/>
        <v>13797.711800302572</v>
      </c>
      <c r="AP325" s="195">
        <f t="shared" si="152"/>
        <v>13916.539334341905</v>
      </c>
      <c r="AQ325" s="195">
        <f t="shared" si="152"/>
        <v>13799.114703618166</v>
      </c>
      <c r="AR325" s="195">
        <f t="shared" si="152"/>
        <v>14321.512542119057</v>
      </c>
      <c r="AS325" s="195">
        <f t="shared" si="152"/>
        <v>14694.594495412844</v>
      </c>
      <c r="AT325" s="195">
        <f t="shared" si="152"/>
        <v>15042.400142653352</v>
      </c>
      <c r="AU325" s="195">
        <f t="shared" si="152"/>
        <v>15437.441860465116</v>
      </c>
      <c r="AV325" s="195">
        <f t="shared" si="152"/>
        <v>15895.216802168023</v>
      </c>
      <c r="AW325" s="195">
        <f t="shared" si="152"/>
        <v>16176.355171267043</v>
      </c>
      <c r="AX325" s="195">
        <f t="shared" si="152"/>
        <v>16367.540019601438</v>
      </c>
      <c r="AY325" s="195">
        <f t="shared" si="152"/>
        <v>16837.950563204005</v>
      </c>
      <c r="AZ325" s="195">
        <f t="shared" si="152"/>
        <v>17666.336219767094</v>
      </c>
      <c r="BA325" s="195">
        <f t="shared" si="152"/>
        <v>18305.1138952164</v>
      </c>
      <c r="BB325" s="195">
        <f t="shared" si="152"/>
        <v>18796.881720430109</v>
      </c>
      <c r="BC325" s="195">
        <f t="shared" si="152"/>
        <v>19691.820714104837</v>
      </c>
      <c r="BD325" s="195">
        <f t="shared" si="152"/>
        <v>20084.931341845338</v>
      </c>
      <c r="BE325" s="195">
        <f t="shared" si="152"/>
        <v>20176.241032998565</v>
      </c>
      <c r="BF325" s="195">
        <f t="shared" si="152"/>
        <v>20029.162328442973</v>
      </c>
      <c r="BG325" s="195">
        <f t="shared" si="152"/>
        <v>19485.164229201629</v>
      </c>
      <c r="BH325" s="195">
        <f t="shared" si="152"/>
        <v>19472.757633587786</v>
      </c>
      <c r="BI325" s="195">
        <f t="shared" si="152"/>
        <v>19412.126436781611</v>
      </c>
      <c r="BJ325" s="195">
        <f t="shared" si="152"/>
        <v>18833.495773247141</v>
      </c>
      <c r="BK325" s="195">
        <f t="shared" si="152"/>
        <v>18808.047971421282</v>
      </c>
      <c r="BL325" s="195">
        <f t="shared" si="152"/>
        <v>18414.259794898764</v>
      </c>
      <c r="BM325" s="195">
        <f t="shared" si="152"/>
        <v>18773.410102067523</v>
      </c>
      <c r="BN325" s="195">
        <f t="shared" si="152"/>
        <v>18593.624288425046</v>
      </c>
      <c r="BO325" s="195">
        <f t="shared" si="152"/>
        <v>18003.611584327085</v>
      </c>
      <c r="BP325" s="195">
        <f t="shared" si="152"/>
        <v>18278.109946160384</v>
      </c>
      <c r="BQ325" s="195">
        <f t="shared" si="152"/>
        <v>18425.616093880973</v>
      </c>
    </row>
    <row r="326" spans="1:69" s="105" customFormat="1">
      <c r="A326" s="105">
        <f>$A$87</f>
        <v>70</v>
      </c>
      <c r="B326" s="114"/>
      <c r="C326" s="114"/>
      <c r="D326" s="114"/>
      <c r="E326" s="114"/>
      <c r="F326" s="114"/>
      <c r="G326" s="114"/>
      <c r="H326" s="114"/>
      <c r="I326" s="114"/>
      <c r="J326" s="114"/>
      <c r="K326" s="114"/>
      <c r="L326" s="114"/>
      <c r="M326" s="195">
        <f>M$180*M$462</f>
        <v>7877.1454381210478</v>
      </c>
      <c r="N326" s="195">
        <f t="shared" ref="N326:BQ326" si="153">N$180*N$462</f>
        <v>7968.9800543970987</v>
      </c>
      <c r="O326" s="195">
        <f t="shared" si="153"/>
        <v>8124.2019099590716</v>
      </c>
      <c r="P326" s="195">
        <f t="shared" si="153"/>
        <v>8367.5315315315311</v>
      </c>
      <c r="Q326" s="195">
        <f t="shared" si="153"/>
        <v>8537.622877569258</v>
      </c>
      <c r="R326" s="195">
        <f t="shared" si="153"/>
        <v>8789.3899204244026</v>
      </c>
      <c r="S326" s="195">
        <f t="shared" si="153"/>
        <v>8993.4792122538292</v>
      </c>
      <c r="T326" s="195">
        <f t="shared" si="153"/>
        <v>9361.1106418918916</v>
      </c>
      <c r="U326" s="195">
        <f t="shared" si="153"/>
        <v>9669.6296296296296</v>
      </c>
      <c r="V326" s="195">
        <f t="shared" si="153"/>
        <v>10038.006354249404</v>
      </c>
      <c r="W326" s="195">
        <f t="shared" si="153"/>
        <v>10355.529775715391</v>
      </c>
      <c r="X326" s="195">
        <f t="shared" si="153"/>
        <v>10702.859350850078</v>
      </c>
      <c r="Y326" s="195">
        <f t="shared" si="153"/>
        <v>11260.652971386648</v>
      </c>
      <c r="Z326" s="195">
        <f t="shared" si="153"/>
        <v>11537.868734222862</v>
      </c>
      <c r="AA326" s="195">
        <f t="shared" si="153"/>
        <v>11920.841186736474</v>
      </c>
      <c r="AB326" s="195">
        <f t="shared" si="153"/>
        <v>12374.285714285716</v>
      </c>
      <c r="AC326" s="195">
        <f t="shared" si="153"/>
        <v>12571.806407634629</v>
      </c>
      <c r="AD326" s="195">
        <f t="shared" si="153"/>
        <v>12512.221077926537</v>
      </c>
      <c r="AE326" s="195">
        <f t="shared" si="153"/>
        <v>12335.50724637681</v>
      </c>
      <c r="AF326" s="195">
        <f t="shared" si="153"/>
        <v>12240.427198291207</v>
      </c>
      <c r="AG326" s="195">
        <f t="shared" si="153"/>
        <v>12323.068669527896</v>
      </c>
      <c r="AH326" s="195">
        <f t="shared" si="153"/>
        <v>12627.162921348314</v>
      </c>
      <c r="AI326" s="195">
        <f t="shared" si="153"/>
        <v>12946.026261230132</v>
      </c>
      <c r="AJ326" s="195">
        <f t="shared" si="153"/>
        <v>13037.318087318088</v>
      </c>
      <c r="AK326" s="195">
        <f t="shared" si="153"/>
        <v>13334.275092936803</v>
      </c>
      <c r="AL326" s="195">
        <f t="shared" si="153"/>
        <v>13395.78947368421</v>
      </c>
      <c r="AM326" s="195">
        <f t="shared" si="153"/>
        <v>13074.187105816398</v>
      </c>
      <c r="AN326" s="195">
        <f t="shared" si="153"/>
        <v>12635.533980582524</v>
      </c>
      <c r="AO326" s="195">
        <f t="shared" si="153"/>
        <v>12291.861504095308</v>
      </c>
      <c r="AP326" s="195">
        <f t="shared" si="153"/>
        <v>12118.779003423355</v>
      </c>
      <c r="AQ326" s="195">
        <f t="shared" si="153"/>
        <v>12215.269961977187</v>
      </c>
      <c r="AR326" s="195">
        <f t="shared" si="153"/>
        <v>12127.252321981423</v>
      </c>
      <c r="AS326" s="195">
        <f t="shared" si="153"/>
        <v>12576.681715575622</v>
      </c>
      <c r="AT326" s="195">
        <f t="shared" si="153"/>
        <v>12912.725931390631</v>
      </c>
      <c r="AU326" s="195">
        <f t="shared" si="153"/>
        <v>13211.810035842294</v>
      </c>
      <c r="AV326" s="195">
        <f t="shared" si="153"/>
        <v>13560.835694050993</v>
      </c>
      <c r="AW326" s="195">
        <f t="shared" si="153"/>
        <v>13970.432119768629</v>
      </c>
      <c r="AX326" s="195">
        <f t="shared" si="153"/>
        <v>14206.339345357381</v>
      </c>
      <c r="AY326" s="195">
        <f t="shared" si="153"/>
        <v>14386.437007874016</v>
      </c>
      <c r="AZ326" s="195">
        <f t="shared" si="153"/>
        <v>14793.513513513515</v>
      </c>
      <c r="BA326" s="195">
        <f t="shared" si="153"/>
        <v>15522.578710644677</v>
      </c>
      <c r="BB326" s="195">
        <f t="shared" si="153"/>
        <v>16085.897655803316</v>
      </c>
      <c r="BC326" s="195">
        <f t="shared" si="153"/>
        <v>16518.772261198057</v>
      </c>
      <c r="BD326" s="195">
        <f t="shared" si="153"/>
        <v>17309.867819013729</v>
      </c>
      <c r="BE326" s="195">
        <f t="shared" si="153"/>
        <v>17652.101063829785</v>
      </c>
      <c r="BF326" s="195">
        <f t="shared" si="153"/>
        <v>17744.427645788339</v>
      </c>
      <c r="BG326" s="195">
        <f t="shared" si="153"/>
        <v>17614.253146521016</v>
      </c>
      <c r="BH326" s="195">
        <f t="shared" si="153"/>
        <v>17132.254029348089</v>
      </c>
      <c r="BI326" s="195">
        <f t="shared" si="153"/>
        <v>17128.193347690834</v>
      </c>
      <c r="BJ326" s="195">
        <f t="shared" si="153"/>
        <v>17071.2130674994</v>
      </c>
      <c r="BK326" s="195">
        <f t="shared" si="153"/>
        <v>16571.197007481296</v>
      </c>
      <c r="BL326" s="195">
        <f t="shared" si="153"/>
        <v>16546.530194472878</v>
      </c>
      <c r="BM326" s="195">
        <f t="shared" si="153"/>
        <v>16206.606012658227</v>
      </c>
      <c r="BN326" s="195">
        <f t="shared" si="153"/>
        <v>16520.288638152717</v>
      </c>
      <c r="BO326" s="195">
        <f t="shared" si="153"/>
        <v>16356.934782608696</v>
      </c>
      <c r="BP326" s="195">
        <f t="shared" si="153"/>
        <v>15840.182128628343</v>
      </c>
      <c r="BQ326" s="195">
        <f t="shared" si="153"/>
        <v>16091.014204545454</v>
      </c>
    </row>
    <row r="327" spans="1:69" s="105" customFormat="1">
      <c r="A327" s="105">
        <f>$A$88</f>
        <v>71</v>
      </c>
      <c r="B327" s="114"/>
      <c r="C327" s="114"/>
      <c r="D327" s="114"/>
      <c r="E327" s="114"/>
      <c r="F327" s="114"/>
      <c r="G327" s="114"/>
      <c r="H327" s="114"/>
      <c r="I327" s="114"/>
      <c r="J327" s="114"/>
      <c r="K327" s="114"/>
      <c r="L327" s="114"/>
      <c r="M327" s="195">
        <f>M$181*M$463</f>
        <v>5788.6750272628142</v>
      </c>
      <c r="N327" s="195">
        <f t="shared" ref="N327:BQ327" si="154">N$181*N$463</f>
        <v>6911.1314704535043</v>
      </c>
      <c r="O327" s="195">
        <f t="shared" si="154"/>
        <v>7031.6551724137935</v>
      </c>
      <c r="P327" s="195">
        <f t="shared" si="154"/>
        <v>7206.6390041493769</v>
      </c>
      <c r="Q327" s="195">
        <f t="shared" si="154"/>
        <v>7349.9178082191784</v>
      </c>
      <c r="R327" s="195">
        <f t="shared" si="154"/>
        <v>7499.796195652174</v>
      </c>
      <c r="S327" s="195">
        <f t="shared" si="154"/>
        <v>7718.1093189964158</v>
      </c>
      <c r="T327" s="195">
        <f t="shared" si="154"/>
        <v>7902.9179600886919</v>
      </c>
      <c r="U327" s="195">
        <f t="shared" si="154"/>
        <v>8221.5134672937147</v>
      </c>
      <c r="V327" s="195">
        <f t="shared" si="154"/>
        <v>8504.7333333333336</v>
      </c>
      <c r="W327" s="195">
        <f t="shared" si="154"/>
        <v>8817.2668810289397</v>
      </c>
      <c r="X327" s="195">
        <f t="shared" si="154"/>
        <v>9094.6890887759091</v>
      </c>
      <c r="Y327" s="195">
        <f t="shared" si="154"/>
        <v>9392.3094958968341</v>
      </c>
      <c r="Z327" s="195">
        <f t="shared" si="154"/>
        <v>9884.3789395624772</v>
      </c>
      <c r="AA327" s="195">
        <f t="shared" si="154"/>
        <v>10129.548104956268</v>
      </c>
      <c r="AB327" s="195">
        <f t="shared" si="154"/>
        <v>10468.73060648801</v>
      </c>
      <c r="AC327" s="195">
        <f t="shared" si="154"/>
        <v>10862.696667811748</v>
      </c>
      <c r="AD327" s="195">
        <f t="shared" si="154"/>
        <v>11033.998623537509</v>
      </c>
      <c r="AE327" s="195">
        <f t="shared" si="154"/>
        <v>10990.25641025641</v>
      </c>
      <c r="AF327" s="195">
        <f t="shared" si="154"/>
        <v>10825.577746077033</v>
      </c>
      <c r="AG327" s="195">
        <f t="shared" si="154"/>
        <v>10745.508078994613</v>
      </c>
      <c r="AH327" s="195">
        <f t="shared" si="154"/>
        <v>10826.85064935065</v>
      </c>
      <c r="AI327" s="195">
        <f t="shared" si="154"/>
        <v>11085.302654867257</v>
      </c>
      <c r="AJ327" s="195">
        <f t="shared" si="154"/>
        <v>11373.19749216301</v>
      </c>
      <c r="AK327" s="195">
        <f t="shared" si="154"/>
        <v>11454.152986377925</v>
      </c>
      <c r="AL327" s="195">
        <f t="shared" si="154"/>
        <v>11714.632152588556</v>
      </c>
      <c r="AM327" s="195">
        <f t="shared" si="154"/>
        <v>11761.546356483066</v>
      </c>
      <c r="AN327" s="195">
        <f t="shared" si="154"/>
        <v>11484.453069865915</v>
      </c>
      <c r="AO327" s="195">
        <f t="shared" si="154"/>
        <v>11096.002896451846</v>
      </c>
      <c r="AP327" s="195">
        <f t="shared" si="154"/>
        <v>10806.577961019491</v>
      </c>
      <c r="AQ327" s="195">
        <f t="shared" si="154"/>
        <v>10646.370597243493</v>
      </c>
      <c r="AR327" s="195">
        <f t="shared" si="154"/>
        <v>10733.107539226941</v>
      </c>
      <c r="AS327" s="195">
        <f t="shared" si="154"/>
        <v>10658.060747663551</v>
      </c>
      <c r="AT327" s="195">
        <f t="shared" si="154"/>
        <v>11059.538228614687</v>
      </c>
      <c r="AU327" s="195">
        <f t="shared" si="154"/>
        <v>11346.353857566764</v>
      </c>
      <c r="AV327" s="195">
        <f t="shared" si="154"/>
        <v>11615.027027027027</v>
      </c>
      <c r="AW327" s="195">
        <f t="shared" si="154"/>
        <v>11921.057315770737</v>
      </c>
      <c r="AX327" s="195">
        <f t="shared" si="154"/>
        <v>12281.053711939789</v>
      </c>
      <c r="AY327" s="195">
        <f t="shared" si="154"/>
        <v>12498.126259234385</v>
      </c>
      <c r="AZ327" s="195">
        <f t="shared" si="154"/>
        <v>12654.421364985163</v>
      </c>
      <c r="BA327" s="195">
        <f t="shared" si="154"/>
        <v>13010.928323334385</v>
      </c>
      <c r="BB327" s="195">
        <f t="shared" si="154"/>
        <v>13654.843373493975</v>
      </c>
      <c r="BC327" s="195">
        <f t="shared" si="154"/>
        <v>14144.306632213607</v>
      </c>
      <c r="BD327" s="195">
        <f t="shared" si="154"/>
        <v>14534.800759013282</v>
      </c>
      <c r="BE327" s="195">
        <f t="shared" si="154"/>
        <v>15228.424814909369</v>
      </c>
      <c r="BF327" s="195">
        <f t="shared" si="154"/>
        <v>15534.754735308401</v>
      </c>
      <c r="BG327" s="195">
        <f t="shared" si="154"/>
        <v>15608.819277108434</v>
      </c>
      <c r="BH327" s="195">
        <f t="shared" si="154"/>
        <v>15505.029797377831</v>
      </c>
      <c r="BI327" s="195">
        <f t="shared" si="154"/>
        <v>15084.356435643565</v>
      </c>
      <c r="BJ327" s="195">
        <f t="shared" si="154"/>
        <v>15085.899591640644</v>
      </c>
      <c r="BK327" s="195">
        <f t="shared" si="154"/>
        <v>15033.702989392479</v>
      </c>
      <c r="BL327" s="195">
        <f t="shared" si="154"/>
        <v>14599.239239239239</v>
      </c>
      <c r="BM327" s="195">
        <f t="shared" si="154"/>
        <v>14577.353016688063</v>
      </c>
      <c r="BN327" s="195">
        <f t="shared" si="154"/>
        <v>14279.166666666668</v>
      </c>
      <c r="BO327" s="195">
        <f t="shared" si="154"/>
        <v>14556.167412476967</v>
      </c>
      <c r="BP327" s="195">
        <f t="shared" si="154"/>
        <v>14412.553829381302</v>
      </c>
      <c r="BQ327" s="195">
        <f t="shared" si="154"/>
        <v>13962.753995433792</v>
      </c>
    </row>
    <row r="328" spans="1:69" s="105" customFormat="1">
      <c r="A328" s="105">
        <f>$A$89</f>
        <v>72</v>
      </c>
      <c r="B328" s="114"/>
      <c r="C328" s="114"/>
      <c r="D328" s="114"/>
      <c r="E328" s="114"/>
      <c r="F328" s="114"/>
      <c r="G328" s="114"/>
      <c r="H328" s="114"/>
      <c r="I328" s="114"/>
      <c r="J328" s="114"/>
      <c r="K328" s="114"/>
      <c r="L328" s="114"/>
      <c r="M328" s="195">
        <f>M$182*M$464</f>
        <v>4731.0029325513196</v>
      </c>
      <c r="N328" s="195">
        <f t="shared" ref="N328:BQ328" si="155">N$182*N$464</f>
        <v>5108.5429362880886</v>
      </c>
      <c r="O328" s="195">
        <f t="shared" si="155"/>
        <v>6096.5828677839845</v>
      </c>
      <c r="P328" s="195">
        <f t="shared" si="155"/>
        <v>6283.4750116767864</v>
      </c>
      <c r="Q328" s="195">
        <f t="shared" si="155"/>
        <v>6364.0327868852464</v>
      </c>
      <c r="R328" s="195">
        <f t="shared" si="155"/>
        <v>6498.8311688311687</v>
      </c>
      <c r="S328" s="195">
        <f t="shared" si="155"/>
        <v>6631.6551724137926</v>
      </c>
      <c r="T328" s="195">
        <f t="shared" si="155"/>
        <v>6834.0154615734427</v>
      </c>
      <c r="U328" s="195">
        <f t="shared" si="155"/>
        <v>6993.0724246513719</v>
      </c>
      <c r="V328" s="195">
        <f t="shared" si="155"/>
        <v>7285.7632263660016</v>
      </c>
      <c r="W328" s="195">
        <f t="shared" si="155"/>
        <v>7536.3597972972975</v>
      </c>
      <c r="X328" s="195">
        <f t="shared" si="155"/>
        <v>7815.5252442996734</v>
      </c>
      <c r="Y328" s="195">
        <f t="shared" si="155"/>
        <v>8069.2749603803486</v>
      </c>
      <c r="Z328" s="195">
        <f t="shared" si="155"/>
        <v>8336.7075583696078</v>
      </c>
      <c r="AA328" s="195">
        <f t="shared" si="155"/>
        <v>8775.3658536585372</v>
      </c>
      <c r="AB328" s="195">
        <f t="shared" si="155"/>
        <v>8985.5641592920347</v>
      </c>
      <c r="AC328" s="195">
        <f t="shared" si="155"/>
        <v>9289.7218259629099</v>
      </c>
      <c r="AD328" s="195">
        <f t="shared" si="155"/>
        <v>9652.9767280305659</v>
      </c>
      <c r="AE328" s="195">
        <f t="shared" si="155"/>
        <v>9803.2556521739116</v>
      </c>
      <c r="AF328" s="195">
        <f t="shared" si="155"/>
        <v>9767.5350140056016</v>
      </c>
      <c r="AG328" s="195">
        <f t="shared" si="155"/>
        <v>9622.1613832853036</v>
      </c>
      <c r="AH328" s="195">
        <f t="shared" si="155"/>
        <v>9559.5683714182087</v>
      </c>
      <c r="AI328" s="195">
        <f t="shared" si="155"/>
        <v>9628.084486525855</v>
      </c>
      <c r="AJ328" s="195">
        <f t="shared" si="155"/>
        <v>9859.3354769560556</v>
      </c>
      <c r="AK328" s="195">
        <f t="shared" si="155"/>
        <v>10118.383128295254</v>
      </c>
      <c r="AL328" s="195">
        <f t="shared" si="155"/>
        <v>10187.404015498416</v>
      </c>
      <c r="AM328" s="195">
        <f t="shared" si="155"/>
        <v>10420.76923076923</v>
      </c>
      <c r="AN328" s="195">
        <f t="shared" si="155"/>
        <v>10470.103448275862</v>
      </c>
      <c r="AO328" s="195">
        <f t="shared" si="155"/>
        <v>10221.949484169334</v>
      </c>
      <c r="AP328" s="195">
        <f t="shared" si="155"/>
        <v>9872.7836556001457</v>
      </c>
      <c r="AQ328" s="195">
        <f t="shared" si="155"/>
        <v>9621.5779539448849</v>
      </c>
      <c r="AR328" s="195">
        <f t="shared" si="155"/>
        <v>9486.9263401465487</v>
      </c>
      <c r="AS328" s="195">
        <f t="shared" si="155"/>
        <v>9565.8034682080925</v>
      </c>
      <c r="AT328" s="195">
        <f t="shared" si="155"/>
        <v>9487.9968639749113</v>
      </c>
      <c r="AU328" s="195">
        <f t="shared" si="155"/>
        <v>9848.1219047619052</v>
      </c>
      <c r="AV328" s="195">
        <f t="shared" si="155"/>
        <v>10107.27883538634</v>
      </c>
      <c r="AW328" s="195">
        <f t="shared" si="155"/>
        <v>10350.22480058013</v>
      </c>
      <c r="AX328" s="195">
        <f t="shared" si="155"/>
        <v>10625.383237822351</v>
      </c>
      <c r="AY328" s="195">
        <f t="shared" si="155"/>
        <v>10953.819683413627</v>
      </c>
      <c r="AZ328" s="195">
        <f t="shared" si="155"/>
        <v>11140.108035111411</v>
      </c>
      <c r="BA328" s="195">
        <f t="shared" si="155"/>
        <v>11282.244694960213</v>
      </c>
      <c r="BB328" s="195">
        <f t="shared" si="155"/>
        <v>11604.333333333334</v>
      </c>
      <c r="BC328" s="195">
        <f t="shared" si="155"/>
        <v>12175.748031496063</v>
      </c>
      <c r="BD328" s="195">
        <f t="shared" si="155"/>
        <v>12625.731601731602</v>
      </c>
      <c r="BE328" s="195">
        <f t="shared" si="155"/>
        <v>12967.02533369654</v>
      </c>
      <c r="BF328" s="195">
        <f t="shared" si="155"/>
        <v>13588.486403283736</v>
      </c>
      <c r="BG328" s="195">
        <f t="shared" si="155"/>
        <v>13861.644303488656</v>
      </c>
      <c r="BH328" s="195">
        <f t="shared" si="155"/>
        <v>13933.756959573951</v>
      </c>
      <c r="BI328" s="195">
        <f t="shared" si="155"/>
        <v>13838.659003831417</v>
      </c>
      <c r="BJ328" s="195">
        <f t="shared" si="155"/>
        <v>13472.444821731748</v>
      </c>
      <c r="BK328" s="195">
        <f t="shared" si="155"/>
        <v>13463.704775687409</v>
      </c>
      <c r="BL328" s="195">
        <f t="shared" si="155"/>
        <v>13426.679574056148</v>
      </c>
      <c r="BM328" s="195">
        <f t="shared" si="155"/>
        <v>13041.065059030394</v>
      </c>
      <c r="BN328" s="195">
        <f t="shared" si="155"/>
        <v>13018.5206185567</v>
      </c>
      <c r="BO328" s="195">
        <f t="shared" si="155"/>
        <v>12752.58295726042</v>
      </c>
      <c r="BP328" s="195">
        <f t="shared" si="155"/>
        <v>12998.668779714739</v>
      </c>
      <c r="BQ328" s="195">
        <f t="shared" si="155"/>
        <v>12879.081214109925</v>
      </c>
    </row>
    <row r="329" spans="1:69" s="105" customFormat="1">
      <c r="A329" s="105">
        <f>$A$90</f>
        <v>73</v>
      </c>
      <c r="B329" s="114"/>
      <c r="C329" s="114"/>
      <c r="D329" s="114"/>
      <c r="E329" s="114"/>
      <c r="F329" s="114"/>
      <c r="G329" s="114"/>
      <c r="H329" s="114"/>
      <c r="I329" s="114"/>
      <c r="J329" s="114"/>
      <c r="K329" s="114"/>
      <c r="L329" s="114"/>
      <c r="M329" s="195">
        <f>M$183*M$465</f>
        <v>3950.2796768178991</v>
      </c>
      <c r="N329" s="195">
        <f t="shared" ref="N329:BQ329" si="156">N$183*N$465</f>
        <v>4169.0800477897255</v>
      </c>
      <c r="O329" s="195">
        <f t="shared" si="156"/>
        <v>4510.6828442437918</v>
      </c>
      <c r="P329" s="195">
        <f t="shared" si="156"/>
        <v>5444.0967283072541</v>
      </c>
      <c r="Q329" s="195">
        <f t="shared" si="156"/>
        <v>5555.4446029481696</v>
      </c>
      <c r="R329" s="195">
        <f t="shared" si="156"/>
        <v>5631.1487130600581</v>
      </c>
      <c r="S329" s="195">
        <f t="shared" si="156"/>
        <v>5757.2264150943402</v>
      </c>
      <c r="T329" s="195">
        <f t="shared" si="156"/>
        <v>5882.3702664796638</v>
      </c>
      <c r="U329" s="195">
        <f t="shared" si="156"/>
        <v>6056.746765249537</v>
      </c>
      <c r="V329" s="195">
        <f t="shared" si="156"/>
        <v>6203.8236637734135</v>
      </c>
      <c r="W329" s="195">
        <f t="shared" si="156"/>
        <v>6467.1522887323945</v>
      </c>
      <c r="X329" s="195">
        <f t="shared" si="156"/>
        <v>6691.3844834976426</v>
      </c>
      <c r="Y329" s="195">
        <f t="shared" si="156"/>
        <v>6936.3899215200327</v>
      </c>
      <c r="Z329" s="195">
        <f t="shared" si="156"/>
        <v>7172.494977902772</v>
      </c>
      <c r="AA329" s="195">
        <f t="shared" si="156"/>
        <v>7413.9590854392291</v>
      </c>
      <c r="AB329" s="195">
        <f t="shared" si="156"/>
        <v>7798.3574144486693</v>
      </c>
      <c r="AC329" s="195">
        <f t="shared" si="156"/>
        <v>7994.5294996265866</v>
      </c>
      <c r="AD329" s="195">
        <f t="shared" si="156"/>
        <v>8265.9660527266151</v>
      </c>
      <c r="AE329" s="195">
        <f t="shared" si="156"/>
        <v>8589.9859353023912</v>
      </c>
      <c r="AF329" s="195">
        <f t="shared" si="156"/>
        <v>8724.5512143611395</v>
      </c>
      <c r="AG329" s="195">
        <f t="shared" si="156"/>
        <v>8690.0885269121809</v>
      </c>
      <c r="AH329" s="195">
        <f t="shared" si="156"/>
        <v>8565.5081967213118</v>
      </c>
      <c r="AI329" s="195">
        <f t="shared" si="156"/>
        <v>8516.0190615835782</v>
      </c>
      <c r="AJ329" s="195">
        <f t="shared" si="156"/>
        <v>8576.8089804931915</v>
      </c>
      <c r="AK329" s="195">
        <f t="shared" si="156"/>
        <v>8784.9494584837557</v>
      </c>
      <c r="AL329" s="195">
        <f t="shared" si="156"/>
        <v>9023.3865814696474</v>
      </c>
      <c r="AM329" s="195">
        <f t="shared" si="156"/>
        <v>9085.6776947705439</v>
      </c>
      <c r="AN329" s="195">
        <f t="shared" si="156"/>
        <v>9298.6065857885606</v>
      </c>
      <c r="AO329" s="195">
        <f t="shared" si="156"/>
        <v>9344.1698572920286</v>
      </c>
      <c r="AP329" s="195">
        <f t="shared" si="156"/>
        <v>9118.4068891280949</v>
      </c>
      <c r="AQ329" s="195">
        <f t="shared" si="156"/>
        <v>8814.1280353200891</v>
      </c>
      <c r="AR329" s="195">
        <f t="shared" si="156"/>
        <v>8577.4647887323954</v>
      </c>
      <c r="AS329" s="195">
        <f t="shared" si="156"/>
        <v>8458.0800621842209</v>
      </c>
      <c r="AT329" s="195">
        <f t="shared" si="156"/>
        <v>8540.9242718446603</v>
      </c>
      <c r="AU329" s="195">
        <f t="shared" si="156"/>
        <v>8476.2638230647717</v>
      </c>
      <c r="AV329" s="195">
        <f t="shared" si="156"/>
        <v>8793.1235610130461</v>
      </c>
      <c r="AW329" s="195">
        <f t="shared" si="156"/>
        <v>9025.375939849624</v>
      </c>
      <c r="AX329" s="195">
        <f t="shared" si="156"/>
        <v>9241.6940489229637</v>
      </c>
      <c r="AY329" s="195">
        <f t="shared" si="156"/>
        <v>9488.3813987022349</v>
      </c>
      <c r="AZ329" s="195">
        <f t="shared" si="156"/>
        <v>9780.6544321329638</v>
      </c>
      <c r="BA329" s="195">
        <f t="shared" si="156"/>
        <v>9950.5810397553505</v>
      </c>
      <c r="BB329" s="195">
        <f t="shared" si="156"/>
        <v>10080.397063730397</v>
      </c>
      <c r="BC329" s="195">
        <f t="shared" si="156"/>
        <v>10369.968071519796</v>
      </c>
      <c r="BD329" s="195">
        <f t="shared" si="156"/>
        <v>10886.628084069449</v>
      </c>
      <c r="BE329" s="195">
        <f t="shared" si="156"/>
        <v>11291.355587808419</v>
      </c>
      <c r="BF329" s="195">
        <f t="shared" si="156"/>
        <v>11598.69898657902</v>
      </c>
      <c r="BG329" s="195">
        <f t="shared" si="156"/>
        <v>12155.674490585503</v>
      </c>
      <c r="BH329" s="195">
        <f t="shared" si="156"/>
        <v>12399.698381559589</v>
      </c>
      <c r="BI329" s="195">
        <f t="shared" si="156"/>
        <v>12465.508515815085</v>
      </c>
      <c r="BJ329" s="195">
        <f t="shared" si="156"/>
        <v>12385.293551491821</v>
      </c>
      <c r="BK329" s="195">
        <f t="shared" si="156"/>
        <v>12047.880116959064</v>
      </c>
      <c r="BL329" s="195">
        <f t="shared" si="156"/>
        <v>12059.018657620547</v>
      </c>
      <c r="BM329" s="195">
        <f t="shared" si="156"/>
        <v>12015.623632385121</v>
      </c>
      <c r="BN329" s="195">
        <f t="shared" si="156"/>
        <v>11673.541876892028</v>
      </c>
      <c r="BO329" s="195">
        <f t="shared" si="156"/>
        <v>11658.775879917184</v>
      </c>
      <c r="BP329" s="195">
        <f t="shared" si="156"/>
        <v>11423.75366568915</v>
      </c>
      <c r="BQ329" s="195">
        <f t="shared" si="156"/>
        <v>11648.517634579686</v>
      </c>
    </row>
    <row r="330" spans="1:69" s="105" customFormat="1">
      <c r="A330" s="105">
        <f>$A$91</f>
        <v>74</v>
      </c>
      <c r="B330" s="114"/>
      <c r="C330" s="114"/>
      <c r="D330" s="114"/>
      <c r="E330" s="114"/>
      <c r="F330" s="114"/>
      <c r="G330" s="114"/>
      <c r="H330" s="114"/>
      <c r="I330" s="114"/>
      <c r="J330" s="114"/>
      <c r="K330" s="114"/>
      <c r="L330" s="114"/>
      <c r="M330" s="195">
        <f>M$184*M$466</f>
        <v>3012.7781765972718</v>
      </c>
      <c r="N330" s="195">
        <f t="shared" ref="N330:BQ330" si="157">N$184*N$466</f>
        <v>3466.3959390862947</v>
      </c>
      <c r="O330" s="195">
        <f t="shared" si="157"/>
        <v>3673.8658536585367</v>
      </c>
      <c r="P330" s="195">
        <f t="shared" si="157"/>
        <v>4002.158894645941</v>
      </c>
      <c r="Q330" s="195">
        <f t="shared" si="157"/>
        <v>4789.8935655539426</v>
      </c>
      <c r="R330" s="195">
        <f t="shared" si="157"/>
        <v>4886.9641125121243</v>
      </c>
      <c r="S330" s="195">
        <f t="shared" si="157"/>
        <v>4963.3284742468413</v>
      </c>
      <c r="T330" s="195">
        <f t="shared" si="157"/>
        <v>5073.1490384615381</v>
      </c>
      <c r="U330" s="195">
        <f t="shared" si="157"/>
        <v>5185.2</v>
      </c>
      <c r="V330" s="195">
        <f t="shared" si="157"/>
        <v>5352.5164628410157</v>
      </c>
      <c r="W330" s="195">
        <f t="shared" si="157"/>
        <v>5485.2509293680296</v>
      </c>
      <c r="X330" s="195">
        <f t="shared" si="157"/>
        <v>5714.6105640107426</v>
      </c>
      <c r="Y330" s="195">
        <f t="shared" si="157"/>
        <v>5914.1289198606264</v>
      </c>
      <c r="Z330" s="195">
        <f t="shared" si="157"/>
        <v>6134.427192614352</v>
      </c>
      <c r="AA330" s="195">
        <f t="shared" si="157"/>
        <v>6342.7825377396985</v>
      </c>
      <c r="AB330" s="195">
        <f t="shared" si="157"/>
        <v>6556.0627035830621</v>
      </c>
      <c r="AC330" s="195">
        <f t="shared" si="157"/>
        <v>6903.2908950617284</v>
      </c>
      <c r="AD330" s="195">
        <f t="shared" si="157"/>
        <v>7078.7196969696961</v>
      </c>
      <c r="AE330" s="195">
        <f t="shared" si="157"/>
        <v>7321.186378615892</v>
      </c>
      <c r="AF330" s="195">
        <f t="shared" si="157"/>
        <v>7607.0039187744924</v>
      </c>
      <c r="AG330" s="195">
        <f t="shared" si="157"/>
        <v>7727.3440285204988</v>
      </c>
      <c r="AH330" s="195">
        <f t="shared" si="157"/>
        <v>7707.0624103299851</v>
      </c>
      <c r="AI330" s="195">
        <f t="shared" si="157"/>
        <v>7591.0029498525082</v>
      </c>
      <c r="AJ330" s="195">
        <f t="shared" si="157"/>
        <v>7544.243323442136</v>
      </c>
      <c r="AK330" s="195">
        <f t="shared" si="157"/>
        <v>7608.0491437081164</v>
      </c>
      <c r="AL330" s="195">
        <f t="shared" si="157"/>
        <v>7793.2603139832063</v>
      </c>
      <c r="AM330" s="195">
        <f t="shared" si="157"/>
        <v>8001.7940437746684</v>
      </c>
      <c r="AN330" s="195">
        <f t="shared" si="157"/>
        <v>8057.6383896477355</v>
      </c>
      <c r="AO330" s="195">
        <f t="shared" si="157"/>
        <v>8243.1173380035016</v>
      </c>
      <c r="AP330" s="195">
        <f t="shared" si="157"/>
        <v>8289.3532513181017</v>
      </c>
      <c r="AQ330" s="195">
        <f t="shared" si="157"/>
        <v>8090.18115942029</v>
      </c>
      <c r="AR330" s="195">
        <f t="shared" si="157"/>
        <v>7821.7682020802376</v>
      </c>
      <c r="AS330" s="195">
        <f t="shared" si="157"/>
        <v>7621.0526315789475</v>
      </c>
      <c r="AT330" s="195">
        <f t="shared" si="157"/>
        <v>7517.6470588235297</v>
      </c>
      <c r="AU330" s="195">
        <f t="shared" si="157"/>
        <v>7580.6580493537022</v>
      </c>
      <c r="AV330" s="195">
        <f t="shared" si="157"/>
        <v>7529.6694544006368</v>
      </c>
      <c r="AW330" s="195">
        <f t="shared" si="157"/>
        <v>7818.038684719535</v>
      </c>
      <c r="AX330" s="195">
        <f t="shared" si="157"/>
        <v>8023.7665782493359</v>
      </c>
      <c r="AY330" s="195">
        <f t="shared" si="157"/>
        <v>8221.1037527593817</v>
      </c>
      <c r="AZ330" s="195">
        <f t="shared" si="157"/>
        <v>8444.1954231747186</v>
      </c>
      <c r="BA330" s="195">
        <f t="shared" si="157"/>
        <v>8702.877572375306</v>
      </c>
      <c r="BB330" s="195">
        <f t="shared" si="157"/>
        <v>8852.5667351129359</v>
      </c>
      <c r="BC330" s="195">
        <f t="shared" si="157"/>
        <v>8973.9737991266375</v>
      </c>
      <c r="BD330" s="195">
        <f t="shared" si="157"/>
        <v>9229.1096110575381</v>
      </c>
      <c r="BE330" s="195">
        <f t="shared" si="157"/>
        <v>9688.1023911710618</v>
      </c>
      <c r="BF330" s="195">
        <f t="shared" si="157"/>
        <v>10050.735981308411</v>
      </c>
      <c r="BG330" s="195">
        <f t="shared" si="157"/>
        <v>10324.414439239459</v>
      </c>
      <c r="BH330" s="195">
        <f t="shared" si="157"/>
        <v>10823.095485210171</v>
      </c>
      <c r="BI330" s="195">
        <f t="shared" si="157"/>
        <v>11050.522940305871</v>
      </c>
      <c r="BJ330" s="195">
        <f t="shared" si="157"/>
        <v>11107.046733545389</v>
      </c>
      <c r="BK330" s="195">
        <f t="shared" si="157"/>
        <v>11033.002661504961</v>
      </c>
      <c r="BL330" s="195">
        <f t="shared" si="157"/>
        <v>10735.32582067614</v>
      </c>
      <c r="BM330" s="195">
        <f t="shared" si="157"/>
        <v>10743.520097442144</v>
      </c>
      <c r="BN330" s="195">
        <f t="shared" si="157"/>
        <v>10706.723674566334</v>
      </c>
      <c r="BO330" s="195">
        <f t="shared" si="157"/>
        <v>10408.088235294117</v>
      </c>
      <c r="BP330" s="195">
        <f t="shared" si="157"/>
        <v>10390.936037441499</v>
      </c>
      <c r="BQ330" s="195">
        <f t="shared" si="157"/>
        <v>10184.193893947509</v>
      </c>
    </row>
    <row r="331" spans="1:69" s="105" customFormat="1">
      <c r="A331" s="105">
        <f>$A$92</f>
        <v>75</v>
      </c>
      <c r="B331" s="114"/>
      <c r="C331" s="114"/>
      <c r="D331" s="114"/>
      <c r="E331" s="114"/>
      <c r="F331" s="114"/>
      <c r="G331" s="114"/>
      <c r="H331" s="114"/>
      <c r="I331" s="114"/>
      <c r="J331" s="114"/>
      <c r="K331" s="114"/>
      <c r="L331" s="114"/>
      <c r="M331" s="195">
        <f>M$185*M$467</f>
        <v>2853.3689126084055</v>
      </c>
      <c r="N331" s="195">
        <f t="shared" ref="N331:BQ331" si="158">N$185*N$467</f>
        <v>2630.7352941176468</v>
      </c>
      <c r="O331" s="195">
        <f t="shared" si="158"/>
        <v>3051.6569200779727</v>
      </c>
      <c r="P331" s="195">
        <f t="shared" si="158"/>
        <v>3251.0043668122271</v>
      </c>
      <c r="Q331" s="195">
        <f t="shared" si="158"/>
        <v>3516.5488810365132</v>
      </c>
      <c r="R331" s="195">
        <f t="shared" si="158"/>
        <v>4217.0623145400596</v>
      </c>
      <c r="S331" s="195">
        <f t="shared" si="158"/>
        <v>4300.4212091179388</v>
      </c>
      <c r="T331" s="195">
        <f t="shared" si="158"/>
        <v>4374.9826302729525</v>
      </c>
      <c r="U331" s="195">
        <f t="shared" si="158"/>
        <v>4475.6427870461239</v>
      </c>
      <c r="V331" s="195">
        <f t="shared" si="158"/>
        <v>4575.12384652744</v>
      </c>
      <c r="W331" s="195">
        <f t="shared" si="158"/>
        <v>4716.3950143815919</v>
      </c>
      <c r="X331" s="195">
        <f t="shared" si="158"/>
        <v>4837.708333333333</v>
      </c>
      <c r="Y331" s="195">
        <f t="shared" si="158"/>
        <v>5037.6481312670921</v>
      </c>
      <c r="Z331" s="195">
        <f t="shared" si="158"/>
        <v>5222.6784922394672</v>
      </c>
      <c r="AA331" s="195">
        <f t="shared" si="158"/>
        <v>5415.4568744662683</v>
      </c>
      <c r="AB331" s="195">
        <f t="shared" si="158"/>
        <v>5595.9336099585062</v>
      </c>
      <c r="AC331" s="195">
        <f t="shared" si="158"/>
        <v>5785.6847331402569</v>
      </c>
      <c r="AD331" s="195">
        <f t="shared" si="158"/>
        <v>6098.0243041944332</v>
      </c>
      <c r="AE331" s="195">
        <f t="shared" si="158"/>
        <v>6255.1827626010008</v>
      </c>
      <c r="AF331" s="195">
        <f t="shared" si="158"/>
        <v>6468.8587360594802</v>
      </c>
      <c r="AG331" s="195">
        <f t="shared" si="158"/>
        <v>6720</v>
      </c>
      <c r="AH331" s="195">
        <f t="shared" si="158"/>
        <v>6837.8842676311033</v>
      </c>
      <c r="AI331" s="195">
        <f t="shared" si="158"/>
        <v>6815.9781818181818</v>
      </c>
      <c r="AJ331" s="195">
        <f t="shared" si="158"/>
        <v>6725.1289719626175</v>
      </c>
      <c r="AK331" s="195">
        <f t="shared" si="158"/>
        <v>6678.3314543404731</v>
      </c>
      <c r="AL331" s="195">
        <f t="shared" si="158"/>
        <v>6725.358220211162</v>
      </c>
      <c r="AM331" s="195">
        <f t="shared" si="158"/>
        <v>6895.6023651145597</v>
      </c>
      <c r="AN331" s="195">
        <f t="shared" si="158"/>
        <v>7078.0929894660376</v>
      </c>
      <c r="AO331" s="195">
        <f t="shared" si="158"/>
        <v>7138.5813022917428</v>
      </c>
      <c r="AP331" s="195">
        <f t="shared" si="158"/>
        <v>7303.9284449167553</v>
      </c>
      <c r="AQ331" s="195">
        <f t="shared" si="158"/>
        <v>7346.9178812655528</v>
      </c>
      <c r="AR331" s="195">
        <f t="shared" si="158"/>
        <v>7174.7399267399269</v>
      </c>
      <c r="AS331" s="195">
        <f t="shared" si="158"/>
        <v>6935</v>
      </c>
      <c r="AT331" s="195">
        <f t="shared" si="158"/>
        <v>6760.3608847497089</v>
      </c>
      <c r="AU331" s="195">
        <f t="shared" si="158"/>
        <v>6662.9069306930696</v>
      </c>
      <c r="AV331" s="195">
        <f t="shared" si="158"/>
        <v>6731.0794780545675</v>
      </c>
      <c r="AW331" s="195">
        <f t="shared" si="158"/>
        <v>6683.922829581993</v>
      </c>
      <c r="AX331" s="195">
        <f t="shared" si="158"/>
        <v>6933.90081999219</v>
      </c>
      <c r="AY331" s="195">
        <f t="shared" si="158"/>
        <v>7121.7125382262993</v>
      </c>
      <c r="AZ331" s="195">
        <f t="shared" si="158"/>
        <v>7291.769944341373</v>
      </c>
      <c r="BA331" s="195">
        <f t="shared" si="158"/>
        <v>7487.0926400585868</v>
      </c>
      <c r="BB331" s="195">
        <f t="shared" si="158"/>
        <v>7724.9578059071728</v>
      </c>
      <c r="BC331" s="195">
        <f t="shared" si="158"/>
        <v>7865.1121076233185</v>
      </c>
      <c r="BD331" s="195">
        <f t="shared" si="158"/>
        <v>7967.3976311336719</v>
      </c>
      <c r="BE331" s="195">
        <f t="shared" si="158"/>
        <v>8196.7292746113999</v>
      </c>
      <c r="BF331" s="195">
        <f t="shared" si="158"/>
        <v>8612.0753551575035</v>
      </c>
      <c r="BG331" s="195">
        <f t="shared" si="158"/>
        <v>8931.8352941176472</v>
      </c>
      <c r="BH331" s="195">
        <f t="shared" si="158"/>
        <v>9175.554938956715</v>
      </c>
      <c r="BI331" s="195">
        <f t="shared" si="158"/>
        <v>9617.529381039436</v>
      </c>
      <c r="BJ331" s="195">
        <f t="shared" si="158"/>
        <v>9818.848063555115</v>
      </c>
      <c r="BK331" s="195">
        <f t="shared" si="158"/>
        <v>9881.0145284412702</v>
      </c>
      <c r="BL331" s="195">
        <f t="shared" si="158"/>
        <v>9817.5657254138259</v>
      </c>
      <c r="BM331" s="195">
        <f t="shared" si="158"/>
        <v>9557.2055199605711</v>
      </c>
      <c r="BN331" s="195">
        <f t="shared" si="158"/>
        <v>9561.9794218520328</v>
      </c>
      <c r="BO331" s="195">
        <f t="shared" si="158"/>
        <v>9536.9926289926279</v>
      </c>
      <c r="BP331" s="195">
        <f t="shared" si="158"/>
        <v>9264.9757838388978</v>
      </c>
      <c r="BQ331" s="195">
        <f t="shared" si="158"/>
        <v>9263.2862745098046</v>
      </c>
    </row>
    <row r="332" spans="1:69" s="105" customFormat="1">
      <c r="A332" s="105">
        <f>$A$93</f>
        <v>76</v>
      </c>
      <c r="B332" s="114"/>
      <c r="C332" s="114"/>
      <c r="D332" s="114"/>
      <c r="E332" s="114"/>
      <c r="F332" s="114"/>
      <c r="G332" s="114"/>
      <c r="H332" s="114"/>
      <c r="I332" s="114"/>
      <c r="J332" s="114"/>
      <c r="K332" s="114"/>
      <c r="L332" s="114"/>
      <c r="M332" s="195">
        <f>M$186*M$468</f>
        <v>2404.0673211781204</v>
      </c>
      <c r="N332" s="195">
        <f t="shared" ref="N332:BQ332" si="159">N$186*N$468</f>
        <v>2507.3972602739727</v>
      </c>
      <c r="O332" s="195">
        <f t="shared" si="159"/>
        <v>2327.9094339622643</v>
      </c>
      <c r="P332" s="195">
        <f t="shared" si="159"/>
        <v>2722.5</v>
      </c>
      <c r="Q332" s="195">
        <f t="shared" si="159"/>
        <v>2875.1631477927062</v>
      </c>
      <c r="R332" s="195">
        <f t="shared" si="159"/>
        <v>3111.9565217391305</v>
      </c>
      <c r="S332" s="195">
        <f t="shared" si="159"/>
        <v>3725.0329447541812</v>
      </c>
      <c r="T332" s="195">
        <f t="shared" si="159"/>
        <v>3803.206494165398</v>
      </c>
      <c r="U332" s="195">
        <f t="shared" si="159"/>
        <v>3876.2011173184355</v>
      </c>
      <c r="V332" s="195">
        <f t="shared" si="159"/>
        <v>3955.6748620170592</v>
      </c>
      <c r="W332" s="195">
        <f t="shared" si="159"/>
        <v>4054.9280397022335</v>
      </c>
      <c r="X332" s="195">
        <f t="shared" si="159"/>
        <v>4183.1978452497551</v>
      </c>
      <c r="Y332" s="195">
        <f t="shared" si="159"/>
        <v>4283.3736104398258</v>
      </c>
      <c r="Z332" s="195">
        <f t="shared" si="159"/>
        <v>4465.9488372093019</v>
      </c>
      <c r="AA332" s="195">
        <f t="shared" si="159"/>
        <v>4627.1066907775767</v>
      </c>
      <c r="AB332" s="195">
        <f t="shared" si="159"/>
        <v>4808.2716586852412</v>
      </c>
      <c r="AC332" s="195">
        <f t="shared" si="159"/>
        <v>4966.2045646661036</v>
      </c>
      <c r="AD332" s="195">
        <f t="shared" si="159"/>
        <v>5140.8091024020232</v>
      </c>
      <c r="AE332" s="195">
        <f t="shared" si="159"/>
        <v>5417.3782920989624</v>
      </c>
      <c r="AF332" s="195">
        <f t="shared" si="159"/>
        <v>5561.5577299412917</v>
      </c>
      <c r="AG332" s="195">
        <f t="shared" si="159"/>
        <v>5748.5185185185182</v>
      </c>
      <c r="AH332" s="195">
        <f t="shared" si="159"/>
        <v>5983.4950385887541</v>
      </c>
      <c r="AI332" s="195">
        <f t="shared" si="159"/>
        <v>6080.9515062454075</v>
      </c>
      <c r="AJ332" s="195">
        <f t="shared" si="159"/>
        <v>6060.0147710487445</v>
      </c>
      <c r="AK332" s="195">
        <f t="shared" si="159"/>
        <v>5980.3793626707129</v>
      </c>
      <c r="AL332" s="195">
        <f t="shared" si="159"/>
        <v>5940.4576659038903</v>
      </c>
      <c r="AM332" s="195">
        <f t="shared" si="159"/>
        <v>5987.732313575526</v>
      </c>
      <c r="AN332" s="195">
        <f t="shared" si="159"/>
        <v>6146.1221431247659</v>
      </c>
      <c r="AO332" s="195">
        <f t="shared" si="159"/>
        <v>6311.4611704085391</v>
      </c>
      <c r="AP332" s="195">
        <f t="shared" si="159"/>
        <v>6354.5173176123799</v>
      </c>
      <c r="AQ332" s="195">
        <f t="shared" si="159"/>
        <v>6517.0075349838535</v>
      </c>
      <c r="AR332" s="195">
        <f t="shared" si="159"/>
        <v>6539.8776538323145</v>
      </c>
      <c r="AS332" s="195">
        <f t="shared" si="159"/>
        <v>6395.3446997776127</v>
      </c>
      <c r="AT332" s="195">
        <f t="shared" si="159"/>
        <v>6185.3189066059222</v>
      </c>
      <c r="AU332" s="195">
        <f t="shared" si="159"/>
        <v>6029.5290423861852</v>
      </c>
      <c r="AV332" s="195">
        <f t="shared" si="159"/>
        <v>5946.9175340272222</v>
      </c>
      <c r="AW332" s="195">
        <f t="shared" si="159"/>
        <v>6002.3661071143088</v>
      </c>
      <c r="AX332" s="195">
        <f t="shared" si="159"/>
        <v>5960.0934199837529</v>
      </c>
      <c r="AY332" s="195">
        <f t="shared" si="159"/>
        <v>6189.2744479495268</v>
      </c>
      <c r="AZ332" s="195">
        <f t="shared" si="159"/>
        <v>6363.0193050193047</v>
      </c>
      <c r="BA332" s="195">
        <f t="shared" si="159"/>
        <v>6515.7549644061446</v>
      </c>
      <c r="BB332" s="195">
        <f t="shared" si="159"/>
        <v>6691.1090573012934</v>
      </c>
      <c r="BC332" s="195">
        <f t="shared" si="159"/>
        <v>6903.601845280341</v>
      </c>
      <c r="BD332" s="195">
        <f t="shared" si="159"/>
        <v>7029.2484342379967</v>
      </c>
      <c r="BE332" s="195">
        <f t="shared" si="159"/>
        <v>7119.3103448275861</v>
      </c>
      <c r="BF332" s="195">
        <f t="shared" si="159"/>
        <v>7336.4826910515994</v>
      </c>
      <c r="BG332" s="195">
        <f t="shared" si="159"/>
        <v>7705.996264009962</v>
      </c>
      <c r="BH332" s="195">
        <f t="shared" si="159"/>
        <v>7983.8037355469905</v>
      </c>
      <c r="BI332" s="195">
        <f t="shared" si="159"/>
        <v>8215.1174496644289</v>
      </c>
      <c r="BJ332" s="195">
        <f t="shared" si="159"/>
        <v>8615.855263157895</v>
      </c>
      <c r="BK332" s="195">
        <f t="shared" si="159"/>
        <v>8795.073768442111</v>
      </c>
      <c r="BL332" s="195">
        <f t="shared" si="159"/>
        <v>8840.3074634267305</v>
      </c>
      <c r="BM332" s="195">
        <f t="shared" si="159"/>
        <v>8786.4313725490192</v>
      </c>
      <c r="BN332" s="195">
        <f t="shared" si="159"/>
        <v>8560.3349044902006</v>
      </c>
      <c r="BO332" s="195">
        <f t="shared" si="159"/>
        <v>8572.1775585696669</v>
      </c>
      <c r="BP332" s="195">
        <f t="shared" si="159"/>
        <v>8547.0820969337292</v>
      </c>
      <c r="BQ332" s="195">
        <f t="shared" si="159"/>
        <v>8305.814311361888</v>
      </c>
    </row>
    <row r="333" spans="1:69" s="105" customFormat="1">
      <c r="A333" s="105">
        <f>$A$94</f>
        <v>77</v>
      </c>
      <c r="B333" s="114"/>
      <c r="C333" s="114"/>
      <c r="D333" s="114"/>
      <c r="E333" s="114"/>
      <c r="F333" s="114"/>
      <c r="G333" s="114"/>
      <c r="H333" s="114"/>
      <c r="I333" s="114"/>
      <c r="J333" s="114"/>
      <c r="K333" s="114"/>
      <c r="L333" s="114"/>
      <c r="M333" s="195">
        <f>M$187*M$469</f>
        <v>1912.1506211180124</v>
      </c>
      <c r="N333" s="195">
        <f t="shared" ref="N333:BQ333" si="160">N$187*N$469</f>
        <v>2106.47143890094</v>
      </c>
      <c r="O333" s="195">
        <f t="shared" si="160"/>
        <v>2212.1524347212421</v>
      </c>
      <c r="P333" s="195">
        <f t="shared" si="160"/>
        <v>2062.4708624708624</v>
      </c>
      <c r="Q333" s="195">
        <f t="shared" si="160"/>
        <v>2396.6666666666665</v>
      </c>
      <c r="R333" s="195">
        <f t="shared" si="160"/>
        <v>2542.2580645161293</v>
      </c>
      <c r="S333" s="195">
        <f t="shared" si="160"/>
        <v>2746.7039106145253</v>
      </c>
      <c r="T333" s="195">
        <f t="shared" si="160"/>
        <v>3293.784487246226</v>
      </c>
      <c r="U333" s="195">
        <f t="shared" si="160"/>
        <v>3367.4739583333335</v>
      </c>
      <c r="V333" s="195">
        <f t="shared" si="160"/>
        <v>3427.4375</v>
      </c>
      <c r="W333" s="195">
        <f t="shared" si="160"/>
        <v>3507.5617283950619</v>
      </c>
      <c r="X333" s="195">
        <f t="shared" si="160"/>
        <v>3596.7361464158616</v>
      </c>
      <c r="Y333" s="195">
        <f t="shared" si="160"/>
        <v>3712.3871614844529</v>
      </c>
      <c r="Z333" s="195">
        <f t="shared" si="160"/>
        <v>3807.7151335311573</v>
      </c>
      <c r="AA333" s="195">
        <f t="shared" si="160"/>
        <v>3974.4005708848717</v>
      </c>
      <c r="AB333" s="195">
        <f t="shared" si="160"/>
        <v>4114.3253234750464</v>
      </c>
      <c r="AC333" s="195">
        <f t="shared" si="160"/>
        <v>4276.780791462872</v>
      </c>
      <c r="AD333" s="195">
        <f t="shared" si="160"/>
        <v>4416.6091458153578</v>
      </c>
      <c r="AE333" s="195">
        <f t="shared" si="160"/>
        <v>4578.1599312123817</v>
      </c>
      <c r="AF333" s="195">
        <f t="shared" si="160"/>
        <v>4816.5052888527252</v>
      </c>
      <c r="AG333" s="195">
        <f t="shared" si="160"/>
        <v>4950.1396090945354</v>
      </c>
      <c r="AH333" s="195">
        <f t="shared" si="160"/>
        <v>5119.90758567578</v>
      </c>
      <c r="AI333" s="195">
        <f t="shared" si="160"/>
        <v>5329.6631736526942</v>
      </c>
      <c r="AJ333" s="195">
        <f t="shared" si="160"/>
        <v>5418.1750186985792</v>
      </c>
      <c r="AK333" s="195">
        <f t="shared" si="160"/>
        <v>5398.0991735537191</v>
      </c>
      <c r="AL333" s="195">
        <f t="shared" si="160"/>
        <v>5333.0285493827159</v>
      </c>
      <c r="AM333" s="195">
        <f t="shared" si="160"/>
        <v>5302.8139534883721</v>
      </c>
      <c r="AN333" s="195">
        <f t="shared" si="160"/>
        <v>5345.8275058275058</v>
      </c>
      <c r="AO333" s="195">
        <f t="shared" si="160"/>
        <v>5482.3592085235914</v>
      </c>
      <c r="AP333" s="195">
        <f t="shared" si="160"/>
        <v>5631.558295964126</v>
      </c>
      <c r="AQ333" s="195">
        <f t="shared" si="160"/>
        <v>5668.5532710280368</v>
      </c>
      <c r="AR333" s="195">
        <f t="shared" si="160"/>
        <v>5810.3711790393008</v>
      </c>
      <c r="AS333" s="195">
        <f t="shared" si="160"/>
        <v>5839.5913900036476</v>
      </c>
      <c r="AT333" s="195">
        <f t="shared" si="160"/>
        <v>5714.7971450037567</v>
      </c>
      <c r="AU333" s="195">
        <f t="shared" si="160"/>
        <v>5520.8</v>
      </c>
      <c r="AV333" s="195">
        <f t="shared" si="160"/>
        <v>5381.8402225755162</v>
      </c>
      <c r="AW333" s="195">
        <f t="shared" si="160"/>
        <v>5321.1998378597491</v>
      </c>
      <c r="AX333" s="195">
        <f t="shared" si="160"/>
        <v>5368.3940129449838</v>
      </c>
      <c r="AY333" s="195">
        <f t="shared" si="160"/>
        <v>5331.7173377156942</v>
      </c>
      <c r="AZ333" s="195">
        <f t="shared" si="160"/>
        <v>5546.0749900279216</v>
      </c>
      <c r="BA333" s="195">
        <f t="shared" si="160"/>
        <v>5693.052302888369</v>
      </c>
      <c r="BB333" s="195">
        <f t="shared" si="160"/>
        <v>5825.9295721317685</v>
      </c>
      <c r="BC333" s="195">
        <f t="shared" si="160"/>
        <v>5993.2162868883079</v>
      </c>
      <c r="BD333" s="195">
        <f t="shared" si="160"/>
        <v>6177.4157706093192</v>
      </c>
      <c r="BE333" s="195">
        <f t="shared" si="160"/>
        <v>6293.5664089950806</v>
      </c>
      <c r="BF333" s="195">
        <f t="shared" si="160"/>
        <v>6389.1209927611171</v>
      </c>
      <c r="BG333" s="195">
        <f t="shared" si="160"/>
        <v>6571.8523401450229</v>
      </c>
      <c r="BH333" s="195">
        <f t="shared" si="160"/>
        <v>6906.7672007540059</v>
      </c>
      <c r="BI333" s="195">
        <f t="shared" si="160"/>
        <v>7164.2596470236313</v>
      </c>
      <c r="BJ333" s="195">
        <f t="shared" si="160"/>
        <v>7366.9167842031029</v>
      </c>
      <c r="BK333" s="195">
        <f t="shared" si="160"/>
        <v>7725.4777070063701</v>
      </c>
      <c r="BL333" s="195">
        <f t="shared" si="160"/>
        <v>7893.1954602774276</v>
      </c>
      <c r="BM333" s="195">
        <f t="shared" si="160"/>
        <v>7938.45</v>
      </c>
      <c r="BN333" s="195">
        <f t="shared" si="160"/>
        <v>7891.442687747036</v>
      </c>
      <c r="BO333" s="195">
        <f t="shared" si="160"/>
        <v>7687.98</v>
      </c>
      <c r="BP333" s="195">
        <f t="shared" si="160"/>
        <v>7694.6434782608694</v>
      </c>
      <c r="BQ333" s="195">
        <f t="shared" si="160"/>
        <v>7678.7297633872977</v>
      </c>
    </row>
    <row r="334" spans="1:69" s="105" customFormat="1">
      <c r="A334" s="105">
        <f>$A$95</f>
        <v>78</v>
      </c>
      <c r="B334" s="114"/>
      <c r="C334" s="114"/>
      <c r="D334" s="114"/>
      <c r="E334" s="114"/>
      <c r="F334" s="114"/>
      <c r="G334" s="114"/>
      <c r="H334" s="114"/>
      <c r="I334" s="114"/>
      <c r="J334" s="114"/>
      <c r="K334" s="114"/>
      <c r="L334" s="114"/>
      <c r="M334" s="195">
        <f>M$188*M$470</f>
        <v>1476.5401987353207</v>
      </c>
      <c r="N334" s="195">
        <f t="shared" ref="N334:BQ334" si="161">N$188*N$470</f>
        <v>1681.3263665594855</v>
      </c>
      <c r="O334" s="195">
        <f t="shared" si="161"/>
        <v>1855.9461480927448</v>
      </c>
      <c r="P334" s="195">
        <f t="shared" si="161"/>
        <v>1964.963503649635</v>
      </c>
      <c r="Q334" s="195">
        <f t="shared" si="161"/>
        <v>1818.2022471910113</v>
      </c>
      <c r="R334" s="195">
        <f t="shared" si="161"/>
        <v>2111.9334277620396</v>
      </c>
      <c r="S334" s="195">
        <f t="shared" si="161"/>
        <v>2238.6965376782077</v>
      </c>
      <c r="T334" s="195">
        <f t="shared" si="161"/>
        <v>2430.8125399872038</v>
      </c>
      <c r="U334" s="195">
        <f t="shared" si="161"/>
        <v>2911.480686695279</v>
      </c>
      <c r="V334" s="195">
        <f t="shared" si="161"/>
        <v>2981.313672922252</v>
      </c>
      <c r="W334" s="195">
        <f t="shared" si="161"/>
        <v>3030.3858520900321</v>
      </c>
      <c r="X334" s="195">
        <f t="shared" si="161"/>
        <v>3099.6300211416492</v>
      </c>
      <c r="Y334" s="195">
        <f t="shared" si="161"/>
        <v>3177.0234986945165</v>
      </c>
      <c r="Z334" s="195">
        <f t="shared" si="161"/>
        <v>3278.5846628924342</v>
      </c>
      <c r="AA334" s="195">
        <f t="shared" si="161"/>
        <v>3365.0177574835106</v>
      </c>
      <c r="AB334" s="195">
        <f t="shared" si="161"/>
        <v>3510.1803998049736</v>
      </c>
      <c r="AC334" s="195">
        <f t="shared" si="161"/>
        <v>3642.5</v>
      </c>
      <c r="AD334" s="195">
        <f t="shared" si="161"/>
        <v>3786.3905325443784</v>
      </c>
      <c r="AE334" s="195">
        <f t="shared" si="161"/>
        <v>3917.682119205298</v>
      </c>
      <c r="AF334" s="195">
        <f t="shared" si="161"/>
        <v>4057.6253298153038</v>
      </c>
      <c r="AG334" s="195">
        <f t="shared" si="161"/>
        <v>4279.4301164725457</v>
      </c>
      <c r="AH334" s="195">
        <f t="shared" si="161"/>
        <v>4389.119804400978</v>
      </c>
      <c r="AI334" s="195">
        <f t="shared" si="161"/>
        <v>4539.6855345911945</v>
      </c>
      <c r="AJ334" s="195">
        <f t="shared" si="161"/>
        <v>4726.6895761741116</v>
      </c>
      <c r="AK334" s="195">
        <f t="shared" si="161"/>
        <v>4807.1319603356214</v>
      </c>
      <c r="AL334" s="195">
        <f t="shared" si="161"/>
        <v>4799.693603983148</v>
      </c>
      <c r="AM334" s="195">
        <f t="shared" si="161"/>
        <v>4737.7712264150941</v>
      </c>
      <c r="AN334" s="195">
        <f t="shared" si="161"/>
        <v>4711.1330438215555</v>
      </c>
      <c r="AO334" s="195">
        <f t="shared" si="161"/>
        <v>4746.4610517991305</v>
      </c>
      <c r="AP334" s="195">
        <f t="shared" si="161"/>
        <v>4871.4518002322884</v>
      </c>
      <c r="AQ334" s="195">
        <f t="shared" si="161"/>
        <v>5005.1767388825547</v>
      </c>
      <c r="AR334" s="195">
        <f t="shared" si="161"/>
        <v>5038.7685290763966</v>
      </c>
      <c r="AS334" s="195">
        <f t="shared" si="161"/>
        <v>5172.2781065088757</v>
      </c>
      <c r="AT334" s="195">
        <f t="shared" si="161"/>
        <v>5195.9970348406223</v>
      </c>
      <c r="AU334" s="195">
        <f t="shared" si="161"/>
        <v>5078.5354691075518</v>
      </c>
      <c r="AV334" s="195">
        <f t="shared" si="161"/>
        <v>4914.3303397110503</v>
      </c>
      <c r="AW334" s="195">
        <f t="shared" si="161"/>
        <v>4792.5</v>
      </c>
      <c r="AX334" s="195">
        <f t="shared" si="161"/>
        <v>4735.2938758734072</v>
      </c>
      <c r="AY334" s="195">
        <f t="shared" si="161"/>
        <v>4780.9266092660928</v>
      </c>
      <c r="AZ334" s="195">
        <f t="shared" si="161"/>
        <v>4748.4554537885097</v>
      </c>
      <c r="BA334" s="195">
        <f t="shared" si="161"/>
        <v>4935.5757575757571</v>
      </c>
      <c r="BB334" s="195">
        <f t="shared" si="161"/>
        <v>5079.8418972332011</v>
      </c>
      <c r="BC334" s="195">
        <f t="shared" si="161"/>
        <v>5196.8558282208587</v>
      </c>
      <c r="BD334" s="195">
        <f t="shared" si="161"/>
        <v>5342.0453686200381</v>
      </c>
      <c r="BE334" s="195">
        <f t="shared" si="161"/>
        <v>5510.6782734856724</v>
      </c>
      <c r="BF334" s="195">
        <f t="shared" si="161"/>
        <v>5619.0970494134372</v>
      </c>
      <c r="BG334" s="195">
        <f t="shared" si="161"/>
        <v>5703.0324154757755</v>
      </c>
      <c r="BH334" s="195">
        <f t="shared" si="161"/>
        <v>5865.5248250583145</v>
      </c>
      <c r="BI334" s="195">
        <f t="shared" si="161"/>
        <v>6166.2750079390289</v>
      </c>
      <c r="BJ334" s="195">
        <f t="shared" si="161"/>
        <v>6398.5735871864608</v>
      </c>
      <c r="BK334" s="195">
        <f t="shared" si="161"/>
        <v>6581.1965811965811</v>
      </c>
      <c r="BL334" s="195">
        <f t="shared" si="161"/>
        <v>6910.8710801393736</v>
      </c>
      <c r="BM334" s="195">
        <f t="shared" si="161"/>
        <v>7060.7612016293278</v>
      </c>
      <c r="BN334" s="195">
        <f t="shared" si="161"/>
        <v>7098.4607620489533</v>
      </c>
      <c r="BO334" s="195">
        <f t="shared" si="161"/>
        <v>7058.7634006482176</v>
      </c>
      <c r="BP334" s="195">
        <f t="shared" si="161"/>
        <v>6884.2723833543505</v>
      </c>
      <c r="BQ334" s="195">
        <f t="shared" si="161"/>
        <v>6892.7912803808567</v>
      </c>
    </row>
    <row r="335" spans="1:69" s="105" customFormat="1">
      <c r="A335" s="105">
        <f>$A$96</f>
        <v>79</v>
      </c>
      <c r="B335" s="114"/>
      <c r="C335" s="114"/>
      <c r="D335" s="114"/>
      <c r="E335" s="114"/>
      <c r="F335" s="114"/>
      <c r="G335" s="114"/>
      <c r="H335" s="114"/>
      <c r="I335" s="114"/>
      <c r="J335" s="114"/>
      <c r="K335" s="114"/>
      <c r="L335" s="114"/>
      <c r="M335" s="195">
        <f>M$189*M$471</f>
        <v>1206.0233918128654</v>
      </c>
      <c r="N335" s="195">
        <f t="shared" ref="N335:BQ335" si="162">N$189*N$471</f>
        <v>1293.9943609022557</v>
      </c>
      <c r="O335" s="195">
        <f t="shared" si="162"/>
        <v>1471.7460317460316</v>
      </c>
      <c r="P335" s="195">
        <f t="shared" si="162"/>
        <v>1634.9650349650349</v>
      </c>
      <c r="Q335" s="195">
        <f t="shared" si="162"/>
        <v>1722.6666666666667</v>
      </c>
      <c r="R335" s="195">
        <f t="shared" si="162"/>
        <v>1597.6686094920899</v>
      </c>
      <c r="S335" s="195">
        <f t="shared" si="162"/>
        <v>1849.7577092511012</v>
      </c>
      <c r="T335" s="195">
        <f t="shared" si="162"/>
        <v>1956.2869198312235</v>
      </c>
      <c r="U335" s="195">
        <f t="shared" si="162"/>
        <v>2116.8630046326934</v>
      </c>
      <c r="V335" s="195">
        <f t="shared" si="162"/>
        <v>2549.2682926829266</v>
      </c>
      <c r="W335" s="195">
        <f t="shared" si="162"/>
        <v>2605.8028792912514</v>
      </c>
      <c r="X335" s="195">
        <f t="shared" si="162"/>
        <v>2653.8053097345137</v>
      </c>
      <c r="Y335" s="195">
        <f t="shared" si="162"/>
        <v>2713.9367502726282</v>
      </c>
      <c r="Z335" s="195">
        <f t="shared" si="162"/>
        <v>2781.4962325080733</v>
      </c>
      <c r="AA335" s="195">
        <f t="shared" si="162"/>
        <v>2867.8908320084788</v>
      </c>
      <c r="AB335" s="195">
        <f t="shared" si="162"/>
        <v>2943.603133159269</v>
      </c>
      <c r="AC335" s="195">
        <f t="shared" si="162"/>
        <v>3071.0130391173525</v>
      </c>
      <c r="AD335" s="195">
        <f t="shared" si="162"/>
        <v>3182.4817518248178</v>
      </c>
      <c r="AE335" s="195">
        <f t="shared" si="162"/>
        <v>3311.3370733987845</v>
      </c>
      <c r="AF335" s="195">
        <f t="shared" si="162"/>
        <v>3422.8908019936562</v>
      </c>
      <c r="AG335" s="195">
        <f t="shared" si="162"/>
        <v>3546.4382326420196</v>
      </c>
      <c r="AH335" s="195">
        <f t="shared" si="162"/>
        <v>3743.47399829497</v>
      </c>
      <c r="AI335" s="195">
        <f t="shared" si="162"/>
        <v>3841.4273789649419</v>
      </c>
      <c r="AJ335" s="195">
        <f t="shared" si="162"/>
        <v>3978.035426731079</v>
      </c>
      <c r="AK335" s="195">
        <f t="shared" si="162"/>
        <v>4137.432590855803</v>
      </c>
      <c r="AL335" s="195">
        <f t="shared" si="162"/>
        <v>4210.2184087363494</v>
      </c>
      <c r="AM335" s="195">
        <f t="shared" si="162"/>
        <v>4201.7612524461838</v>
      </c>
      <c r="AN335" s="195">
        <f t="shared" si="162"/>
        <v>4146.6666666666661</v>
      </c>
      <c r="AO335" s="195">
        <f t="shared" si="162"/>
        <v>4129.9274486094318</v>
      </c>
      <c r="AP335" s="195">
        <f t="shared" si="162"/>
        <v>4163.3979015334944</v>
      </c>
      <c r="AQ335" s="195">
        <f t="shared" si="162"/>
        <v>4273.4992101105845</v>
      </c>
      <c r="AR335" s="195">
        <f t="shared" si="162"/>
        <v>4393.8086013173188</v>
      </c>
      <c r="AS335" s="195">
        <f t="shared" si="162"/>
        <v>4422.3625096824162</v>
      </c>
      <c r="AT335" s="195">
        <f t="shared" si="162"/>
        <v>4535.6610169491523</v>
      </c>
      <c r="AU335" s="195">
        <f t="shared" si="162"/>
        <v>4566.1109015465863</v>
      </c>
      <c r="AV335" s="195">
        <f t="shared" si="162"/>
        <v>4468.20652173913</v>
      </c>
      <c r="AW335" s="195">
        <f t="shared" si="162"/>
        <v>4320.8895949166008</v>
      </c>
      <c r="AX335" s="195">
        <f t="shared" si="162"/>
        <v>4214.5961459614591</v>
      </c>
      <c r="AY335" s="195">
        <f t="shared" si="162"/>
        <v>4156.4411027568922</v>
      </c>
      <c r="AZ335" s="195">
        <f t="shared" si="162"/>
        <v>4208.8666666666668</v>
      </c>
      <c r="BA335" s="195">
        <f t="shared" si="162"/>
        <v>4180.9725158562369</v>
      </c>
      <c r="BB335" s="195">
        <f t="shared" si="162"/>
        <v>4341.3781788351107</v>
      </c>
      <c r="BC335" s="195">
        <f t="shared" si="162"/>
        <v>4470.5254713196955</v>
      </c>
      <c r="BD335" s="195">
        <f t="shared" si="162"/>
        <v>4580.1050175029168</v>
      </c>
      <c r="BE335" s="195">
        <f t="shared" si="162"/>
        <v>4705.8029896512071</v>
      </c>
      <c r="BF335" s="195">
        <f t="shared" si="162"/>
        <v>4858.75</v>
      </c>
      <c r="BG335" s="195">
        <f t="shared" si="162"/>
        <v>4955.6556195965422</v>
      </c>
      <c r="BH335" s="195">
        <f t="shared" si="162"/>
        <v>5021.7196327683614</v>
      </c>
      <c r="BI335" s="195">
        <f t="shared" si="162"/>
        <v>5172.321970975363</v>
      </c>
      <c r="BJ335" s="195">
        <f t="shared" si="162"/>
        <v>5439.2221150755386</v>
      </c>
      <c r="BK335" s="195">
        <f t="shared" si="162"/>
        <v>5648.4154175588865</v>
      </c>
      <c r="BL335" s="195">
        <f t="shared" si="162"/>
        <v>5812.4675699048721</v>
      </c>
      <c r="BM335" s="195">
        <f t="shared" si="162"/>
        <v>6097.9127134724858</v>
      </c>
      <c r="BN335" s="195">
        <f t="shared" si="162"/>
        <v>6233.3805355303812</v>
      </c>
      <c r="BO335" s="195">
        <f t="shared" si="162"/>
        <v>6273.1301020408164</v>
      </c>
      <c r="BP335" s="195">
        <f t="shared" si="162"/>
        <v>6236.6313932980602</v>
      </c>
      <c r="BQ335" s="195">
        <f t="shared" si="162"/>
        <v>6084.9745158002033</v>
      </c>
    </row>
    <row r="336" spans="1:69" s="105" customFormat="1">
      <c r="A336" s="105" t="str">
        <f>$A$268</f>
        <v>80 &amp; over</v>
      </c>
      <c r="B336" s="114"/>
      <c r="C336" s="114"/>
      <c r="D336" s="114"/>
      <c r="E336" s="114"/>
      <c r="F336" s="114"/>
      <c r="G336" s="114"/>
      <c r="H336" s="114"/>
      <c r="I336" s="114"/>
      <c r="J336" s="114"/>
      <c r="K336" s="114"/>
      <c r="L336" s="114"/>
      <c r="M336" s="195">
        <f>SUM(M$190:M$200)*M$472</f>
        <v>4694.0860530214613</v>
      </c>
      <c r="N336" s="195">
        <f t="shared" ref="N336:BQ336" si="163">SUM(N$190:N$200)*N$472</f>
        <v>4941.753924385448</v>
      </c>
      <c r="O336" s="195">
        <f t="shared" si="163"/>
        <v>5332.076520408501</v>
      </c>
      <c r="P336" s="195">
        <f t="shared" si="163"/>
        <v>5837.3670407528407</v>
      </c>
      <c r="Q336" s="195">
        <f t="shared" si="163"/>
        <v>6317.4432413978875</v>
      </c>
      <c r="R336" s="195">
        <f t="shared" si="163"/>
        <v>6888.8107294535912</v>
      </c>
      <c r="S336" s="195">
        <f t="shared" si="163"/>
        <v>7160.0562596621312</v>
      </c>
      <c r="T336" s="195">
        <f t="shared" si="163"/>
        <v>7631.2277707565008</v>
      </c>
      <c r="U336" s="195">
        <f t="shared" si="163"/>
        <v>8188.0037157016377</v>
      </c>
      <c r="V336" s="195">
        <f t="shared" si="163"/>
        <v>8649.2645083308598</v>
      </c>
      <c r="W336" s="195">
        <f t="shared" si="163"/>
        <v>9577.1141180467057</v>
      </c>
      <c r="X336" s="195">
        <f t="shared" si="163"/>
        <v>10313.664184534395</v>
      </c>
      <c r="Y336" s="195">
        <f t="shared" si="163"/>
        <v>10961.782768775969</v>
      </c>
      <c r="Z336" s="195">
        <f t="shared" si="163"/>
        <v>11601.126926161787</v>
      </c>
      <c r="AA336" s="195">
        <f t="shared" si="163"/>
        <v>12143.328449079499</v>
      </c>
      <c r="AB336" s="195">
        <f t="shared" si="163"/>
        <v>12693.8504600126</v>
      </c>
      <c r="AC336" s="195">
        <f t="shared" si="163"/>
        <v>13246.401289537647</v>
      </c>
      <c r="AD336" s="195">
        <f t="shared" si="163"/>
        <v>13789.953303177617</v>
      </c>
      <c r="AE336" s="195">
        <f t="shared" si="163"/>
        <v>14421.718291351073</v>
      </c>
      <c r="AF336" s="195">
        <f t="shared" si="163"/>
        <v>14947.358364761842</v>
      </c>
      <c r="AG336" s="195">
        <f t="shared" si="163"/>
        <v>15555.123065010866</v>
      </c>
      <c r="AH336" s="195">
        <f t="shared" si="163"/>
        <v>16209.650910501357</v>
      </c>
      <c r="AI336" s="195">
        <f t="shared" si="163"/>
        <v>16850.863061850439</v>
      </c>
      <c r="AJ336" s="195">
        <f t="shared" si="163"/>
        <v>17492.394878567648</v>
      </c>
      <c r="AK336" s="195">
        <f t="shared" si="163"/>
        <v>18214.624120992372</v>
      </c>
      <c r="AL336" s="195">
        <f t="shared" si="163"/>
        <v>18947.642635242424</v>
      </c>
      <c r="AM336" s="195">
        <f t="shared" si="163"/>
        <v>19614.625075435386</v>
      </c>
      <c r="AN336" s="195">
        <f t="shared" si="163"/>
        <v>20089.697084660562</v>
      </c>
      <c r="AO336" s="195">
        <f t="shared" si="163"/>
        <v>20575.59754526884</v>
      </c>
      <c r="AP336" s="195">
        <f t="shared" si="163"/>
        <v>20958.013140954368</v>
      </c>
      <c r="AQ336" s="195">
        <f t="shared" si="163"/>
        <v>21262.841866130795</v>
      </c>
      <c r="AR336" s="195">
        <f t="shared" si="163"/>
        <v>21660.596923248555</v>
      </c>
      <c r="AS336" s="195">
        <f t="shared" si="163"/>
        <v>22080.433330372252</v>
      </c>
      <c r="AT336" s="195">
        <f t="shared" si="163"/>
        <v>22416.686938689876</v>
      </c>
      <c r="AU336" s="195">
        <f t="shared" si="163"/>
        <v>22926.697838585507</v>
      </c>
      <c r="AV336" s="195">
        <f t="shared" si="163"/>
        <v>23266.453140996393</v>
      </c>
      <c r="AW336" s="195">
        <f t="shared" si="163"/>
        <v>23507.770440319538</v>
      </c>
      <c r="AX336" s="195">
        <f t="shared" si="163"/>
        <v>23625.219889592649</v>
      </c>
      <c r="AY336" s="195">
        <f t="shared" si="163"/>
        <v>23651.201024507613</v>
      </c>
      <c r="AZ336" s="195">
        <f t="shared" si="163"/>
        <v>23686.711875794455</v>
      </c>
      <c r="BA336" s="195">
        <f t="shared" si="163"/>
        <v>23635.494036307056</v>
      </c>
      <c r="BB336" s="195">
        <f t="shared" si="163"/>
        <v>23695.184055670368</v>
      </c>
      <c r="BC336" s="195">
        <f t="shared" si="163"/>
        <v>23773.887333908915</v>
      </c>
      <c r="BD336" s="195">
        <f t="shared" si="163"/>
        <v>24056.028054602593</v>
      </c>
      <c r="BE336" s="195">
        <f t="shared" si="163"/>
        <v>24321.846267407316</v>
      </c>
      <c r="BF336" s="195">
        <f t="shared" si="163"/>
        <v>24715.355291699489</v>
      </c>
      <c r="BG336" s="195">
        <f t="shared" si="163"/>
        <v>25176.624073111794</v>
      </c>
      <c r="BH336" s="195">
        <f t="shared" si="163"/>
        <v>25635.75817072557</v>
      </c>
      <c r="BI336" s="195">
        <f t="shared" si="163"/>
        <v>26165.636513089277</v>
      </c>
      <c r="BJ336" s="195">
        <f t="shared" si="163"/>
        <v>26751.873812818314</v>
      </c>
      <c r="BK336" s="195">
        <f t="shared" si="163"/>
        <v>27530.605473581825</v>
      </c>
      <c r="BL336" s="195">
        <f t="shared" si="163"/>
        <v>28366.921021697792</v>
      </c>
      <c r="BM336" s="195">
        <f t="shared" si="163"/>
        <v>29393.380601087298</v>
      </c>
      <c r="BN336" s="195">
        <f t="shared" si="163"/>
        <v>30462.864016038642</v>
      </c>
      <c r="BO336" s="195">
        <f t="shared" si="163"/>
        <v>31511.785095542575</v>
      </c>
      <c r="BP336" s="195">
        <f t="shared" si="163"/>
        <v>32547.470320567802</v>
      </c>
      <c r="BQ336" s="195">
        <f t="shared" si="163"/>
        <v>33323.560270632086</v>
      </c>
    </row>
    <row r="337" spans="1:69" s="105" customFormat="1">
      <c r="A337" s="108" t="str">
        <f>$A$201</f>
        <v>Male total</v>
      </c>
      <c r="B337" s="114"/>
      <c r="C337" s="114"/>
      <c r="D337" s="114"/>
      <c r="E337" s="114"/>
      <c r="F337" s="114"/>
      <c r="G337" s="114"/>
      <c r="H337" s="114"/>
      <c r="I337" s="114"/>
      <c r="J337" s="114"/>
      <c r="K337" s="114"/>
      <c r="L337" s="114"/>
      <c r="M337" s="114">
        <f>SUM(M$271:M$336)</f>
        <v>1412616.0794270576</v>
      </c>
      <c r="N337" s="200">
        <f t="shared" ref="N337:BQ337" si="164">SUM(N$271:N$336)</f>
        <v>1449065.8468520341</v>
      </c>
      <c r="O337" s="200">
        <f t="shared" si="164"/>
        <v>1477965.0635702421</v>
      </c>
      <c r="P337" s="200">
        <f t="shared" si="164"/>
        <v>1519953.7589880624</v>
      </c>
      <c r="Q337" s="200">
        <f t="shared" si="164"/>
        <v>1531606.2257054588</v>
      </c>
      <c r="R337" s="200">
        <f t="shared" si="164"/>
        <v>1546687.9199686176</v>
      </c>
      <c r="S337" s="200">
        <f t="shared" si="164"/>
        <v>1563250.913135529</v>
      </c>
      <c r="T337" s="200">
        <f t="shared" si="164"/>
        <v>1580226.5333495857</v>
      </c>
      <c r="U337" s="200">
        <f t="shared" si="164"/>
        <v>1597135.5935659092</v>
      </c>
      <c r="V337" s="200">
        <f t="shared" si="164"/>
        <v>1613815.465117834</v>
      </c>
      <c r="W337" s="200">
        <f t="shared" si="164"/>
        <v>1630241.3602564575</v>
      </c>
      <c r="X337" s="200">
        <f t="shared" si="164"/>
        <v>1646284.8560742014</v>
      </c>
      <c r="Y337" s="200">
        <f t="shared" si="164"/>
        <v>1661935.8455184158</v>
      </c>
      <c r="Z337" s="200">
        <f t="shared" si="164"/>
        <v>1677220.366412305</v>
      </c>
      <c r="AA337" s="200">
        <f t="shared" si="164"/>
        <v>1691990.3541789367</v>
      </c>
      <c r="AB337" s="200">
        <f t="shared" si="164"/>
        <v>1706350.2334058189</v>
      </c>
      <c r="AC337" s="200">
        <f t="shared" si="164"/>
        <v>1720119.7013773907</v>
      </c>
      <c r="AD337" s="200">
        <f t="shared" si="164"/>
        <v>1733313.3763220049</v>
      </c>
      <c r="AE337" s="200">
        <f t="shared" si="164"/>
        <v>1746053.3052018576</v>
      </c>
      <c r="AF337" s="200">
        <f t="shared" si="164"/>
        <v>1758008.0189670653</v>
      </c>
      <c r="AG337" s="200">
        <f t="shared" si="164"/>
        <v>1769536.5374996176</v>
      </c>
      <c r="AH337" s="200">
        <f t="shared" si="164"/>
        <v>1780801.1974718925</v>
      </c>
      <c r="AI337" s="200">
        <f t="shared" si="164"/>
        <v>1791554.7701788249</v>
      </c>
      <c r="AJ337" s="200">
        <f t="shared" si="164"/>
        <v>1802078.1756307606</v>
      </c>
      <c r="AK337" s="200">
        <f t="shared" si="164"/>
        <v>1812528.5487523947</v>
      </c>
      <c r="AL337" s="200">
        <f t="shared" si="164"/>
        <v>1822745.2787654749</v>
      </c>
      <c r="AM337" s="200">
        <f t="shared" si="164"/>
        <v>1832874.2460639421</v>
      </c>
      <c r="AN337" s="200">
        <f t="shared" si="164"/>
        <v>1842583.2780046754</v>
      </c>
      <c r="AO337" s="200">
        <f t="shared" si="164"/>
        <v>1852178.8920605623</v>
      </c>
      <c r="AP337" s="200">
        <f t="shared" si="164"/>
        <v>1861692.2662410391</v>
      </c>
      <c r="AQ337" s="200">
        <f t="shared" si="164"/>
        <v>1870797.7041157952</v>
      </c>
      <c r="AR337" s="200">
        <f t="shared" si="164"/>
        <v>1879599.6137536233</v>
      </c>
      <c r="AS337" s="200">
        <f t="shared" si="164"/>
        <v>1887878.5108873446</v>
      </c>
      <c r="AT337" s="200">
        <f t="shared" si="164"/>
        <v>1895954.7273821519</v>
      </c>
      <c r="AU337" s="200">
        <f t="shared" si="164"/>
        <v>1903598.8426811839</v>
      </c>
      <c r="AV337" s="200">
        <f t="shared" si="164"/>
        <v>1910638.9148978465</v>
      </c>
      <c r="AW337" s="200">
        <f t="shared" si="164"/>
        <v>1917268.2313739506</v>
      </c>
      <c r="AX337" s="200">
        <f t="shared" si="164"/>
        <v>1923405.1081201138</v>
      </c>
      <c r="AY337" s="200">
        <f t="shared" si="164"/>
        <v>1929233.4911778991</v>
      </c>
      <c r="AZ337" s="200">
        <f t="shared" si="164"/>
        <v>1934594.0378934327</v>
      </c>
      <c r="BA337" s="200">
        <f t="shared" si="164"/>
        <v>1939464.1493768699</v>
      </c>
      <c r="BB337" s="200">
        <f t="shared" si="164"/>
        <v>1944238.2134630342</v>
      </c>
      <c r="BC337" s="200">
        <f t="shared" si="164"/>
        <v>1948606.2492319101</v>
      </c>
      <c r="BD337" s="200">
        <f t="shared" si="164"/>
        <v>1952824.9848138043</v>
      </c>
      <c r="BE337" s="200">
        <f t="shared" si="164"/>
        <v>1956891.2740581494</v>
      </c>
      <c r="BF337" s="200">
        <f t="shared" si="164"/>
        <v>1961033.2006974337</v>
      </c>
      <c r="BG337" s="200">
        <f t="shared" si="164"/>
        <v>1964911.6567177409</v>
      </c>
      <c r="BH337" s="200">
        <f t="shared" si="164"/>
        <v>1968853.0581113889</v>
      </c>
      <c r="BI337" s="200">
        <f t="shared" si="164"/>
        <v>1972705.5637760703</v>
      </c>
      <c r="BJ337" s="200">
        <f t="shared" si="164"/>
        <v>1976629.3349041473</v>
      </c>
      <c r="BK337" s="200">
        <f t="shared" si="164"/>
        <v>1980412.1316068762</v>
      </c>
      <c r="BL337" s="200">
        <f t="shared" si="164"/>
        <v>1984134.0861075227</v>
      </c>
      <c r="BM337" s="200">
        <f t="shared" si="164"/>
        <v>1987700.180841109</v>
      </c>
      <c r="BN337" s="200">
        <f t="shared" si="164"/>
        <v>1990944.6647301347</v>
      </c>
      <c r="BO337" s="200">
        <f t="shared" si="164"/>
        <v>1993962.6619908365</v>
      </c>
      <c r="BP337" s="200">
        <f t="shared" si="164"/>
        <v>1996692.5411803846</v>
      </c>
      <c r="BQ337" s="200">
        <f t="shared" si="164"/>
        <v>1999046.0437068914</v>
      </c>
    </row>
    <row r="338" spans="1:69" s="124" customFormat="1">
      <c r="A338" s="108" t="s">
        <v>1047</v>
      </c>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c r="AA338" s="114"/>
      <c r="AB338" s="114"/>
      <c r="AC338" s="114"/>
      <c r="AD338" s="114"/>
      <c r="AE338" s="114"/>
      <c r="AF338" s="114"/>
      <c r="AG338" s="114"/>
      <c r="AH338" s="114"/>
      <c r="AI338" s="114"/>
      <c r="AJ338" s="114"/>
      <c r="AK338" s="114"/>
      <c r="AL338" s="114"/>
      <c r="AM338" s="114"/>
      <c r="AN338" s="114"/>
      <c r="AO338" s="114"/>
      <c r="AP338" s="114"/>
      <c r="AQ338" s="114"/>
      <c r="AR338" s="114"/>
      <c r="AS338" s="114"/>
      <c r="AT338" s="114"/>
      <c r="AU338" s="114"/>
      <c r="AV338" s="114"/>
      <c r="AW338" s="114"/>
      <c r="AX338" s="114"/>
      <c r="AY338" s="114"/>
      <c r="AZ338" s="114"/>
      <c r="BA338" s="114"/>
      <c r="BB338" s="114"/>
      <c r="BC338" s="114"/>
      <c r="BD338" s="114"/>
      <c r="BE338" s="114"/>
      <c r="BF338" s="114"/>
      <c r="BG338" s="114"/>
      <c r="BH338" s="114"/>
      <c r="BI338" s="114"/>
      <c r="BJ338" s="114"/>
      <c r="BK338" s="114"/>
      <c r="BL338" s="114"/>
      <c r="BM338" s="200"/>
      <c r="BN338" s="200"/>
      <c r="BO338" s="200"/>
      <c r="BP338" s="200"/>
      <c r="BQ338" s="200"/>
    </row>
    <row r="339" spans="1:69" s="124" customFormat="1">
      <c r="A339" s="124">
        <f>$A$32</f>
        <v>15</v>
      </c>
      <c r="B339" s="114"/>
      <c r="C339" s="114"/>
      <c r="D339" s="114"/>
      <c r="E339" s="114"/>
      <c r="F339" s="114"/>
      <c r="G339" s="114"/>
      <c r="H339" s="114"/>
      <c r="I339" s="114"/>
      <c r="J339" s="114"/>
      <c r="K339" s="114"/>
      <c r="L339" s="114"/>
      <c r="M339" s="158">
        <v>0.20006887052341599</v>
      </c>
      <c r="N339" s="158">
        <v>0.19674965421853388</v>
      </c>
      <c r="O339" s="158">
        <v>0.19363574813811782</v>
      </c>
      <c r="P339" s="158">
        <v>0.19097693351424694</v>
      </c>
      <c r="Q339" s="158">
        <v>0.1881417687976151</v>
      </c>
      <c r="R339" s="158">
        <v>0.18583227445997458</v>
      </c>
      <c r="S339" s="158">
        <v>0.18329253365973072</v>
      </c>
      <c r="T339" s="158">
        <v>0.18131188118811881</v>
      </c>
      <c r="U339" s="158">
        <v>0.17921686746987953</v>
      </c>
      <c r="V339" s="158">
        <v>0.17720745493431103</v>
      </c>
      <c r="W339" s="158">
        <v>0.17550387596899225</v>
      </c>
      <c r="X339" s="158">
        <v>0.1737354696826893</v>
      </c>
      <c r="Y339" s="158">
        <v>0.17222402071867918</v>
      </c>
      <c r="Z339" s="158">
        <v>0.17066839714471121</v>
      </c>
      <c r="AA339" s="158">
        <v>0.16942551119766311</v>
      </c>
      <c r="AB339" s="158">
        <v>0.16821234409977615</v>
      </c>
      <c r="AC339" s="158">
        <v>0.16708542713567839</v>
      </c>
      <c r="AD339" s="158">
        <v>0.16599690880989182</v>
      </c>
      <c r="AE339" s="158">
        <v>0.16534472239170225</v>
      </c>
      <c r="AF339" s="158">
        <v>0.16420162994265017</v>
      </c>
      <c r="AG339" s="158">
        <v>0.16366906474820145</v>
      </c>
      <c r="AH339" s="158">
        <v>0.16268656716417909</v>
      </c>
      <c r="AI339" s="158">
        <v>0.16209773539928488</v>
      </c>
      <c r="AJ339" s="158">
        <v>0.16175156389633602</v>
      </c>
      <c r="AK339" s="158">
        <v>0.16114592658907789</v>
      </c>
      <c r="AL339" s="158">
        <v>0.16052710392333033</v>
      </c>
      <c r="AM339" s="158">
        <v>0.16034897713598076</v>
      </c>
      <c r="AN339" s="158">
        <v>0.15980629539951574</v>
      </c>
      <c r="AO339" s="158">
        <v>0.15965874466788543</v>
      </c>
      <c r="AP339" s="158">
        <v>0.15925130408100643</v>
      </c>
      <c r="AQ339" s="158">
        <v>0.15914709517923362</v>
      </c>
      <c r="AR339" s="158">
        <v>0.15863141524105753</v>
      </c>
      <c r="AS339" s="158">
        <v>0.15858617453862997</v>
      </c>
      <c r="AT339" s="158">
        <v>0.15834118755890669</v>
      </c>
      <c r="AU339" s="158">
        <v>0.15816005040957781</v>
      </c>
      <c r="AV339" s="158">
        <v>0.1580441640378549</v>
      </c>
      <c r="AW339" s="158">
        <v>0.1580441640378549</v>
      </c>
      <c r="AX339" s="158">
        <v>0.15811023622047243</v>
      </c>
      <c r="AY339" s="158">
        <v>0.15807668133249528</v>
      </c>
      <c r="AZ339" s="158">
        <v>0.15794421811344406</v>
      </c>
      <c r="BA339" s="158">
        <v>0.15776319900031241</v>
      </c>
      <c r="BB339" s="158">
        <v>0.15794392523364487</v>
      </c>
      <c r="BC339" s="158">
        <v>0.15776397515527951</v>
      </c>
      <c r="BD339" s="158">
        <v>0.15794363580055745</v>
      </c>
      <c r="BE339" s="158">
        <v>0.15781346510191477</v>
      </c>
      <c r="BF339" s="158">
        <v>0.15773259396179914</v>
      </c>
      <c r="BG339" s="158">
        <v>0.15765212046711741</v>
      </c>
      <c r="BH339" s="158">
        <v>0.15792701625268324</v>
      </c>
      <c r="BI339" s="158">
        <v>0.15784643621902722</v>
      </c>
      <c r="BJ339" s="158">
        <v>0.15776624961855357</v>
      </c>
      <c r="BK339" s="158">
        <v>0.15773447015834349</v>
      </c>
      <c r="BL339" s="158">
        <v>0.15770282588878759</v>
      </c>
      <c r="BM339" s="158">
        <v>0.15771913861085834</v>
      </c>
      <c r="BN339" s="158">
        <v>0.1577831617201696</v>
      </c>
      <c r="BO339" s="158">
        <v>0.15763993948562785</v>
      </c>
      <c r="BP339" s="158">
        <v>0.15784699123072271</v>
      </c>
      <c r="BQ339" s="158">
        <v>0.15784699123072271</v>
      </c>
    </row>
    <row r="340" spans="1:69" s="124" customFormat="1">
      <c r="A340" s="124">
        <f>$A$33</f>
        <v>16</v>
      </c>
      <c r="B340" s="114"/>
      <c r="C340" s="114"/>
      <c r="D340" s="114"/>
      <c r="E340" s="114"/>
      <c r="F340" s="114"/>
      <c r="G340" s="114"/>
      <c r="H340" s="114"/>
      <c r="I340" s="114"/>
      <c r="J340" s="114"/>
      <c r="K340" s="114"/>
      <c r="L340" s="114"/>
      <c r="M340" s="158">
        <v>0.36030134294136912</v>
      </c>
      <c r="N340" s="158">
        <v>0.35913102511880518</v>
      </c>
      <c r="O340" s="158">
        <v>0.35823950870010235</v>
      </c>
      <c r="P340" s="158">
        <v>0.35719063545150503</v>
      </c>
      <c r="Q340" s="158">
        <v>0.35637583892617447</v>
      </c>
      <c r="R340" s="158">
        <v>0.35531496062992124</v>
      </c>
      <c r="S340" s="158">
        <v>0.35473717343405731</v>
      </c>
      <c r="T340" s="158">
        <v>0.35395814376706097</v>
      </c>
      <c r="U340" s="158">
        <v>0.35326586936522542</v>
      </c>
      <c r="V340" s="158">
        <v>0.35264257987458941</v>
      </c>
      <c r="W340" s="158">
        <v>0.35190793458509995</v>
      </c>
      <c r="X340" s="158">
        <v>0.35156730178242163</v>
      </c>
      <c r="Y340" s="158">
        <v>0.35118306351183065</v>
      </c>
      <c r="Z340" s="158">
        <v>0.35043283103558831</v>
      </c>
      <c r="AA340" s="158">
        <v>0.35004821600771457</v>
      </c>
      <c r="AB340" s="158">
        <v>0.34983922829581993</v>
      </c>
      <c r="AC340" s="158">
        <v>0.34949302915082381</v>
      </c>
      <c r="AD340" s="158">
        <v>0.34920634920634919</v>
      </c>
      <c r="AE340" s="158">
        <v>0.34865196078431371</v>
      </c>
      <c r="AF340" s="158">
        <v>0.34854897218863362</v>
      </c>
      <c r="AG340" s="158">
        <v>0.348294434470377</v>
      </c>
      <c r="AH340" s="158">
        <v>0.34799405646359582</v>
      </c>
      <c r="AI340" s="158">
        <v>0.34773601657295056</v>
      </c>
      <c r="AJ340" s="158">
        <v>0.34760779681039577</v>
      </c>
      <c r="AK340" s="158">
        <v>0.34731246308328412</v>
      </c>
      <c r="AL340" s="158">
        <v>0.34733727810650888</v>
      </c>
      <c r="AM340" s="158">
        <v>0.34698723656871477</v>
      </c>
      <c r="AN340" s="158">
        <v>0.3468535639725619</v>
      </c>
      <c r="AO340" s="158">
        <v>0.34673065386922614</v>
      </c>
      <c r="AP340" s="158">
        <v>0.34661835748792269</v>
      </c>
      <c r="AQ340" s="158">
        <v>0.34660991182730311</v>
      </c>
      <c r="AR340" s="158">
        <v>0.3466013472137171</v>
      </c>
      <c r="AS340" s="158">
        <v>0.34648581997533906</v>
      </c>
      <c r="AT340" s="158">
        <v>0.34655920644761312</v>
      </c>
      <c r="AU340" s="158">
        <v>0.34651307596513076</v>
      </c>
      <c r="AV340" s="158">
        <v>0.34655010927255697</v>
      </c>
      <c r="AW340" s="158">
        <v>0.34635823694904655</v>
      </c>
      <c r="AX340" s="158">
        <v>0.34625</v>
      </c>
      <c r="AY340" s="158">
        <v>0.34644194756554308</v>
      </c>
      <c r="AZ340" s="158">
        <v>0.34620174346201743</v>
      </c>
      <c r="BA340" s="158">
        <v>0.34627329192546585</v>
      </c>
      <c r="BB340" s="158">
        <v>0.34643962848297216</v>
      </c>
      <c r="BC340" s="158">
        <v>0.34629629629629627</v>
      </c>
      <c r="BD340" s="158">
        <v>0.34615384615384615</v>
      </c>
      <c r="BE340" s="158">
        <v>0.34611844123964408</v>
      </c>
      <c r="BF340" s="158">
        <v>0.34618916437098257</v>
      </c>
      <c r="BG340" s="158">
        <v>0.3462595419847328</v>
      </c>
      <c r="BH340" s="158">
        <v>0.34632957660676211</v>
      </c>
      <c r="BI340" s="158">
        <v>0.3463992707383774</v>
      </c>
      <c r="BJ340" s="158">
        <v>0.34616550469839347</v>
      </c>
      <c r="BK340" s="158">
        <v>0.34633998790078646</v>
      </c>
      <c r="BL340" s="158">
        <v>0.3461074230537115</v>
      </c>
      <c r="BM340" s="158">
        <v>0.34638554216867468</v>
      </c>
      <c r="BN340" s="158">
        <v>0.34636199639206255</v>
      </c>
      <c r="BO340" s="158">
        <v>0.34644250975682978</v>
      </c>
      <c r="BP340" s="158">
        <v>0.34632683658170915</v>
      </c>
      <c r="BQ340" s="158">
        <v>0.34611926880431526</v>
      </c>
    </row>
    <row r="341" spans="1:69" s="124" customFormat="1">
      <c r="A341" s="124">
        <f>$A$34</f>
        <v>17</v>
      </c>
      <c r="B341" s="114"/>
      <c r="C341" s="114"/>
      <c r="D341" s="114"/>
      <c r="E341" s="114"/>
      <c r="F341" s="114"/>
      <c r="G341" s="114"/>
      <c r="H341" s="114"/>
      <c r="I341" s="114"/>
      <c r="J341" s="114"/>
      <c r="K341" s="114"/>
      <c r="L341" s="114"/>
      <c r="M341" s="158">
        <v>0.48213146139119334</v>
      </c>
      <c r="N341" s="158">
        <v>0.47837314396384767</v>
      </c>
      <c r="O341" s="158">
        <v>0.47505858721124872</v>
      </c>
      <c r="P341" s="158">
        <v>0.47153923880094306</v>
      </c>
      <c r="Q341" s="158">
        <v>0.4685846560846561</v>
      </c>
      <c r="R341" s="158">
        <v>0.46562603786117568</v>
      </c>
      <c r="S341" s="158">
        <v>0.46281260149399156</v>
      </c>
      <c r="T341" s="158">
        <v>0.46009975062344138</v>
      </c>
      <c r="U341" s="158">
        <v>0.45763221153846156</v>
      </c>
      <c r="V341" s="158">
        <v>0.45534629404617255</v>
      </c>
      <c r="W341" s="158">
        <v>0.4532544378698225</v>
      </c>
      <c r="X341" s="158">
        <v>0.45124512451245125</v>
      </c>
      <c r="Y341" s="158">
        <v>0.44961948249619482</v>
      </c>
      <c r="Z341" s="158">
        <v>0.44804193647856921</v>
      </c>
      <c r="AA341" s="158">
        <v>0.44634920634920633</v>
      </c>
      <c r="AB341" s="158">
        <v>0.44493952896244432</v>
      </c>
      <c r="AC341" s="158">
        <v>0.44348933460681311</v>
      </c>
      <c r="AD341" s="158">
        <v>0.44228356336260977</v>
      </c>
      <c r="AE341" s="158">
        <v>0.44143033292231815</v>
      </c>
      <c r="AF341" s="158">
        <v>0.44036418816388467</v>
      </c>
      <c r="AG341" s="158">
        <v>0.43935309973045822</v>
      </c>
      <c r="AH341" s="158">
        <v>0.43848206344500446</v>
      </c>
      <c r="AI341" s="158">
        <v>0.4375736160188457</v>
      </c>
      <c r="AJ341" s="158">
        <v>0.43695014662756598</v>
      </c>
      <c r="AK341" s="158">
        <v>0.43634767339771729</v>
      </c>
      <c r="AL341" s="158">
        <v>0.43576236464735146</v>
      </c>
      <c r="AM341" s="158">
        <v>0.43535620052770446</v>
      </c>
      <c r="AN341" s="158">
        <v>0.435</v>
      </c>
      <c r="AO341" s="158">
        <v>0.43469267139479906</v>
      </c>
      <c r="AP341" s="158">
        <v>0.43417533432392275</v>
      </c>
      <c r="AQ341" s="158">
        <v>0.43404128028716721</v>
      </c>
      <c r="AR341" s="158">
        <v>0.43373493975903615</v>
      </c>
      <c r="AS341" s="158">
        <v>0.43342432514407037</v>
      </c>
      <c r="AT341" s="158">
        <v>0.43315018315018317</v>
      </c>
      <c r="AU341" s="158">
        <v>0.4330877839165132</v>
      </c>
      <c r="AV341" s="158">
        <v>0.43279901356350187</v>
      </c>
      <c r="AW341" s="158">
        <v>0.43276661514683151</v>
      </c>
      <c r="AX341" s="158">
        <v>0.43268337975858867</v>
      </c>
      <c r="AY341" s="158">
        <v>0.43268337975858867</v>
      </c>
      <c r="AZ341" s="158">
        <v>0.43263288009888751</v>
      </c>
      <c r="BA341" s="158">
        <v>0.43262411347517732</v>
      </c>
      <c r="BB341" s="158">
        <v>0.4323493234932349</v>
      </c>
      <c r="BC341" s="158">
        <v>0.43268935909230299</v>
      </c>
      <c r="BD341" s="158">
        <v>0.43258942219504737</v>
      </c>
      <c r="BE341" s="158">
        <v>0.43249009448338921</v>
      </c>
      <c r="BF341" s="158">
        <v>0.43252279635258356</v>
      </c>
      <c r="BG341" s="158">
        <v>0.43255531979387696</v>
      </c>
      <c r="BH341" s="158">
        <v>0.43241608708799517</v>
      </c>
      <c r="BI341" s="158">
        <v>0.43227752639517347</v>
      </c>
      <c r="BJ341" s="158">
        <v>0.4325707405177604</v>
      </c>
      <c r="BK341" s="158">
        <v>0.43243243243243246</v>
      </c>
      <c r="BL341" s="158">
        <v>0.43229478729778309</v>
      </c>
      <c r="BM341" s="158">
        <v>0.43228699551569505</v>
      </c>
      <c r="BN341" s="158">
        <v>0.43227923627684967</v>
      </c>
      <c r="BO341" s="158">
        <v>0.43240023823704588</v>
      </c>
      <c r="BP341" s="158">
        <v>0.43235206660719594</v>
      </c>
      <c r="BQ341" s="158">
        <v>0.43243243243243246</v>
      </c>
    </row>
    <row r="342" spans="1:69" s="124" customFormat="1">
      <c r="A342" s="124">
        <f>$A$35</f>
        <v>18</v>
      </c>
      <c r="B342" s="114"/>
      <c r="C342" s="114"/>
      <c r="D342" s="114"/>
      <c r="E342" s="114"/>
      <c r="F342" s="114"/>
      <c r="G342" s="114"/>
      <c r="H342" s="114"/>
      <c r="I342" s="114"/>
      <c r="J342" s="114"/>
      <c r="K342" s="114"/>
      <c r="L342" s="114"/>
      <c r="M342" s="158">
        <v>0.56859557867360211</v>
      </c>
      <c r="N342" s="158">
        <v>0.5640864932623002</v>
      </c>
      <c r="O342" s="158">
        <v>0.55986027310257225</v>
      </c>
      <c r="P342" s="158">
        <v>0.55592213790828104</v>
      </c>
      <c r="Q342" s="158">
        <v>0.55222887558216904</v>
      </c>
      <c r="R342" s="158">
        <v>0.54878847413228549</v>
      </c>
      <c r="S342" s="158">
        <v>0.54521538967444916</v>
      </c>
      <c r="T342" s="158">
        <v>0.54229655837890001</v>
      </c>
      <c r="U342" s="158">
        <v>0.53922174181593574</v>
      </c>
      <c r="V342" s="158">
        <v>0.53646918725811255</v>
      </c>
      <c r="W342" s="158">
        <v>0.53385495034607278</v>
      </c>
      <c r="X342" s="158">
        <v>0.53167155425219936</v>
      </c>
      <c r="Y342" s="158">
        <v>0.52958667856080877</v>
      </c>
      <c r="Z342" s="158">
        <v>0.52760180995475114</v>
      </c>
      <c r="AA342" s="158">
        <v>0.52565668906536345</v>
      </c>
      <c r="AB342" s="158">
        <v>0.52389937106918238</v>
      </c>
      <c r="AC342" s="158">
        <v>0.52221872045382922</v>
      </c>
      <c r="AD342" s="158">
        <v>0.52097130242825607</v>
      </c>
      <c r="AE342" s="158">
        <v>0.51957737725295217</v>
      </c>
      <c r="AF342" s="158">
        <v>0.51847328244274804</v>
      </c>
      <c r="AG342" s="158">
        <v>0.51713770294648231</v>
      </c>
      <c r="AH342" s="158">
        <v>0.51617690709409325</v>
      </c>
      <c r="AI342" s="158">
        <v>0.51542756391419331</v>
      </c>
      <c r="AJ342" s="158">
        <v>0.51444412022176833</v>
      </c>
      <c r="AK342" s="158">
        <v>0.51395348837209298</v>
      </c>
      <c r="AL342" s="158">
        <v>0.51319988395706406</v>
      </c>
      <c r="AM342" s="158">
        <v>0.51247099767981441</v>
      </c>
      <c r="AN342" s="158">
        <v>0.51191167925624637</v>
      </c>
      <c r="AO342" s="158">
        <v>0.51151267851938209</v>
      </c>
      <c r="AP342" s="158">
        <v>0.51127379209370427</v>
      </c>
      <c r="AQ342" s="158">
        <v>0.51104565537555224</v>
      </c>
      <c r="AR342" s="158">
        <v>0.51037344398340245</v>
      </c>
      <c r="AS342" s="158">
        <v>0.5104477611940299</v>
      </c>
      <c r="AT342" s="158">
        <v>0.51006913134956422</v>
      </c>
      <c r="AU342" s="158">
        <v>0.50998185117967332</v>
      </c>
      <c r="AV342" s="158">
        <v>0.50973236009732359</v>
      </c>
      <c r="AW342" s="158">
        <v>0.50946854001221742</v>
      </c>
      <c r="AX342" s="158">
        <v>0.50934150076569673</v>
      </c>
      <c r="AY342" s="158">
        <v>0.50935295921496471</v>
      </c>
      <c r="AZ342" s="158">
        <v>0.50919681177191911</v>
      </c>
      <c r="BA342" s="158">
        <v>0.50918554807103489</v>
      </c>
      <c r="BB342" s="158">
        <v>0.50916310323762981</v>
      </c>
      <c r="BC342" s="158">
        <v>0.50914076782449724</v>
      </c>
      <c r="BD342" s="158">
        <v>0.50911300121506686</v>
      </c>
      <c r="BE342" s="158">
        <v>0.50908540278619019</v>
      </c>
      <c r="BF342" s="158">
        <v>0.50905797101449279</v>
      </c>
      <c r="BG342" s="158">
        <v>0.50918398072869619</v>
      </c>
      <c r="BH342" s="158">
        <v>0.50916191048362869</v>
      </c>
      <c r="BI342" s="158">
        <v>0.5089874176153385</v>
      </c>
      <c r="BJ342" s="158">
        <v>0.509118086696562</v>
      </c>
      <c r="BK342" s="158">
        <v>0.50909633164330448</v>
      </c>
      <c r="BL342" s="158">
        <v>0.50907468015471591</v>
      </c>
      <c r="BM342" s="158">
        <v>0.50920427553444181</v>
      </c>
      <c r="BN342" s="158">
        <v>0.50918246445497628</v>
      </c>
      <c r="BO342" s="158">
        <v>0.50901566656813479</v>
      </c>
      <c r="BP342" s="158">
        <v>0.5089997049277073</v>
      </c>
      <c r="BQ342" s="158">
        <v>0.50913376546847378</v>
      </c>
    </row>
    <row r="343" spans="1:69" s="124" customFormat="1">
      <c r="A343" s="124">
        <f>$A$36</f>
        <v>19</v>
      </c>
      <c r="B343" s="114"/>
      <c r="C343" s="114"/>
      <c r="D343" s="114"/>
      <c r="E343" s="114"/>
      <c r="F343" s="114"/>
      <c r="G343" s="114"/>
      <c r="H343" s="114"/>
      <c r="I343" s="114"/>
      <c r="J343" s="114"/>
      <c r="K343" s="114"/>
      <c r="L343" s="114"/>
      <c r="M343" s="158">
        <v>0.62816901408450709</v>
      </c>
      <c r="N343" s="158">
        <v>0.62404580152671751</v>
      </c>
      <c r="O343" s="158">
        <v>0.62049861495844871</v>
      </c>
      <c r="P343" s="158">
        <v>0.61702127659574468</v>
      </c>
      <c r="Q343" s="158">
        <v>0.6139550048907727</v>
      </c>
      <c r="R343" s="158">
        <v>0.61101946552292974</v>
      </c>
      <c r="S343" s="158">
        <v>0.60811688311688317</v>
      </c>
      <c r="T343" s="158">
        <v>0.60547766547114446</v>
      </c>
      <c r="U343" s="158">
        <v>0.60318979266347683</v>
      </c>
      <c r="V343" s="158">
        <v>0.60098069261415876</v>
      </c>
      <c r="W343" s="158">
        <v>0.59869976359338062</v>
      </c>
      <c r="X343" s="158">
        <v>0.59677419354838712</v>
      </c>
      <c r="Y343" s="158">
        <v>0.5948777648428405</v>
      </c>
      <c r="Z343" s="158">
        <v>0.59327036599763872</v>
      </c>
      <c r="AA343" s="158">
        <v>0.59143968871595332</v>
      </c>
      <c r="AB343" s="158">
        <v>0.59017884207335558</v>
      </c>
      <c r="AC343" s="158">
        <v>0.58858390517779169</v>
      </c>
      <c r="AD343" s="158">
        <v>0.58755472170106315</v>
      </c>
      <c r="AE343" s="158">
        <v>0.58648733187363156</v>
      </c>
      <c r="AF343" s="158">
        <v>0.58556891766882513</v>
      </c>
      <c r="AG343" s="158">
        <v>0.58454545454545459</v>
      </c>
      <c r="AH343" s="158">
        <v>0.58370635631154877</v>
      </c>
      <c r="AI343" s="158">
        <v>0.58291605301914584</v>
      </c>
      <c r="AJ343" s="158">
        <v>0.58209390492855062</v>
      </c>
      <c r="AK343" s="158">
        <v>0.58169177288528384</v>
      </c>
      <c r="AL343" s="158">
        <v>0.58107328332371611</v>
      </c>
      <c r="AM343" s="158">
        <v>0.58047797293406278</v>
      </c>
      <c r="AN343" s="158">
        <v>0.58019003743161535</v>
      </c>
      <c r="AO343" s="158">
        <v>0.57975194692818</v>
      </c>
      <c r="AP343" s="158">
        <v>0.57928240740740744</v>
      </c>
      <c r="AQ343" s="158">
        <v>0.57906976744186045</v>
      </c>
      <c r="AR343" s="158">
        <v>0.5787781350482315</v>
      </c>
      <c r="AS343" s="158">
        <v>0.578699617534569</v>
      </c>
      <c r="AT343" s="158">
        <v>0.57849526066350709</v>
      </c>
      <c r="AU343" s="158">
        <v>0.57828810020876831</v>
      </c>
      <c r="AV343" s="158">
        <v>0.57803121248499401</v>
      </c>
      <c r="AW343" s="158">
        <v>0.57785153892576946</v>
      </c>
      <c r="AX343" s="158">
        <v>0.57787878787878788</v>
      </c>
      <c r="AY343" s="158">
        <v>0.57763597690671531</v>
      </c>
      <c r="AZ343" s="158">
        <v>0.57773045330088224</v>
      </c>
      <c r="BA343" s="158">
        <v>0.57755474452554745</v>
      </c>
      <c r="BB343" s="158">
        <v>0.57776427703523692</v>
      </c>
      <c r="BC343" s="158">
        <v>0.57775083358593515</v>
      </c>
      <c r="BD343" s="158">
        <v>0.57769044740024189</v>
      </c>
      <c r="BE343" s="158">
        <v>0.57745629897528628</v>
      </c>
      <c r="BF343" s="158">
        <v>0.57752403846153844</v>
      </c>
      <c r="BG343" s="158">
        <v>0.57776445909499552</v>
      </c>
      <c r="BH343" s="158">
        <v>0.57753211831490892</v>
      </c>
      <c r="BI343" s="158">
        <v>0.57764530551415794</v>
      </c>
      <c r="BJ343" s="158">
        <v>0.57775795420755283</v>
      </c>
      <c r="BK343" s="158">
        <v>0.57757342035004444</v>
      </c>
      <c r="BL343" s="158">
        <v>0.57768570583012724</v>
      </c>
      <c r="BM343" s="158">
        <v>0.57750221434898141</v>
      </c>
      <c r="BN343" s="158">
        <v>0.57748968768414854</v>
      </c>
      <c r="BO343" s="158">
        <v>0.57760141093474426</v>
      </c>
      <c r="BP343" s="158">
        <v>0.57775821596244137</v>
      </c>
      <c r="BQ343" s="158">
        <v>0.57745241581259155</v>
      </c>
    </row>
    <row r="344" spans="1:69" s="124" customFormat="1">
      <c r="A344" s="124">
        <f>$A$37</f>
        <v>20</v>
      </c>
      <c r="B344" s="114"/>
      <c r="C344" s="114"/>
      <c r="D344" s="114"/>
      <c r="E344" s="114"/>
      <c r="F344" s="114"/>
      <c r="G344" s="114"/>
      <c r="H344" s="114"/>
      <c r="I344" s="114"/>
      <c r="J344" s="114"/>
      <c r="K344" s="114"/>
      <c r="L344" s="114"/>
      <c r="M344" s="158">
        <v>0.66898428053204351</v>
      </c>
      <c r="N344" s="158">
        <v>0.66656441717791415</v>
      </c>
      <c r="O344" s="158">
        <v>0.66458072590738426</v>
      </c>
      <c r="P344" s="158">
        <v>0.66251140164183642</v>
      </c>
      <c r="Q344" s="158">
        <v>0.66066997518610426</v>
      </c>
      <c r="R344" s="158">
        <v>0.65856031128404668</v>
      </c>
      <c r="S344" s="158">
        <v>0.65715223097112863</v>
      </c>
      <c r="T344" s="158">
        <v>0.65536175710594313</v>
      </c>
      <c r="U344" s="158">
        <v>0.65390853065196242</v>
      </c>
      <c r="V344" s="158">
        <v>0.65249127261186923</v>
      </c>
      <c r="W344" s="158">
        <v>0.65121951219512197</v>
      </c>
      <c r="X344" s="158">
        <v>0.64980887974125257</v>
      </c>
      <c r="Y344" s="158">
        <v>0.64873699851411593</v>
      </c>
      <c r="Z344" s="158">
        <v>0.64774044032444955</v>
      </c>
      <c r="AA344" s="158">
        <v>0.64698972099853158</v>
      </c>
      <c r="AB344" s="158">
        <v>0.64611260053619302</v>
      </c>
      <c r="AC344" s="158">
        <v>0.64505428226779249</v>
      </c>
      <c r="AD344" s="158">
        <v>0.64432029795158285</v>
      </c>
      <c r="AE344" s="158">
        <v>0.64385692068429234</v>
      </c>
      <c r="AF344" s="158">
        <v>0.64312383322962041</v>
      </c>
      <c r="AG344" s="158">
        <v>0.6426380368098159</v>
      </c>
      <c r="AH344" s="158">
        <v>0.64214651793789568</v>
      </c>
      <c r="AI344" s="158">
        <v>0.64162707838479816</v>
      </c>
      <c r="AJ344" s="158">
        <v>0.64097303634232117</v>
      </c>
      <c r="AK344" s="158">
        <v>0.64074289030760301</v>
      </c>
      <c r="AL344" s="158">
        <v>0.64053041222254248</v>
      </c>
      <c r="AM344" s="158">
        <v>0.63996554694229113</v>
      </c>
      <c r="AN344" s="158">
        <v>0.63982808022922633</v>
      </c>
      <c r="AO344" s="158">
        <v>0.63954154727793699</v>
      </c>
      <c r="AP344" s="158">
        <v>0.63949483352468428</v>
      </c>
      <c r="AQ344" s="158">
        <v>0.63921681543334297</v>
      </c>
      <c r="AR344" s="158">
        <v>0.63899334683251374</v>
      </c>
      <c r="AS344" s="158">
        <v>0.63903432228039558</v>
      </c>
      <c r="AT344" s="158">
        <v>0.63875878220140514</v>
      </c>
      <c r="AU344" s="158">
        <v>0.63866784556439726</v>
      </c>
      <c r="AV344" s="158">
        <v>0.63857566765578633</v>
      </c>
      <c r="AW344" s="158">
        <v>0.63869811884144523</v>
      </c>
      <c r="AX344" s="158">
        <v>0.63854698288802159</v>
      </c>
      <c r="AY344" s="158">
        <v>0.63852879107627369</v>
      </c>
      <c r="AZ344" s="158">
        <v>0.63845223700120923</v>
      </c>
      <c r="BA344" s="158">
        <v>0.63831719128329301</v>
      </c>
      <c r="BB344" s="158">
        <v>0.63842662632375191</v>
      </c>
      <c r="BC344" s="158">
        <v>0.63825929283771532</v>
      </c>
      <c r="BD344" s="158">
        <v>0.63822731383780529</v>
      </c>
      <c r="BE344" s="158">
        <v>0.63849624060150378</v>
      </c>
      <c r="BF344" s="158">
        <v>0.63838080959520238</v>
      </c>
      <c r="BG344" s="158">
        <v>0.63826606875934233</v>
      </c>
      <c r="BH344" s="158">
        <v>0.6381520119225037</v>
      </c>
      <c r="BI344" s="158">
        <v>0.63822829964328176</v>
      </c>
      <c r="BJ344" s="158">
        <v>0.63849347568208781</v>
      </c>
      <c r="BK344" s="158">
        <v>0.63827270038450168</v>
      </c>
      <c r="BL344" s="158">
        <v>0.63842975206611574</v>
      </c>
      <c r="BM344" s="158">
        <v>0.63839811542991753</v>
      </c>
      <c r="BN344" s="158">
        <v>0.6383666274970623</v>
      </c>
      <c r="BO344" s="158">
        <v>0.63852242744063326</v>
      </c>
      <c r="BP344" s="158">
        <v>0.63819830359754315</v>
      </c>
      <c r="BQ344" s="158">
        <v>0.63835376532399302</v>
      </c>
    </row>
    <row r="345" spans="1:69" s="124" customFormat="1">
      <c r="A345" s="124">
        <f>$A$38</f>
        <v>21</v>
      </c>
      <c r="B345" s="114"/>
      <c r="C345" s="114"/>
      <c r="D345" s="114"/>
      <c r="E345" s="114"/>
      <c r="F345" s="114"/>
      <c r="G345" s="114"/>
      <c r="H345" s="114"/>
      <c r="I345" s="114"/>
      <c r="J345" s="114"/>
      <c r="K345" s="114"/>
      <c r="L345" s="114"/>
      <c r="M345" s="158">
        <v>0.69495620658411361</v>
      </c>
      <c r="N345" s="158">
        <v>0.69436997319034854</v>
      </c>
      <c r="O345" s="158">
        <v>0.69438543247344464</v>
      </c>
      <c r="P345" s="158">
        <v>0.69369369369369371</v>
      </c>
      <c r="Q345" s="158">
        <v>0.69354349802970594</v>
      </c>
      <c r="R345" s="158">
        <v>0.69326296181310154</v>
      </c>
      <c r="S345" s="158">
        <v>0.69318181818181823</v>
      </c>
      <c r="T345" s="158">
        <v>0.69261083743842367</v>
      </c>
      <c r="U345" s="158">
        <v>0.69253152279340446</v>
      </c>
      <c r="V345" s="158">
        <v>0.69220779220779216</v>
      </c>
      <c r="W345" s="158">
        <v>0.69186785260482841</v>
      </c>
      <c r="X345" s="158">
        <v>0.69200244200244199</v>
      </c>
      <c r="Y345" s="158">
        <v>0.69178687076832501</v>
      </c>
      <c r="Z345" s="158">
        <v>0.69146087473966078</v>
      </c>
      <c r="AA345" s="158">
        <v>0.69121484488257467</v>
      </c>
      <c r="AB345" s="158">
        <v>0.69106407995296881</v>
      </c>
      <c r="AC345" s="158">
        <v>0.69111508646392372</v>
      </c>
      <c r="AD345" s="158">
        <v>0.69112318840579712</v>
      </c>
      <c r="AE345" s="158">
        <v>0.69089779434607024</v>
      </c>
      <c r="AF345" s="158">
        <v>0.6905354919053549</v>
      </c>
      <c r="AG345" s="158">
        <v>0.69065420560747659</v>
      </c>
      <c r="AH345" s="158">
        <v>0.69051274178692046</v>
      </c>
      <c r="AI345" s="158">
        <v>0.69040434520217264</v>
      </c>
      <c r="AJ345" s="158">
        <v>0.69034175334323922</v>
      </c>
      <c r="AK345" s="158">
        <v>0.6904342723004695</v>
      </c>
      <c r="AL345" s="158">
        <v>0.69009584664536738</v>
      </c>
      <c r="AM345" s="158">
        <v>0.69013271783035202</v>
      </c>
      <c r="AN345" s="158">
        <v>0.69022988505747129</v>
      </c>
      <c r="AO345" s="158">
        <v>0.68999139661600228</v>
      </c>
      <c r="AP345" s="158">
        <v>0.68999139661600228</v>
      </c>
      <c r="AQ345" s="158">
        <v>0.69003160011490949</v>
      </c>
      <c r="AR345" s="158">
        <v>0.69020172910662825</v>
      </c>
      <c r="AS345" s="158">
        <v>0.69021424435437173</v>
      </c>
      <c r="AT345" s="158">
        <v>0.68995633187772931</v>
      </c>
      <c r="AU345" s="158">
        <v>0.69000878992089076</v>
      </c>
      <c r="AV345" s="158">
        <v>0.68997050147492622</v>
      </c>
      <c r="AW345" s="158">
        <v>0.68993168993168996</v>
      </c>
      <c r="AX345" s="158">
        <v>0.69007770472205621</v>
      </c>
      <c r="AY345" s="158">
        <v>0.68990384615384615</v>
      </c>
      <c r="AZ345" s="158">
        <v>0.69010259505129756</v>
      </c>
      <c r="BA345" s="158">
        <v>0.68986384266263234</v>
      </c>
      <c r="BB345" s="158">
        <v>0.69009391093607997</v>
      </c>
      <c r="BC345" s="158">
        <v>0.68988491823137488</v>
      </c>
      <c r="BD345" s="158">
        <v>0.68995765275257104</v>
      </c>
      <c r="BE345" s="158">
        <v>0.69000905523694533</v>
      </c>
      <c r="BF345" s="158">
        <v>0.68994581577363034</v>
      </c>
      <c r="BG345" s="158">
        <v>0.68997599039615842</v>
      </c>
      <c r="BH345" s="158">
        <v>0.6900059844404548</v>
      </c>
      <c r="BI345" s="158">
        <v>0.69003579952267302</v>
      </c>
      <c r="BJ345" s="158">
        <v>0.68997322225528113</v>
      </c>
      <c r="BK345" s="158">
        <v>0.69011576135351738</v>
      </c>
      <c r="BL345" s="158">
        <v>0.68975725281231492</v>
      </c>
      <c r="BM345" s="158">
        <v>0.69010339734121118</v>
      </c>
      <c r="BN345" s="158">
        <v>0.68994989684644858</v>
      </c>
      <c r="BO345" s="158">
        <v>0.68979711849456038</v>
      </c>
      <c r="BP345" s="158">
        <v>0.6901408450704225</v>
      </c>
      <c r="BQ345" s="158">
        <v>0.68998829039812648</v>
      </c>
    </row>
    <row r="346" spans="1:69" s="124" customFormat="1">
      <c r="A346" s="124">
        <f>$A$39</f>
        <v>22</v>
      </c>
      <c r="B346" s="114"/>
      <c r="C346" s="114"/>
      <c r="D346" s="114"/>
      <c r="E346" s="114"/>
      <c r="F346" s="114"/>
      <c r="G346" s="114"/>
      <c r="H346" s="114"/>
      <c r="I346" s="114"/>
      <c r="J346" s="114"/>
      <c r="K346" s="114"/>
      <c r="L346" s="114"/>
      <c r="M346" s="158">
        <v>0.72070196311719215</v>
      </c>
      <c r="N346" s="158">
        <v>0.72156045265038715</v>
      </c>
      <c r="O346" s="158">
        <v>0.7223042836041359</v>
      </c>
      <c r="P346" s="158">
        <v>0.72314674735249618</v>
      </c>
      <c r="Q346" s="158">
        <v>0.72376206789162256</v>
      </c>
      <c r="R346" s="158">
        <v>0.72463325183374083</v>
      </c>
      <c r="S346" s="158">
        <v>0.72510958046336882</v>
      </c>
      <c r="T346" s="158">
        <v>0.72560576293385726</v>
      </c>
      <c r="U346" s="158">
        <v>0.72630881378396284</v>
      </c>
      <c r="V346" s="158">
        <v>0.72700587084148727</v>
      </c>
      <c r="W346" s="158">
        <v>0.72748116606616442</v>
      </c>
      <c r="X346" s="158">
        <v>0.72765139378404353</v>
      </c>
      <c r="Y346" s="158">
        <v>0.72799999999999998</v>
      </c>
      <c r="Z346" s="158">
        <v>0.7285671907445862</v>
      </c>
      <c r="AA346" s="158">
        <v>0.72893553223388308</v>
      </c>
      <c r="AB346" s="158">
        <v>0.72939801285797778</v>
      </c>
      <c r="AC346" s="158">
        <v>0.72948148148148151</v>
      </c>
      <c r="AD346" s="158">
        <v>0.72956730769230771</v>
      </c>
      <c r="AE346" s="158">
        <v>0.7300669506999391</v>
      </c>
      <c r="AF346" s="158">
        <v>0.7300344503601629</v>
      </c>
      <c r="AG346" s="158">
        <v>0.73061224489795917</v>
      </c>
      <c r="AH346" s="158">
        <v>0.73084170854271358</v>
      </c>
      <c r="AI346" s="158">
        <v>0.73073351903435468</v>
      </c>
      <c r="AJ346" s="158">
        <v>0.7308394160583942</v>
      </c>
      <c r="AK346" s="158">
        <v>0.73105720275531594</v>
      </c>
      <c r="AL346" s="158">
        <v>0.73122412773506795</v>
      </c>
      <c r="AM346" s="158">
        <v>0.73155737704918034</v>
      </c>
      <c r="AN346" s="158">
        <v>0.73139534883720925</v>
      </c>
      <c r="AO346" s="158">
        <v>0.73153779322328405</v>
      </c>
      <c r="AP346" s="158">
        <v>0.73179190751445089</v>
      </c>
      <c r="AQ346" s="158">
        <v>0.7315804680728113</v>
      </c>
      <c r="AR346" s="158">
        <v>0.73169319826338641</v>
      </c>
      <c r="AS346" s="158">
        <v>0.73170731707317072</v>
      </c>
      <c r="AT346" s="158">
        <v>0.73191365227537919</v>
      </c>
      <c r="AU346" s="158">
        <v>0.73188618363156355</v>
      </c>
      <c r="AV346" s="158">
        <v>0.73191614998523769</v>
      </c>
      <c r="AW346" s="158">
        <v>0.73186682520808566</v>
      </c>
      <c r="AX346" s="158">
        <v>0.73211613289434296</v>
      </c>
      <c r="AY346" s="158">
        <v>0.73192771084337349</v>
      </c>
      <c r="AZ346" s="158">
        <v>0.73198061780738943</v>
      </c>
      <c r="BA346" s="158">
        <v>0.73205596107055959</v>
      </c>
      <c r="BB346" s="158">
        <v>0.73193046660567251</v>
      </c>
      <c r="BC346" s="158">
        <v>0.73190839694656484</v>
      </c>
      <c r="BD346" s="158">
        <v>0.73199023199023194</v>
      </c>
      <c r="BE346" s="158">
        <v>0.73201219512195126</v>
      </c>
      <c r="BF346" s="158">
        <v>0.73227867356251897</v>
      </c>
      <c r="BG346" s="158">
        <v>0.73209951456310685</v>
      </c>
      <c r="BH346" s="158">
        <v>0.73200241984271019</v>
      </c>
      <c r="BI346" s="158">
        <v>0.73190591073582634</v>
      </c>
      <c r="BJ346" s="158">
        <v>0.73180998196031266</v>
      </c>
      <c r="BK346" s="158">
        <v>0.73193403298350823</v>
      </c>
      <c r="BL346" s="158">
        <v>0.73227639844451087</v>
      </c>
      <c r="BM346" s="158">
        <v>0.7321002386634845</v>
      </c>
      <c r="BN346" s="158">
        <v>0.73206311402203039</v>
      </c>
      <c r="BO346" s="158">
        <v>0.73210573210573215</v>
      </c>
      <c r="BP346" s="158">
        <v>0.7321481481481481</v>
      </c>
      <c r="BQ346" s="158">
        <v>0.73211117681845062</v>
      </c>
    </row>
    <row r="347" spans="1:69" s="124" customFormat="1">
      <c r="A347" s="124">
        <f>$A$40</f>
        <v>23</v>
      </c>
      <c r="B347" s="114"/>
      <c r="C347" s="114"/>
      <c r="D347" s="114"/>
      <c r="E347" s="114"/>
      <c r="F347" s="114"/>
      <c r="G347" s="114"/>
      <c r="H347" s="114"/>
      <c r="I347" s="114"/>
      <c r="J347" s="114"/>
      <c r="K347" s="114"/>
      <c r="L347" s="114"/>
      <c r="M347" s="158">
        <v>0.73958025421223761</v>
      </c>
      <c r="N347" s="158">
        <v>0.74169096209912533</v>
      </c>
      <c r="O347" s="158">
        <v>0.74368018812463255</v>
      </c>
      <c r="P347" s="158">
        <v>0.7454492072812684</v>
      </c>
      <c r="Q347" s="158">
        <v>0.74689676052073872</v>
      </c>
      <c r="R347" s="158">
        <v>0.74874371859296485</v>
      </c>
      <c r="S347" s="158">
        <v>0.7498459642637092</v>
      </c>
      <c r="T347" s="158">
        <v>0.7512626262626263</v>
      </c>
      <c r="U347" s="158">
        <v>0.75264200792602376</v>
      </c>
      <c r="V347" s="158">
        <v>0.75401069518716579</v>
      </c>
      <c r="W347" s="158">
        <v>0.75493421052631582</v>
      </c>
      <c r="X347" s="158">
        <v>0.75619425173439048</v>
      </c>
      <c r="Y347" s="158">
        <v>0.75702746365105011</v>
      </c>
      <c r="Z347" s="158">
        <v>0.75775434243176176</v>
      </c>
      <c r="AA347" s="158">
        <v>0.75867224880382778</v>
      </c>
      <c r="AB347" s="158">
        <v>0.75944394076760346</v>
      </c>
      <c r="AC347" s="158">
        <v>0.76001177856301527</v>
      </c>
      <c r="AD347" s="158">
        <v>0.76082412660495669</v>
      </c>
      <c r="AE347" s="158">
        <v>0.76135675348273768</v>
      </c>
      <c r="AF347" s="158">
        <v>0.76196319018404912</v>
      </c>
      <c r="AG347" s="158">
        <v>0.76223555415219446</v>
      </c>
      <c r="AH347" s="158">
        <v>0.76289965178854069</v>
      </c>
      <c r="AI347" s="158">
        <v>0.76314122862571243</v>
      </c>
      <c r="AJ347" s="158">
        <v>0.76349453978159121</v>
      </c>
      <c r="AK347" s="158">
        <v>0.76394849785407726</v>
      </c>
      <c r="AL347" s="158">
        <v>0.76396015695744035</v>
      </c>
      <c r="AM347" s="158">
        <v>0.76460071513706795</v>
      </c>
      <c r="AN347" s="158">
        <v>0.76489675516224187</v>
      </c>
      <c r="AO347" s="158">
        <v>0.76479203280609254</v>
      </c>
      <c r="AP347" s="158">
        <v>0.7651006711409396</v>
      </c>
      <c r="AQ347" s="158">
        <v>0.76528829353523586</v>
      </c>
      <c r="AR347" s="158">
        <v>0.76535662299854434</v>
      </c>
      <c r="AS347" s="158">
        <v>0.76552930883639547</v>
      </c>
      <c r="AT347" s="158">
        <v>0.76565242832065539</v>
      </c>
      <c r="AU347" s="158">
        <v>0.76572604350382123</v>
      </c>
      <c r="AV347" s="158">
        <v>0.76559266922849545</v>
      </c>
      <c r="AW347" s="158">
        <v>0.76584349895864323</v>
      </c>
      <c r="AX347" s="158">
        <v>0.76572798082684246</v>
      </c>
      <c r="AY347" s="158">
        <v>0.76591251885369538</v>
      </c>
      <c r="AZ347" s="158">
        <v>0.76593806921675778</v>
      </c>
      <c r="BA347" s="158">
        <v>0.76587301587301593</v>
      </c>
      <c r="BB347" s="158">
        <v>0.76609442060085842</v>
      </c>
      <c r="BC347" s="158">
        <v>0.76606209652628343</v>
      </c>
      <c r="BD347" s="158">
        <v>0.76608187134502925</v>
      </c>
      <c r="BE347" s="158">
        <v>0.76584615384615384</v>
      </c>
      <c r="BF347" s="158">
        <v>0.76613398893669327</v>
      </c>
      <c r="BG347" s="158">
        <v>0.76578786020846101</v>
      </c>
      <c r="BH347" s="158">
        <v>0.76605504587155959</v>
      </c>
      <c r="BI347" s="158">
        <v>0.76615853658536581</v>
      </c>
      <c r="BJ347" s="158">
        <v>0.76595744680851063</v>
      </c>
      <c r="BK347" s="158">
        <v>0.76606060606060611</v>
      </c>
      <c r="BL347" s="158">
        <v>0.76609247506799638</v>
      </c>
      <c r="BM347" s="158">
        <v>0.76582278481012656</v>
      </c>
      <c r="BN347" s="158">
        <v>0.76608538785327718</v>
      </c>
      <c r="BO347" s="158">
        <v>0.76604679064187164</v>
      </c>
      <c r="BP347" s="158">
        <v>0.76623765339718652</v>
      </c>
      <c r="BQ347" s="158">
        <v>0.7659002687369364</v>
      </c>
    </row>
    <row r="348" spans="1:69" s="124" customFormat="1">
      <c r="A348" s="124">
        <f>$A$41</f>
        <v>24</v>
      </c>
      <c r="B348" s="114"/>
      <c r="C348" s="114"/>
      <c r="D348" s="114"/>
      <c r="E348" s="114"/>
      <c r="F348" s="114"/>
      <c r="G348" s="114"/>
      <c r="H348" s="114"/>
      <c r="I348" s="114"/>
      <c r="J348" s="114"/>
      <c r="K348" s="114"/>
      <c r="L348" s="114"/>
      <c r="M348" s="158">
        <v>0.75171037628278226</v>
      </c>
      <c r="N348" s="158">
        <v>0.75474956822107087</v>
      </c>
      <c r="O348" s="158">
        <v>0.75779239348012584</v>
      </c>
      <c r="P348" s="158">
        <v>0.76045296167247389</v>
      </c>
      <c r="Q348" s="158">
        <v>0.76307332749050538</v>
      </c>
      <c r="R348" s="158">
        <v>0.7657056145675265</v>
      </c>
      <c r="S348" s="158">
        <v>0.76802014479068303</v>
      </c>
      <c r="T348" s="158">
        <v>0.77022853613341569</v>
      </c>
      <c r="U348" s="158">
        <v>0.77215189873417722</v>
      </c>
      <c r="V348" s="158">
        <v>0.77417218543046362</v>
      </c>
      <c r="W348" s="158">
        <v>0.77580428954423597</v>
      </c>
      <c r="X348" s="158">
        <v>0.77744807121661719</v>
      </c>
      <c r="Y348" s="158">
        <v>0.77880794701986755</v>
      </c>
      <c r="Z348" s="158">
        <v>0.78044041450777202</v>
      </c>
      <c r="AA348" s="158">
        <v>0.78171641791044777</v>
      </c>
      <c r="AB348" s="158">
        <v>0.78273898711417444</v>
      </c>
      <c r="AC348" s="158">
        <v>0.78400484701605577</v>
      </c>
      <c r="AD348" s="158">
        <v>0.78512396694214881</v>
      </c>
      <c r="AE348" s="158">
        <v>0.78599221789883267</v>
      </c>
      <c r="AF348" s="158">
        <v>0.78688524590163933</v>
      </c>
      <c r="AG348" s="158">
        <v>0.78782287822878228</v>
      </c>
      <c r="AH348" s="158">
        <v>0.78822412155745492</v>
      </c>
      <c r="AI348" s="158">
        <v>0.78902284263959388</v>
      </c>
      <c r="AJ348" s="158">
        <v>0.7892732465883846</v>
      </c>
      <c r="AK348" s="158">
        <v>0.7901157335001564</v>
      </c>
      <c r="AL348" s="158">
        <v>0.79041180086047946</v>
      </c>
      <c r="AM348" s="158">
        <v>0.79092284417549163</v>
      </c>
      <c r="AN348" s="158">
        <v>0.79128097939683484</v>
      </c>
      <c r="AO348" s="158">
        <v>0.79160508424475318</v>
      </c>
      <c r="AP348" s="158">
        <v>0.79183793305930705</v>
      </c>
      <c r="AQ348" s="158">
        <v>0.79210526315789476</v>
      </c>
      <c r="AR348" s="158">
        <v>0.7922381091333528</v>
      </c>
      <c r="AS348" s="158">
        <v>0.79252990954187341</v>
      </c>
      <c r="AT348" s="158">
        <v>0.79275065770242614</v>
      </c>
      <c r="AU348" s="158">
        <v>0.79296187683284458</v>
      </c>
      <c r="AV348" s="158">
        <v>0.7929307805596465</v>
      </c>
      <c r="AW348" s="158">
        <v>0.79318518518518522</v>
      </c>
      <c r="AX348" s="158">
        <v>0.79308288610614197</v>
      </c>
      <c r="AY348" s="158">
        <v>0.79315520864605227</v>
      </c>
      <c r="AZ348" s="158">
        <v>0.79322853688029016</v>
      </c>
      <c r="BA348" s="158">
        <v>0.79312442957103746</v>
      </c>
      <c r="BB348" s="158">
        <v>0.79320893239522794</v>
      </c>
      <c r="BC348" s="158">
        <v>0.79324116743471584</v>
      </c>
      <c r="BD348" s="158">
        <v>0.79328404189772028</v>
      </c>
      <c r="BE348" s="158">
        <v>0.79333744602097467</v>
      </c>
      <c r="BF348" s="158">
        <v>0.79333744602097467</v>
      </c>
      <c r="BG348" s="158">
        <v>0.79334770557437639</v>
      </c>
      <c r="BH348" s="158">
        <v>0.79348494161032579</v>
      </c>
      <c r="BI348" s="158">
        <v>0.79344161814281333</v>
      </c>
      <c r="BJ348" s="158">
        <v>0.79346165597311336</v>
      </c>
      <c r="BK348" s="158">
        <v>0.7931769722814499</v>
      </c>
      <c r="BL348" s="158">
        <v>0.79319769207409652</v>
      </c>
      <c r="BM348" s="158">
        <v>0.79315566323440334</v>
      </c>
      <c r="BN348" s="158">
        <v>0.79335347432024172</v>
      </c>
      <c r="BO348" s="158">
        <v>0.79331123832479666</v>
      </c>
      <c r="BP348" s="158">
        <v>0.7934455802766085</v>
      </c>
      <c r="BQ348" s="158">
        <v>0.79334133173365329</v>
      </c>
    </row>
    <row r="349" spans="1:69" s="124" customFormat="1">
      <c r="A349" s="124">
        <f>$A$42</f>
        <v>25</v>
      </c>
      <c r="B349" s="114"/>
      <c r="C349" s="114"/>
      <c r="D349" s="114"/>
      <c r="E349" s="114"/>
      <c r="F349" s="114"/>
      <c r="G349" s="114"/>
      <c r="H349" s="114"/>
      <c r="I349" s="114"/>
      <c r="J349" s="114"/>
      <c r="K349" s="114"/>
      <c r="L349" s="114"/>
      <c r="M349" s="158">
        <v>0.75890103728623493</v>
      </c>
      <c r="N349" s="158">
        <v>0.7631288004422333</v>
      </c>
      <c r="O349" s="158">
        <v>0.76713483146067418</v>
      </c>
      <c r="P349" s="158">
        <v>0.77115546809108804</v>
      </c>
      <c r="Q349" s="158">
        <v>0.77471264367816095</v>
      </c>
      <c r="R349" s="158">
        <v>0.77810133954571925</v>
      </c>
      <c r="S349" s="158">
        <v>0.7810042347247429</v>
      </c>
      <c r="T349" s="158">
        <v>0.78419071518193229</v>
      </c>
      <c r="U349" s="158">
        <v>0.7870113881194214</v>
      </c>
      <c r="V349" s="158">
        <v>0.78940731399747788</v>
      </c>
      <c r="W349" s="158">
        <v>0.79181788188716595</v>
      </c>
      <c r="X349" s="158">
        <v>0.79405874499332441</v>
      </c>
      <c r="Y349" s="158">
        <v>0.79632063074901449</v>
      </c>
      <c r="Z349" s="158">
        <v>0.79808644011877272</v>
      </c>
      <c r="AA349" s="158">
        <v>0.79993546305259766</v>
      </c>
      <c r="AB349" s="158">
        <v>0.80142503097893436</v>
      </c>
      <c r="AC349" s="158">
        <v>0.80316606929510159</v>
      </c>
      <c r="AD349" s="158">
        <v>0.80410504074856626</v>
      </c>
      <c r="AE349" s="158">
        <v>0.80558823529411761</v>
      </c>
      <c r="AF349" s="158">
        <v>0.80674023262749772</v>
      </c>
      <c r="AG349" s="158">
        <v>0.80762250453720508</v>
      </c>
      <c r="AH349" s="158">
        <v>0.80882352941176472</v>
      </c>
      <c r="AI349" s="158">
        <v>0.80952380952380953</v>
      </c>
      <c r="AJ349" s="158">
        <v>0.8106228264306039</v>
      </c>
      <c r="AK349" s="158">
        <v>0.81119544592030357</v>
      </c>
      <c r="AL349" s="158">
        <v>0.81177937052041138</v>
      </c>
      <c r="AM349" s="158">
        <v>0.81230863441518675</v>
      </c>
      <c r="AN349" s="158">
        <v>0.81278263491106417</v>
      </c>
      <c r="AO349" s="158">
        <v>0.81339285714285714</v>
      </c>
      <c r="AP349" s="158">
        <v>0.81354933726067746</v>
      </c>
      <c r="AQ349" s="158">
        <v>0.81392627267407835</v>
      </c>
      <c r="AR349" s="158">
        <v>0.8141025641025641</v>
      </c>
      <c r="AS349" s="158">
        <v>0.81448095376562957</v>
      </c>
      <c r="AT349" s="158">
        <v>0.8147717359697586</v>
      </c>
      <c r="AU349" s="158">
        <v>0.8150305854937373</v>
      </c>
      <c r="AV349" s="158">
        <v>0.81502045587375804</v>
      </c>
      <c r="AW349" s="158">
        <v>0.81508658643968301</v>
      </c>
      <c r="AX349" s="158">
        <v>0.81547091821671092</v>
      </c>
      <c r="AY349" s="158">
        <v>0.81521093285799173</v>
      </c>
      <c r="AZ349" s="158">
        <v>0.81567923399162179</v>
      </c>
      <c r="BA349" s="158">
        <v>0.81536144578313252</v>
      </c>
      <c r="BB349" s="158">
        <v>0.81539860563807209</v>
      </c>
      <c r="BC349" s="158">
        <v>0.81585365853658531</v>
      </c>
      <c r="BD349" s="158">
        <v>0.81542699724517909</v>
      </c>
      <c r="BE349" s="158">
        <v>0.81553100061387351</v>
      </c>
      <c r="BF349" s="158">
        <v>0.81561155500921945</v>
      </c>
      <c r="BG349" s="158">
        <v>0.81591886908420408</v>
      </c>
      <c r="BH349" s="158">
        <v>0.81558760355937399</v>
      </c>
      <c r="BI349" s="158">
        <v>0.81567666870789957</v>
      </c>
      <c r="BJ349" s="158">
        <v>0.81557251908396944</v>
      </c>
      <c r="BK349" s="158">
        <v>0.8155251141552512</v>
      </c>
      <c r="BL349" s="158">
        <v>0.81547799696509859</v>
      </c>
      <c r="BM349" s="158">
        <v>0.81543116490166412</v>
      </c>
      <c r="BN349" s="158">
        <v>0.81563065781532895</v>
      </c>
      <c r="BO349" s="158">
        <v>0.81577363034316674</v>
      </c>
      <c r="BP349" s="158">
        <v>0.81567096967877517</v>
      </c>
      <c r="BQ349" s="158">
        <v>0.81575793888556025</v>
      </c>
    </row>
    <row r="350" spans="1:69" s="124" customFormat="1">
      <c r="A350" s="124">
        <f>$A$43</f>
        <v>26</v>
      </c>
      <c r="B350" s="114"/>
      <c r="C350" s="114"/>
      <c r="D350" s="114"/>
      <c r="E350" s="114"/>
      <c r="F350" s="114"/>
      <c r="G350" s="114"/>
      <c r="H350" s="114"/>
      <c r="I350" s="114"/>
      <c r="J350" s="114"/>
      <c r="K350" s="114"/>
      <c r="L350" s="114"/>
      <c r="M350" s="158">
        <v>0.76221498371335505</v>
      </c>
      <c r="N350" s="158">
        <v>0.76718283075251292</v>
      </c>
      <c r="O350" s="158">
        <v>0.77169811320754722</v>
      </c>
      <c r="P350" s="158">
        <v>0.77575757575757576</v>
      </c>
      <c r="Q350" s="158">
        <v>0.77981142540210757</v>
      </c>
      <c r="R350" s="158">
        <v>0.78357570573139435</v>
      </c>
      <c r="S350" s="158">
        <v>0.78705576422999135</v>
      </c>
      <c r="T350" s="158">
        <v>0.79027902790279025</v>
      </c>
      <c r="U350" s="158">
        <v>0.79346811819595642</v>
      </c>
      <c r="V350" s="158">
        <v>0.79639804639804634</v>
      </c>
      <c r="W350" s="158">
        <v>0.79893683552220141</v>
      </c>
      <c r="X350" s="158">
        <v>0.80150425114453894</v>
      </c>
      <c r="Y350" s="158">
        <v>0.80350645054581538</v>
      </c>
      <c r="Z350" s="158">
        <v>0.8059264083360469</v>
      </c>
      <c r="AA350" s="158">
        <v>0.80771746239372144</v>
      </c>
      <c r="AB350" s="158">
        <v>0.80966090850927708</v>
      </c>
      <c r="AC350" s="158">
        <v>0.81105990783410142</v>
      </c>
      <c r="AD350" s="158">
        <v>0.81274074074074076</v>
      </c>
      <c r="AE350" s="158">
        <v>0.81431566337226713</v>
      </c>
      <c r="AF350" s="158">
        <v>0.81558214181499855</v>
      </c>
      <c r="AG350" s="158">
        <v>0.81656804733727806</v>
      </c>
      <c r="AH350" s="158">
        <v>0.81758175817581757</v>
      </c>
      <c r="AI350" s="158">
        <v>0.81859617137648133</v>
      </c>
      <c r="AJ350" s="158">
        <v>0.8195747342088805</v>
      </c>
      <c r="AK350" s="158">
        <v>0.82011908492635532</v>
      </c>
      <c r="AL350" s="158">
        <v>0.82126058325493889</v>
      </c>
      <c r="AM350" s="158">
        <v>0.82169344870210137</v>
      </c>
      <c r="AN350" s="158">
        <v>0.82204676586699055</v>
      </c>
      <c r="AO350" s="158">
        <v>0.82266746411483249</v>
      </c>
      <c r="AP350" s="158">
        <v>0.82314732801889579</v>
      </c>
      <c r="AQ350" s="158">
        <v>0.82349503214494446</v>
      </c>
      <c r="AR350" s="158">
        <v>0.82380261248185771</v>
      </c>
      <c r="AS350" s="158">
        <v>0.82393755420641801</v>
      </c>
      <c r="AT350" s="158">
        <v>0.82429313329486442</v>
      </c>
      <c r="AU350" s="158">
        <v>0.82458165031736874</v>
      </c>
      <c r="AV350" s="158">
        <v>0.82485549132947977</v>
      </c>
      <c r="AW350" s="158">
        <v>0.82487677587706587</v>
      </c>
      <c r="AX350" s="158">
        <v>0.82498543972044258</v>
      </c>
      <c r="AY350" s="158">
        <v>0.8248901903367496</v>
      </c>
      <c r="AZ350" s="158">
        <v>0.82493368700265257</v>
      </c>
      <c r="BA350" s="158">
        <v>0.82522255192878335</v>
      </c>
      <c r="BB350" s="158">
        <v>0.82521661189124584</v>
      </c>
      <c r="BC350" s="158">
        <v>0.8253156945279615</v>
      </c>
      <c r="BD350" s="158">
        <v>0.82527206771463124</v>
      </c>
      <c r="BE350" s="158">
        <v>0.82513661202185795</v>
      </c>
      <c r="BF350" s="158">
        <v>0.82526636225266359</v>
      </c>
      <c r="BG350" s="158">
        <v>0.82535812252362084</v>
      </c>
      <c r="BH350" s="158">
        <v>0.82510664229128583</v>
      </c>
      <c r="BI350" s="158">
        <v>0.82531953743152764</v>
      </c>
      <c r="BJ350" s="158">
        <v>0.82513661202185795</v>
      </c>
      <c r="BK350" s="158">
        <v>0.82525741974560873</v>
      </c>
      <c r="BL350" s="158">
        <v>0.82548309178743962</v>
      </c>
      <c r="BM350" s="158">
        <v>0.82540638169777247</v>
      </c>
      <c r="BN350" s="158">
        <v>0.82533013205282113</v>
      </c>
      <c r="BO350" s="158">
        <v>0.82520203531876679</v>
      </c>
      <c r="BP350" s="158">
        <v>0.82507462686567168</v>
      </c>
      <c r="BQ350" s="158">
        <v>0.82519356759976181</v>
      </c>
    </row>
    <row r="351" spans="1:69" s="124" customFormat="1">
      <c r="A351" s="124">
        <f>$A$44</f>
        <v>27</v>
      </c>
      <c r="B351" s="114"/>
      <c r="C351" s="114"/>
      <c r="D351" s="114"/>
      <c r="E351" s="114"/>
      <c r="F351" s="114"/>
      <c r="G351" s="114"/>
      <c r="H351" s="114"/>
      <c r="I351" s="114"/>
      <c r="J351" s="114"/>
      <c r="K351" s="114"/>
      <c r="L351" s="114"/>
      <c r="M351" s="158">
        <v>0.75973303670745274</v>
      </c>
      <c r="N351" s="158">
        <v>0.76462836056931993</v>
      </c>
      <c r="O351" s="158">
        <v>0.76914921812880999</v>
      </c>
      <c r="P351" s="158">
        <v>0.77346021675918586</v>
      </c>
      <c r="Q351" s="158">
        <v>0.77741585233441912</v>
      </c>
      <c r="R351" s="158">
        <v>0.78110409228234001</v>
      </c>
      <c r="S351" s="158">
        <v>0.78458498023715417</v>
      </c>
      <c r="T351" s="158">
        <v>0.78781812982556476</v>
      </c>
      <c r="U351" s="158">
        <v>0.79097387173396672</v>
      </c>
      <c r="V351" s="158">
        <v>0.79384615384615387</v>
      </c>
      <c r="W351" s="158">
        <v>0.79649758454106279</v>
      </c>
      <c r="X351" s="158">
        <v>0.79901051329622763</v>
      </c>
      <c r="Y351" s="158">
        <v>0.8012281835811248</v>
      </c>
      <c r="Z351" s="158">
        <v>0.80320366132723109</v>
      </c>
      <c r="AA351" s="158">
        <v>0.80527840360476344</v>
      </c>
      <c r="AB351" s="158">
        <v>0.80704589528118942</v>
      </c>
      <c r="AC351" s="158">
        <v>0.80898165717900061</v>
      </c>
      <c r="AD351" s="158">
        <v>0.81033434650455927</v>
      </c>
      <c r="AE351" s="158">
        <v>0.81178540017590151</v>
      </c>
      <c r="AF351" s="158">
        <v>0.813037037037037</v>
      </c>
      <c r="AG351" s="158">
        <v>0.81432284146693623</v>
      </c>
      <c r="AH351" s="158">
        <v>0.81528103044496492</v>
      </c>
      <c r="AI351" s="158">
        <v>0.8165083135391924</v>
      </c>
      <c r="AJ351" s="158">
        <v>0.81725278028253678</v>
      </c>
      <c r="AK351" s="158">
        <v>0.81787260358688929</v>
      </c>
      <c r="AL351" s="158">
        <v>0.81866088034717921</v>
      </c>
      <c r="AM351" s="158">
        <v>0.81922480620155036</v>
      </c>
      <c r="AN351" s="158">
        <v>0.81968215158924207</v>
      </c>
      <c r="AO351" s="158">
        <v>0.82036647641934513</v>
      </c>
      <c r="AP351" s="158">
        <v>0.82071005917159767</v>
      </c>
      <c r="AQ351" s="158">
        <v>0.82120946538124451</v>
      </c>
      <c r="AR351" s="158">
        <v>0.82128397917871598</v>
      </c>
      <c r="AS351" s="158">
        <v>0.82160298764722783</v>
      </c>
      <c r="AT351" s="158">
        <v>0.82174535050071529</v>
      </c>
      <c r="AU351" s="158">
        <v>0.82210165619645914</v>
      </c>
      <c r="AV351" s="158">
        <v>0.8223872073101085</v>
      </c>
      <c r="AW351" s="158">
        <v>0.82265446224256289</v>
      </c>
      <c r="AX351" s="158">
        <v>0.82266857962697271</v>
      </c>
      <c r="AY351" s="158">
        <v>0.82247838616714697</v>
      </c>
      <c r="AZ351" s="158">
        <v>0.82266009852216748</v>
      </c>
      <c r="BA351" s="158">
        <v>0.82268883056284636</v>
      </c>
      <c r="BB351" s="158">
        <v>0.82266588373458605</v>
      </c>
      <c r="BC351" s="158">
        <v>0.8229382205143364</v>
      </c>
      <c r="BD351" s="158">
        <v>0.82272456870910171</v>
      </c>
      <c r="BE351" s="158">
        <v>0.82296650717703346</v>
      </c>
      <c r="BF351" s="158">
        <v>0.82282282282282282</v>
      </c>
      <c r="BG351" s="158">
        <v>0.82294489611562782</v>
      </c>
      <c r="BH351" s="158">
        <v>0.82303286101899309</v>
      </c>
      <c r="BI351" s="158">
        <v>0.82278481012658233</v>
      </c>
      <c r="BJ351" s="158">
        <v>0.82299819385912099</v>
      </c>
      <c r="BK351" s="158">
        <v>0.82282282282282282</v>
      </c>
      <c r="BL351" s="158">
        <v>0.822701407607068</v>
      </c>
      <c r="BM351" s="158">
        <v>0.82287933094384702</v>
      </c>
      <c r="BN351" s="158">
        <v>0.82310899344848121</v>
      </c>
      <c r="BO351" s="158">
        <v>0.8230403800475059</v>
      </c>
      <c r="BP351" s="158">
        <v>0.82291975125851347</v>
      </c>
      <c r="BQ351" s="158">
        <v>0.82279976373301833</v>
      </c>
    </row>
    <row r="352" spans="1:69" s="124" customFormat="1">
      <c r="A352" s="124">
        <f>$A$45</f>
        <v>28</v>
      </c>
      <c r="B352" s="114"/>
      <c r="C352" s="114"/>
      <c r="D352" s="114"/>
      <c r="E352" s="114"/>
      <c r="F352" s="114"/>
      <c r="G352" s="114"/>
      <c r="H352" s="114"/>
      <c r="I352" s="114"/>
      <c r="J352" s="114"/>
      <c r="K352" s="114"/>
      <c r="L352" s="114"/>
      <c r="M352" s="158">
        <v>0.7579617834394905</v>
      </c>
      <c r="N352" s="158">
        <v>0.76289495004050767</v>
      </c>
      <c r="O352" s="158">
        <v>0.76756756756756761</v>
      </c>
      <c r="P352" s="158">
        <v>0.7718295218295218</v>
      </c>
      <c r="Q352" s="158">
        <v>0.77589796980739201</v>
      </c>
      <c r="R352" s="158">
        <v>0.77971558894553261</v>
      </c>
      <c r="S352" s="158">
        <v>0.78317503392130261</v>
      </c>
      <c r="T352" s="158">
        <v>0.78667038482989404</v>
      </c>
      <c r="U352" s="158">
        <v>0.78983050847457625</v>
      </c>
      <c r="V352" s="158">
        <v>0.79279015240328254</v>
      </c>
      <c r="W352" s="158">
        <v>0.79538554948391016</v>
      </c>
      <c r="X352" s="158">
        <v>0.79791356184798812</v>
      </c>
      <c r="Y352" s="158">
        <v>0.80042722001830946</v>
      </c>
      <c r="Z352" s="158">
        <v>0.80242192479286167</v>
      </c>
      <c r="AA352" s="158">
        <v>0.80464216634429397</v>
      </c>
      <c r="AB352" s="158">
        <v>0.80634920634920637</v>
      </c>
      <c r="AC352" s="158">
        <v>0.80783938814531553</v>
      </c>
      <c r="AD352" s="158">
        <v>0.80967238689547583</v>
      </c>
      <c r="AE352" s="158">
        <v>0.81103779244151175</v>
      </c>
      <c r="AF352" s="158">
        <v>0.81215629522431254</v>
      </c>
      <c r="AG352" s="158">
        <v>0.81339572974553964</v>
      </c>
      <c r="AH352" s="158">
        <v>0.81460353679406727</v>
      </c>
      <c r="AI352" s="158">
        <v>0.81584272911246025</v>
      </c>
      <c r="AJ352" s="158">
        <v>0.81652989449003521</v>
      </c>
      <c r="AK352" s="158">
        <v>0.8172649065559181</v>
      </c>
      <c r="AL352" s="158">
        <v>0.81812633506255716</v>
      </c>
      <c r="AM352" s="158">
        <v>0.81865443425076456</v>
      </c>
      <c r="AN352" s="158">
        <v>0.81921076781890489</v>
      </c>
      <c r="AO352" s="158">
        <v>0.81966224366706875</v>
      </c>
      <c r="AP352" s="158">
        <v>0.82028469750889677</v>
      </c>
      <c r="AQ352" s="158">
        <v>0.82038551401869164</v>
      </c>
      <c r="AR352" s="158">
        <v>0.82088260744159214</v>
      </c>
      <c r="AS352" s="158">
        <v>0.8211939445872608</v>
      </c>
      <c r="AT352" s="158">
        <v>0.82127659574468082</v>
      </c>
      <c r="AU352" s="158">
        <v>0.82165065008479365</v>
      </c>
      <c r="AV352" s="158">
        <v>0.82177100958826843</v>
      </c>
      <c r="AW352" s="158">
        <v>0.82177100958826843</v>
      </c>
      <c r="AX352" s="158">
        <v>0.82203389830508478</v>
      </c>
      <c r="AY352" s="158">
        <v>0.82204590535562483</v>
      </c>
      <c r="AZ352" s="158">
        <v>0.82237403928266439</v>
      </c>
      <c r="BA352" s="158">
        <v>0.82226674298797942</v>
      </c>
      <c r="BB352" s="158">
        <v>0.82205585948747484</v>
      </c>
      <c r="BC352" s="158">
        <v>0.82255726297477527</v>
      </c>
      <c r="BD352" s="158">
        <v>0.8222935512109717</v>
      </c>
      <c r="BE352" s="158">
        <v>0.82237228420434527</v>
      </c>
      <c r="BF352" s="158">
        <v>0.8223140495867769</v>
      </c>
      <c r="BG352" s="158">
        <v>0.82216953171310014</v>
      </c>
      <c r="BH352" s="158">
        <v>0.82228826151560175</v>
      </c>
      <c r="BI352" s="158">
        <v>0.82237429336506995</v>
      </c>
      <c r="BJ352" s="158">
        <v>0.8224271267102915</v>
      </c>
      <c r="BK352" s="158">
        <v>0.82234105763517529</v>
      </c>
      <c r="BL352" s="158">
        <v>0.82216953171310014</v>
      </c>
      <c r="BM352" s="158">
        <v>0.82259018332347722</v>
      </c>
      <c r="BN352" s="158">
        <v>0.82252358490566035</v>
      </c>
      <c r="BO352" s="158">
        <v>0.82245737801293362</v>
      </c>
      <c r="BP352" s="158">
        <v>0.82239155920281359</v>
      </c>
      <c r="BQ352" s="158">
        <v>0.82227418883367431</v>
      </c>
    </row>
    <row r="353" spans="1:69" s="124" customFormat="1">
      <c r="A353" s="124">
        <f>$A$46</f>
        <v>29</v>
      </c>
      <c r="B353" s="114"/>
      <c r="C353" s="114"/>
      <c r="D353" s="114"/>
      <c r="E353" s="114"/>
      <c r="F353" s="114"/>
      <c r="G353" s="114"/>
      <c r="H353" s="114"/>
      <c r="I353" s="114"/>
      <c r="J353" s="114"/>
      <c r="K353" s="114"/>
      <c r="L353" s="114"/>
      <c r="M353" s="158">
        <v>0.75618992135158758</v>
      </c>
      <c r="N353" s="158">
        <v>0.76159685127916787</v>
      </c>
      <c r="O353" s="158">
        <v>0.76614816767730032</v>
      </c>
      <c r="P353" s="158">
        <v>0.77057041898031298</v>
      </c>
      <c r="Q353" s="158">
        <v>0.77473791869087194</v>
      </c>
      <c r="R353" s="158">
        <v>0.77877697841726623</v>
      </c>
      <c r="S353" s="158">
        <v>0.78236695790309774</v>
      </c>
      <c r="T353" s="158">
        <v>0.78602035350830213</v>
      </c>
      <c r="U353" s="158">
        <v>0.78899587345254474</v>
      </c>
      <c r="V353" s="158">
        <v>0.79214265812203954</v>
      </c>
      <c r="W353" s="158">
        <v>0.7951459115862467</v>
      </c>
      <c r="X353" s="158">
        <v>0.79754784688995217</v>
      </c>
      <c r="Y353" s="158">
        <v>0.8</v>
      </c>
      <c r="Z353" s="158">
        <v>0.80222422602945598</v>
      </c>
      <c r="AA353" s="158">
        <v>0.80420458111076243</v>
      </c>
      <c r="AB353" s="158">
        <v>0.80615482233502533</v>
      </c>
      <c r="AC353" s="158">
        <v>0.80781250000000004</v>
      </c>
      <c r="AD353" s="158">
        <v>0.80953875117665519</v>
      </c>
      <c r="AE353" s="158">
        <v>0.81105990783410142</v>
      </c>
      <c r="AF353" s="158">
        <v>0.81235224586288413</v>
      </c>
      <c r="AG353" s="158">
        <v>0.81364155251141557</v>
      </c>
      <c r="AH353" s="158">
        <v>0.81464398962236961</v>
      </c>
      <c r="AI353" s="158">
        <v>0.81580427446569181</v>
      </c>
      <c r="AJ353" s="158">
        <v>0.81675691080079793</v>
      </c>
      <c r="AK353" s="158">
        <v>0.81744656268053151</v>
      </c>
      <c r="AL353" s="158">
        <v>0.81812865497076026</v>
      </c>
      <c r="AM353" s="158">
        <v>0.81875563570784493</v>
      </c>
      <c r="AN353" s="158">
        <v>0.81927710843373491</v>
      </c>
      <c r="AO353" s="158">
        <v>0.81982524856884609</v>
      </c>
      <c r="AP353" s="158">
        <v>0.82050520059435361</v>
      </c>
      <c r="AQ353" s="158">
        <v>0.82086499123319701</v>
      </c>
      <c r="AR353" s="158">
        <v>0.82119205298013243</v>
      </c>
      <c r="AS353" s="158">
        <v>0.82143872618709124</v>
      </c>
      <c r="AT353" s="158">
        <v>0.82174035482962549</v>
      </c>
      <c r="AU353" s="158">
        <v>0.82204812534974814</v>
      </c>
      <c r="AV353" s="158">
        <v>0.82218506131549607</v>
      </c>
      <c r="AW353" s="158">
        <v>0.82225312934631434</v>
      </c>
      <c r="AX353" s="158">
        <v>0.8223025583982202</v>
      </c>
      <c r="AY353" s="158">
        <v>0.82228412256267414</v>
      </c>
      <c r="AZ353" s="158">
        <v>0.82257613858619727</v>
      </c>
      <c r="BA353" s="158">
        <v>0.82262138647207406</v>
      </c>
      <c r="BB353" s="158">
        <v>0.82251693002257331</v>
      </c>
      <c r="BC353" s="158">
        <v>0.82259437978995176</v>
      </c>
      <c r="BD353" s="158">
        <v>0.82280651614747069</v>
      </c>
      <c r="BE353" s="158">
        <v>0.82254817371297095</v>
      </c>
      <c r="BF353" s="158">
        <v>0.82262731481481477</v>
      </c>
      <c r="BG353" s="158">
        <v>0.82257126236183831</v>
      </c>
      <c r="BH353" s="158">
        <v>0.8227219626168224</v>
      </c>
      <c r="BI353" s="158">
        <v>0.82254758418740848</v>
      </c>
      <c r="BJ353" s="158">
        <v>0.82263265904426852</v>
      </c>
      <c r="BK353" s="158">
        <v>0.82268464243845252</v>
      </c>
      <c r="BL353" s="158">
        <v>0.82289227166276346</v>
      </c>
      <c r="BM353" s="158">
        <v>0.8227219626168224</v>
      </c>
      <c r="BN353" s="158">
        <v>0.82284382284382285</v>
      </c>
      <c r="BO353" s="158">
        <v>0.82277745496804189</v>
      </c>
      <c r="BP353" s="158">
        <v>0.82271147161066049</v>
      </c>
      <c r="BQ353" s="158">
        <v>0.82264586943963025</v>
      </c>
    </row>
    <row r="354" spans="1:69" s="124" customFormat="1">
      <c r="A354" s="124">
        <f>$A$47</f>
        <v>30</v>
      </c>
      <c r="B354" s="114"/>
      <c r="C354" s="114"/>
      <c r="D354" s="114"/>
      <c r="E354" s="114"/>
      <c r="F354" s="114"/>
      <c r="G354" s="114"/>
      <c r="H354" s="114"/>
      <c r="I354" s="114"/>
      <c r="J354" s="114"/>
      <c r="K354" s="114"/>
      <c r="L354" s="114"/>
      <c r="M354" s="158">
        <v>0.75251141552511414</v>
      </c>
      <c r="N354" s="158">
        <v>0.75744680851063828</v>
      </c>
      <c r="O354" s="158">
        <v>0.76195711929631671</v>
      </c>
      <c r="P354" s="158">
        <v>0.76664076664076664</v>
      </c>
      <c r="Q354" s="158">
        <v>0.77078148332503738</v>
      </c>
      <c r="R354" s="158">
        <v>0.77451971688574317</v>
      </c>
      <c r="S354" s="158">
        <v>0.77820121951219512</v>
      </c>
      <c r="T354" s="158">
        <v>0.78173253075111226</v>
      </c>
      <c r="U354" s="158">
        <v>0.78486372056099496</v>
      </c>
      <c r="V354" s="158">
        <v>0.78777173913043474</v>
      </c>
      <c r="W354" s="158">
        <v>0.79058888277380301</v>
      </c>
      <c r="X354" s="158">
        <v>0.79321163719338272</v>
      </c>
      <c r="Y354" s="158">
        <v>0.79574970484061391</v>
      </c>
      <c r="Z354" s="158">
        <v>0.79768115942028983</v>
      </c>
      <c r="AA354" s="158">
        <v>0.79982206405693945</v>
      </c>
      <c r="AB354" s="158">
        <v>0.80167079207920788</v>
      </c>
      <c r="AC354" s="158">
        <v>0.8032530497341257</v>
      </c>
      <c r="AD354" s="158">
        <v>0.80493066255778123</v>
      </c>
      <c r="AE354" s="158">
        <v>0.80662128712871284</v>
      </c>
      <c r="AF354" s="158">
        <v>0.80787878787878786</v>
      </c>
      <c r="AG354" s="158">
        <v>0.80921820303383896</v>
      </c>
      <c r="AH354" s="158">
        <v>0.81008734854888698</v>
      </c>
      <c r="AI354" s="158">
        <v>0.8112724167378309</v>
      </c>
      <c r="AJ354" s="158">
        <v>0.81199666759233546</v>
      </c>
      <c r="AK354" s="158">
        <v>0.81288688801350595</v>
      </c>
      <c r="AL354" s="158">
        <v>0.8135158254918734</v>
      </c>
      <c r="AM354" s="158">
        <v>0.81443001443001439</v>
      </c>
      <c r="AN354" s="158">
        <v>0.81494661921708189</v>
      </c>
      <c r="AO354" s="158">
        <v>0.81545319465081723</v>
      </c>
      <c r="AP354" s="158">
        <v>0.81569560047562428</v>
      </c>
      <c r="AQ354" s="158">
        <v>0.81642228739002931</v>
      </c>
      <c r="AR354" s="158">
        <v>0.81655610037496396</v>
      </c>
      <c r="AS354" s="158">
        <v>0.81694144400227398</v>
      </c>
      <c r="AT354" s="158">
        <v>0.81695676586187538</v>
      </c>
      <c r="AU354" s="158">
        <v>0.81729699666295885</v>
      </c>
      <c r="AV354" s="158">
        <v>0.81762917933130697</v>
      </c>
      <c r="AW354" s="158">
        <v>0.81778144783925133</v>
      </c>
      <c r="AX354" s="158">
        <v>0.81785714285714284</v>
      </c>
      <c r="AY354" s="158">
        <v>0.81790716836034061</v>
      </c>
      <c r="AZ354" s="158">
        <v>0.81788170563961482</v>
      </c>
      <c r="BA354" s="158">
        <v>0.81788079470198671</v>
      </c>
      <c r="BB354" s="158">
        <v>0.81818181818181823</v>
      </c>
      <c r="BC354" s="158">
        <v>0.81805516857063254</v>
      </c>
      <c r="BD354" s="158">
        <v>0.81810538116591924</v>
      </c>
      <c r="BE354" s="158">
        <v>0.81828442437923254</v>
      </c>
      <c r="BF354" s="158">
        <v>0.81800113571834188</v>
      </c>
      <c r="BG354" s="158">
        <v>0.81805198514710087</v>
      </c>
      <c r="BH354" s="158">
        <v>0.81797301177146142</v>
      </c>
      <c r="BI354" s="158">
        <v>0.81810319976938595</v>
      </c>
      <c r="BJ354" s="158">
        <v>0.81820809248554915</v>
      </c>
      <c r="BK354" s="158">
        <v>0.81828703703703709</v>
      </c>
      <c r="BL354" s="158">
        <v>0.81805033265837435</v>
      </c>
      <c r="BM354" s="158">
        <v>0.81826061831840513</v>
      </c>
      <c r="BN354" s="158">
        <v>0.81810319976938595</v>
      </c>
      <c r="BO354" s="158">
        <v>0.8179988499137435</v>
      </c>
      <c r="BP354" s="158">
        <v>0.81818181818181823</v>
      </c>
      <c r="BQ354" s="158">
        <v>0.81812982556476976</v>
      </c>
    </row>
    <row r="355" spans="1:69" s="124" customFormat="1">
      <c r="A355" s="124">
        <f>$A$48</f>
        <v>31</v>
      </c>
      <c r="B355" s="114"/>
      <c r="C355" s="114"/>
      <c r="D355" s="114"/>
      <c r="E355" s="114"/>
      <c r="F355" s="114"/>
      <c r="G355" s="114"/>
      <c r="H355" s="114"/>
      <c r="I355" s="114"/>
      <c r="J355" s="114"/>
      <c r="K355" s="114"/>
      <c r="L355" s="114"/>
      <c r="M355" s="158">
        <v>0.75030978934324655</v>
      </c>
      <c r="N355" s="158">
        <v>0.75504750593824232</v>
      </c>
      <c r="O355" s="158">
        <v>0.75973303670745274</v>
      </c>
      <c r="P355" s="158">
        <v>0.76440357046253715</v>
      </c>
      <c r="Q355" s="158">
        <v>0.76848298797646453</v>
      </c>
      <c r="R355" s="158">
        <v>0.77232363098174639</v>
      </c>
      <c r="S355" s="158">
        <v>0.77580160320641278</v>
      </c>
      <c r="T355" s="158">
        <v>0.77920443101711989</v>
      </c>
      <c r="U355" s="158">
        <v>0.78227060653188185</v>
      </c>
      <c r="V355" s="158">
        <v>0.78532110091743124</v>
      </c>
      <c r="W355" s="158">
        <v>0.78821313240043056</v>
      </c>
      <c r="X355" s="158">
        <v>0.7907356948228883</v>
      </c>
      <c r="Y355" s="158">
        <v>0.79305477131564084</v>
      </c>
      <c r="Z355" s="158">
        <v>0.79532846715328465</v>
      </c>
      <c r="AA355" s="158">
        <v>0.79747561675272516</v>
      </c>
      <c r="AB355" s="158">
        <v>0.79929577464788737</v>
      </c>
      <c r="AC355" s="158">
        <v>0.80085653104925059</v>
      </c>
      <c r="AD355" s="158">
        <v>0.80266006804825241</v>
      </c>
      <c r="AE355" s="158">
        <v>0.80377818403412549</v>
      </c>
      <c r="AF355" s="158">
        <v>0.80513918629550318</v>
      </c>
      <c r="AG355" s="158">
        <v>0.80641294575966438</v>
      </c>
      <c r="AH355" s="158">
        <v>0.8075036075036075</v>
      </c>
      <c r="AI355" s="158">
        <v>0.80842163970998326</v>
      </c>
      <c r="AJ355" s="158">
        <v>0.80957746478873238</v>
      </c>
      <c r="AK355" s="158">
        <v>0.81006047278724569</v>
      </c>
      <c r="AL355" s="158">
        <v>0.81091617933723192</v>
      </c>
      <c r="AM355" s="158">
        <v>0.81174146203782105</v>
      </c>
      <c r="AN355" s="158">
        <v>0.81210736721873211</v>
      </c>
      <c r="AO355" s="158">
        <v>0.81255500146670578</v>
      </c>
      <c r="AP355" s="158">
        <v>0.81305114638447973</v>
      </c>
      <c r="AQ355" s="158">
        <v>0.81352941176470583</v>
      </c>
      <c r="AR355" s="158">
        <v>0.81404119524223961</v>
      </c>
      <c r="AS355" s="158">
        <v>0.81421232876712324</v>
      </c>
      <c r="AT355" s="158">
        <v>0.81434599156118148</v>
      </c>
      <c r="AU355" s="158">
        <v>0.81467074187274247</v>
      </c>
      <c r="AV355" s="158">
        <v>0.81475364712358933</v>
      </c>
      <c r="AW355" s="158">
        <v>0.81509846827133481</v>
      </c>
      <c r="AX355" s="158">
        <v>0.81498637602179835</v>
      </c>
      <c r="AY355" s="158">
        <v>0.81533859124286101</v>
      </c>
      <c r="AZ355" s="158">
        <v>0.81511691136487219</v>
      </c>
      <c r="BA355" s="158">
        <v>0.815359477124183</v>
      </c>
      <c r="BB355" s="158">
        <v>0.81535099699535651</v>
      </c>
      <c r="BC355" s="158">
        <v>0.81536351165980792</v>
      </c>
      <c r="BD355" s="158">
        <v>0.81549917264202976</v>
      </c>
      <c r="BE355" s="158">
        <v>0.81548279689234182</v>
      </c>
      <c r="BF355" s="158">
        <v>0.81541468863445965</v>
      </c>
      <c r="BG355" s="158">
        <v>0.81539758359089631</v>
      </c>
      <c r="BH355" s="158">
        <v>0.815432447710571</v>
      </c>
      <c r="BI355" s="158">
        <v>0.81534090909090906</v>
      </c>
      <c r="BJ355" s="158">
        <v>0.81545921277809474</v>
      </c>
      <c r="BK355" s="158">
        <v>0.81555619102087507</v>
      </c>
      <c r="BL355" s="158">
        <v>0.81563126252505014</v>
      </c>
      <c r="BM355" s="158">
        <v>0.81539782484258727</v>
      </c>
      <c r="BN355" s="158">
        <v>0.81560891938250424</v>
      </c>
      <c r="BO355" s="158">
        <v>0.81545921277809474</v>
      </c>
      <c r="BP355" s="158">
        <v>0.81536273115220481</v>
      </c>
      <c r="BQ355" s="158">
        <v>0.81555051078320095</v>
      </c>
    </row>
    <row r="356" spans="1:69" s="124" customFormat="1">
      <c r="A356" s="124">
        <f>$A$49</f>
        <v>32</v>
      </c>
      <c r="B356" s="114"/>
      <c r="C356" s="114"/>
      <c r="D356" s="114"/>
      <c r="E356" s="114"/>
      <c r="F356" s="114"/>
      <c r="G356" s="114"/>
      <c r="H356" s="114"/>
      <c r="I356" s="114"/>
      <c r="J356" s="114"/>
      <c r="K356" s="114"/>
      <c r="L356" s="114"/>
      <c r="M356" s="158">
        <v>0.74976715305805652</v>
      </c>
      <c r="N356" s="158">
        <v>0.75463103552991195</v>
      </c>
      <c r="O356" s="158">
        <v>0.75920514319111632</v>
      </c>
      <c r="P356" s="158">
        <v>0.76373626373626369</v>
      </c>
      <c r="Q356" s="158">
        <v>0.76789064593942646</v>
      </c>
      <c r="R356" s="158">
        <v>0.77167556572590901</v>
      </c>
      <c r="S356" s="158">
        <v>0.77513487003433057</v>
      </c>
      <c r="T356" s="158">
        <v>0.77838645418326691</v>
      </c>
      <c r="U356" s="158">
        <v>0.78178178178178181</v>
      </c>
      <c r="V356" s="158">
        <v>0.7846470891293148</v>
      </c>
      <c r="W356" s="158">
        <v>0.78744464704350092</v>
      </c>
      <c r="X356" s="158">
        <v>0.78983957219251333</v>
      </c>
      <c r="Y356" s="158">
        <v>0.79215155615696886</v>
      </c>
      <c r="Z356" s="158">
        <v>0.79450518643117463</v>
      </c>
      <c r="AA356" s="158">
        <v>0.79646274282400698</v>
      </c>
      <c r="AB356" s="158">
        <v>0.79857549857549859</v>
      </c>
      <c r="AC356" s="158">
        <v>0.79988348383338193</v>
      </c>
      <c r="AD356" s="158">
        <v>0.8017005769814759</v>
      </c>
      <c r="AE356" s="158">
        <v>0.80294659300184157</v>
      </c>
      <c r="AF356" s="158">
        <v>0.8042952208106473</v>
      </c>
      <c r="AG356" s="158">
        <v>0.80564834497418769</v>
      </c>
      <c r="AH356" s="158">
        <v>0.8066051770306456</v>
      </c>
      <c r="AI356" s="158">
        <v>0.80768128403554029</v>
      </c>
      <c r="AJ356" s="158">
        <v>0.80858725761772854</v>
      </c>
      <c r="AK356" s="158">
        <v>0.8094571908226077</v>
      </c>
      <c r="AL356" s="158">
        <v>0.80993992353904964</v>
      </c>
      <c r="AM356" s="158">
        <v>0.8107883817427386</v>
      </c>
      <c r="AN356" s="158">
        <v>0.8113789237668162</v>
      </c>
      <c r="AO356" s="158">
        <v>0.81196823596142942</v>
      </c>
      <c r="AP356" s="158">
        <v>0.81240897174482962</v>
      </c>
      <c r="AQ356" s="158">
        <v>0.81260945709281962</v>
      </c>
      <c r="AR356" s="158">
        <v>0.8128467153284672</v>
      </c>
      <c r="AS356" s="158">
        <v>0.81307603686635943</v>
      </c>
      <c r="AT356" s="158">
        <v>0.81326154718050436</v>
      </c>
      <c r="AU356" s="158">
        <v>0.81368715083798882</v>
      </c>
      <c r="AV356" s="158">
        <v>0.81396632624896492</v>
      </c>
      <c r="AW356" s="158">
        <v>0.81405523653267708</v>
      </c>
      <c r="AX356" s="158">
        <v>0.81418092909535456</v>
      </c>
      <c r="AY356" s="158">
        <v>0.8140730717185386</v>
      </c>
      <c r="AZ356" s="158">
        <v>0.81415451107509451</v>
      </c>
      <c r="BA356" s="158">
        <v>0.81442463533225284</v>
      </c>
      <c r="BB356" s="158">
        <v>0.81439393939393945</v>
      </c>
      <c r="BC356" s="158">
        <v>0.81465400271370425</v>
      </c>
      <c r="BD356" s="158">
        <v>0.81444141689373295</v>
      </c>
      <c r="BE356" s="158">
        <v>0.81457135031498218</v>
      </c>
      <c r="BF356" s="158">
        <v>0.81454946266189032</v>
      </c>
      <c r="BG356" s="158">
        <v>0.81447587354409323</v>
      </c>
      <c r="BH356" s="158">
        <v>0.81468043538933854</v>
      </c>
      <c r="BI356" s="158">
        <v>0.81471083660864685</v>
      </c>
      <c r="BJ356" s="158">
        <v>0.81461625282167038</v>
      </c>
      <c r="BK356" s="158">
        <v>0.81450014160294537</v>
      </c>
      <c r="BL356" s="158">
        <v>0.81431005110732535</v>
      </c>
      <c r="BM356" s="158">
        <v>0.81438317225696422</v>
      </c>
      <c r="BN356" s="158">
        <v>0.81443591929525438</v>
      </c>
      <c r="BO356" s="158">
        <v>0.81464660800454158</v>
      </c>
      <c r="BP356" s="158">
        <v>0.81450014160294537</v>
      </c>
      <c r="BQ356" s="158">
        <v>0.81463690307996606</v>
      </c>
    </row>
    <row r="357" spans="1:69" s="124" customFormat="1">
      <c r="A357" s="124">
        <f>$A$50</f>
        <v>33</v>
      </c>
      <c r="B357" s="114"/>
      <c r="C357" s="114"/>
      <c r="D357" s="114"/>
      <c r="E357" s="114"/>
      <c r="F357" s="114"/>
      <c r="G357" s="114"/>
      <c r="H357" s="114"/>
      <c r="I357" s="114"/>
      <c r="J357" s="114"/>
      <c r="K357" s="114"/>
      <c r="L357" s="114"/>
      <c r="M357" s="158">
        <v>0.74904458598726109</v>
      </c>
      <c r="N357" s="158">
        <v>0.75382262996941896</v>
      </c>
      <c r="O357" s="158">
        <v>0.75854829034193161</v>
      </c>
      <c r="P357" s="158">
        <v>0.76266280752532567</v>
      </c>
      <c r="Q357" s="158">
        <v>0.7664392905866303</v>
      </c>
      <c r="R357" s="158">
        <v>0.77027748132337248</v>
      </c>
      <c r="S357" s="158">
        <v>0.77367088607594936</v>
      </c>
      <c r="T357" s="158">
        <v>0.77699071812408405</v>
      </c>
      <c r="U357" s="158">
        <v>0.78000992063492058</v>
      </c>
      <c r="V357" s="158">
        <v>0.78270620483428854</v>
      </c>
      <c r="W357" s="158">
        <v>0.78553104155977427</v>
      </c>
      <c r="X357" s="158">
        <v>0.78786307053941906</v>
      </c>
      <c r="Y357" s="158">
        <v>0.7902581847218525</v>
      </c>
      <c r="Z357" s="158">
        <v>0.79223928860145509</v>
      </c>
      <c r="AA357" s="158">
        <v>0.79430644711135923</v>
      </c>
      <c r="AB357" s="158">
        <v>0.7960184650894403</v>
      </c>
      <c r="AC357" s="158">
        <v>0.7978451942160476</v>
      </c>
      <c r="AD357" s="158">
        <v>0.7991304347826087</v>
      </c>
      <c r="AE357" s="158">
        <v>0.80060422960725075</v>
      </c>
      <c r="AF357" s="158">
        <v>0.80207697006719614</v>
      </c>
      <c r="AG357" s="158">
        <v>0.8028889557628649</v>
      </c>
      <c r="AH357" s="158">
        <v>0.80422960725075532</v>
      </c>
      <c r="AI357" s="158">
        <v>0.80491415038484315</v>
      </c>
      <c r="AJ357" s="158">
        <v>0.80604677695379345</v>
      </c>
      <c r="AK357" s="158">
        <v>0.80672732285635507</v>
      </c>
      <c r="AL357" s="158">
        <v>0.80757449178501806</v>
      </c>
      <c r="AM357" s="158">
        <v>0.80782821418863826</v>
      </c>
      <c r="AN357" s="158">
        <v>0.80864537444933926</v>
      </c>
      <c r="AO357" s="158">
        <v>0.80892608089260809</v>
      </c>
      <c r="AP357" s="158">
        <v>0.80948348856900931</v>
      </c>
      <c r="AQ357" s="158">
        <v>0.80985507246376809</v>
      </c>
      <c r="AR357" s="158">
        <v>0.81004937554458323</v>
      </c>
      <c r="AS357" s="158">
        <v>0.81057524694944805</v>
      </c>
      <c r="AT357" s="158">
        <v>0.81054743479507019</v>
      </c>
      <c r="AU357" s="158">
        <v>0.81077270163564574</v>
      </c>
      <c r="AV357" s="158">
        <v>0.81095357242146238</v>
      </c>
      <c r="AW357" s="158">
        <v>0.81126373626373627</v>
      </c>
      <c r="AX357" s="158">
        <v>0.81115646258503404</v>
      </c>
      <c r="AY357" s="158">
        <v>0.81124932395889671</v>
      </c>
      <c r="AZ357" s="158">
        <v>0.81142241379310343</v>
      </c>
      <c r="BA357" s="158">
        <v>0.81150847001882231</v>
      </c>
      <c r="BB357" s="158">
        <v>0.81150847001882231</v>
      </c>
      <c r="BC357" s="158">
        <v>0.81152396338179855</v>
      </c>
      <c r="BD357" s="158">
        <v>0.81150418579530115</v>
      </c>
      <c r="BE357" s="158">
        <v>0.81177108760509897</v>
      </c>
      <c r="BF357" s="158">
        <v>0.81161395856052343</v>
      </c>
      <c r="BG357" s="158">
        <v>0.81157432803071861</v>
      </c>
      <c r="BH357" s="158">
        <v>0.81175821142699423</v>
      </c>
      <c r="BI357" s="158">
        <v>0.81144126631491253</v>
      </c>
      <c r="BJ357" s="158">
        <v>0.81145251396648044</v>
      </c>
      <c r="BK357" s="158">
        <v>0.81162268388545766</v>
      </c>
      <c r="BL357" s="158">
        <v>0.81172491544532133</v>
      </c>
      <c r="BM357" s="158">
        <v>0.81152868041819726</v>
      </c>
      <c r="BN357" s="158">
        <v>0.81159830268741162</v>
      </c>
      <c r="BO357" s="158">
        <v>0.81165158371040724</v>
      </c>
      <c r="BP357" s="158">
        <v>0.81163513131883647</v>
      </c>
      <c r="BQ357" s="158">
        <v>0.81172491544532133</v>
      </c>
    </row>
    <row r="358" spans="1:69" s="124" customFormat="1">
      <c r="A358" s="124">
        <f>$A$51</f>
        <v>34</v>
      </c>
      <c r="B358" s="114"/>
      <c r="C358" s="114"/>
      <c r="D358" s="114"/>
      <c r="E358" s="114"/>
      <c r="F358" s="114"/>
      <c r="G358" s="114"/>
      <c r="H358" s="114"/>
      <c r="I358" s="114"/>
      <c r="J358" s="114"/>
      <c r="K358" s="114"/>
      <c r="L358" s="114"/>
      <c r="M358" s="158">
        <v>0.75008061915511126</v>
      </c>
      <c r="N358" s="158">
        <v>0.75447409733124016</v>
      </c>
      <c r="O358" s="158">
        <v>0.75869368007257332</v>
      </c>
      <c r="P358" s="158">
        <v>0.76278240190249702</v>
      </c>
      <c r="Q358" s="158">
        <v>0.7662449683726279</v>
      </c>
      <c r="R358" s="158">
        <v>0.769627818527574</v>
      </c>
      <c r="S358" s="158">
        <v>0.77284803400637625</v>
      </c>
      <c r="T358" s="158">
        <v>0.775844679778114</v>
      </c>
      <c r="U358" s="158">
        <v>0.7788321167883212</v>
      </c>
      <c r="V358" s="158">
        <v>0.78162055335968383</v>
      </c>
      <c r="W358" s="158">
        <v>0.78381732439811369</v>
      </c>
      <c r="X358" s="158">
        <v>0.78640776699029125</v>
      </c>
      <c r="Y358" s="158">
        <v>0.78822314049586772</v>
      </c>
      <c r="Z358" s="158">
        <v>0.79035250463821893</v>
      </c>
      <c r="AA358" s="158">
        <v>0.79211373390557938</v>
      </c>
      <c r="AB358" s="158">
        <v>0.79388888888888887</v>
      </c>
      <c r="AC358" s="158">
        <v>0.7955198161975876</v>
      </c>
      <c r="AD358" s="158">
        <v>0.79683972911963885</v>
      </c>
      <c r="AE358" s="158">
        <v>0.79803808424697054</v>
      </c>
      <c r="AF358" s="158">
        <v>0.79921851517883979</v>
      </c>
      <c r="AG358" s="158">
        <v>0.8003646308113036</v>
      </c>
      <c r="AH358" s="158">
        <v>0.80119760479041913</v>
      </c>
      <c r="AI358" s="158">
        <v>0.80222422602945598</v>
      </c>
      <c r="AJ358" s="158">
        <v>0.80294550810014731</v>
      </c>
      <c r="AK358" s="158">
        <v>0.80386034629577063</v>
      </c>
      <c r="AL358" s="158">
        <v>0.80433589462129529</v>
      </c>
      <c r="AM358" s="158">
        <v>0.80487804878048785</v>
      </c>
      <c r="AN358" s="158">
        <v>0.80546536796536794</v>
      </c>
      <c r="AO358" s="158">
        <v>0.80597423951767611</v>
      </c>
      <c r="AP358" s="158">
        <v>0.80621876735147135</v>
      </c>
      <c r="AQ358" s="158">
        <v>0.80674157303370786</v>
      </c>
      <c r="AR358" s="158">
        <v>0.80703778482838184</v>
      </c>
      <c r="AS358" s="158">
        <v>0.80722543352601162</v>
      </c>
      <c r="AT358" s="158">
        <v>0.80745880312228968</v>
      </c>
      <c r="AU358" s="158">
        <v>0.80747290359383916</v>
      </c>
      <c r="AV358" s="158">
        <v>0.80774628122368786</v>
      </c>
      <c r="AW358" s="158">
        <v>0.80796900940785832</v>
      </c>
      <c r="AX358" s="158">
        <v>0.80803937653814606</v>
      </c>
      <c r="AY358" s="158">
        <v>0.80818206448117036</v>
      </c>
      <c r="AZ358" s="158">
        <v>0.80807537012113051</v>
      </c>
      <c r="BA358" s="158">
        <v>0.80825958702064893</v>
      </c>
      <c r="BB358" s="158">
        <v>0.80835117773019272</v>
      </c>
      <c r="BC358" s="158">
        <v>0.80835117773019272</v>
      </c>
      <c r="BD358" s="158">
        <v>0.80836236933797911</v>
      </c>
      <c r="BE358" s="158">
        <v>0.80833333333333335</v>
      </c>
      <c r="BF358" s="158">
        <v>0.80831533477321815</v>
      </c>
      <c r="BG358" s="158">
        <v>0.80841248303934876</v>
      </c>
      <c r="BH358" s="158">
        <v>0.80862680862680858</v>
      </c>
      <c r="BI358" s="158">
        <v>0.80851648351648353</v>
      </c>
      <c r="BJ358" s="158">
        <v>0.80845771144278611</v>
      </c>
      <c r="BK358" s="158">
        <v>0.80845148735056993</v>
      </c>
      <c r="BL358" s="158">
        <v>0.80832634814193904</v>
      </c>
      <c r="BM358" s="158">
        <v>0.80841514726507713</v>
      </c>
      <c r="BN358" s="158">
        <v>0.80849268841394828</v>
      </c>
      <c r="BO358" s="158">
        <v>0.80855855855855852</v>
      </c>
      <c r="BP358" s="158">
        <v>0.80833098789755131</v>
      </c>
      <c r="BQ358" s="158">
        <v>0.80831928049465995</v>
      </c>
    </row>
    <row r="359" spans="1:69" s="124" customFormat="1">
      <c r="A359" s="124">
        <f>$A$52</f>
        <v>35</v>
      </c>
      <c r="B359" s="114"/>
      <c r="C359" s="114"/>
      <c r="D359" s="114"/>
      <c r="E359" s="114"/>
      <c r="F359" s="114"/>
      <c r="G359" s="114"/>
      <c r="H359" s="114"/>
      <c r="I359" s="114"/>
      <c r="J359" s="114"/>
      <c r="K359" s="114"/>
      <c r="L359" s="114"/>
      <c r="M359" s="158">
        <v>0.75294888597640897</v>
      </c>
      <c r="N359" s="158">
        <v>0.75676536134988859</v>
      </c>
      <c r="O359" s="158">
        <v>0.76072094468614049</v>
      </c>
      <c r="P359" s="158">
        <v>0.76431784107946033</v>
      </c>
      <c r="Q359" s="158">
        <v>0.76786769049025394</v>
      </c>
      <c r="R359" s="158">
        <v>0.77074985689753861</v>
      </c>
      <c r="S359" s="158">
        <v>0.77408008658008653</v>
      </c>
      <c r="T359" s="158">
        <v>0.77666049219370203</v>
      </c>
      <c r="U359" s="158">
        <v>0.77920120572720419</v>
      </c>
      <c r="V359" s="158">
        <v>0.78162869607367913</v>
      </c>
      <c r="W359" s="158">
        <v>0.78395669291338588</v>
      </c>
      <c r="X359" s="158">
        <v>0.7861028684470821</v>
      </c>
      <c r="Y359" s="158">
        <v>0.78804071246819341</v>
      </c>
      <c r="Z359" s="158">
        <v>0.79006946231026498</v>
      </c>
      <c r="AA359" s="158">
        <v>0.79150171549221426</v>
      </c>
      <c r="AB359" s="158">
        <v>0.79321399946566928</v>
      </c>
      <c r="AC359" s="158">
        <v>0.79452433628318586</v>
      </c>
      <c r="AD359" s="158">
        <v>0.79588336192109777</v>
      </c>
      <c r="AE359" s="158">
        <v>0.79713402641191344</v>
      </c>
      <c r="AF359" s="158">
        <v>0.79810453762205624</v>
      </c>
      <c r="AG359" s="158">
        <v>0.79922202274087373</v>
      </c>
      <c r="AH359" s="158">
        <v>0.80012095554883578</v>
      </c>
      <c r="AI359" s="158">
        <v>0.80089418777943366</v>
      </c>
      <c r="AJ359" s="158">
        <v>0.80137600957224053</v>
      </c>
      <c r="AK359" s="158">
        <v>0.80211081794195249</v>
      </c>
      <c r="AL359" s="158">
        <v>0.80276914382593956</v>
      </c>
      <c r="AM359" s="158">
        <v>0.80349822355834932</v>
      </c>
      <c r="AN359" s="158">
        <v>0.80380794701986757</v>
      </c>
      <c r="AO359" s="158">
        <v>0.80436540016168145</v>
      </c>
      <c r="AP359" s="158">
        <v>0.80463847203274219</v>
      </c>
      <c r="AQ359" s="158">
        <v>0.80508708874758084</v>
      </c>
      <c r="AR359" s="158">
        <v>0.80536912751677847</v>
      </c>
      <c r="AS359" s="158">
        <v>0.80534022394487514</v>
      </c>
      <c r="AT359" s="158">
        <v>0.8055235903337169</v>
      </c>
      <c r="AU359" s="158">
        <v>0.80575539568345322</v>
      </c>
      <c r="AV359" s="158">
        <v>0.80579216354344119</v>
      </c>
      <c r="AW359" s="158">
        <v>0.80609108689578091</v>
      </c>
      <c r="AX359" s="158">
        <v>0.80606060606060603</v>
      </c>
      <c r="AY359" s="158">
        <v>0.80615300843996729</v>
      </c>
      <c r="AZ359" s="158">
        <v>0.80609492988133769</v>
      </c>
      <c r="BA359" s="158">
        <v>0.80621817207183066</v>
      </c>
      <c r="BB359" s="158">
        <v>0.80640854472630175</v>
      </c>
      <c r="BC359" s="158">
        <v>0.80650319829424311</v>
      </c>
      <c r="BD359" s="158">
        <v>0.80650319829424311</v>
      </c>
      <c r="BE359" s="158">
        <v>0.80651187616760078</v>
      </c>
      <c r="BF359" s="158">
        <v>0.80647751605995721</v>
      </c>
      <c r="BG359" s="158">
        <v>0.80645161290322576</v>
      </c>
      <c r="BH359" s="158">
        <v>0.80653877330451229</v>
      </c>
      <c r="BI359" s="158">
        <v>0.80625000000000002</v>
      </c>
      <c r="BJ359" s="158">
        <v>0.80639868744872845</v>
      </c>
      <c r="BK359" s="158">
        <v>0.80654925701706104</v>
      </c>
      <c r="BL359" s="158">
        <v>0.80653196789371717</v>
      </c>
      <c r="BM359" s="158">
        <v>0.80639777468706542</v>
      </c>
      <c r="BN359" s="158">
        <v>0.80647863725216418</v>
      </c>
      <c r="BO359" s="158">
        <v>0.80655095184770442</v>
      </c>
      <c r="BP359" s="158">
        <v>0.80638834407397031</v>
      </c>
      <c r="BQ359" s="158">
        <v>0.80666853460353038</v>
      </c>
    </row>
    <row r="360" spans="1:69" s="124" customFormat="1">
      <c r="A360" s="124">
        <f>$A$53</f>
        <v>36</v>
      </c>
      <c r="B360" s="114"/>
      <c r="C360" s="114"/>
      <c r="D360" s="114"/>
      <c r="E360" s="114"/>
      <c r="F360" s="114"/>
      <c r="G360" s="114"/>
      <c r="H360" s="114"/>
      <c r="I360" s="114"/>
      <c r="J360" s="114"/>
      <c r="K360" s="114"/>
      <c r="L360" s="114"/>
      <c r="M360" s="158">
        <v>0.75772849462365588</v>
      </c>
      <c r="N360" s="158">
        <v>0.76165803108808294</v>
      </c>
      <c r="O360" s="158">
        <v>0.76505834121728167</v>
      </c>
      <c r="P360" s="158">
        <v>0.76842429848905336</v>
      </c>
      <c r="Q360" s="158">
        <v>0.77161598091830652</v>
      </c>
      <c r="R360" s="158">
        <v>0.77441176470588236</v>
      </c>
      <c r="S360" s="158">
        <v>0.77730253778157965</v>
      </c>
      <c r="T360" s="158">
        <v>0.77978436657681938</v>
      </c>
      <c r="U360" s="158">
        <v>0.78223042446612179</v>
      </c>
      <c r="V360" s="158">
        <v>0.78448060075093873</v>
      </c>
      <c r="W360" s="158">
        <v>0.7866634452766369</v>
      </c>
      <c r="X360" s="158">
        <v>0.78857002698062306</v>
      </c>
      <c r="Y360" s="158">
        <v>0.79029078363725969</v>
      </c>
      <c r="Z360" s="158">
        <v>0.79183569979716029</v>
      </c>
      <c r="AA360" s="158">
        <v>0.79364265572930015</v>
      </c>
      <c r="AB360" s="158">
        <v>0.7951078379800105</v>
      </c>
      <c r="AC360" s="158">
        <v>0.7963800904977375</v>
      </c>
      <c r="AD360" s="158">
        <v>0.7975206611570248</v>
      </c>
      <c r="AE360" s="158">
        <v>0.79869020501138954</v>
      </c>
      <c r="AF360" s="158">
        <v>0.79966424174594297</v>
      </c>
      <c r="AG360" s="158">
        <v>0.80062929061784893</v>
      </c>
      <c r="AH360" s="158">
        <v>0.80131069407208821</v>
      </c>
      <c r="AI360" s="158">
        <v>0.80216802168021684</v>
      </c>
      <c r="AJ360" s="158">
        <v>0.80267062314540061</v>
      </c>
      <c r="AK360" s="158">
        <v>0.80339588918677396</v>
      </c>
      <c r="AL360" s="158">
        <v>0.80408759124087592</v>
      </c>
      <c r="AM360" s="158">
        <v>0.80439065578384461</v>
      </c>
      <c r="AN360" s="158">
        <v>0.80484485574305931</v>
      </c>
      <c r="AO360" s="158">
        <v>0.80538757559098406</v>
      </c>
      <c r="AP360" s="158">
        <v>0.80568974771873325</v>
      </c>
      <c r="AQ360" s="158">
        <v>0.80592552324001088</v>
      </c>
      <c r="AR360" s="158">
        <v>0.80616740088105732</v>
      </c>
      <c r="AS360" s="158">
        <v>0.8064605959342801</v>
      </c>
      <c r="AT360" s="158">
        <v>0.80646083476272157</v>
      </c>
      <c r="AU360" s="158">
        <v>0.80687679083094554</v>
      </c>
      <c r="AV360" s="158">
        <v>0.80687679083094554</v>
      </c>
      <c r="AW360" s="158">
        <v>0.8071266968325792</v>
      </c>
      <c r="AX360" s="158">
        <v>0.80712496521013077</v>
      </c>
      <c r="AY360" s="158">
        <v>0.80708013172338089</v>
      </c>
      <c r="AZ360" s="158">
        <v>0.80721258134490237</v>
      </c>
      <c r="BA360" s="158">
        <v>0.80736163353036006</v>
      </c>
      <c r="BB360" s="158">
        <v>0.80747663551401871</v>
      </c>
      <c r="BC360" s="158">
        <v>0.80739558393189681</v>
      </c>
      <c r="BD360" s="158">
        <v>0.80727369259357584</v>
      </c>
      <c r="BE360" s="158">
        <v>0.80727369259357584</v>
      </c>
      <c r="BF360" s="158">
        <v>0.80749800584950815</v>
      </c>
      <c r="BG360" s="158">
        <v>0.80746666666666667</v>
      </c>
      <c r="BH360" s="158">
        <v>0.80749665327978581</v>
      </c>
      <c r="BI360" s="158">
        <v>0.8073196986006459</v>
      </c>
      <c r="BJ360" s="158">
        <v>0.80752571737953438</v>
      </c>
      <c r="BK360" s="158">
        <v>0.80740942522473436</v>
      </c>
      <c r="BL360" s="158">
        <v>0.80734447793916142</v>
      </c>
      <c r="BM360" s="158">
        <v>0.80733186328555673</v>
      </c>
      <c r="BN360" s="158">
        <v>0.80720221606648201</v>
      </c>
      <c r="BO360" s="158">
        <v>0.80728587319243605</v>
      </c>
      <c r="BP360" s="158">
        <v>0.80735991078896019</v>
      </c>
      <c r="BQ360" s="158">
        <v>0.80742394641361992</v>
      </c>
    </row>
    <row r="361" spans="1:69" s="124" customFormat="1">
      <c r="A361" s="124">
        <f>$A$54</f>
        <v>37</v>
      </c>
      <c r="B361" s="114"/>
      <c r="C361" s="114"/>
      <c r="D361" s="114"/>
      <c r="E361" s="114"/>
      <c r="F361" s="114"/>
      <c r="G361" s="114"/>
      <c r="H361" s="114"/>
      <c r="I361" s="114"/>
      <c r="J361" s="114"/>
      <c r="K361" s="114"/>
      <c r="L361" s="114"/>
      <c r="M361" s="158">
        <v>0.76512335248394725</v>
      </c>
      <c r="N361" s="158">
        <v>0.76869391824526423</v>
      </c>
      <c r="O361" s="158">
        <v>0.77182284980744542</v>
      </c>
      <c r="P361" s="158">
        <v>0.77513310366426558</v>
      </c>
      <c r="Q361" s="158">
        <v>0.77822085889570547</v>
      </c>
      <c r="R361" s="158">
        <v>0.78104575163398693</v>
      </c>
      <c r="S361" s="158">
        <v>0.78341148886283707</v>
      </c>
      <c r="T361" s="158">
        <v>0.7860187553282183</v>
      </c>
      <c r="U361" s="158">
        <v>0.7882858678130038</v>
      </c>
      <c r="V361" s="158">
        <v>0.79027595269382389</v>
      </c>
      <c r="W361" s="158">
        <v>0.79231153270094856</v>
      </c>
      <c r="X361" s="158">
        <v>0.79402553601541792</v>
      </c>
      <c r="Y361" s="158">
        <v>0.79579359256541937</v>
      </c>
      <c r="Z361" s="158">
        <v>0.79729729729729726</v>
      </c>
      <c r="AA361" s="158">
        <v>0.79878665318503539</v>
      </c>
      <c r="AB361" s="158">
        <v>0.80015333503705599</v>
      </c>
      <c r="AC361" s="158">
        <v>0.80131061598951503</v>
      </c>
      <c r="AD361" s="158">
        <v>0.80260015919341998</v>
      </c>
      <c r="AE361" s="158">
        <v>0.80340472267984619</v>
      </c>
      <c r="AF361" s="158">
        <v>0.80448354143019296</v>
      </c>
      <c r="AG361" s="158">
        <v>0.80535415504740659</v>
      </c>
      <c r="AH361" s="158">
        <v>0.80592761470504415</v>
      </c>
      <c r="AI361" s="158">
        <v>0.80676758682101513</v>
      </c>
      <c r="AJ361" s="158">
        <v>0.80743851229754049</v>
      </c>
      <c r="AK361" s="158">
        <v>0.80810171496156125</v>
      </c>
      <c r="AL361" s="158">
        <v>0.80830860534124627</v>
      </c>
      <c r="AM361" s="158">
        <v>0.80913587430899037</v>
      </c>
      <c r="AN361" s="158">
        <v>0.80931015143017382</v>
      </c>
      <c r="AO361" s="158">
        <v>0.80982094411285943</v>
      </c>
      <c r="AP361" s="158">
        <v>0.80991509175568333</v>
      </c>
      <c r="AQ361" s="158">
        <v>0.81032637774210803</v>
      </c>
      <c r="AR361" s="158">
        <v>0.81040086673889489</v>
      </c>
      <c r="AS361" s="158">
        <v>0.81092206366630082</v>
      </c>
      <c r="AT361" s="158">
        <v>0.81099084096586183</v>
      </c>
      <c r="AU361" s="158">
        <v>0.81111111111111112</v>
      </c>
      <c r="AV361" s="158">
        <v>0.81130459606051952</v>
      </c>
      <c r="AW361" s="158">
        <v>0.8115362649914335</v>
      </c>
      <c r="AX361" s="158">
        <v>0.81149619611158075</v>
      </c>
      <c r="AY361" s="158">
        <v>0.81142540210759839</v>
      </c>
      <c r="AZ361" s="158">
        <v>0.81159420289855078</v>
      </c>
      <c r="BA361" s="158">
        <v>0.81140232369629828</v>
      </c>
      <c r="BB361" s="158">
        <v>0.81151271753681398</v>
      </c>
      <c r="BC361" s="158">
        <v>0.81160191591271957</v>
      </c>
      <c r="BD361" s="158">
        <v>0.81177094379639447</v>
      </c>
      <c r="BE361" s="158">
        <v>0.81185498809208789</v>
      </c>
      <c r="BF361" s="158">
        <v>0.81164021164021161</v>
      </c>
      <c r="BG361" s="158">
        <v>0.81160572337042924</v>
      </c>
      <c r="BH361" s="158">
        <v>0.81185224554876423</v>
      </c>
      <c r="BI361" s="158">
        <v>0.81163287086446101</v>
      </c>
      <c r="BJ361" s="158">
        <v>0.8117457763475463</v>
      </c>
      <c r="BK361" s="158">
        <v>0.81170758025357437</v>
      </c>
      <c r="BL361" s="158">
        <v>0.81188925081433228</v>
      </c>
      <c r="BM361" s="158">
        <v>0.81157837247405784</v>
      </c>
      <c r="BN361" s="158">
        <v>0.81159022246635537</v>
      </c>
      <c r="BO361" s="158">
        <v>0.81175821142699423</v>
      </c>
      <c r="BP361" s="158">
        <v>0.81158215572180659</v>
      </c>
      <c r="BQ361" s="158">
        <v>0.81166666666666665</v>
      </c>
    </row>
    <row r="362" spans="1:69" s="124" customFormat="1">
      <c r="A362" s="124">
        <f>$A$55</f>
        <v>38</v>
      </c>
      <c r="B362" s="114"/>
      <c r="C362" s="114"/>
      <c r="D362" s="114"/>
      <c r="E362" s="114"/>
      <c r="F362" s="114"/>
      <c r="G362" s="114"/>
      <c r="H362" s="114"/>
      <c r="I362" s="114"/>
      <c r="J362" s="114"/>
      <c r="K362" s="114"/>
      <c r="L362" s="114"/>
      <c r="M362" s="158">
        <v>0.77481431465226203</v>
      </c>
      <c r="N362" s="158">
        <v>0.7781124497991968</v>
      </c>
      <c r="O362" s="158">
        <v>0.78107484338938349</v>
      </c>
      <c r="P362" s="158">
        <v>0.78405103668261567</v>
      </c>
      <c r="Q362" s="158">
        <v>0.78678304239401498</v>
      </c>
      <c r="R362" s="158">
        <v>0.78905533476001222</v>
      </c>
      <c r="S362" s="158">
        <v>0.79153094462540718</v>
      </c>
      <c r="T362" s="158">
        <v>0.79398012857977796</v>
      </c>
      <c r="U362" s="158">
        <v>0.79575070821529748</v>
      </c>
      <c r="V362" s="158">
        <v>0.79796355841371913</v>
      </c>
      <c r="W362" s="158">
        <v>0.79973787680209696</v>
      </c>
      <c r="X362" s="158">
        <v>0.80134428678117997</v>
      </c>
      <c r="Y362" s="158">
        <v>0.8029319875030041</v>
      </c>
      <c r="Z362" s="158">
        <v>0.80458648450841663</v>
      </c>
      <c r="AA362" s="158">
        <v>0.80588235294117649</v>
      </c>
      <c r="AB362" s="158">
        <v>0.80685829551185073</v>
      </c>
      <c r="AC362" s="158">
        <v>0.80810397553516822</v>
      </c>
      <c r="AD362" s="158">
        <v>0.80915032679738563</v>
      </c>
      <c r="AE362" s="158">
        <v>0.81005291005291002</v>
      </c>
      <c r="AF362" s="158">
        <v>0.81106243154435931</v>
      </c>
      <c r="AG362" s="158">
        <v>0.81188118811881194</v>
      </c>
      <c r="AH362" s="158">
        <v>0.81234361968306923</v>
      </c>
      <c r="AI362" s="158">
        <v>0.8132992327365729</v>
      </c>
      <c r="AJ362" s="158">
        <v>0.81390532544378702</v>
      </c>
      <c r="AK362" s="158">
        <v>0.81434977578475332</v>
      </c>
      <c r="AL362" s="158">
        <v>0.81491305629236666</v>
      </c>
      <c r="AM362" s="158">
        <v>0.81538461538461537</v>
      </c>
      <c r="AN362" s="158">
        <v>0.81554524361948955</v>
      </c>
      <c r="AO362" s="158">
        <v>0.81576740285155158</v>
      </c>
      <c r="AP362" s="158">
        <v>0.81633757100351634</v>
      </c>
      <c r="AQ362" s="158">
        <v>0.81649371927908243</v>
      </c>
      <c r="AR362" s="158">
        <v>0.81675113363563612</v>
      </c>
      <c r="AS362" s="158">
        <v>0.8169052119902781</v>
      </c>
      <c r="AT362" s="158">
        <v>0.81723666210670309</v>
      </c>
      <c r="AU362" s="158">
        <v>0.81737686773657992</v>
      </c>
      <c r="AV362" s="158">
        <v>0.81738142573132633</v>
      </c>
      <c r="AW362" s="158">
        <v>0.81758679567444503</v>
      </c>
      <c r="AX362" s="158">
        <v>0.81753487048107032</v>
      </c>
      <c r="AY362" s="158">
        <v>0.81741573033707871</v>
      </c>
      <c r="AZ362" s="158">
        <v>0.81752833840199057</v>
      </c>
      <c r="BA362" s="158">
        <v>0.81761177753544168</v>
      </c>
      <c r="BB362" s="158">
        <v>0.81761853448275867</v>
      </c>
      <c r="BC362" s="158">
        <v>0.81767218366257344</v>
      </c>
      <c r="BD362" s="158">
        <v>0.81772353409392406</v>
      </c>
      <c r="BE362" s="158">
        <v>0.81786941580756012</v>
      </c>
      <c r="BF362" s="158">
        <v>0.81772619361646004</v>
      </c>
      <c r="BG362" s="158">
        <v>0.81772619361646004</v>
      </c>
      <c r="BH362" s="158">
        <v>0.81770145310435927</v>
      </c>
      <c r="BI362" s="158">
        <v>0.81774834437086097</v>
      </c>
      <c r="BJ362" s="158">
        <v>0.81777068369247141</v>
      </c>
      <c r="BK362" s="158">
        <v>0.81764705882352939</v>
      </c>
      <c r="BL362" s="158">
        <v>0.81769292820650707</v>
      </c>
      <c r="BM362" s="158">
        <v>0.81764069264069261</v>
      </c>
      <c r="BN362" s="158">
        <v>0.81786005989654231</v>
      </c>
      <c r="BO362" s="158">
        <v>0.81763417305585984</v>
      </c>
      <c r="BP362" s="158">
        <v>0.81783159053384702</v>
      </c>
      <c r="BQ362" s="158">
        <v>0.81772990886495445</v>
      </c>
    </row>
    <row r="363" spans="1:69" s="124" customFormat="1">
      <c r="A363" s="124">
        <f>$A$56</f>
        <v>39</v>
      </c>
      <c r="B363" s="114"/>
      <c r="C363" s="114"/>
      <c r="D363" s="114"/>
      <c r="E363" s="114"/>
      <c r="F363" s="114"/>
      <c r="G363" s="114"/>
      <c r="H363" s="114"/>
      <c r="I363" s="114"/>
      <c r="J363" s="114"/>
      <c r="K363" s="114"/>
      <c r="L363" s="114"/>
      <c r="M363" s="158">
        <v>0.78389682816312301</v>
      </c>
      <c r="N363" s="158">
        <v>0.78681392235609104</v>
      </c>
      <c r="O363" s="158">
        <v>0.78970099667774085</v>
      </c>
      <c r="P363" s="158">
        <v>0.79245901639344263</v>
      </c>
      <c r="Q363" s="158">
        <v>0.79510800508259216</v>
      </c>
      <c r="R363" s="158">
        <v>0.7973267018961766</v>
      </c>
      <c r="S363" s="158">
        <v>0.79963403476669714</v>
      </c>
      <c r="T363" s="158">
        <v>0.80177252584933534</v>
      </c>
      <c r="U363" s="158">
        <v>0.80355581463130288</v>
      </c>
      <c r="V363" s="158">
        <v>0.80553985302430753</v>
      </c>
      <c r="W363" s="158">
        <v>0.80700347500668268</v>
      </c>
      <c r="X363" s="158">
        <v>0.80857740585774063</v>
      </c>
      <c r="Y363" s="158">
        <v>0.81018633540372675</v>
      </c>
      <c r="Z363" s="158">
        <v>0.81151079136690651</v>
      </c>
      <c r="AA363" s="158">
        <v>0.81280428432327168</v>
      </c>
      <c r="AB363" s="158">
        <v>0.81389092687698705</v>
      </c>
      <c r="AC363" s="158">
        <v>0.81484276729559746</v>
      </c>
      <c r="AD363" s="158">
        <v>0.81586978636826046</v>
      </c>
      <c r="AE363" s="158">
        <v>0.8166405842462181</v>
      </c>
      <c r="AF363" s="158">
        <v>0.81762998152546851</v>
      </c>
      <c r="AG363" s="158">
        <v>0.8183556405353728</v>
      </c>
      <c r="AH363" s="158">
        <v>0.81913092550790068</v>
      </c>
      <c r="AI363" s="158">
        <v>0.81946755407653915</v>
      </c>
      <c r="AJ363" s="158">
        <v>0.82029478458049887</v>
      </c>
      <c r="AK363" s="158">
        <v>0.82059604603127767</v>
      </c>
      <c r="AL363" s="158">
        <v>0.82110912343470488</v>
      </c>
      <c r="AM363" s="158">
        <v>0.82157554379776598</v>
      </c>
      <c r="AN363" s="158">
        <v>0.82182890855457225</v>
      </c>
      <c r="AO363" s="158">
        <v>0.82215153267784846</v>
      </c>
      <c r="AP363" s="158">
        <v>0.8223647518126046</v>
      </c>
      <c r="AQ363" s="158">
        <v>0.82271991365353481</v>
      </c>
      <c r="AR363" s="158">
        <v>0.82293652955597929</v>
      </c>
      <c r="AS363" s="158">
        <v>0.82304417243214478</v>
      </c>
      <c r="AT363" s="158">
        <v>0.82327586206896552</v>
      </c>
      <c r="AU363" s="158">
        <v>0.82319236016371078</v>
      </c>
      <c r="AV363" s="158">
        <v>0.82339955849889623</v>
      </c>
      <c r="AW363" s="158">
        <v>0.8235627301047862</v>
      </c>
      <c r="AX363" s="158">
        <v>0.82349602724177073</v>
      </c>
      <c r="AY363" s="158">
        <v>0.82372977575929607</v>
      </c>
      <c r="AZ363" s="158">
        <v>0.82352941176470584</v>
      </c>
      <c r="BA363" s="158">
        <v>0.8235456299972429</v>
      </c>
      <c r="BB363" s="158">
        <v>0.82354540511147367</v>
      </c>
      <c r="BC363" s="158">
        <v>0.82370330556302074</v>
      </c>
      <c r="BD363" s="158">
        <v>0.82374866879659214</v>
      </c>
      <c r="BE363" s="158">
        <v>0.82376290023815824</v>
      </c>
      <c r="BF363" s="158">
        <v>0.82388610598470868</v>
      </c>
      <c r="BG363" s="158">
        <v>0.82394736842105265</v>
      </c>
      <c r="BH363" s="158">
        <v>0.82373059721126018</v>
      </c>
      <c r="BI363" s="158">
        <v>0.82371541501976286</v>
      </c>
      <c r="BJ363" s="158">
        <v>0.82373150105708248</v>
      </c>
      <c r="BK363" s="158">
        <v>0.82382594852746083</v>
      </c>
      <c r="BL363" s="158">
        <v>0.82373333333333332</v>
      </c>
      <c r="BM363" s="158">
        <v>0.82376609442060089</v>
      </c>
      <c r="BN363" s="158">
        <v>0.82402159244264506</v>
      </c>
      <c r="BO363" s="158">
        <v>0.82378495791474338</v>
      </c>
      <c r="BP363" s="158">
        <v>0.82386673948661937</v>
      </c>
      <c r="BQ363" s="158">
        <v>0.82381997804610319</v>
      </c>
    </row>
    <row r="364" spans="1:69" s="124" customFormat="1">
      <c r="A364" s="124">
        <f>$A$57</f>
        <v>40</v>
      </c>
      <c r="B364" s="114"/>
      <c r="C364" s="114"/>
      <c r="D364" s="114"/>
      <c r="E364" s="114"/>
      <c r="F364" s="114"/>
      <c r="G364" s="114"/>
      <c r="H364" s="114"/>
      <c r="I364" s="114"/>
      <c r="J364" s="114"/>
      <c r="K364" s="114"/>
      <c r="L364" s="114"/>
      <c r="M364" s="158">
        <v>0.79369431117203559</v>
      </c>
      <c r="N364" s="158">
        <v>0.79633471645919773</v>
      </c>
      <c r="O364" s="158">
        <v>0.79913535084802123</v>
      </c>
      <c r="P364" s="158">
        <v>0.80158730158730163</v>
      </c>
      <c r="Q364" s="158">
        <v>0.80398562561254494</v>
      </c>
      <c r="R364" s="158">
        <v>0.80633914421553088</v>
      </c>
      <c r="S364" s="158">
        <v>0.80831265508684869</v>
      </c>
      <c r="T364" s="158">
        <v>0.81040779062690205</v>
      </c>
      <c r="U364" s="158">
        <v>0.81220518867924529</v>
      </c>
      <c r="V364" s="158">
        <v>0.81384525887143688</v>
      </c>
      <c r="W364" s="158">
        <v>0.81551480959097322</v>
      </c>
      <c r="X364" s="158">
        <v>0.81670224119530421</v>
      </c>
      <c r="Y364" s="158">
        <v>0.81806316888540853</v>
      </c>
      <c r="Z364" s="158">
        <v>0.81944444444444442</v>
      </c>
      <c r="AA364" s="158">
        <v>0.82064176245210729</v>
      </c>
      <c r="AB364" s="158">
        <v>0.82162818955042527</v>
      </c>
      <c r="AC364" s="158">
        <v>0.82295482295482292</v>
      </c>
      <c r="AD364" s="158">
        <v>0.82366239638281835</v>
      </c>
      <c r="AE364" s="158">
        <v>0.82457476516882455</v>
      </c>
      <c r="AF364" s="158">
        <v>0.82530590991929187</v>
      </c>
      <c r="AG364" s="158">
        <v>0.82586933614330871</v>
      </c>
      <c r="AH364" s="158">
        <v>0.82665576451349143</v>
      </c>
      <c r="AI364" s="158">
        <v>0.82713963963963966</v>
      </c>
      <c r="AJ364" s="158">
        <v>0.82756711873789091</v>
      </c>
      <c r="AK364" s="158">
        <v>0.82805429864253388</v>
      </c>
      <c r="AL364" s="158">
        <v>0.82837798057109213</v>
      </c>
      <c r="AM364" s="158">
        <v>0.82897085068411658</v>
      </c>
      <c r="AN364" s="158">
        <v>0.82932551319648096</v>
      </c>
      <c r="AO364" s="158">
        <v>0.82955549013835739</v>
      </c>
      <c r="AP364" s="158">
        <v>0.83001443001442998</v>
      </c>
      <c r="AQ364" s="158">
        <v>0.83022543835235174</v>
      </c>
      <c r="AR364" s="158">
        <v>0.83010231556273562</v>
      </c>
      <c r="AS364" s="158">
        <v>0.83038869257950532</v>
      </c>
      <c r="AT364" s="158">
        <v>0.83058948486457784</v>
      </c>
      <c r="AU364" s="158">
        <v>0.83064516129032262</v>
      </c>
      <c r="AV364" s="158">
        <v>0.83088235294117652</v>
      </c>
      <c r="AW364" s="158">
        <v>0.83090057835307074</v>
      </c>
      <c r="AX364" s="158">
        <v>0.83074314778185931</v>
      </c>
      <c r="AY364" s="158">
        <v>0.83097395243488104</v>
      </c>
      <c r="AZ364" s="158">
        <v>0.83092608326253181</v>
      </c>
      <c r="BA364" s="158">
        <v>0.83114341627061783</v>
      </c>
      <c r="BB364" s="158">
        <v>0.83104017611447445</v>
      </c>
      <c r="BC364" s="158">
        <v>0.83120759837177749</v>
      </c>
      <c r="BD364" s="158">
        <v>0.83105390185036199</v>
      </c>
      <c r="BE364" s="158">
        <v>0.83125166090884928</v>
      </c>
      <c r="BF364" s="158">
        <v>0.83100079218378664</v>
      </c>
      <c r="BG364" s="158">
        <v>0.83109707971586422</v>
      </c>
      <c r="BH364" s="158">
        <v>0.83114495798319332</v>
      </c>
      <c r="BI364" s="158">
        <v>0.83092675242845893</v>
      </c>
      <c r="BJ364" s="158">
        <v>0.83118590586379171</v>
      </c>
      <c r="BK364" s="158">
        <v>0.83122362869198307</v>
      </c>
      <c r="BL364" s="158">
        <v>0.83108287000264758</v>
      </c>
      <c r="BM364" s="158">
        <v>0.83102714209686002</v>
      </c>
      <c r="BN364" s="158">
        <v>0.83110278372591007</v>
      </c>
      <c r="BO364" s="158">
        <v>0.83091007000538508</v>
      </c>
      <c r="BP364" s="158">
        <v>0.83121105391492822</v>
      </c>
      <c r="BQ364" s="158">
        <v>0.83106267029972747</v>
      </c>
    </row>
    <row r="365" spans="1:69" s="124" customFormat="1">
      <c r="A365" s="124">
        <f>$A$58</f>
        <v>41</v>
      </c>
      <c r="B365" s="114"/>
      <c r="C365" s="114"/>
      <c r="D365" s="114"/>
      <c r="E365" s="114"/>
      <c r="F365" s="114"/>
      <c r="G365" s="114"/>
      <c r="H365" s="114"/>
      <c r="I365" s="114"/>
      <c r="J365" s="114"/>
      <c r="K365" s="114"/>
      <c r="L365" s="114"/>
      <c r="M365" s="158">
        <v>0.8038474750944693</v>
      </c>
      <c r="N365" s="158">
        <v>0.8066712049012934</v>
      </c>
      <c r="O365" s="158">
        <v>0.80949105914718023</v>
      </c>
      <c r="P365" s="158">
        <v>0.81185823120238487</v>
      </c>
      <c r="Q365" s="158">
        <v>0.81437520606660074</v>
      </c>
      <c r="R365" s="158">
        <v>0.81637312459230271</v>
      </c>
      <c r="S365" s="158">
        <v>0.81835443037974687</v>
      </c>
      <c r="T365" s="158">
        <v>0.82006813254877675</v>
      </c>
      <c r="U365" s="158">
        <v>0.82168894289185901</v>
      </c>
      <c r="V365" s="158">
        <v>0.82342554443790461</v>
      </c>
      <c r="W365" s="158">
        <v>0.82515248329944813</v>
      </c>
      <c r="X365" s="158">
        <v>0.82624612785130946</v>
      </c>
      <c r="Y365" s="158">
        <v>0.82787103650413008</v>
      </c>
      <c r="Z365" s="158">
        <v>0.82898852971845671</v>
      </c>
      <c r="AA365" s="158">
        <v>0.83007183552142683</v>
      </c>
      <c r="AB365" s="158">
        <v>0.83114087538866299</v>
      </c>
      <c r="AC365" s="158">
        <v>0.83203883495145636</v>
      </c>
      <c r="AD365" s="158">
        <v>0.83296756888563761</v>
      </c>
      <c r="AE365" s="158">
        <v>0.83370955605718589</v>
      </c>
      <c r="AF365" s="158">
        <v>0.83447401774397967</v>
      </c>
      <c r="AG365" s="158">
        <v>0.83541341653666146</v>
      </c>
      <c r="AH365" s="158">
        <v>0.83583267561168118</v>
      </c>
      <c r="AI365" s="158">
        <v>0.83641807294501902</v>
      </c>
      <c r="AJ365" s="158">
        <v>0.83694124262018554</v>
      </c>
      <c r="AK365" s="158">
        <v>0.83724785852445427</v>
      </c>
      <c r="AL365" s="158">
        <v>0.83766233766233766</v>
      </c>
      <c r="AM365" s="158">
        <v>0.83808404349103727</v>
      </c>
      <c r="AN365" s="158">
        <v>0.83818289786223277</v>
      </c>
      <c r="AO365" s="158">
        <v>0.83870023419203743</v>
      </c>
      <c r="AP365" s="158">
        <v>0.83896561857184837</v>
      </c>
      <c r="AQ365" s="158">
        <v>0.83923941227312016</v>
      </c>
      <c r="AR365" s="158">
        <v>0.83939983328702417</v>
      </c>
      <c r="AS365" s="158">
        <v>0.83951612903225803</v>
      </c>
      <c r="AT365" s="158">
        <v>0.83962008141112621</v>
      </c>
      <c r="AU365" s="158">
        <v>0.83987274655355248</v>
      </c>
      <c r="AV365" s="158">
        <v>0.83977455716586147</v>
      </c>
      <c r="AW365" s="158">
        <v>0.83990214732264201</v>
      </c>
      <c r="AX365" s="158">
        <v>0.840021990104453</v>
      </c>
      <c r="AY365" s="158">
        <v>0.84005641748942173</v>
      </c>
      <c r="AZ365" s="158">
        <v>0.84002261164499714</v>
      </c>
      <c r="BA365" s="158">
        <v>0.84026010743567991</v>
      </c>
      <c r="BB365" s="158">
        <v>0.8401227678571429</v>
      </c>
      <c r="BC365" s="158">
        <v>0.84015380390002747</v>
      </c>
      <c r="BD365" s="158">
        <v>0.84019501625135429</v>
      </c>
      <c r="BE365" s="158">
        <v>0.84042838018741628</v>
      </c>
      <c r="BF365" s="158">
        <v>0.84005305039787803</v>
      </c>
      <c r="BG365" s="158">
        <v>0.84023200632744532</v>
      </c>
      <c r="BH365" s="158">
        <v>0.84029419490412394</v>
      </c>
      <c r="BI365" s="158">
        <v>0.84010484927916118</v>
      </c>
      <c r="BJ365" s="158">
        <v>0.84036697247706427</v>
      </c>
      <c r="BK365" s="158">
        <v>0.84015748031496063</v>
      </c>
      <c r="BL365" s="158">
        <v>0.84022111081863649</v>
      </c>
      <c r="BM365" s="158">
        <v>0.84033835580227334</v>
      </c>
      <c r="BN365" s="158">
        <v>0.84032943676939431</v>
      </c>
      <c r="BO365" s="158">
        <v>0.84023510553032332</v>
      </c>
      <c r="BP365" s="158">
        <v>0.8403225806451613</v>
      </c>
      <c r="BQ365" s="158">
        <v>0.8401838831800974</v>
      </c>
    </row>
    <row r="366" spans="1:69" s="124" customFormat="1">
      <c r="A366" s="124">
        <f>$A$59</f>
        <v>42</v>
      </c>
      <c r="B366" s="114"/>
      <c r="C366" s="114"/>
      <c r="D366" s="114"/>
      <c r="E366" s="114"/>
      <c r="F366" s="114"/>
      <c r="G366" s="114"/>
      <c r="H366" s="114"/>
      <c r="I366" s="114"/>
      <c r="J366" s="114"/>
      <c r="K366" s="114"/>
      <c r="L366" s="114"/>
      <c r="M366" s="158">
        <v>0.81333769205622752</v>
      </c>
      <c r="N366" s="158">
        <v>0.81591530054644812</v>
      </c>
      <c r="O366" s="158">
        <v>0.81842818428184283</v>
      </c>
      <c r="P366" s="158">
        <v>0.82082905104487836</v>
      </c>
      <c r="Q366" s="158">
        <v>0.8229269904195573</v>
      </c>
      <c r="R366" s="158">
        <v>0.82515640434639448</v>
      </c>
      <c r="S366" s="158">
        <v>0.82703583061889252</v>
      </c>
      <c r="T366" s="158">
        <v>0.82901390644753481</v>
      </c>
      <c r="U366" s="158">
        <v>0.83049798948345188</v>
      </c>
      <c r="V366" s="158">
        <v>0.83222087378640774</v>
      </c>
      <c r="W366" s="158">
        <v>0.83362727807172254</v>
      </c>
      <c r="X366" s="158">
        <v>0.83521903104148532</v>
      </c>
      <c r="Y366" s="158">
        <v>0.83628691983122361</v>
      </c>
      <c r="Z366" s="158">
        <v>0.83737024221453282</v>
      </c>
      <c r="AA366" s="158">
        <v>0.83854166666666663</v>
      </c>
      <c r="AB366" s="158">
        <v>0.83964365256124718</v>
      </c>
      <c r="AC366" s="158">
        <v>0.84062126642771806</v>
      </c>
      <c r="AD366" s="158">
        <v>0.84141610087293894</v>
      </c>
      <c r="AE366" s="158">
        <v>0.84214372716199759</v>
      </c>
      <c r="AF366" s="158">
        <v>0.84289651716361813</v>
      </c>
      <c r="AG366" s="158">
        <v>0.84350468473031148</v>
      </c>
      <c r="AH366" s="158">
        <v>0.84419631264606598</v>
      </c>
      <c r="AI366" s="158">
        <v>0.84471886495007886</v>
      </c>
      <c r="AJ366" s="158">
        <v>0.84506659418320196</v>
      </c>
      <c r="AK366" s="158">
        <v>0.84559236384053904</v>
      </c>
      <c r="AL366" s="158">
        <v>0.84598399116754075</v>
      </c>
      <c r="AM366" s="158">
        <v>0.84630569655950372</v>
      </c>
      <c r="AN366" s="158">
        <v>0.846537558685446</v>
      </c>
      <c r="AO366" s="158">
        <v>0.84697508896797158</v>
      </c>
      <c r="AP366" s="158">
        <v>0.84712072493422974</v>
      </c>
      <c r="AQ366" s="158">
        <v>0.84741784037558687</v>
      </c>
      <c r="AR366" s="158">
        <v>0.84752589182968929</v>
      </c>
      <c r="AS366" s="158">
        <v>0.8479467258601554</v>
      </c>
      <c r="AT366" s="158">
        <v>0.84778523489932889</v>
      </c>
      <c r="AU366" s="158">
        <v>0.84819734345351039</v>
      </c>
      <c r="AV366" s="158">
        <v>0.8480275350807519</v>
      </c>
      <c r="AW366" s="158">
        <v>0.84803001876172612</v>
      </c>
      <c r="AX366" s="158">
        <v>0.84799131378935944</v>
      </c>
      <c r="AY366" s="158">
        <v>0.84820203129289051</v>
      </c>
      <c r="AZ366" s="158">
        <v>0.84845070422535207</v>
      </c>
      <c r="BA366" s="158">
        <v>0.84843353090601181</v>
      </c>
      <c r="BB366" s="158">
        <v>0.84839073969508749</v>
      </c>
      <c r="BC366" s="158">
        <v>0.84842574533296178</v>
      </c>
      <c r="BD366" s="158">
        <v>0.8483269336258914</v>
      </c>
      <c r="BE366" s="158">
        <v>0.84852583175547747</v>
      </c>
      <c r="BF366" s="158">
        <v>0.84843624699278264</v>
      </c>
      <c r="BG366" s="158">
        <v>0.84847682119205303</v>
      </c>
      <c r="BH366" s="158">
        <v>0.84860452869931546</v>
      </c>
      <c r="BI366" s="158">
        <v>0.84841332284290583</v>
      </c>
      <c r="BJ366" s="158">
        <v>0.84842931937172772</v>
      </c>
      <c r="BK366" s="158">
        <v>0.84842931937172772</v>
      </c>
      <c r="BL366" s="158">
        <v>0.84849279161205771</v>
      </c>
      <c r="BM366" s="158">
        <v>0.84831756046267093</v>
      </c>
      <c r="BN366" s="158">
        <v>0.84850884138295068</v>
      </c>
      <c r="BO366" s="158">
        <v>0.84827586206896555</v>
      </c>
      <c r="BP366" s="158">
        <v>0.84845250800426897</v>
      </c>
      <c r="BQ366" s="158">
        <v>0.84836285560923241</v>
      </c>
    </row>
    <row r="367" spans="1:69" s="124" customFormat="1">
      <c r="A367" s="124">
        <f>$A$60</f>
        <v>43</v>
      </c>
      <c r="B367" s="114"/>
      <c r="C367" s="114"/>
      <c r="D367" s="114"/>
      <c r="E367" s="114"/>
      <c r="F367" s="114"/>
      <c r="G367" s="114"/>
      <c r="H367" s="114"/>
      <c r="I367" s="114"/>
      <c r="J367" s="114"/>
      <c r="K367" s="114"/>
      <c r="L367" s="114"/>
      <c r="M367" s="158">
        <v>0.82092365692742697</v>
      </c>
      <c r="N367" s="158">
        <v>0.82368249837345475</v>
      </c>
      <c r="O367" s="158">
        <v>0.82619047619047614</v>
      </c>
      <c r="P367" s="158">
        <v>0.82843633907463698</v>
      </c>
      <c r="Q367" s="158">
        <v>0.83105335157318738</v>
      </c>
      <c r="R367" s="158">
        <v>0.83294816771211622</v>
      </c>
      <c r="S367" s="158">
        <v>0.83519736842105263</v>
      </c>
      <c r="T367" s="158">
        <v>0.83696713309469573</v>
      </c>
      <c r="U367" s="158">
        <v>0.83864856330912541</v>
      </c>
      <c r="V367" s="158">
        <v>0.84023485784919649</v>
      </c>
      <c r="W367" s="158">
        <v>0.84172225591267436</v>
      </c>
      <c r="X367" s="158">
        <v>0.84312573443008221</v>
      </c>
      <c r="Y367" s="158">
        <v>0.84434782608695658</v>
      </c>
      <c r="Z367" s="158">
        <v>0.8456564520663481</v>
      </c>
      <c r="AA367" s="158">
        <v>0.84676775738228249</v>
      </c>
      <c r="AB367" s="158">
        <v>0.8477355543987507</v>
      </c>
      <c r="AC367" s="158">
        <v>0.84887459807073951</v>
      </c>
      <c r="AD367" s="158">
        <v>0.84977310723668498</v>
      </c>
      <c r="AE367" s="158">
        <v>0.85046049442559379</v>
      </c>
      <c r="AF367" s="158">
        <v>0.85122960798636471</v>
      </c>
      <c r="AG367" s="158">
        <v>0.85177766649974962</v>
      </c>
      <c r="AH367" s="158">
        <v>0.85222672064777327</v>
      </c>
      <c r="AI367" s="158">
        <v>0.85288012454592632</v>
      </c>
      <c r="AJ367" s="158">
        <v>0.85350485691782618</v>
      </c>
      <c r="AK367" s="158">
        <v>0.85388375882672463</v>
      </c>
      <c r="AL367" s="158">
        <v>0.85441795231416551</v>
      </c>
      <c r="AM367" s="158">
        <v>0.85470085470085466</v>
      </c>
      <c r="AN367" s="158">
        <v>0.8549295774647887</v>
      </c>
      <c r="AO367" s="158">
        <v>0.85517443564936968</v>
      </c>
      <c r="AP367" s="158">
        <v>0.85545023696682465</v>
      </c>
      <c r="AQ367" s="158">
        <v>0.85572429906542058</v>
      </c>
      <c r="AR367" s="158">
        <v>0.85580304806565066</v>
      </c>
      <c r="AS367" s="158">
        <v>0.85603448275862071</v>
      </c>
      <c r="AT367" s="158">
        <v>0.85615299334811534</v>
      </c>
      <c r="AU367" s="158">
        <v>0.85622317596566522</v>
      </c>
      <c r="AV367" s="158">
        <v>0.85648524235039258</v>
      </c>
      <c r="AW367" s="158">
        <v>0.85661375661375661</v>
      </c>
      <c r="AX367" s="158">
        <v>0.8567220139260846</v>
      </c>
      <c r="AY367" s="158">
        <v>0.85679414157851908</v>
      </c>
      <c r="AZ367" s="158">
        <v>0.85682940208447611</v>
      </c>
      <c r="BA367" s="158">
        <v>0.85678109172763084</v>
      </c>
      <c r="BB367" s="158">
        <v>0.85678037778404281</v>
      </c>
      <c r="BC367" s="158">
        <v>0.85673998871968415</v>
      </c>
      <c r="BD367" s="158">
        <v>0.85666573893682163</v>
      </c>
      <c r="BE367" s="158">
        <v>0.85671232876712333</v>
      </c>
      <c r="BF367" s="158">
        <v>0.85679546068630097</v>
      </c>
      <c r="BG367" s="158">
        <v>0.85660881174899861</v>
      </c>
      <c r="BH367" s="158">
        <v>0.85684043397724263</v>
      </c>
      <c r="BI367" s="158">
        <v>0.8569174118884797</v>
      </c>
      <c r="BJ367" s="158">
        <v>0.85669373853811892</v>
      </c>
      <c r="BK367" s="158">
        <v>0.85669456066945604</v>
      </c>
      <c r="BL367" s="158">
        <v>0.85695606694560666</v>
      </c>
      <c r="BM367" s="158">
        <v>0.8567687876407436</v>
      </c>
      <c r="BN367" s="158">
        <v>0.85688025210084029</v>
      </c>
      <c r="BO367" s="158">
        <v>0.85684155022409703</v>
      </c>
      <c r="BP367" s="158">
        <v>0.85665076841547427</v>
      </c>
      <c r="BQ367" s="158">
        <v>0.85664801492139619</v>
      </c>
    </row>
    <row r="368" spans="1:69" s="124" customFormat="1">
      <c r="A368" s="124">
        <f>$A$61</f>
        <v>44</v>
      </c>
      <c r="B368" s="114"/>
      <c r="C368" s="114"/>
      <c r="D368" s="114"/>
      <c r="E368" s="114"/>
      <c r="F368" s="114"/>
      <c r="G368" s="114"/>
      <c r="H368" s="114"/>
      <c r="I368" s="114"/>
      <c r="J368" s="114"/>
      <c r="K368" s="114"/>
      <c r="L368" s="114"/>
      <c r="M368" s="158">
        <v>0.82827669902912626</v>
      </c>
      <c r="N368" s="158">
        <v>0.83129890453834121</v>
      </c>
      <c r="O368" s="158">
        <v>0.83392799221537461</v>
      </c>
      <c r="P368" s="158">
        <v>0.83672776646300073</v>
      </c>
      <c r="Q368" s="158">
        <v>0.83906882591093113</v>
      </c>
      <c r="R368" s="158">
        <v>0.84136752136752135</v>
      </c>
      <c r="S368" s="158">
        <v>0.84356435643564354</v>
      </c>
      <c r="T368" s="158">
        <v>0.84544557711279189</v>
      </c>
      <c r="U368" s="158">
        <v>0.84743005855562781</v>
      </c>
      <c r="V368" s="158">
        <v>0.84911616161616166</v>
      </c>
      <c r="W368" s="158">
        <v>0.85047883843064565</v>
      </c>
      <c r="X368" s="158">
        <v>0.85237950894210368</v>
      </c>
      <c r="Y368" s="158">
        <v>0.85374449339207048</v>
      </c>
      <c r="Z368" s="158">
        <v>0.85507246376811596</v>
      </c>
      <c r="AA368" s="158">
        <v>0.85609893198426079</v>
      </c>
      <c r="AB368" s="158">
        <v>0.8571808510638298</v>
      </c>
      <c r="AC368" s="158">
        <v>0.85818371064272703</v>
      </c>
      <c r="AD368" s="158">
        <v>0.85905044510385753</v>
      </c>
      <c r="AE368" s="158">
        <v>0.86007640878701053</v>
      </c>
      <c r="AF368" s="158">
        <v>0.86067361279379695</v>
      </c>
      <c r="AG368" s="158">
        <v>0.86148977604673804</v>
      </c>
      <c r="AH368" s="158">
        <v>0.86229344016024034</v>
      </c>
      <c r="AI368" s="158">
        <v>0.86285425101214575</v>
      </c>
      <c r="AJ368" s="158">
        <v>0.8632944228274968</v>
      </c>
      <c r="AK368" s="158">
        <v>0.86377952755905507</v>
      </c>
      <c r="AL368" s="158">
        <v>0.86424110779256036</v>
      </c>
      <c r="AM368" s="158">
        <v>0.86459209419680405</v>
      </c>
      <c r="AN368" s="158">
        <v>0.86493936052921716</v>
      </c>
      <c r="AO368" s="158">
        <v>0.86510842016333422</v>
      </c>
      <c r="AP368" s="158">
        <v>0.86551421037210663</v>
      </c>
      <c r="AQ368" s="158">
        <v>0.86560094730609827</v>
      </c>
      <c r="AR368" s="158">
        <v>0.86602451838879158</v>
      </c>
      <c r="AS368" s="158">
        <v>0.86613942589338022</v>
      </c>
      <c r="AT368" s="158">
        <v>0.86616886846639862</v>
      </c>
      <c r="AU368" s="158">
        <v>0.86620498614958452</v>
      </c>
      <c r="AV368" s="158">
        <v>0.86648793565683646</v>
      </c>
      <c r="AW368" s="158">
        <v>0.86657645466847089</v>
      </c>
      <c r="AX368" s="158">
        <v>0.86673717609730305</v>
      </c>
      <c r="AY368" s="158">
        <v>0.86670235546038543</v>
      </c>
      <c r="AZ368" s="158">
        <v>0.86663052317701272</v>
      </c>
      <c r="BA368" s="158">
        <v>0.86677631578947367</v>
      </c>
      <c r="BB368" s="158">
        <v>0.86670416197975253</v>
      </c>
      <c r="BC368" s="158">
        <v>0.86672302056917438</v>
      </c>
      <c r="BD368" s="158">
        <v>0.86696730552423906</v>
      </c>
      <c r="BE368" s="158">
        <v>0.86675938803894292</v>
      </c>
      <c r="BF368" s="158">
        <v>0.86692223439211391</v>
      </c>
      <c r="BG368" s="158">
        <v>0.86686470429381579</v>
      </c>
      <c r="BH368" s="158">
        <v>0.8668267947691487</v>
      </c>
      <c r="BI368" s="158">
        <v>0.86696641100238037</v>
      </c>
      <c r="BJ368" s="158">
        <v>0.86675427069645206</v>
      </c>
      <c r="BK368" s="158">
        <v>0.86671903639696257</v>
      </c>
      <c r="BL368" s="158">
        <v>0.86696288552012546</v>
      </c>
      <c r="BM368" s="158">
        <v>0.86673634700810032</v>
      </c>
      <c r="BN368" s="158">
        <v>0.86678879874378434</v>
      </c>
      <c r="BO368" s="158">
        <v>0.86670165310942004</v>
      </c>
      <c r="BP368" s="158">
        <v>0.86693017127799732</v>
      </c>
      <c r="BQ368" s="158">
        <v>0.86682552290177395</v>
      </c>
    </row>
    <row r="369" spans="1:69" s="124" customFormat="1">
      <c r="A369" s="124">
        <f>$A$62</f>
        <v>45</v>
      </c>
      <c r="B369" s="114"/>
      <c r="C369" s="114"/>
      <c r="D369" s="114"/>
      <c r="E369" s="114"/>
      <c r="F369" s="114"/>
      <c r="G369" s="114"/>
      <c r="H369" s="114"/>
      <c r="I369" s="114"/>
      <c r="J369" s="114"/>
      <c r="K369" s="114"/>
      <c r="L369" s="114"/>
      <c r="M369" s="158">
        <v>0.8348056537102474</v>
      </c>
      <c r="N369" s="158">
        <v>0.83807506053268765</v>
      </c>
      <c r="O369" s="158">
        <v>0.84098719150265544</v>
      </c>
      <c r="P369" s="158">
        <v>0.84386135406543572</v>
      </c>
      <c r="Q369" s="158">
        <v>0.84633649932157395</v>
      </c>
      <c r="R369" s="158">
        <v>0.84880188997637529</v>
      </c>
      <c r="S369" s="158">
        <v>0.85123119015047877</v>
      </c>
      <c r="T369" s="158">
        <v>0.85341696929679767</v>
      </c>
      <c r="U369" s="158">
        <v>0.85559210526315788</v>
      </c>
      <c r="V369" s="158">
        <v>0.85746827204685971</v>
      </c>
      <c r="W369" s="158">
        <v>0.8591727186611936</v>
      </c>
      <c r="X369" s="158">
        <v>0.86089644513137553</v>
      </c>
      <c r="Y369" s="158">
        <v>0.86234081261370532</v>
      </c>
      <c r="Z369" s="158">
        <v>0.86368977673325498</v>
      </c>
      <c r="AA369" s="158">
        <v>0.86517831255436362</v>
      </c>
      <c r="AB369" s="158">
        <v>0.86617936463311784</v>
      </c>
      <c r="AC369" s="158">
        <v>0.86725192870444268</v>
      </c>
      <c r="AD369" s="158">
        <v>0.86852382192137467</v>
      </c>
      <c r="AE369" s="158">
        <v>0.86937159821870358</v>
      </c>
      <c r="AF369" s="158">
        <v>0.87028189202102246</v>
      </c>
      <c r="AG369" s="158">
        <v>0.87103030303030304</v>
      </c>
      <c r="AH369" s="158">
        <v>0.87168249330411496</v>
      </c>
      <c r="AI369" s="158">
        <v>0.87252692211369898</v>
      </c>
      <c r="AJ369" s="158">
        <v>0.87272267206477738</v>
      </c>
      <c r="AK369" s="158">
        <v>0.87337830825116758</v>
      </c>
      <c r="AL369" s="158">
        <v>0.87398267261748486</v>
      </c>
      <c r="AM369" s="158">
        <v>0.87428726581591099</v>
      </c>
      <c r="AN369" s="158">
        <v>0.87464946719012904</v>
      </c>
      <c r="AO369" s="158">
        <v>0.8748621830209482</v>
      </c>
      <c r="AP369" s="158">
        <v>0.8752464094621234</v>
      </c>
      <c r="AQ369" s="158">
        <v>0.87573270808909731</v>
      </c>
      <c r="AR369" s="158">
        <v>0.87566607460035528</v>
      </c>
      <c r="AS369" s="158">
        <v>0.87594862813776997</v>
      </c>
      <c r="AT369" s="158">
        <v>0.87609841827768009</v>
      </c>
      <c r="AU369" s="158">
        <v>0.87622056289488803</v>
      </c>
      <c r="AV369" s="158">
        <v>0.87617728531855954</v>
      </c>
      <c r="AW369" s="158">
        <v>0.87640750670241285</v>
      </c>
      <c r="AX369" s="158">
        <v>0.8765899864682003</v>
      </c>
      <c r="AY369" s="158">
        <v>0.8767847699629826</v>
      </c>
      <c r="AZ369" s="158">
        <v>0.87660599571734477</v>
      </c>
      <c r="BA369" s="158">
        <v>0.87666034155597727</v>
      </c>
      <c r="BB369" s="158">
        <v>0.87667854206631957</v>
      </c>
      <c r="BC369" s="158">
        <v>0.87682789651293591</v>
      </c>
      <c r="BD369" s="158">
        <v>0.87686672302056923</v>
      </c>
      <c r="BE369" s="158">
        <v>0.87658495350803045</v>
      </c>
      <c r="BF369" s="158">
        <v>0.87677329624478439</v>
      </c>
      <c r="BG369" s="158">
        <v>0.8767798466593647</v>
      </c>
      <c r="BH369" s="158">
        <v>0.87661987041036715</v>
      </c>
      <c r="BI369" s="158">
        <v>0.87670136108887109</v>
      </c>
      <c r="BJ369" s="158">
        <v>0.8767847699629826</v>
      </c>
      <c r="BK369" s="158">
        <v>0.87674113009198418</v>
      </c>
      <c r="BL369" s="158">
        <v>0.87693113380466092</v>
      </c>
      <c r="BM369" s="158">
        <v>0.87666579566239877</v>
      </c>
      <c r="BN369" s="158">
        <v>0.87692709694277504</v>
      </c>
      <c r="BO369" s="158">
        <v>0.87676609105180536</v>
      </c>
      <c r="BP369" s="158">
        <v>0.87693518761479927</v>
      </c>
      <c r="BQ369" s="158">
        <v>0.87671232876712324</v>
      </c>
    </row>
    <row r="370" spans="1:69" s="124" customFormat="1">
      <c r="A370" s="124">
        <f>$A$63</f>
        <v>46</v>
      </c>
      <c r="B370" s="114"/>
      <c r="C370" s="114"/>
      <c r="D370" s="114"/>
      <c r="E370" s="114"/>
      <c r="F370" s="114"/>
      <c r="G370" s="114"/>
      <c r="H370" s="114"/>
      <c r="I370" s="114"/>
      <c r="J370" s="114"/>
      <c r="K370" s="114"/>
      <c r="L370" s="114"/>
      <c r="M370" s="158">
        <v>0.83961992513676942</v>
      </c>
      <c r="N370" s="158">
        <v>0.84303350970017632</v>
      </c>
      <c r="O370" s="158">
        <v>0.84613059250302303</v>
      </c>
      <c r="P370" s="158">
        <v>0.84946908182386005</v>
      </c>
      <c r="Q370" s="158">
        <v>0.85191186001296171</v>
      </c>
      <c r="R370" s="158">
        <v>0.85466893039049241</v>
      </c>
      <c r="S370" s="158">
        <v>0.85743243243243239</v>
      </c>
      <c r="T370" s="158">
        <v>0.85963711057856895</v>
      </c>
      <c r="U370" s="158">
        <v>0.86186384666226046</v>
      </c>
      <c r="V370" s="158">
        <v>0.86401053671386241</v>
      </c>
      <c r="W370" s="158">
        <v>0.86579804560260587</v>
      </c>
      <c r="X370" s="158">
        <v>0.86757269279393168</v>
      </c>
      <c r="Y370" s="158">
        <v>0.86916176925456234</v>
      </c>
      <c r="Z370" s="158">
        <v>0.87101669195751141</v>
      </c>
      <c r="AA370" s="158">
        <v>0.87209644222287563</v>
      </c>
      <c r="AB370" s="158">
        <v>0.87351319988395704</v>
      </c>
      <c r="AC370" s="158">
        <v>0.87478897017445134</v>
      </c>
      <c r="AD370" s="158">
        <v>0.87566560170394037</v>
      </c>
      <c r="AE370" s="158">
        <v>0.87679083094555876</v>
      </c>
      <c r="AF370" s="158">
        <v>0.87769249814310468</v>
      </c>
      <c r="AG370" s="158">
        <v>0.87834608030592731</v>
      </c>
      <c r="AH370" s="158">
        <v>0.87921416444336653</v>
      </c>
      <c r="AI370" s="158">
        <v>0.87987329434697858</v>
      </c>
      <c r="AJ370" s="158">
        <v>0.88048108243547984</v>
      </c>
      <c r="AK370" s="158">
        <v>0.88123575588756642</v>
      </c>
      <c r="AL370" s="158">
        <v>0.88161993769470404</v>
      </c>
      <c r="AM370" s="158">
        <v>0.88205936432886789</v>
      </c>
      <c r="AN370" s="158">
        <v>0.88236892148872592</v>
      </c>
      <c r="AO370" s="158">
        <v>0.882996632996633</v>
      </c>
      <c r="AP370" s="158">
        <v>0.8830667402095973</v>
      </c>
      <c r="AQ370" s="158">
        <v>0.88362919132149897</v>
      </c>
      <c r="AR370" s="158">
        <v>0.88361184403400761</v>
      </c>
      <c r="AS370" s="158">
        <v>0.88388625592417058</v>
      </c>
      <c r="AT370" s="158">
        <v>0.88408759124087588</v>
      </c>
      <c r="AU370" s="158">
        <v>0.88423212192262601</v>
      </c>
      <c r="AV370" s="158">
        <v>0.8844827586206897</v>
      </c>
      <c r="AW370" s="158">
        <v>0.88442350332594233</v>
      </c>
      <c r="AX370" s="158">
        <v>0.88465665236051505</v>
      </c>
      <c r="AY370" s="158">
        <v>0.88464662875710809</v>
      </c>
      <c r="AZ370" s="158">
        <v>0.88468659084898171</v>
      </c>
      <c r="BA370" s="158">
        <v>0.88460508701472562</v>
      </c>
      <c r="BB370" s="158">
        <v>0.88476138828633411</v>
      </c>
      <c r="BC370" s="158">
        <v>0.88483685220729369</v>
      </c>
      <c r="BD370" s="158">
        <v>0.88466947960618847</v>
      </c>
      <c r="BE370" s="158">
        <v>0.88472378804960539</v>
      </c>
      <c r="BF370" s="158">
        <v>0.88472378804960539</v>
      </c>
      <c r="BG370" s="158">
        <v>0.88480801335559267</v>
      </c>
      <c r="BH370" s="158">
        <v>0.88496302382908787</v>
      </c>
      <c r="BI370" s="158">
        <v>0.88468809073724008</v>
      </c>
      <c r="BJ370" s="158">
        <v>0.88494394020288303</v>
      </c>
      <c r="BK370" s="158">
        <v>0.88468659084898171</v>
      </c>
      <c r="BL370" s="158">
        <v>0.8848580441640379</v>
      </c>
      <c r="BM370" s="158">
        <v>0.8847865933490443</v>
      </c>
      <c r="BN370" s="158">
        <v>0.8847360167276529</v>
      </c>
      <c r="BO370" s="158">
        <v>0.88476613535406323</v>
      </c>
      <c r="BP370" s="158">
        <v>0.88484689871761324</v>
      </c>
      <c r="BQ370" s="158">
        <v>0.88480713723432169</v>
      </c>
    </row>
    <row r="371" spans="1:69" s="124" customFormat="1">
      <c r="A371" s="124">
        <f>$A$64</f>
        <v>47</v>
      </c>
      <c r="B371" s="114"/>
      <c r="C371" s="114"/>
      <c r="D371" s="114"/>
      <c r="E371" s="114"/>
      <c r="F371" s="114"/>
      <c r="G371" s="114"/>
      <c r="H371" s="114"/>
      <c r="I371" s="114"/>
      <c r="J371" s="114"/>
      <c r="K371" s="114"/>
      <c r="L371" s="114"/>
      <c r="M371" s="158">
        <v>0.842326139088729</v>
      </c>
      <c r="N371" s="158">
        <v>0.84608745684695053</v>
      </c>
      <c r="O371" s="158">
        <v>0.84925066118131065</v>
      </c>
      <c r="P371" s="158">
        <v>0.85243423042032052</v>
      </c>
      <c r="Q371" s="158">
        <v>0.85531250000000003</v>
      </c>
      <c r="R371" s="158">
        <v>0.85816293411230116</v>
      </c>
      <c r="S371" s="158">
        <v>0.86059163549812989</v>
      </c>
      <c r="T371" s="158">
        <v>0.86299052774018947</v>
      </c>
      <c r="U371" s="158">
        <v>0.86561535824477198</v>
      </c>
      <c r="V371" s="158">
        <v>0.86763732627399071</v>
      </c>
      <c r="W371" s="158">
        <v>0.86943620178041547</v>
      </c>
      <c r="X371" s="158">
        <v>0.87149380300065227</v>
      </c>
      <c r="Y371" s="158">
        <v>0.8731012658227848</v>
      </c>
      <c r="Z371" s="158">
        <v>0.87457417157014561</v>
      </c>
      <c r="AA371" s="158">
        <v>0.87602552415679125</v>
      </c>
      <c r="AB371" s="158">
        <v>0.87753900500441562</v>
      </c>
      <c r="AC371" s="158">
        <v>0.87859424920127793</v>
      </c>
      <c r="AD371" s="158">
        <v>0.87971830985915489</v>
      </c>
      <c r="AE371" s="158">
        <v>0.88086353944562901</v>
      </c>
      <c r="AF371" s="158">
        <v>0.88161668839634943</v>
      </c>
      <c r="AG371" s="158">
        <v>0.88252788104089219</v>
      </c>
      <c r="AH371" s="158">
        <v>0.88346494376645135</v>
      </c>
      <c r="AI371" s="158">
        <v>0.88416707139388051</v>
      </c>
      <c r="AJ371" s="158">
        <v>0.88463414634146342</v>
      </c>
      <c r="AK371" s="158">
        <v>0.88537747679959866</v>
      </c>
      <c r="AL371" s="158">
        <v>0.88570704510897114</v>
      </c>
      <c r="AM371" s="158">
        <v>0.88617463617463621</v>
      </c>
      <c r="AN371" s="158">
        <v>0.88669821240799163</v>
      </c>
      <c r="AO371" s="158">
        <v>0.88713625237965732</v>
      </c>
      <c r="AP371" s="158">
        <v>0.88739118225217639</v>
      </c>
      <c r="AQ371" s="158">
        <v>0.8876621584322385</v>
      </c>
      <c r="AR371" s="158">
        <v>0.88804286520022557</v>
      </c>
      <c r="AS371" s="158">
        <v>0.88820422535211263</v>
      </c>
      <c r="AT371" s="158">
        <v>0.88823006225911649</v>
      </c>
      <c r="AU371" s="158">
        <v>0.88836937463471655</v>
      </c>
      <c r="AV371" s="158">
        <v>0.88856304985337242</v>
      </c>
      <c r="AW371" s="158">
        <v>0.88844163312248414</v>
      </c>
      <c r="AX371" s="158">
        <v>0.88851913477537436</v>
      </c>
      <c r="AY371" s="158">
        <v>0.8886205045625335</v>
      </c>
      <c r="AZ371" s="158">
        <v>0.8889189921430507</v>
      </c>
      <c r="BA371" s="158">
        <v>0.88883006881948123</v>
      </c>
      <c r="BB371" s="158">
        <v>0.88906752411575563</v>
      </c>
      <c r="BC371" s="158">
        <v>0.88876831253391209</v>
      </c>
      <c r="BD371" s="158">
        <v>0.88888888888888884</v>
      </c>
      <c r="BE371" s="158">
        <v>0.88882634393470306</v>
      </c>
      <c r="BF371" s="158">
        <v>0.88888888888888884</v>
      </c>
      <c r="BG371" s="158">
        <v>0.88888888888888884</v>
      </c>
      <c r="BH371" s="158">
        <v>0.8889198218262806</v>
      </c>
      <c r="BI371" s="158">
        <v>0.88901068785968762</v>
      </c>
      <c r="BJ371" s="158">
        <v>0.88894893272088626</v>
      </c>
      <c r="BK371" s="158">
        <v>0.88915598290598286</v>
      </c>
      <c r="BL371" s="158">
        <v>0.88885948663667635</v>
      </c>
      <c r="BM371" s="158">
        <v>0.88900578642819572</v>
      </c>
      <c r="BN371" s="158">
        <v>0.88891799842808483</v>
      </c>
      <c r="BO371" s="158">
        <v>0.88885983263598323</v>
      </c>
      <c r="BP371" s="158">
        <v>0.88888888888888884</v>
      </c>
      <c r="BQ371" s="158">
        <v>0.88897617177271537</v>
      </c>
    </row>
    <row r="372" spans="1:69" s="124" customFormat="1">
      <c r="A372" s="124">
        <f>$A$65</f>
        <v>48</v>
      </c>
      <c r="B372" s="114"/>
      <c r="C372" s="114"/>
      <c r="D372" s="114"/>
      <c r="E372" s="114"/>
      <c r="F372" s="114"/>
      <c r="G372" s="114"/>
      <c r="H372" s="114"/>
      <c r="I372" s="114"/>
      <c r="J372" s="114"/>
      <c r="K372" s="114"/>
      <c r="L372" s="114"/>
      <c r="M372" s="158">
        <v>0.8440311937612478</v>
      </c>
      <c r="N372" s="158">
        <v>0.84746778543602042</v>
      </c>
      <c r="O372" s="158">
        <v>0.85040276179516683</v>
      </c>
      <c r="P372" s="158">
        <v>0.85357247868274033</v>
      </c>
      <c r="Q372" s="158">
        <v>0.85649409627611262</v>
      </c>
      <c r="R372" s="158">
        <v>0.85911083281152156</v>
      </c>
      <c r="S372" s="158">
        <v>0.86183355006501949</v>
      </c>
      <c r="T372" s="158">
        <v>0.86405451448040882</v>
      </c>
      <c r="U372" s="158">
        <v>0.86614706879024062</v>
      </c>
      <c r="V372" s="158">
        <v>0.86847527472527475</v>
      </c>
      <c r="W372" s="158">
        <v>0.87040106065628109</v>
      </c>
      <c r="X372" s="158">
        <v>0.87219286657859973</v>
      </c>
      <c r="Y372" s="158">
        <v>0.8738974191440706</v>
      </c>
      <c r="Z372" s="158">
        <v>0.87511885895404118</v>
      </c>
      <c r="AA372" s="158">
        <v>0.87655086848635233</v>
      </c>
      <c r="AB372" s="158">
        <v>0.87770003042287803</v>
      </c>
      <c r="AC372" s="158">
        <v>0.879127358490566</v>
      </c>
      <c r="AD372" s="158">
        <v>0.88016288539848753</v>
      </c>
      <c r="AE372" s="158">
        <v>0.88124118476727786</v>
      </c>
      <c r="AF372" s="158">
        <v>0.88203896450493724</v>
      </c>
      <c r="AG372" s="158">
        <v>0.88302872062663185</v>
      </c>
      <c r="AH372" s="158">
        <v>0.88387096774193552</v>
      </c>
      <c r="AI372" s="158">
        <v>0.8845232390991854</v>
      </c>
      <c r="AJ372" s="158">
        <v>0.88524191587648915</v>
      </c>
      <c r="AK372" s="158">
        <v>0.88571428571428568</v>
      </c>
      <c r="AL372" s="158">
        <v>0.88623807132094423</v>
      </c>
      <c r="AM372" s="158">
        <v>0.88657701091093633</v>
      </c>
      <c r="AN372" s="158">
        <v>0.88683662851196665</v>
      </c>
      <c r="AO372" s="158">
        <v>0.88733877336141087</v>
      </c>
      <c r="AP372" s="158">
        <v>0.88755785461475634</v>
      </c>
      <c r="AQ372" s="158">
        <v>0.88782682035423111</v>
      </c>
      <c r="AR372" s="158">
        <v>0.88809063277148381</v>
      </c>
      <c r="AS372" s="158">
        <v>0.88848108413325799</v>
      </c>
      <c r="AT372" s="158">
        <v>0.88866039952996478</v>
      </c>
      <c r="AU372" s="158">
        <v>0.88872403560830859</v>
      </c>
      <c r="AV372" s="158">
        <v>0.88882387361029846</v>
      </c>
      <c r="AW372" s="158">
        <v>0.88901937756899585</v>
      </c>
      <c r="AX372" s="158">
        <v>0.88888888888888884</v>
      </c>
      <c r="AY372" s="158">
        <v>0.88895058300943919</v>
      </c>
      <c r="AZ372" s="158">
        <v>0.88903815153143473</v>
      </c>
      <c r="BA372" s="158">
        <v>0.88934092758340111</v>
      </c>
      <c r="BB372" s="158">
        <v>0.88900662251655627</v>
      </c>
      <c r="BC372" s="158">
        <v>0.88924644676857068</v>
      </c>
      <c r="BD372" s="158">
        <v>0.88919065725149371</v>
      </c>
      <c r="BE372" s="158">
        <v>0.88907193849533228</v>
      </c>
      <c r="BF372" s="158">
        <v>0.88929577464788734</v>
      </c>
      <c r="BG372" s="158">
        <v>0.88935930002822472</v>
      </c>
      <c r="BH372" s="158">
        <v>0.88907705334462317</v>
      </c>
      <c r="BI372" s="158">
        <v>0.88938422959041519</v>
      </c>
      <c r="BJ372" s="158">
        <v>0.8891936368623149</v>
      </c>
      <c r="BK372" s="158">
        <v>0.88912925905895079</v>
      </c>
      <c r="BL372" s="158">
        <v>0.88933440256615881</v>
      </c>
      <c r="BM372" s="158">
        <v>0.88903601694915257</v>
      </c>
      <c r="BN372" s="158">
        <v>0.88918136351671495</v>
      </c>
      <c r="BO372" s="158">
        <v>0.88909281594126899</v>
      </c>
      <c r="BP372" s="158">
        <v>0.88929599581261454</v>
      </c>
      <c r="BQ372" s="158">
        <v>0.88906331763474622</v>
      </c>
    </row>
    <row r="373" spans="1:69" s="124" customFormat="1">
      <c r="A373" s="124">
        <f>$A$66</f>
        <v>49</v>
      </c>
      <c r="B373" s="114"/>
      <c r="C373" s="114"/>
      <c r="D373" s="114"/>
      <c r="E373" s="114"/>
      <c r="F373" s="114"/>
      <c r="G373" s="114"/>
      <c r="H373" s="114"/>
      <c r="I373" s="114"/>
      <c r="J373" s="114"/>
      <c r="K373" s="114"/>
      <c r="L373" s="114"/>
      <c r="M373" s="158">
        <v>0.84413202933985332</v>
      </c>
      <c r="N373" s="158">
        <v>0.84737631184407791</v>
      </c>
      <c r="O373" s="158">
        <v>0.85041966426858517</v>
      </c>
      <c r="P373" s="158">
        <v>0.85339861751152069</v>
      </c>
      <c r="Q373" s="158">
        <v>0.85600706713780916</v>
      </c>
      <c r="R373" s="158">
        <v>0.85865938732180769</v>
      </c>
      <c r="S373" s="158">
        <v>0.86104140526976158</v>
      </c>
      <c r="T373" s="158">
        <v>0.8631921824104235</v>
      </c>
      <c r="U373" s="158">
        <v>0.8651877133105802</v>
      </c>
      <c r="V373" s="158">
        <v>0.86723259762309002</v>
      </c>
      <c r="W373" s="158">
        <v>0.86893704850361198</v>
      </c>
      <c r="X373" s="158">
        <v>0.87051792828685259</v>
      </c>
      <c r="Y373" s="158">
        <v>0.87231227257691035</v>
      </c>
      <c r="Z373" s="158">
        <v>0.87369109947643975</v>
      </c>
      <c r="AA373" s="158">
        <v>0.87492063492063488</v>
      </c>
      <c r="AB373" s="158">
        <v>0.87635911773842812</v>
      </c>
      <c r="AC373" s="158">
        <v>0.87747637915269738</v>
      </c>
      <c r="AD373" s="158">
        <v>0.87835842928845587</v>
      </c>
      <c r="AE373" s="158">
        <v>0.87940576755024757</v>
      </c>
      <c r="AF373" s="158">
        <v>0.88022598870056501</v>
      </c>
      <c r="AG373" s="158">
        <v>0.88131515637530067</v>
      </c>
      <c r="AH373" s="158">
        <v>0.88179916317991636</v>
      </c>
      <c r="AI373" s="158">
        <v>0.88248447204968949</v>
      </c>
      <c r="AJ373" s="158">
        <v>0.88294555049172463</v>
      </c>
      <c r="AK373" s="158">
        <v>0.88364167478091526</v>
      </c>
      <c r="AL373" s="158">
        <v>0.88410757946210272</v>
      </c>
      <c r="AM373" s="158">
        <v>0.88458637163691223</v>
      </c>
      <c r="AN373" s="158">
        <v>0.88490853658536583</v>
      </c>
      <c r="AO373" s="158">
        <v>0.88512633498306847</v>
      </c>
      <c r="AP373" s="158">
        <v>0.88537549407114624</v>
      </c>
      <c r="AQ373" s="158">
        <v>0.88579994548923413</v>
      </c>
      <c r="AR373" s="158">
        <v>0.88601182099634113</v>
      </c>
      <c r="AS373" s="158">
        <v>0.88603042876901794</v>
      </c>
      <c r="AT373" s="158">
        <v>0.88637648388920298</v>
      </c>
      <c r="AU373" s="158">
        <v>0.88620993825345484</v>
      </c>
      <c r="AV373" s="158">
        <v>0.88651218062982773</v>
      </c>
      <c r="AW373" s="158">
        <v>0.88638360175695463</v>
      </c>
      <c r="AX373" s="158">
        <v>0.88657067293564507</v>
      </c>
      <c r="AY373" s="158">
        <v>0.8867435158501441</v>
      </c>
      <c r="AZ373" s="158">
        <v>0.88688160088938295</v>
      </c>
      <c r="BA373" s="158">
        <v>0.88679752621672492</v>
      </c>
      <c r="BB373" s="158">
        <v>0.8868078175895765</v>
      </c>
      <c r="BC373" s="158">
        <v>0.88703261734287986</v>
      </c>
      <c r="BD373" s="158">
        <v>0.88697986577181209</v>
      </c>
      <c r="BE373" s="158">
        <v>0.88692579505300351</v>
      </c>
      <c r="BF373" s="158">
        <v>0.88678208298983241</v>
      </c>
      <c r="BG373" s="158">
        <v>0.8869467155342543</v>
      </c>
      <c r="BH373" s="158">
        <v>0.88700564971751417</v>
      </c>
      <c r="BI373" s="158">
        <v>0.88697372139022324</v>
      </c>
      <c r="BJ373" s="158">
        <v>0.88706079196876741</v>
      </c>
      <c r="BK373" s="158">
        <v>0.88690639582761466</v>
      </c>
      <c r="BL373" s="158">
        <v>0.8871142393069843</v>
      </c>
      <c r="BM373" s="158">
        <v>0.88710540395933657</v>
      </c>
      <c r="BN373" s="158">
        <v>0.88682745825602971</v>
      </c>
      <c r="BO373" s="158">
        <v>0.88698630136986301</v>
      </c>
      <c r="BP373" s="158">
        <v>0.88690632379952772</v>
      </c>
      <c r="BQ373" s="158">
        <v>0.88711367207962288</v>
      </c>
    </row>
    <row r="374" spans="1:69" s="124" customFormat="1">
      <c r="A374" s="124">
        <f>$A$67</f>
        <v>50</v>
      </c>
      <c r="B374" s="114"/>
      <c r="C374" s="114"/>
      <c r="D374" s="114"/>
      <c r="E374" s="114"/>
      <c r="F374" s="114"/>
      <c r="G374" s="114"/>
      <c r="H374" s="114"/>
      <c r="I374" s="114"/>
      <c r="J374" s="114"/>
      <c r="K374" s="114"/>
      <c r="L374" s="114"/>
      <c r="M374" s="158">
        <v>0.84259259259259256</v>
      </c>
      <c r="N374" s="158">
        <v>0.84566014669926648</v>
      </c>
      <c r="O374" s="158">
        <v>0.84848484848484851</v>
      </c>
      <c r="P374" s="158">
        <v>0.85118511851185119</v>
      </c>
      <c r="Q374" s="158">
        <v>0.85376406114796655</v>
      </c>
      <c r="R374" s="158">
        <v>0.85629979344939511</v>
      </c>
      <c r="S374" s="158">
        <v>0.85866261398176291</v>
      </c>
      <c r="T374" s="158">
        <v>0.86046511627906974</v>
      </c>
      <c r="U374" s="158">
        <v>0.86259791122715401</v>
      </c>
      <c r="V374" s="158">
        <v>0.86456908344733241</v>
      </c>
      <c r="W374" s="158">
        <v>0.86598639455782311</v>
      </c>
      <c r="X374" s="158">
        <v>0.86767746381805655</v>
      </c>
      <c r="Y374" s="158">
        <v>0.86926147704590817</v>
      </c>
      <c r="Z374" s="158">
        <v>0.87044400265076205</v>
      </c>
      <c r="AA374" s="158">
        <v>0.87184529662405763</v>
      </c>
      <c r="AB374" s="158">
        <v>0.87281399046104924</v>
      </c>
      <c r="AC374" s="158">
        <v>0.87398879900435589</v>
      </c>
      <c r="AD374" s="158">
        <v>0.87484737484737485</v>
      </c>
      <c r="AE374" s="158">
        <v>0.8758131283264341</v>
      </c>
      <c r="AF374" s="158">
        <v>0.87660443407234534</v>
      </c>
      <c r="AG374" s="158">
        <v>0.87722772277227723</v>
      </c>
      <c r="AH374" s="158">
        <v>0.87821199143468953</v>
      </c>
      <c r="AI374" s="158">
        <v>0.87876407436501702</v>
      </c>
      <c r="AJ374" s="158">
        <v>0.87932321473003239</v>
      </c>
      <c r="AK374" s="158">
        <v>0.87989430699015136</v>
      </c>
      <c r="AL374" s="158">
        <v>0.88008774067755302</v>
      </c>
      <c r="AM374" s="158">
        <v>0.88053855569155448</v>
      </c>
      <c r="AN374" s="158">
        <v>0.88069468915177451</v>
      </c>
      <c r="AO374" s="158">
        <v>0.88120071228694985</v>
      </c>
      <c r="AP374" s="158">
        <v>0.88158581116327595</v>
      </c>
      <c r="AQ374" s="158">
        <v>0.88179419525065961</v>
      </c>
      <c r="AR374" s="158">
        <v>0.88185538881309689</v>
      </c>
      <c r="AS374" s="158">
        <v>0.88222034375880531</v>
      </c>
      <c r="AT374" s="158">
        <v>0.88202713929659371</v>
      </c>
      <c r="AU374" s="158">
        <v>0.88231966053748234</v>
      </c>
      <c r="AV374" s="158">
        <v>0.8825434206652929</v>
      </c>
      <c r="AW374" s="158">
        <v>0.88254534641688964</v>
      </c>
      <c r="AX374" s="158">
        <v>0.88273233655819405</v>
      </c>
      <c r="AY374" s="158">
        <v>0.88261253309796994</v>
      </c>
      <c r="AZ374" s="158">
        <v>0.88289587539659653</v>
      </c>
      <c r="BA374" s="158">
        <v>0.88289290681502086</v>
      </c>
      <c r="BB374" s="158">
        <v>0.88290713324360703</v>
      </c>
      <c r="BC374" s="158">
        <v>0.88288043478260869</v>
      </c>
      <c r="BD374" s="158">
        <v>0.88269639065817407</v>
      </c>
      <c r="BE374" s="158">
        <v>0.8828586781300376</v>
      </c>
      <c r="BF374" s="158">
        <v>0.88275299238302507</v>
      </c>
      <c r="BG374" s="158">
        <v>0.88308115543328747</v>
      </c>
      <c r="BH374" s="158">
        <v>0.88290067720090293</v>
      </c>
      <c r="BI374" s="158">
        <v>0.88295165394402031</v>
      </c>
      <c r="BJ374" s="158">
        <v>0.88291855203619907</v>
      </c>
      <c r="BK374" s="158">
        <v>0.88305888919899522</v>
      </c>
      <c r="BL374" s="158">
        <v>0.88296703296703294</v>
      </c>
      <c r="BM374" s="158">
        <v>0.8827193932827736</v>
      </c>
      <c r="BN374" s="158">
        <v>0.88299866131191429</v>
      </c>
      <c r="BO374" s="158">
        <v>0.88275862068965516</v>
      </c>
      <c r="BP374" s="158">
        <v>0.88270954138112812</v>
      </c>
      <c r="BQ374" s="158">
        <v>0.88287815126050417</v>
      </c>
    </row>
    <row r="375" spans="1:69" s="124" customFormat="1">
      <c r="A375" s="124">
        <f>$A$68</f>
        <v>51</v>
      </c>
      <c r="B375" s="114"/>
      <c r="C375" s="114"/>
      <c r="D375" s="114"/>
      <c r="E375" s="114"/>
      <c r="F375" s="114"/>
      <c r="G375" s="114"/>
      <c r="H375" s="114"/>
      <c r="I375" s="114"/>
      <c r="J375" s="114"/>
      <c r="K375" s="114"/>
      <c r="L375" s="114"/>
      <c r="M375" s="158">
        <v>0.84005037783375314</v>
      </c>
      <c r="N375" s="158">
        <v>0.84285273232479163</v>
      </c>
      <c r="O375" s="158">
        <v>0.84551850718874277</v>
      </c>
      <c r="P375" s="158">
        <v>0.84800240312406128</v>
      </c>
      <c r="Q375" s="158">
        <v>0.85061617072437634</v>
      </c>
      <c r="R375" s="158">
        <v>0.85260115606936415</v>
      </c>
      <c r="S375" s="158">
        <v>0.85481963335304556</v>
      </c>
      <c r="T375" s="158">
        <v>0.85688185140073081</v>
      </c>
      <c r="U375" s="158">
        <v>0.85862720403022674</v>
      </c>
      <c r="V375" s="158">
        <v>0.86008499509643677</v>
      </c>
      <c r="W375" s="158">
        <v>0.86193902021240154</v>
      </c>
      <c r="X375" s="158">
        <v>0.86337308347529818</v>
      </c>
      <c r="Y375" s="158">
        <v>0.86468760787021059</v>
      </c>
      <c r="Z375" s="158">
        <v>0.86604465178273904</v>
      </c>
      <c r="AA375" s="158">
        <v>0.86724195154331229</v>
      </c>
      <c r="AB375" s="158">
        <v>0.86835193696651347</v>
      </c>
      <c r="AC375" s="158">
        <v>0.86942675159235672</v>
      </c>
      <c r="AD375" s="158">
        <v>0.87005297600498599</v>
      </c>
      <c r="AE375" s="158">
        <v>0.87129318251299293</v>
      </c>
      <c r="AF375" s="158">
        <v>0.87177968611193368</v>
      </c>
      <c r="AG375" s="158">
        <v>0.87262635115395848</v>
      </c>
      <c r="AH375" s="158">
        <v>0.8730878186968839</v>
      </c>
      <c r="AI375" s="158">
        <v>0.87376038595550787</v>
      </c>
      <c r="AJ375" s="158">
        <v>0.87441006816990041</v>
      </c>
      <c r="AK375" s="158">
        <v>0.87468858993522669</v>
      </c>
      <c r="AL375" s="158">
        <v>0.87518037518037517</v>
      </c>
      <c r="AM375" s="158">
        <v>0.8755490483162518</v>
      </c>
      <c r="AN375" s="158">
        <v>0.87573529411764706</v>
      </c>
      <c r="AO375" s="158">
        <v>0.876008064516129</v>
      </c>
      <c r="AP375" s="158">
        <v>0.87649605296664124</v>
      </c>
      <c r="AQ375" s="158">
        <v>0.87676240208877287</v>
      </c>
      <c r="AR375" s="158">
        <v>0.87691494981510831</v>
      </c>
      <c r="AS375" s="158">
        <v>0.87680961485932807</v>
      </c>
      <c r="AT375" s="158">
        <v>0.87729196050775737</v>
      </c>
      <c r="AU375" s="158">
        <v>0.87718325478236758</v>
      </c>
      <c r="AV375" s="158">
        <v>0.8773718493344661</v>
      </c>
      <c r="AW375" s="158">
        <v>0.8774307601649971</v>
      </c>
      <c r="AX375" s="158">
        <v>0.87764215540339385</v>
      </c>
      <c r="AY375" s="158">
        <v>0.8776408450704225</v>
      </c>
      <c r="AZ375" s="158">
        <v>0.87750294464075385</v>
      </c>
      <c r="BA375" s="158">
        <v>0.87759815242494221</v>
      </c>
      <c r="BB375" s="158">
        <v>0.87750556792873047</v>
      </c>
      <c r="BC375" s="158">
        <v>0.87769396551724133</v>
      </c>
      <c r="BD375" s="158">
        <v>0.87788958389991845</v>
      </c>
      <c r="BE375" s="158">
        <v>0.8775564409030544</v>
      </c>
      <c r="BF375" s="158">
        <v>0.87765528367840817</v>
      </c>
      <c r="BG375" s="158">
        <v>0.87775660223250751</v>
      </c>
      <c r="BH375" s="158">
        <v>0.87751169832094689</v>
      </c>
      <c r="BI375" s="158">
        <v>0.87771815871222814</v>
      </c>
      <c r="BJ375" s="158">
        <v>0.87775891341256362</v>
      </c>
      <c r="BK375" s="158">
        <v>0.87775891341256362</v>
      </c>
      <c r="BL375" s="158">
        <v>0.8776877967048311</v>
      </c>
      <c r="BM375" s="158">
        <v>0.87768004398020893</v>
      </c>
      <c r="BN375" s="158">
        <v>0.87774464624559501</v>
      </c>
      <c r="BO375" s="158">
        <v>0.8775783552102866</v>
      </c>
      <c r="BP375" s="158">
        <v>0.87788691266259622</v>
      </c>
      <c r="BQ375" s="158">
        <v>0.87786863624373512</v>
      </c>
    </row>
    <row r="376" spans="1:69" s="124" customFormat="1">
      <c r="A376" s="124">
        <f>$A$69</f>
        <v>52</v>
      </c>
      <c r="B376" s="114"/>
      <c r="C376" s="114"/>
      <c r="D376" s="114"/>
      <c r="E376" s="114"/>
      <c r="F376" s="114"/>
      <c r="G376" s="114"/>
      <c r="H376" s="114"/>
      <c r="I376" s="114"/>
      <c r="J376" s="114"/>
      <c r="K376" s="114"/>
      <c r="L376" s="114"/>
      <c r="M376" s="158">
        <v>0.83583959899749372</v>
      </c>
      <c r="N376" s="158">
        <v>0.83842519685039374</v>
      </c>
      <c r="O376" s="158">
        <v>0.84116192830655134</v>
      </c>
      <c r="P376" s="158">
        <v>0.84379785604900459</v>
      </c>
      <c r="Q376" s="158">
        <v>0.84566787003610111</v>
      </c>
      <c r="R376" s="158">
        <v>0.84793736826257149</v>
      </c>
      <c r="S376" s="158">
        <v>0.85002895193978001</v>
      </c>
      <c r="T376" s="158">
        <v>0.8518957345971564</v>
      </c>
      <c r="U376" s="158">
        <v>0.85387431360585719</v>
      </c>
      <c r="V376" s="158">
        <v>0.85552050473186125</v>
      </c>
      <c r="W376" s="158">
        <v>0.85686210284965603</v>
      </c>
      <c r="X376" s="158">
        <v>0.85827041866849696</v>
      </c>
      <c r="Y376" s="158">
        <v>0.85972696245733793</v>
      </c>
      <c r="Z376" s="158">
        <v>0.86099585062240669</v>
      </c>
      <c r="AA376" s="158">
        <v>0.86186186186186187</v>
      </c>
      <c r="AB376" s="158">
        <v>0.86303191489361697</v>
      </c>
      <c r="AC376" s="158">
        <v>0.86390532544378695</v>
      </c>
      <c r="AD376" s="158">
        <v>0.86479591836734693</v>
      </c>
      <c r="AE376" s="158">
        <v>0.86552262090483623</v>
      </c>
      <c r="AF376" s="158">
        <v>0.86654423018059379</v>
      </c>
      <c r="AG376" s="158">
        <v>0.86718055143788908</v>
      </c>
      <c r="AH376" s="158">
        <v>0.86779760163790587</v>
      </c>
      <c r="AI376" s="158">
        <v>0.86812251843448662</v>
      </c>
      <c r="AJ376" s="158">
        <v>0.8687952777032466</v>
      </c>
      <c r="AK376" s="158">
        <v>0.86929133858267715</v>
      </c>
      <c r="AL376" s="158">
        <v>0.86957605985037412</v>
      </c>
      <c r="AM376" s="158">
        <v>0.87000481463649493</v>
      </c>
      <c r="AN376" s="158">
        <v>0.87029799706888133</v>
      </c>
      <c r="AO376" s="158">
        <v>0.87046123650637885</v>
      </c>
      <c r="AP376" s="158">
        <v>0.87083753784056506</v>
      </c>
      <c r="AQ376" s="158">
        <v>0.87101707876625034</v>
      </c>
      <c r="AR376" s="158">
        <v>0.87117846877449701</v>
      </c>
      <c r="AS376" s="158">
        <v>0.87126619085381973</v>
      </c>
      <c r="AT376" s="158">
        <v>0.87151448879168947</v>
      </c>
      <c r="AU376" s="158">
        <v>0.87182382834556749</v>
      </c>
      <c r="AV376" s="158">
        <v>0.87180910099889009</v>
      </c>
      <c r="AW376" s="158">
        <v>0.8718820861678005</v>
      </c>
      <c r="AX376" s="158">
        <v>0.87201415511648483</v>
      </c>
      <c r="AY376" s="158">
        <v>0.87190944295501938</v>
      </c>
      <c r="AZ376" s="158">
        <v>0.8722466960352423</v>
      </c>
      <c r="BA376" s="158">
        <v>0.87208959622752724</v>
      </c>
      <c r="BB376" s="158">
        <v>0.87229124530482516</v>
      </c>
      <c r="BC376" s="158">
        <v>0.8721092226246866</v>
      </c>
      <c r="BD376" s="158">
        <v>0.87220275006740366</v>
      </c>
      <c r="BE376" s="158">
        <v>0.87210884353741491</v>
      </c>
      <c r="BF376" s="158">
        <v>0.87214247740563533</v>
      </c>
      <c r="BG376" s="158">
        <v>0.87220877051385526</v>
      </c>
      <c r="BH376" s="158">
        <v>0.87196949060201578</v>
      </c>
      <c r="BI376" s="158">
        <v>0.87217630853994488</v>
      </c>
      <c r="BJ376" s="158">
        <v>0.87199773947442782</v>
      </c>
      <c r="BK376" s="158">
        <v>0.87231030577576441</v>
      </c>
      <c r="BL376" s="158">
        <v>0.87202718006795021</v>
      </c>
      <c r="BM376" s="158">
        <v>0.87203129365744625</v>
      </c>
      <c r="BN376" s="158">
        <v>0.87211221122112215</v>
      </c>
      <c r="BO376" s="158">
        <v>0.87225386493083812</v>
      </c>
      <c r="BP376" s="158">
        <v>0.87215223800589659</v>
      </c>
      <c r="BQ376" s="158">
        <v>0.87201274561869357</v>
      </c>
    </row>
    <row r="377" spans="1:69" s="124" customFormat="1">
      <c r="A377" s="124">
        <f>$A$70</f>
        <v>53</v>
      </c>
      <c r="B377" s="114"/>
      <c r="C377" s="114"/>
      <c r="D377" s="114"/>
      <c r="E377" s="114"/>
      <c r="F377" s="114"/>
      <c r="G377" s="114"/>
      <c r="H377" s="114"/>
      <c r="I377" s="114"/>
      <c r="J377" s="114"/>
      <c r="K377" s="114"/>
      <c r="L377" s="114"/>
      <c r="M377" s="158">
        <v>0.8307086614173228</v>
      </c>
      <c r="N377" s="158">
        <v>0.83328110310247572</v>
      </c>
      <c r="O377" s="158">
        <v>0.83611723920579895</v>
      </c>
      <c r="P377" s="158">
        <v>0.83854005567584289</v>
      </c>
      <c r="Q377" s="158">
        <v>0.84084636614535424</v>
      </c>
      <c r="R377" s="158">
        <v>0.84297769740807715</v>
      </c>
      <c r="S377" s="158">
        <v>0.844947209653092</v>
      </c>
      <c r="T377" s="158">
        <v>0.84686774941995357</v>
      </c>
      <c r="U377" s="158">
        <v>0.84870958172649069</v>
      </c>
      <c r="V377" s="158">
        <v>0.85029025358997856</v>
      </c>
      <c r="W377" s="158">
        <v>0.85213270142180098</v>
      </c>
      <c r="X377" s="158">
        <v>0.85339455559199739</v>
      </c>
      <c r="Y377" s="158">
        <v>0.85463917525773192</v>
      </c>
      <c r="Z377" s="158">
        <v>0.85611756664388239</v>
      </c>
      <c r="AA377" s="158">
        <v>0.85704395984769821</v>
      </c>
      <c r="AB377" s="158">
        <v>0.85800200467758103</v>
      </c>
      <c r="AC377" s="158">
        <v>0.85890183028286193</v>
      </c>
      <c r="AD377" s="158">
        <v>0.86010533245556287</v>
      </c>
      <c r="AE377" s="158">
        <v>0.8607918263090677</v>
      </c>
      <c r="AF377" s="158">
        <v>0.86160574820368629</v>
      </c>
      <c r="AG377" s="158">
        <v>0.86213235294117652</v>
      </c>
      <c r="AH377" s="158">
        <v>0.86286731967943009</v>
      </c>
      <c r="AI377" s="158">
        <v>0.86325036603221084</v>
      </c>
      <c r="AJ377" s="158">
        <v>0.86399772856331625</v>
      </c>
      <c r="AK377" s="158">
        <v>0.86435670158474354</v>
      </c>
      <c r="AL377" s="158">
        <v>0.86468733578560164</v>
      </c>
      <c r="AM377" s="158">
        <v>0.86520219670494258</v>
      </c>
      <c r="AN377" s="158">
        <v>0.86530120481927708</v>
      </c>
      <c r="AO377" s="158">
        <v>0.86577017114914423</v>
      </c>
      <c r="AP377" s="158">
        <v>0.86591355599214148</v>
      </c>
      <c r="AQ377" s="158">
        <v>0.86619540520070692</v>
      </c>
      <c r="AR377" s="158">
        <v>0.86632653061224485</v>
      </c>
      <c r="AS377" s="158">
        <v>0.86637029288702927</v>
      </c>
      <c r="AT377" s="158">
        <v>0.8666666666666667</v>
      </c>
      <c r="AU377" s="158">
        <v>0.86675786593707249</v>
      </c>
      <c r="AV377" s="158">
        <v>0.86694915254237293</v>
      </c>
      <c r="AW377" s="158">
        <v>0.86674069961132705</v>
      </c>
      <c r="AX377" s="158">
        <v>0.86698808848553599</v>
      </c>
      <c r="AY377" s="158">
        <v>0.86692239598701681</v>
      </c>
      <c r="AZ377" s="158">
        <v>0.86706408345752606</v>
      </c>
      <c r="BA377" s="158">
        <v>0.8671760211578019</v>
      </c>
      <c r="BB377" s="158">
        <v>0.86704009433962259</v>
      </c>
      <c r="BC377" s="158">
        <v>0.86705202312138729</v>
      </c>
      <c r="BD377" s="158">
        <v>0.86729857819905209</v>
      </c>
      <c r="BE377" s="158">
        <v>0.86704422869471409</v>
      </c>
      <c r="BF377" s="158">
        <v>0.86713857881840462</v>
      </c>
      <c r="BG377" s="158">
        <v>0.8670566338739697</v>
      </c>
      <c r="BH377" s="158">
        <v>0.86729475100942122</v>
      </c>
      <c r="BI377" s="158">
        <v>0.86726628509130554</v>
      </c>
      <c r="BJ377" s="158">
        <v>0.8671810416092588</v>
      </c>
      <c r="BK377" s="158">
        <v>0.86715658564160547</v>
      </c>
      <c r="BL377" s="158">
        <v>0.86717643726989524</v>
      </c>
      <c r="BM377" s="158">
        <v>0.86717643726989524</v>
      </c>
      <c r="BN377" s="158">
        <v>0.86724427054220232</v>
      </c>
      <c r="BO377" s="158">
        <v>0.86712517193947736</v>
      </c>
      <c r="BP377" s="158">
        <v>0.86733586543678787</v>
      </c>
      <c r="BQ377" s="158">
        <v>0.86729222520107241</v>
      </c>
    </row>
    <row r="378" spans="1:69" s="124" customFormat="1">
      <c r="A378" s="124">
        <f>$A$71</f>
        <v>54</v>
      </c>
      <c r="B378" s="114"/>
      <c r="C378" s="114"/>
      <c r="D378" s="114"/>
      <c r="E378" s="114"/>
      <c r="F378" s="114"/>
      <c r="G378" s="114"/>
      <c r="H378" s="114"/>
      <c r="I378" s="114"/>
      <c r="J378" s="114"/>
      <c r="K378" s="114"/>
      <c r="L378" s="114"/>
      <c r="M378" s="158">
        <v>0.82466567607726593</v>
      </c>
      <c r="N378" s="158">
        <v>0.82762799151772193</v>
      </c>
      <c r="O378" s="158">
        <v>0.83030112923462984</v>
      </c>
      <c r="P378" s="158">
        <v>0.8330703692016409</v>
      </c>
      <c r="Q378" s="158">
        <v>0.83550185873605953</v>
      </c>
      <c r="R378" s="158">
        <v>0.83748079877112136</v>
      </c>
      <c r="S378" s="158">
        <v>0.83967391304347827</v>
      </c>
      <c r="T378" s="158">
        <v>0.84169184290030208</v>
      </c>
      <c r="U378" s="158">
        <v>0.84340499709471239</v>
      </c>
      <c r="V378" s="158">
        <v>0.84521687462863937</v>
      </c>
      <c r="W378" s="158">
        <v>0.84700122399020805</v>
      </c>
      <c r="X378" s="158">
        <v>0.84846567541917117</v>
      </c>
      <c r="Y378" s="158">
        <v>0.84958949096880132</v>
      </c>
      <c r="Z378" s="158">
        <v>0.85104919160646719</v>
      </c>
      <c r="AA378" s="158">
        <v>0.85220663701676358</v>
      </c>
      <c r="AB378" s="158">
        <v>0.85337954939341421</v>
      </c>
      <c r="AC378" s="158">
        <v>0.85418060200668899</v>
      </c>
      <c r="AD378" s="158">
        <v>0.8550966022651566</v>
      </c>
      <c r="AE378" s="158">
        <v>0.8560131795716639</v>
      </c>
      <c r="AF378" s="158">
        <v>0.85682326621923932</v>
      </c>
      <c r="AG378" s="158">
        <v>0.85741088180112568</v>
      </c>
      <c r="AH378" s="158">
        <v>0.85801901257283042</v>
      </c>
      <c r="AI378" s="158">
        <v>0.8588829471182412</v>
      </c>
      <c r="AJ378" s="158">
        <v>0.85932004689331776</v>
      </c>
      <c r="AK378" s="158">
        <v>0.85990338164251212</v>
      </c>
      <c r="AL378" s="158">
        <v>0.86021505376344087</v>
      </c>
      <c r="AM378" s="158">
        <v>0.86063633973179066</v>
      </c>
      <c r="AN378" s="158">
        <v>0.86085435923057707</v>
      </c>
      <c r="AO378" s="158">
        <v>0.86110441282855077</v>
      </c>
      <c r="AP378" s="158">
        <v>0.86151211157328111</v>
      </c>
      <c r="AQ378" s="158">
        <v>0.86188252641926766</v>
      </c>
      <c r="AR378" s="158">
        <v>0.86179888832743812</v>
      </c>
      <c r="AS378" s="158">
        <v>0.86191934660541092</v>
      </c>
      <c r="AT378" s="158">
        <v>0.86233970164878304</v>
      </c>
      <c r="AU378" s="158">
        <v>0.86236103758602434</v>
      </c>
      <c r="AV378" s="158">
        <v>0.86257870243635371</v>
      </c>
      <c r="AW378" s="158">
        <v>0.86263425664217075</v>
      </c>
      <c r="AX378" s="158">
        <v>0.86250000000000004</v>
      </c>
      <c r="AY378" s="158">
        <v>0.86265607264472188</v>
      </c>
      <c r="AZ378" s="158">
        <v>0.86275088547815826</v>
      </c>
      <c r="BA378" s="158">
        <v>0.86255217650566485</v>
      </c>
      <c r="BB378" s="158">
        <v>0.86272780717225162</v>
      </c>
      <c r="BC378" s="158">
        <v>0.86257741079327632</v>
      </c>
      <c r="BD378" s="158">
        <v>0.86267707429893037</v>
      </c>
      <c r="BE378" s="158">
        <v>0.86255924170616116</v>
      </c>
      <c r="BF378" s="158">
        <v>0.86269220393849477</v>
      </c>
      <c r="BG378" s="158">
        <v>0.86274509803921573</v>
      </c>
      <c r="BH378" s="158">
        <v>0.86276595744680851</v>
      </c>
      <c r="BI378" s="158">
        <v>0.86295099623047922</v>
      </c>
      <c r="BJ378" s="158">
        <v>0.86286804798255179</v>
      </c>
      <c r="BK378" s="158">
        <v>0.86300992282249178</v>
      </c>
      <c r="BL378" s="158">
        <v>0.86287814532089346</v>
      </c>
      <c r="BM378" s="158">
        <v>0.86264514301897477</v>
      </c>
      <c r="BN378" s="158">
        <v>0.86288951841359773</v>
      </c>
      <c r="BO378" s="158">
        <v>0.86301369863013699</v>
      </c>
      <c r="BP378" s="158">
        <v>0.86272352132049523</v>
      </c>
      <c r="BQ378" s="158">
        <v>0.86272381985892566</v>
      </c>
    </row>
    <row r="379" spans="1:69" s="124" customFormat="1">
      <c r="A379" s="124">
        <f>$A$72</f>
        <v>55</v>
      </c>
      <c r="B379" s="114"/>
      <c r="C379" s="114"/>
      <c r="D379" s="114"/>
      <c r="E379" s="114"/>
      <c r="F379" s="114"/>
      <c r="G379" s="114"/>
      <c r="H379" s="114"/>
      <c r="I379" s="114"/>
      <c r="J379" s="114"/>
      <c r="K379" s="114"/>
      <c r="L379" s="114"/>
      <c r="M379" s="158">
        <v>0.81619190404797604</v>
      </c>
      <c r="N379" s="158">
        <v>0.81956004756242573</v>
      </c>
      <c r="O379" s="158">
        <v>0.82237041527735677</v>
      </c>
      <c r="P379" s="158">
        <v>0.82517263025737597</v>
      </c>
      <c r="Q379" s="158">
        <v>0.8278584965255843</v>
      </c>
      <c r="R379" s="158">
        <v>0.83002481389578164</v>
      </c>
      <c r="S379" s="158">
        <v>0.83261538461538465</v>
      </c>
      <c r="T379" s="158">
        <v>0.83464328899637241</v>
      </c>
      <c r="U379" s="158">
        <v>0.83691376701966713</v>
      </c>
      <c r="V379" s="158">
        <v>0.83856893542757416</v>
      </c>
      <c r="W379" s="158">
        <v>0.84052365367450166</v>
      </c>
      <c r="X379" s="158">
        <v>0.84196018376722814</v>
      </c>
      <c r="Y379" s="158">
        <v>0.84357188093730207</v>
      </c>
      <c r="Z379" s="158">
        <v>0.84483892176199871</v>
      </c>
      <c r="AA379" s="158">
        <v>0.84607438016528924</v>
      </c>
      <c r="AB379" s="158">
        <v>0.8476027397260274</v>
      </c>
      <c r="AC379" s="158">
        <v>0.84842178286507108</v>
      </c>
      <c r="AD379" s="158">
        <v>0.8493975903614458</v>
      </c>
      <c r="AE379" s="158">
        <v>0.85033333333333339</v>
      </c>
      <c r="AF379" s="158">
        <v>0.85130234091658419</v>
      </c>
      <c r="AG379" s="158">
        <v>0.8519347617524784</v>
      </c>
      <c r="AH379" s="158">
        <v>0.85262828535669588</v>
      </c>
      <c r="AI379" s="158">
        <v>0.8530223995090519</v>
      </c>
      <c r="AJ379" s="158">
        <v>0.85374554102259215</v>
      </c>
      <c r="AK379" s="158">
        <v>0.85425219941348973</v>
      </c>
      <c r="AL379" s="158">
        <v>0.8549900483366506</v>
      </c>
      <c r="AM379" s="158">
        <v>0.85529854760623991</v>
      </c>
      <c r="AN379" s="158">
        <v>0.85556432517758485</v>
      </c>
      <c r="AO379" s="158">
        <v>0.8557860534866284</v>
      </c>
      <c r="AP379" s="158">
        <v>0.85597104945717728</v>
      </c>
      <c r="AQ379" s="158">
        <v>0.85630354957160337</v>
      </c>
      <c r="AR379" s="158">
        <v>0.85644051130776799</v>
      </c>
      <c r="AS379" s="158">
        <v>0.85670962850644428</v>
      </c>
      <c r="AT379" s="158">
        <v>0.85699693564862101</v>
      </c>
      <c r="AU379" s="158">
        <v>0.85706806282722514</v>
      </c>
      <c r="AV379" s="158">
        <v>0.85702938840349485</v>
      </c>
      <c r="AW379" s="158">
        <v>0.85733844468784226</v>
      </c>
      <c r="AX379" s="158">
        <v>0.857263990955342</v>
      </c>
      <c r="AY379" s="158">
        <v>0.85722222222222222</v>
      </c>
      <c r="AZ379" s="158">
        <v>0.85754824063564128</v>
      </c>
      <c r="BA379" s="158">
        <v>0.8574380165289256</v>
      </c>
      <c r="BB379" s="158">
        <v>0.85748360166964821</v>
      </c>
      <c r="BC379" s="158">
        <v>0.85747869526888043</v>
      </c>
      <c r="BD379" s="158">
        <v>0.8575641403715718</v>
      </c>
      <c r="BE379" s="158">
        <v>0.85747325816710029</v>
      </c>
      <c r="BF379" s="158">
        <v>0.85754112071368827</v>
      </c>
      <c r="BG379" s="158">
        <v>0.85756676557863498</v>
      </c>
      <c r="BH379" s="158">
        <v>0.85733732643615568</v>
      </c>
      <c r="BI379" s="158">
        <v>0.85771276595744683</v>
      </c>
      <c r="BJ379" s="158">
        <v>0.85760430686406464</v>
      </c>
      <c r="BK379" s="158">
        <v>0.85745434723357861</v>
      </c>
      <c r="BL379" s="158">
        <v>0.85753651143565723</v>
      </c>
      <c r="BM379" s="158">
        <v>0.85754663651780672</v>
      </c>
      <c r="BN379" s="158">
        <v>0.85754743698668934</v>
      </c>
      <c r="BO379" s="158">
        <v>0.85754743698668934</v>
      </c>
      <c r="BP379" s="158">
        <v>0.85774175517048634</v>
      </c>
      <c r="BQ379" s="158">
        <v>0.85777166437414032</v>
      </c>
    </row>
    <row r="380" spans="1:69" s="124" customFormat="1">
      <c r="A380" s="124">
        <f>$A$73</f>
        <v>56</v>
      </c>
      <c r="B380" s="114"/>
      <c r="C380" s="114"/>
      <c r="D380" s="114"/>
      <c r="E380" s="114"/>
      <c r="F380" s="114"/>
      <c r="G380" s="114"/>
      <c r="H380" s="114"/>
      <c r="I380" s="114"/>
      <c r="J380" s="114"/>
      <c r="K380" s="114"/>
      <c r="L380" s="114"/>
      <c r="M380" s="158">
        <v>0.80630354957160344</v>
      </c>
      <c r="N380" s="158">
        <v>0.80959520239880056</v>
      </c>
      <c r="O380" s="158">
        <v>0.81296461492714833</v>
      </c>
      <c r="P380" s="158">
        <v>0.81558993023961179</v>
      </c>
      <c r="Q380" s="158">
        <v>0.81841030474395227</v>
      </c>
      <c r="R380" s="158">
        <v>0.8209993674889311</v>
      </c>
      <c r="S380" s="158">
        <v>0.82360248447204965</v>
      </c>
      <c r="T380" s="158">
        <v>0.82568524792115794</v>
      </c>
      <c r="U380" s="158">
        <v>0.8280871670702179</v>
      </c>
      <c r="V380" s="158">
        <v>0.83010296789824345</v>
      </c>
      <c r="W380" s="158">
        <v>0.83197437390797901</v>
      </c>
      <c r="X380" s="158">
        <v>0.83382966051220964</v>
      </c>
      <c r="Y380" s="158">
        <v>0.83507050889025136</v>
      </c>
      <c r="Z380" s="158">
        <v>0.83650190114068446</v>
      </c>
      <c r="AA380" s="158">
        <v>0.8381578947368421</v>
      </c>
      <c r="AB380" s="158">
        <v>0.8391319324836376</v>
      </c>
      <c r="AC380" s="158">
        <v>0.84069886947584793</v>
      </c>
      <c r="AD380" s="158">
        <v>0.84177654406662039</v>
      </c>
      <c r="AE380" s="158">
        <v>0.84231670572480755</v>
      </c>
      <c r="AF380" s="158">
        <v>0.84328109369789928</v>
      </c>
      <c r="AG380" s="158">
        <v>0.84432717678100266</v>
      </c>
      <c r="AH380" s="158">
        <v>0.84484964811260399</v>
      </c>
      <c r="AI380" s="158">
        <v>0.84569640062597806</v>
      </c>
      <c r="AJ380" s="158">
        <v>0.84622467771639043</v>
      </c>
      <c r="AK380" s="158">
        <v>0.84686292001189412</v>
      </c>
      <c r="AL380" s="158">
        <v>0.84721407624633427</v>
      </c>
      <c r="AM380" s="158">
        <v>0.84759738413420527</v>
      </c>
      <c r="AN380" s="158">
        <v>0.84826472962066179</v>
      </c>
      <c r="AO380" s="158">
        <v>0.84842105263157896</v>
      </c>
      <c r="AP380" s="158">
        <v>0.84875</v>
      </c>
      <c r="AQ380" s="158">
        <v>0.84893822393822393</v>
      </c>
      <c r="AR380" s="158">
        <v>0.84941234084231143</v>
      </c>
      <c r="AS380" s="158">
        <v>0.84952053110400783</v>
      </c>
      <c r="AT380" s="158">
        <v>0.8495955510616785</v>
      </c>
      <c r="AU380" s="158">
        <v>0.84959141981613895</v>
      </c>
      <c r="AV380" s="158">
        <v>0.85</v>
      </c>
      <c r="AW380" s="158">
        <v>0.84988085782366962</v>
      </c>
      <c r="AX380" s="158">
        <v>0.84998631261976454</v>
      </c>
      <c r="AY380" s="158">
        <v>0.85019785189372532</v>
      </c>
      <c r="AZ380" s="158">
        <v>0.8502777777777778</v>
      </c>
      <c r="BA380" s="158">
        <v>0.85021276595744677</v>
      </c>
      <c r="BB380" s="158">
        <v>0.85010327530244911</v>
      </c>
      <c r="BC380" s="158">
        <v>0.85007451564828618</v>
      </c>
      <c r="BD380" s="158">
        <v>0.85017626321974149</v>
      </c>
      <c r="BE380" s="158">
        <v>0.85023584905660377</v>
      </c>
      <c r="BF380" s="158">
        <v>0.85028901734104045</v>
      </c>
      <c r="BG380" s="158">
        <v>0.85033444816053516</v>
      </c>
      <c r="BH380" s="158">
        <v>0.85032362459546929</v>
      </c>
      <c r="BI380" s="158">
        <v>0.85029940119760483</v>
      </c>
      <c r="BJ380" s="158">
        <v>0.85007974481658688</v>
      </c>
      <c r="BK380" s="158">
        <v>0.85037674919268025</v>
      </c>
      <c r="BL380" s="158">
        <v>0.85017706347044397</v>
      </c>
      <c r="BM380" s="158">
        <v>0.85017901404571738</v>
      </c>
      <c r="BN380" s="158">
        <v>0.85028248587570621</v>
      </c>
      <c r="BO380" s="158">
        <v>0.85026889329181998</v>
      </c>
      <c r="BP380" s="158">
        <v>0.85026889329181998</v>
      </c>
      <c r="BQ380" s="158">
        <v>0.85027932960893859</v>
      </c>
    </row>
    <row r="381" spans="1:69" s="124" customFormat="1">
      <c r="A381" s="124">
        <f>$A$74</f>
        <v>57</v>
      </c>
      <c r="B381" s="114"/>
      <c r="C381" s="114"/>
      <c r="D381" s="114"/>
      <c r="E381" s="114"/>
      <c r="F381" s="114"/>
      <c r="G381" s="114"/>
      <c r="H381" s="114"/>
      <c r="I381" s="114"/>
      <c r="J381" s="114"/>
      <c r="K381" s="114"/>
      <c r="L381" s="114"/>
      <c r="M381" s="158">
        <v>0.79308135810377967</v>
      </c>
      <c r="N381" s="158">
        <v>0.7968797797491588</v>
      </c>
      <c r="O381" s="158">
        <v>0.8</v>
      </c>
      <c r="P381" s="158">
        <v>0.80309339678762637</v>
      </c>
      <c r="Q381" s="158">
        <v>0.80631451123254405</v>
      </c>
      <c r="R381" s="158">
        <v>0.80905945265806856</v>
      </c>
      <c r="S381" s="158">
        <v>0.8113327002215891</v>
      </c>
      <c r="T381" s="158">
        <v>0.81405472636815923</v>
      </c>
      <c r="U381" s="158">
        <v>0.81596794081381008</v>
      </c>
      <c r="V381" s="158">
        <v>0.81823689790972431</v>
      </c>
      <c r="W381" s="158">
        <v>0.82024856016974845</v>
      </c>
      <c r="X381" s="158">
        <v>0.82196969696969702</v>
      </c>
      <c r="Y381" s="158">
        <v>0.82359952324195473</v>
      </c>
      <c r="Z381" s="158">
        <v>0.82515337423312884</v>
      </c>
      <c r="AA381" s="158">
        <v>0.82688649334178821</v>
      </c>
      <c r="AB381" s="158">
        <v>0.8282329713721619</v>
      </c>
      <c r="AC381" s="158">
        <v>0.82942798070296342</v>
      </c>
      <c r="AD381" s="158">
        <v>0.83042137718396714</v>
      </c>
      <c r="AE381" s="158">
        <v>0.83136710617626652</v>
      </c>
      <c r="AF381" s="158">
        <v>0.83255190890823849</v>
      </c>
      <c r="AG381" s="158">
        <v>0.83294431477159048</v>
      </c>
      <c r="AH381" s="158">
        <v>0.83410290237467022</v>
      </c>
      <c r="AI381" s="158">
        <v>0.83461292386436337</v>
      </c>
      <c r="AJ381" s="158">
        <v>0.83536776212832553</v>
      </c>
      <c r="AK381" s="158">
        <v>0.83578882750153471</v>
      </c>
      <c r="AL381" s="158">
        <v>0.83620689655172409</v>
      </c>
      <c r="AM381" s="158">
        <v>0.83695014662756595</v>
      </c>
      <c r="AN381" s="158">
        <v>0.83736138754620415</v>
      </c>
      <c r="AO381" s="158">
        <v>0.83777239709443097</v>
      </c>
      <c r="AP381" s="158">
        <v>0.8381578947368421</v>
      </c>
      <c r="AQ381" s="158">
        <v>0.83825000000000005</v>
      </c>
      <c r="AR381" s="158">
        <v>0.83832046332046328</v>
      </c>
      <c r="AS381" s="158">
        <v>0.83867809057527543</v>
      </c>
      <c r="AT381" s="158">
        <v>0.83874139626352018</v>
      </c>
      <c r="AU381" s="158">
        <v>0.8390194591862522</v>
      </c>
      <c r="AV381" s="158">
        <v>0.83916262445749301</v>
      </c>
      <c r="AW381" s="158">
        <v>0.8390894819466248</v>
      </c>
      <c r="AX381" s="158">
        <v>0.83933298041291693</v>
      </c>
      <c r="AY381" s="158">
        <v>0.83935413245758073</v>
      </c>
      <c r="AZ381" s="158">
        <v>0.83954802259887007</v>
      </c>
      <c r="BA381" s="158">
        <v>0.83953359244863968</v>
      </c>
      <c r="BB381" s="158">
        <v>0.83952367451091581</v>
      </c>
      <c r="BC381" s="158">
        <v>0.83957534650545562</v>
      </c>
      <c r="BD381" s="158">
        <v>0.83973786118558236</v>
      </c>
      <c r="BE381" s="158">
        <v>0.83969465648854957</v>
      </c>
      <c r="BF381" s="158">
        <v>0.83946980854197351</v>
      </c>
      <c r="BG381" s="158">
        <v>0.83944556742708631</v>
      </c>
      <c r="BH381" s="158">
        <v>0.83955431754874654</v>
      </c>
      <c r="BI381" s="158">
        <v>0.839622641509434</v>
      </c>
      <c r="BJ381" s="158">
        <v>0.83954310579276581</v>
      </c>
      <c r="BK381" s="158">
        <v>0.83953241232731135</v>
      </c>
      <c r="BL381" s="158">
        <v>0.83947297660661468</v>
      </c>
      <c r="BM381" s="158">
        <v>0.83964062074598422</v>
      </c>
      <c r="BN381" s="158">
        <v>0.83957072096862961</v>
      </c>
      <c r="BO381" s="158">
        <v>0.83940163703076487</v>
      </c>
      <c r="BP381" s="158">
        <v>0.83964932126696834</v>
      </c>
      <c r="BQ381" s="158">
        <v>0.83964932126696834</v>
      </c>
    </row>
    <row r="382" spans="1:69" s="124" customFormat="1">
      <c r="A382" s="124">
        <f>$A$75</f>
        <v>58</v>
      </c>
      <c r="B382" s="114"/>
      <c r="C382" s="114"/>
      <c r="D382" s="114"/>
      <c r="E382" s="114"/>
      <c r="F382" s="114"/>
      <c r="G382" s="114"/>
      <c r="H382" s="114"/>
      <c r="I382" s="114"/>
      <c r="J382" s="114"/>
      <c r="K382" s="114"/>
      <c r="L382" s="114"/>
      <c r="M382" s="158">
        <v>0.77980456026058631</v>
      </c>
      <c r="N382" s="158">
        <v>0.78368000000000004</v>
      </c>
      <c r="O382" s="158">
        <v>0.78746177370030579</v>
      </c>
      <c r="P382" s="158">
        <v>0.79124175164967003</v>
      </c>
      <c r="Q382" s="158">
        <v>0.79434523809523805</v>
      </c>
      <c r="R382" s="158">
        <v>0.79762989972652687</v>
      </c>
      <c r="S382" s="158">
        <v>0.80044066729619134</v>
      </c>
      <c r="T382" s="158">
        <v>0.80354879594423323</v>
      </c>
      <c r="U382" s="158">
        <v>0.8061605476042315</v>
      </c>
      <c r="V382" s="158">
        <v>0.80870101820425799</v>
      </c>
      <c r="W382" s="158">
        <v>0.81085177326462565</v>
      </c>
      <c r="X382" s="158">
        <v>0.8126137052759248</v>
      </c>
      <c r="Y382" s="158">
        <v>0.81457725947521864</v>
      </c>
      <c r="Z382" s="158">
        <v>0.81639344262295077</v>
      </c>
      <c r="AA382" s="158">
        <v>0.8183491868671372</v>
      </c>
      <c r="AB382" s="158">
        <v>0.81959416613823721</v>
      </c>
      <c r="AC382" s="158">
        <v>0.82132280355380061</v>
      </c>
      <c r="AD382" s="158">
        <v>0.82225284188770242</v>
      </c>
      <c r="AE382" s="158">
        <v>0.82391229873244265</v>
      </c>
      <c r="AF382" s="158">
        <v>0.82483524106833161</v>
      </c>
      <c r="AG382" s="158">
        <v>0.82591228657515903</v>
      </c>
      <c r="AH382" s="158">
        <v>0.82660886962320779</v>
      </c>
      <c r="AI382" s="158">
        <v>0.82756346851302343</v>
      </c>
      <c r="AJ382" s="158">
        <v>0.82826990725935401</v>
      </c>
      <c r="AK382" s="158">
        <v>0.82884856070087609</v>
      </c>
      <c r="AL382" s="158">
        <v>0.82939552009818962</v>
      </c>
      <c r="AM382" s="158">
        <v>0.83001485884101045</v>
      </c>
      <c r="AN382" s="158">
        <v>0.83054822632659042</v>
      </c>
      <c r="AO382" s="158">
        <v>0.83086981239340529</v>
      </c>
      <c r="AP382" s="158">
        <v>0.83136094674556216</v>
      </c>
      <c r="AQ382" s="158">
        <v>0.83162325703762163</v>
      </c>
      <c r="AR382" s="158">
        <v>0.83179205198700323</v>
      </c>
      <c r="AS382" s="158">
        <v>0.83208685162846807</v>
      </c>
      <c r="AT382" s="158">
        <v>0.83235438081253055</v>
      </c>
      <c r="AU382" s="158">
        <v>0.83239125092160238</v>
      </c>
      <c r="AV382" s="158">
        <v>0.83253346804748674</v>
      </c>
      <c r="AW382" s="158">
        <v>0.83261035978565956</v>
      </c>
      <c r="AX382" s="158">
        <v>0.83263598326359833</v>
      </c>
      <c r="AY382" s="158">
        <v>0.83284845279026709</v>
      </c>
      <c r="AZ382" s="158">
        <v>0.83292316106097897</v>
      </c>
      <c r="BA382" s="158">
        <v>0.8329099633079311</v>
      </c>
      <c r="BB382" s="158">
        <v>0.83300970873786406</v>
      </c>
      <c r="BC382" s="158">
        <v>0.83314447592067986</v>
      </c>
      <c r="BD382" s="158">
        <v>0.83294048320565706</v>
      </c>
      <c r="BE382" s="158">
        <v>0.83333333333333337</v>
      </c>
      <c r="BF382" s="158">
        <v>0.83308888237019652</v>
      </c>
      <c r="BG382" s="158">
        <v>0.83313713949381984</v>
      </c>
      <c r="BH382" s="158">
        <v>0.83323716099249856</v>
      </c>
      <c r="BI382" s="158">
        <v>0.8330550918196995</v>
      </c>
      <c r="BJ382" s="158">
        <v>0.83306408185245018</v>
      </c>
      <c r="BK382" s="158">
        <v>0.83315217391304353</v>
      </c>
      <c r="BL382" s="158">
        <v>0.83306794055201694</v>
      </c>
      <c r="BM382" s="158">
        <v>0.83293043244695142</v>
      </c>
      <c r="BN382" s="158">
        <v>0.83301604568942067</v>
      </c>
      <c r="BO382" s="158">
        <v>0.83310420676381636</v>
      </c>
      <c r="BP382" s="158">
        <v>0.8330983930081759</v>
      </c>
      <c r="BQ382" s="158">
        <v>0.83333333333333337</v>
      </c>
    </row>
    <row r="383" spans="1:69" s="124" customFormat="1">
      <c r="A383" s="124">
        <f>$A$76</f>
        <v>59</v>
      </c>
      <c r="B383" s="114"/>
      <c r="C383" s="114"/>
      <c r="D383" s="114"/>
      <c r="E383" s="114"/>
      <c r="F383" s="114"/>
      <c r="G383" s="114"/>
      <c r="H383" s="114"/>
      <c r="I383" s="114"/>
      <c r="J383" s="114"/>
      <c r="K383" s="114"/>
      <c r="L383" s="114"/>
      <c r="M383" s="158">
        <v>0.76506639427987744</v>
      </c>
      <c r="N383" s="158">
        <v>0.77033181522446326</v>
      </c>
      <c r="O383" s="158">
        <v>0.77486408698433007</v>
      </c>
      <c r="P383" s="158">
        <v>0.77920489296636086</v>
      </c>
      <c r="Q383" s="158">
        <v>0.78307830783078303</v>
      </c>
      <c r="R383" s="158">
        <v>0.78694874851013108</v>
      </c>
      <c r="S383" s="158">
        <v>0.79045012165450124</v>
      </c>
      <c r="T383" s="158">
        <v>0.79395085066162574</v>
      </c>
      <c r="U383" s="158">
        <v>0.79708306911857962</v>
      </c>
      <c r="V383" s="158">
        <v>0.79981320049813198</v>
      </c>
      <c r="W383" s="158">
        <v>0.80246913580246915</v>
      </c>
      <c r="X383" s="158">
        <v>0.80503335354760464</v>
      </c>
      <c r="Y383" s="158">
        <v>0.80764563106796117</v>
      </c>
      <c r="Z383" s="158">
        <v>0.80980163360560098</v>
      </c>
      <c r="AA383" s="158">
        <v>0.81156827668455578</v>
      </c>
      <c r="AB383" s="158">
        <v>0.81343970543111388</v>
      </c>
      <c r="AC383" s="158">
        <v>0.81515535827520613</v>
      </c>
      <c r="AD383" s="158">
        <v>0.81677631578947374</v>
      </c>
      <c r="AE383" s="158">
        <v>0.81818181818181823</v>
      </c>
      <c r="AF383" s="158">
        <v>0.81952054794520546</v>
      </c>
      <c r="AG383" s="158">
        <v>0.82073509015256585</v>
      </c>
      <c r="AH383" s="158">
        <v>0.82195448460508702</v>
      </c>
      <c r="AI383" s="158">
        <v>0.82272575808063975</v>
      </c>
      <c r="AJ383" s="158">
        <v>0.82339373970345964</v>
      </c>
      <c r="AK383" s="158">
        <v>0.82422499201022692</v>
      </c>
      <c r="AL383" s="158">
        <v>0.82489055659787369</v>
      </c>
      <c r="AM383" s="158">
        <v>0.82551364612082179</v>
      </c>
      <c r="AN383" s="158">
        <v>0.8262032085561497</v>
      </c>
      <c r="AO383" s="158">
        <v>0.82683855845297394</v>
      </c>
      <c r="AP383" s="158">
        <v>0.82727272727272727</v>
      </c>
      <c r="AQ383" s="158">
        <v>0.82768817204301071</v>
      </c>
      <c r="AR383" s="158">
        <v>0.82803050223507757</v>
      </c>
      <c r="AS383" s="158">
        <v>0.828335832083958</v>
      </c>
      <c r="AT383" s="158">
        <v>0.82850940665701878</v>
      </c>
      <c r="AU383" s="158">
        <v>0.82852250489236789</v>
      </c>
      <c r="AV383" s="158">
        <v>0.828788995332842</v>
      </c>
      <c r="AW383" s="158">
        <v>0.82883110325675335</v>
      </c>
      <c r="AX383" s="158">
        <v>0.82912522315735782</v>
      </c>
      <c r="AY383" s="158">
        <v>0.82932566649242023</v>
      </c>
      <c r="AZ383" s="158">
        <v>0.82901691331923888</v>
      </c>
      <c r="BA383" s="158">
        <v>0.82923497267759561</v>
      </c>
      <c r="BB383" s="158">
        <v>0.82938522278623805</v>
      </c>
      <c r="BC383" s="158">
        <v>0.82954545454545459</v>
      </c>
      <c r="BD383" s="158">
        <v>0.82937181663837012</v>
      </c>
      <c r="BE383" s="158">
        <v>0.82931135962330782</v>
      </c>
      <c r="BF383" s="158">
        <v>0.82966706302021398</v>
      </c>
      <c r="BG383" s="158">
        <v>0.82947553472018754</v>
      </c>
      <c r="BH383" s="158">
        <v>0.829512051734274</v>
      </c>
      <c r="BI383" s="158">
        <v>0.82939481268011528</v>
      </c>
      <c r="BJ383" s="158">
        <v>0.82934963868816014</v>
      </c>
      <c r="BK383" s="158">
        <v>0.82947821409359868</v>
      </c>
      <c r="BL383" s="158">
        <v>0.82953311617806735</v>
      </c>
      <c r="BM383" s="158">
        <v>0.82953340402969244</v>
      </c>
      <c r="BN383" s="158">
        <v>0.82935336731956</v>
      </c>
      <c r="BO383" s="158">
        <v>0.82944052145573055</v>
      </c>
      <c r="BP383" s="158">
        <v>0.82948929159802309</v>
      </c>
      <c r="BQ383" s="158">
        <v>0.82962545761757256</v>
      </c>
    </row>
    <row r="384" spans="1:69" s="124" customFormat="1">
      <c r="A384" s="124">
        <f>$A$77</f>
        <v>60</v>
      </c>
      <c r="B384" s="114"/>
      <c r="C384" s="114"/>
      <c r="D384" s="114"/>
      <c r="E384" s="114"/>
      <c r="F384" s="114"/>
      <c r="G384" s="114"/>
      <c r="H384" s="114"/>
      <c r="I384" s="114"/>
      <c r="J384" s="114"/>
      <c r="K384" s="114"/>
      <c r="L384" s="114"/>
      <c r="M384" s="158">
        <v>0.74171270718232041</v>
      </c>
      <c r="N384" s="158">
        <v>0.74736484189051344</v>
      </c>
      <c r="O384" s="158">
        <v>0.75260078023407018</v>
      </c>
      <c r="P384" s="158">
        <v>0.75727534377998085</v>
      </c>
      <c r="Q384" s="158">
        <v>0.76193390452876375</v>
      </c>
      <c r="R384" s="158">
        <v>0.76622596153846156</v>
      </c>
      <c r="S384" s="158">
        <v>0.77028639618138428</v>
      </c>
      <c r="T384" s="158">
        <v>0.77382039573820394</v>
      </c>
      <c r="U384" s="158">
        <v>0.77742749054224469</v>
      </c>
      <c r="V384" s="158">
        <v>0.78045685279187815</v>
      </c>
      <c r="W384" s="158">
        <v>0.7838006230529595</v>
      </c>
      <c r="X384" s="158">
        <v>0.78659666460778255</v>
      </c>
      <c r="Y384" s="158">
        <v>0.78913834951456308</v>
      </c>
      <c r="Z384" s="158">
        <v>0.79150227617602431</v>
      </c>
      <c r="AA384" s="158">
        <v>0.79369711117595565</v>
      </c>
      <c r="AB384" s="158">
        <v>0.79570533850283331</v>
      </c>
      <c r="AC384" s="158">
        <v>0.79772866789441377</v>
      </c>
      <c r="AD384" s="158">
        <v>0.79930247305009516</v>
      </c>
      <c r="AE384" s="158">
        <v>0.80098684210526316</v>
      </c>
      <c r="AF384" s="158">
        <v>0.80240963855421688</v>
      </c>
      <c r="AG384" s="158">
        <v>0.8039014373716632</v>
      </c>
      <c r="AH384" s="158">
        <v>0.80492030492030497</v>
      </c>
      <c r="AI384" s="158">
        <v>0.80602006688963213</v>
      </c>
      <c r="AJ384" s="158">
        <v>0.80712858094603601</v>
      </c>
      <c r="AK384" s="158">
        <v>0.80803424432005266</v>
      </c>
      <c r="AL384" s="158">
        <v>0.80894568690095847</v>
      </c>
      <c r="AM384" s="158">
        <v>0.80937499999999996</v>
      </c>
      <c r="AN384" s="158">
        <v>0.80999080600674223</v>
      </c>
      <c r="AO384" s="158">
        <v>0.81086698337292162</v>
      </c>
      <c r="AP384" s="158">
        <v>0.81112737920937039</v>
      </c>
      <c r="AQ384" s="158">
        <v>0.8114707552526973</v>
      </c>
      <c r="AR384" s="158">
        <v>0.81192907039226225</v>
      </c>
      <c r="AS384" s="158">
        <v>0.81235216819973721</v>
      </c>
      <c r="AT384" s="158">
        <v>0.81268731268731265</v>
      </c>
      <c r="AU384" s="158">
        <v>0.81268081002892956</v>
      </c>
      <c r="AV384" s="158">
        <v>0.81295843520782396</v>
      </c>
      <c r="AW384" s="158">
        <v>0.81315983304689421</v>
      </c>
      <c r="AX384" s="158">
        <v>0.81327277315165281</v>
      </c>
      <c r="AY384" s="158">
        <v>0.81345565749235471</v>
      </c>
      <c r="AZ384" s="158">
        <v>0.8135283363802559</v>
      </c>
      <c r="BA384" s="158">
        <v>0.81357274887773967</v>
      </c>
      <c r="BB384" s="158">
        <v>0.81381381381381379</v>
      </c>
      <c r="BC384" s="158">
        <v>0.81352112676056343</v>
      </c>
      <c r="BD384" s="158">
        <v>0.81367663344407526</v>
      </c>
      <c r="BE384" s="158">
        <v>0.81368391292055409</v>
      </c>
      <c r="BF384" s="158">
        <v>0.81363903586125808</v>
      </c>
      <c r="BG384" s="158">
        <v>0.81359453843870588</v>
      </c>
      <c r="BH384" s="158">
        <v>0.81363370392042134</v>
      </c>
      <c r="BI384" s="158">
        <v>0.81385789782736351</v>
      </c>
      <c r="BJ384" s="158">
        <v>0.81352517985611505</v>
      </c>
      <c r="BK384" s="158">
        <v>0.81371460299833431</v>
      </c>
      <c r="BL384" s="158">
        <v>0.81380977968833956</v>
      </c>
      <c r="BM384" s="158">
        <v>0.81377066955814581</v>
      </c>
      <c r="BN384" s="158">
        <v>0.81382415254237284</v>
      </c>
      <c r="BO384" s="158">
        <v>0.8137727759914255</v>
      </c>
      <c r="BP384" s="158">
        <v>0.81389039609332614</v>
      </c>
      <c r="BQ384" s="158">
        <v>0.81381957773512481</v>
      </c>
    </row>
    <row r="385" spans="1:69" s="124" customFormat="1">
      <c r="A385" s="124">
        <f>$A$78</f>
        <v>61</v>
      </c>
      <c r="B385" s="114"/>
      <c r="C385" s="114"/>
      <c r="D385" s="114"/>
      <c r="E385" s="114"/>
      <c r="F385" s="114"/>
      <c r="G385" s="114"/>
      <c r="H385" s="114"/>
      <c r="I385" s="114"/>
      <c r="J385" s="114"/>
      <c r="K385" s="114"/>
      <c r="L385" s="114"/>
      <c r="M385" s="158">
        <v>0.70711743772241997</v>
      </c>
      <c r="N385" s="158">
        <v>0.71290545203588684</v>
      </c>
      <c r="O385" s="158">
        <v>0.71846310778646716</v>
      </c>
      <c r="P385" s="158">
        <v>0.72325203252032522</v>
      </c>
      <c r="Q385" s="158">
        <v>0.7282330345710627</v>
      </c>
      <c r="R385" s="158">
        <v>0.73276126264174068</v>
      </c>
      <c r="S385" s="158">
        <v>0.73676293622141997</v>
      </c>
      <c r="T385" s="158">
        <v>0.74103942652329746</v>
      </c>
      <c r="U385" s="158">
        <v>0.7445900640048766</v>
      </c>
      <c r="V385" s="158">
        <v>0.74810606060606055</v>
      </c>
      <c r="W385" s="158">
        <v>0.75134963480469985</v>
      </c>
      <c r="X385" s="158">
        <v>0.75459931400062363</v>
      </c>
      <c r="Y385" s="158">
        <v>0.75710754017305315</v>
      </c>
      <c r="Z385" s="158">
        <v>0.75979350136653512</v>
      </c>
      <c r="AA385" s="158">
        <v>0.76222289705435775</v>
      </c>
      <c r="AB385" s="158">
        <v>0.76437956204379565</v>
      </c>
      <c r="AC385" s="158">
        <v>0.76633840644583706</v>
      </c>
      <c r="AD385" s="158">
        <v>0.76819158735032234</v>
      </c>
      <c r="AE385" s="158">
        <v>0.77006026006977479</v>
      </c>
      <c r="AF385" s="158">
        <v>0.77138157894736847</v>
      </c>
      <c r="AG385" s="158">
        <v>0.7728055077452668</v>
      </c>
      <c r="AH385" s="158">
        <v>0.77412731006160163</v>
      </c>
      <c r="AI385" s="158">
        <v>0.77519916868721861</v>
      </c>
      <c r="AJ385" s="158">
        <v>0.77632898696088259</v>
      </c>
      <c r="AK385" s="158">
        <v>0.77755577755577754</v>
      </c>
      <c r="AL385" s="158">
        <v>0.77814351547070437</v>
      </c>
      <c r="AM385" s="158">
        <v>0.77873563218390807</v>
      </c>
      <c r="AN385" s="158">
        <v>0.77944392377382066</v>
      </c>
      <c r="AO385" s="158">
        <v>0.78002450980392157</v>
      </c>
      <c r="AP385" s="158">
        <v>0.78094390026714156</v>
      </c>
      <c r="AQ385" s="158">
        <v>0.78132318501170961</v>
      </c>
      <c r="AR385" s="158">
        <v>0.78172012489355658</v>
      </c>
      <c r="AS385" s="158">
        <v>0.78189632017190436</v>
      </c>
      <c r="AT385" s="158">
        <v>0.7821860220704151</v>
      </c>
      <c r="AU385" s="158">
        <v>0.78252184769038702</v>
      </c>
      <c r="AV385" s="158">
        <v>0.78259821643769578</v>
      </c>
      <c r="AW385" s="158">
        <v>0.78269371791737963</v>
      </c>
      <c r="AX385" s="158">
        <v>0.78282208588957058</v>
      </c>
      <c r="AY385" s="158">
        <v>0.78310214375788145</v>
      </c>
      <c r="AZ385" s="158">
        <v>0.78323993886907795</v>
      </c>
      <c r="BA385" s="158">
        <v>0.78314196242171186</v>
      </c>
      <c r="BB385" s="158">
        <v>0.7833201372393771</v>
      </c>
      <c r="BC385" s="158">
        <v>0.78341516639388975</v>
      </c>
      <c r="BD385" s="158">
        <v>0.78328173374613008</v>
      </c>
      <c r="BE385" s="158">
        <v>0.78340248962655601</v>
      </c>
      <c r="BF385" s="158">
        <v>0.78339452132166054</v>
      </c>
      <c r="BG385" s="158">
        <v>0.78332354668232529</v>
      </c>
      <c r="BH385" s="158">
        <v>0.78351126927639381</v>
      </c>
      <c r="BI385" s="158">
        <v>0.78316773816481589</v>
      </c>
      <c r="BJ385" s="158">
        <v>0.78334799179126358</v>
      </c>
      <c r="BK385" s="158">
        <v>0.7832710549008336</v>
      </c>
      <c r="BL385" s="158">
        <v>0.78341652800887407</v>
      </c>
      <c r="BM385" s="158">
        <v>0.78341384863123997</v>
      </c>
      <c r="BN385" s="158">
        <v>0.78337395071757376</v>
      </c>
      <c r="BO385" s="158">
        <v>0.78339063739751391</v>
      </c>
      <c r="BP385" s="158">
        <v>0.78345824411134901</v>
      </c>
      <c r="BQ385" s="158">
        <v>0.78325657003522076</v>
      </c>
    </row>
    <row r="386" spans="1:69" s="124" customFormat="1">
      <c r="A386" s="124">
        <f>$A$79</f>
        <v>62</v>
      </c>
      <c r="B386" s="114"/>
      <c r="C386" s="114"/>
      <c r="D386" s="114"/>
      <c r="E386" s="114"/>
      <c r="F386" s="114"/>
      <c r="G386" s="114"/>
      <c r="H386" s="114"/>
      <c r="I386" s="114"/>
      <c r="J386" s="114"/>
      <c r="K386" s="114"/>
      <c r="L386" s="114"/>
      <c r="M386" s="158">
        <v>0.66471449487554901</v>
      </c>
      <c r="N386" s="158">
        <v>0.6712913553895411</v>
      </c>
      <c r="O386" s="158">
        <v>0.67690714532274765</v>
      </c>
      <c r="P386" s="158">
        <v>0.68254508336168762</v>
      </c>
      <c r="Q386" s="158">
        <v>0.68762214983713354</v>
      </c>
      <c r="R386" s="158">
        <v>0.69275176395125082</v>
      </c>
      <c r="S386" s="158">
        <v>0.697267424009825</v>
      </c>
      <c r="T386" s="158">
        <v>0.70132610006027729</v>
      </c>
      <c r="U386" s="158">
        <v>0.70556552962298025</v>
      </c>
      <c r="V386" s="158">
        <v>0.70909645909645913</v>
      </c>
      <c r="W386" s="158">
        <v>0.71248025276461291</v>
      </c>
      <c r="X386" s="158">
        <v>0.71551176096630642</v>
      </c>
      <c r="Y386" s="158">
        <v>0.71878901373283399</v>
      </c>
      <c r="Z386" s="158">
        <v>0.72153465346534651</v>
      </c>
      <c r="AA386" s="158">
        <v>0.72379216043755701</v>
      </c>
      <c r="AB386" s="158">
        <v>0.7264437689969605</v>
      </c>
      <c r="AC386" s="158">
        <v>0.72852133255406193</v>
      </c>
      <c r="AD386" s="158">
        <v>0.73066587040907738</v>
      </c>
      <c r="AE386" s="158">
        <v>0.73241167434715826</v>
      </c>
      <c r="AF386" s="158">
        <v>0.7341370558375635</v>
      </c>
      <c r="AG386" s="158">
        <v>0.73552631578947369</v>
      </c>
      <c r="AH386" s="158">
        <v>0.73700516351118761</v>
      </c>
      <c r="AI386" s="158">
        <v>0.73819301848049279</v>
      </c>
      <c r="AJ386" s="158">
        <v>0.73917561482507799</v>
      </c>
      <c r="AK386" s="158">
        <v>0.74022066198595793</v>
      </c>
      <c r="AL386" s="158">
        <v>0.74134487350199729</v>
      </c>
      <c r="AM386" s="158">
        <v>0.74202040144784465</v>
      </c>
      <c r="AN386" s="158">
        <v>0.74297573435504471</v>
      </c>
      <c r="AO386" s="158">
        <v>0.74328544659587759</v>
      </c>
      <c r="AP386" s="158">
        <v>0.74395099540581933</v>
      </c>
      <c r="AQ386" s="158">
        <v>0.74451038575667661</v>
      </c>
      <c r="AR386" s="158">
        <v>0.7448053848405034</v>
      </c>
      <c r="AS386" s="158">
        <v>0.74517593643586832</v>
      </c>
      <c r="AT386" s="158">
        <v>0.74543501611170782</v>
      </c>
      <c r="AU386" s="158">
        <v>0.74573154714998691</v>
      </c>
      <c r="AV386" s="158">
        <v>0.74613080379430852</v>
      </c>
      <c r="AW386" s="158">
        <v>0.74602409638554212</v>
      </c>
      <c r="AX386" s="158">
        <v>0.74633431085043989</v>
      </c>
      <c r="AY386" s="158">
        <v>0.74631992149165849</v>
      </c>
      <c r="AZ386" s="158">
        <v>0.74640786488530375</v>
      </c>
      <c r="BA386" s="158">
        <v>0.7466904276985743</v>
      </c>
      <c r="BB386" s="158">
        <v>0.74673969744392277</v>
      </c>
      <c r="BC386" s="158">
        <v>0.74657172995780585</v>
      </c>
      <c r="BD386" s="158">
        <v>0.74679749250476968</v>
      </c>
      <c r="BE386" s="158">
        <v>0.74662542182227221</v>
      </c>
      <c r="BF386" s="158">
        <v>0.74682144831398567</v>
      </c>
      <c r="BG386" s="158">
        <v>0.74689616252821667</v>
      </c>
      <c r="BH386" s="158">
        <v>0.74684658257553538</v>
      </c>
      <c r="BI386" s="158">
        <v>0.74674170616113744</v>
      </c>
      <c r="BJ386" s="158">
        <v>0.7468613138686131</v>
      </c>
      <c r="BK386" s="158">
        <v>0.74692442882249566</v>
      </c>
      <c r="BL386" s="158">
        <v>0.74677002583979324</v>
      </c>
      <c r="BM386" s="158">
        <v>0.74681440443213298</v>
      </c>
      <c r="BN386" s="158">
        <v>0.74691689008042894</v>
      </c>
      <c r="BO386" s="158">
        <v>0.74682174736272655</v>
      </c>
      <c r="BP386" s="158">
        <v>0.7468287526427061</v>
      </c>
      <c r="BQ386" s="158">
        <v>0.74679144385026741</v>
      </c>
    </row>
    <row r="387" spans="1:69" s="124" customFormat="1">
      <c r="A387" s="124">
        <f>$A$80</f>
        <v>63</v>
      </c>
      <c r="B387" s="114"/>
      <c r="C387" s="114"/>
      <c r="D387" s="114"/>
      <c r="E387" s="114"/>
      <c r="F387" s="114"/>
      <c r="G387" s="114"/>
      <c r="H387" s="114"/>
      <c r="I387" s="114"/>
      <c r="J387" s="114"/>
      <c r="K387" s="114"/>
      <c r="L387" s="114"/>
      <c r="M387" s="158">
        <v>0.61818865088312669</v>
      </c>
      <c r="N387" s="158">
        <v>0.62467960454046134</v>
      </c>
      <c r="O387" s="158">
        <v>0.63082947668209333</v>
      </c>
      <c r="P387" s="158">
        <v>0.63670929830625644</v>
      </c>
      <c r="Q387" s="158">
        <v>0.64212678936605316</v>
      </c>
      <c r="R387" s="158">
        <v>0.6477309826967026</v>
      </c>
      <c r="S387" s="158">
        <v>0.65231362467866327</v>
      </c>
      <c r="T387" s="158">
        <v>0.65692307692307694</v>
      </c>
      <c r="U387" s="158">
        <v>0.66112956810631229</v>
      </c>
      <c r="V387" s="158">
        <v>0.66516786570743403</v>
      </c>
      <c r="W387" s="158">
        <v>0.66880733944954129</v>
      </c>
      <c r="X387" s="158">
        <v>0.67236467236467234</v>
      </c>
      <c r="Y387" s="158">
        <v>0.67558102515122576</v>
      </c>
      <c r="Z387" s="158">
        <v>0.67843750000000003</v>
      </c>
      <c r="AA387" s="158">
        <v>0.68122676579925645</v>
      </c>
      <c r="AB387" s="158">
        <v>0.68381010346926352</v>
      </c>
      <c r="AC387" s="158">
        <v>0.686035898996045</v>
      </c>
      <c r="AD387" s="158">
        <v>0.68812170860152133</v>
      </c>
      <c r="AE387" s="158">
        <v>0.69007770472205621</v>
      </c>
      <c r="AF387" s="158">
        <v>0.69197663695050726</v>
      </c>
      <c r="AG387" s="158">
        <v>0.69365079365079363</v>
      </c>
      <c r="AH387" s="158">
        <v>0.69486504279131012</v>
      </c>
      <c r="AI387" s="158">
        <v>0.69628099173553715</v>
      </c>
      <c r="AJ387" s="158">
        <v>0.69746748802190284</v>
      </c>
      <c r="AK387" s="158">
        <v>0.69864911673016972</v>
      </c>
      <c r="AL387" s="158">
        <v>0.69943162821798732</v>
      </c>
      <c r="AM387" s="158">
        <v>0.7003994673768309</v>
      </c>
      <c r="AN387" s="158">
        <v>0.70144832126398948</v>
      </c>
      <c r="AO387" s="158">
        <v>0.70210727969348663</v>
      </c>
      <c r="AP387" s="158">
        <v>0.70237351655215485</v>
      </c>
      <c r="AQ387" s="158">
        <v>0.70290964777947929</v>
      </c>
      <c r="AR387" s="158">
        <v>0.70356083086053411</v>
      </c>
      <c r="AS387" s="158">
        <v>0.70383377231489608</v>
      </c>
      <c r="AT387" s="158">
        <v>0.7043132803632236</v>
      </c>
      <c r="AU387" s="158">
        <v>0.70435016111707838</v>
      </c>
      <c r="AV387" s="158">
        <v>0.70475439978986076</v>
      </c>
      <c r="AW387" s="158">
        <v>0.70494258612081873</v>
      </c>
      <c r="AX387" s="158">
        <v>0.70506024096385544</v>
      </c>
      <c r="AY387" s="158">
        <v>0.70527859237536661</v>
      </c>
      <c r="AZ387" s="158">
        <v>0.70534838076545636</v>
      </c>
      <c r="BA387" s="158">
        <v>0.70539314516129037</v>
      </c>
      <c r="BB387" s="158">
        <v>0.70552303385085269</v>
      </c>
      <c r="BC387" s="158">
        <v>0.70560625814863098</v>
      </c>
      <c r="BD387" s="158">
        <v>0.70551015027682573</v>
      </c>
      <c r="BE387" s="158">
        <v>0.70552982838463629</v>
      </c>
      <c r="BF387" s="158">
        <v>0.70545250140528382</v>
      </c>
      <c r="BG387" s="158">
        <v>0.70552486187845309</v>
      </c>
      <c r="BH387" s="158">
        <v>0.70558375634517767</v>
      </c>
      <c r="BI387" s="158">
        <v>0.70545134818288391</v>
      </c>
      <c r="BJ387" s="158">
        <v>0.70553418171056526</v>
      </c>
      <c r="BK387" s="158">
        <v>0.70565927654609106</v>
      </c>
      <c r="BL387" s="158">
        <v>0.70558969856599352</v>
      </c>
      <c r="BM387" s="158">
        <v>0.70539300057372345</v>
      </c>
      <c r="BN387" s="158">
        <v>0.70550788818156651</v>
      </c>
      <c r="BO387" s="158">
        <v>0.70559871417090814</v>
      </c>
      <c r="BP387" s="158">
        <v>0.70567567567567568</v>
      </c>
      <c r="BQ387" s="158">
        <v>0.70538542766631462</v>
      </c>
    </row>
    <row r="388" spans="1:69" s="124" customFormat="1">
      <c r="A388" s="124">
        <f>$A$81</f>
        <v>64</v>
      </c>
      <c r="B388" s="114"/>
      <c r="C388" s="114"/>
      <c r="D388" s="114"/>
      <c r="E388" s="114"/>
      <c r="F388" s="114"/>
      <c r="G388" s="114"/>
      <c r="H388" s="114"/>
      <c r="I388" s="114"/>
      <c r="J388" s="114"/>
      <c r="K388" s="114"/>
      <c r="L388" s="114"/>
      <c r="M388" s="158">
        <v>0.56036177742823434</v>
      </c>
      <c r="N388" s="158">
        <v>0.5673438675696012</v>
      </c>
      <c r="O388" s="158">
        <v>0.57410124724871603</v>
      </c>
      <c r="P388" s="158">
        <v>0.58029978586723774</v>
      </c>
      <c r="Q388" s="158">
        <v>0.58648180242634318</v>
      </c>
      <c r="R388" s="158">
        <v>0.59179487179487178</v>
      </c>
      <c r="S388" s="158">
        <v>0.59692206941715786</v>
      </c>
      <c r="T388" s="158">
        <v>0.60167579761521106</v>
      </c>
      <c r="U388" s="158">
        <v>0.6061073411474398</v>
      </c>
      <c r="V388" s="158">
        <v>0.61035422343324253</v>
      </c>
      <c r="W388" s="158">
        <v>0.61418269230769229</v>
      </c>
      <c r="X388" s="158">
        <v>0.61783634692001221</v>
      </c>
      <c r="Y388" s="158">
        <v>0.62131303520456704</v>
      </c>
      <c r="Z388" s="158">
        <v>0.62456140350877198</v>
      </c>
      <c r="AA388" s="158">
        <v>0.62742642454602382</v>
      </c>
      <c r="AB388" s="158">
        <v>0.6300434512725015</v>
      </c>
      <c r="AC388" s="158">
        <v>0.63242913745809204</v>
      </c>
      <c r="AD388" s="158">
        <v>0.63486741846997863</v>
      </c>
      <c r="AE388" s="158">
        <v>0.63668326985057133</v>
      </c>
      <c r="AF388" s="158">
        <v>0.63873091888656086</v>
      </c>
      <c r="AG388" s="158">
        <v>0.64039408866995073</v>
      </c>
      <c r="AH388" s="158">
        <v>0.64208518753973298</v>
      </c>
      <c r="AI388" s="158">
        <v>0.64349258649093899</v>
      </c>
      <c r="AJ388" s="158">
        <v>0.64472777394900072</v>
      </c>
      <c r="AK388" s="158">
        <v>0.64554794520547942</v>
      </c>
      <c r="AL388" s="158">
        <v>0.64679376083188911</v>
      </c>
      <c r="AM388" s="158">
        <v>0.64770826363332223</v>
      </c>
      <c r="AN388" s="158">
        <v>0.64856762158560954</v>
      </c>
      <c r="AO388" s="158">
        <v>0.64932499176819225</v>
      </c>
      <c r="AP388" s="158">
        <v>0.64995209198339188</v>
      </c>
      <c r="AQ388" s="158">
        <v>0.65031249999999996</v>
      </c>
      <c r="AR388" s="158">
        <v>0.65073529411764708</v>
      </c>
      <c r="AS388" s="158">
        <v>0.65123181953101805</v>
      </c>
      <c r="AT388" s="158">
        <v>0.65163934426229508</v>
      </c>
      <c r="AU388" s="158">
        <v>0.65200113539596938</v>
      </c>
      <c r="AV388" s="158">
        <v>0.65216223475691648</v>
      </c>
      <c r="AW388" s="158">
        <v>0.6523909616395166</v>
      </c>
      <c r="AX388" s="158">
        <v>0.65243445692883895</v>
      </c>
      <c r="AY388" s="158">
        <v>0.65284474445515916</v>
      </c>
      <c r="AZ388" s="158">
        <v>0.65289660229772672</v>
      </c>
      <c r="BA388" s="158">
        <v>0.65284592737978409</v>
      </c>
      <c r="BB388" s="158">
        <v>0.65288631207461556</v>
      </c>
      <c r="BC388" s="158">
        <v>0.65283787223212009</v>
      </c>
      <c r="BD388" s="158">
        <v>0.65319426336375486</v>
      </c>
      <c r="BE388" s="158">
        <v>0.65304508304771947</v>
      </c>
      <c r="BF388" s="158">
        <v>0.6532280032688641</v>
      </c>
      <c r="BG388" s="158">
        <v>0.65299241359932569</v>
      </c>
      <c r="BH388" s="158">
        <v>0.65313449323391326</v>
      </c>
      <c r="BI388" s="158">
        <v>0.65304396843292001</v>
      </c>
      <c r="BJ388" s="158">
        <v>0.6530911221799004</v>
      </c>
      <c r="BK388" s="158">
        <v>0.65306122448979587</v>
      </c>
      <c r="BL388" s="158">
        <v>0.65306122448979587</v>
      </c>
      <c r="BM388" s="158">
        <v>0.65311494589061125</v>
      </c>
      <c r="BN388" s="158">
        <v>0.65328362489245773</v>
      </c>
      <c r="BO388" s="158">
        <v>0.65311203319502076</v>
      </c>
      <c r="BP388" s="158">
        <v>0.65301204819277103</v>
      </c>
      <c r="BQ388" s="158">
        <v>0.65316045380875198</v>
      </c>
    </row>
    <row r="389" spans="1:69" s="124" customFormat="1">
      <c r="A389" s="124">
        <f>$A$82</f>
        <v>65</v>
      </c>
      <c r="B389" s="114"/>
      <c r="C389" s="114"/>
      <c r="D389" s="114"/>
      <c r="E389" s="114"/>
      <c r="F389" s="114"/>
      <c r="G389" s="114"/>
      <c r="H389" s="114"/>
      <c r="I389" s="114"/>
      <c r="J389" s="114"/>
      <c r="K389" s="114"/>
      <c r="L389" s="114"/>
      <c r="M389" s="158">
        <v>0.4933867735470942</v>
      </c>
      <c r="N389" s="158">
        <v>0.50019708316909739</v>
      </c>
      <c r="O389" s="158">
        <v>0.50716981132075467</v>
      </c>
      <c r="P389" s="158">
        <v>0.51343393448656605</v>
      </c>
      <c r="Q389" s="158">
        <v>0.5195130683852488</v>
      </c>
      <c r="R389" s="158">
        <v>0.52486956521739125</v>
      </c>
      <c r="S389" s="158">
        <v>0.53001715265866212</v>
      </c>
      <c r="T389" s="158">
        <v>0.53515111695137974</v>
      </c>
      <c r="U389" s="158">
        <v>0.5396055609440672</v>
      </c>
      <c r="V389" s="158">
        <v>0.54379449086969978</v>
      </c>
      <c r="W389" s="158">
        <v>0.54799513973268532</v>
      </c>
      <c r="X389" s="158">
        <v>0.55153707052441225</v>
      </c>
      <c r="Y389" s="158">
        <v>0.55500921942224957</v>
      </c>
      <c r="Z389" s="158">
        <v>0.55802861685214622</v>
      </c>
      <c r="AA389" s="158">
        <v>0.56092101055324595</v>
      </c>
      <c r="AB389" s="158">
        <v>0.56371625863151287</v>
      </c>
      <c r="AC389" s="158">
        <v>0.56609642301710728</v>
      </c>
      <c r="AD389" s="158">
        <v>0.56841783750763597</v>
      </c>
      <c r="AE389" s="158">
        <v>0.57038167938931295</v>
      </c>
      <c r="AF389" s="158">
        <v>0.5725190839694656</v>
      </c>
      <c r="AG389" s="158">
        <v>0.57421289355322336</v>
      </c>
      <c r="AH389" s="158">
        <v>0.57570151094665434</v>
      </c>
      <c r="AI389" s="158">
        <v>0.57720471187519895</v>
      </c>
      <c r="AJ389" s="158">
        <v>0.57835697789508411</v>
      </c>
      <c r="AK389" s="158">
        <v>0.57971014492753625</v>
      </c>
      <c r="AL389" s="158">
        <v>0.58058984910836764</v>
      </c>
      <c r="AM389" s="158">
        <v>0.58154059680777237</v>
      </c>
      <c r="AN389" s="158">
        <v>0.58238446081714668</v>
      </c>
      <c r="AO389" s="158">
        <v>0.5831943981327109</v>
      </c>
      <c r="AP389" s="158">
        <v>0.58371786420566907</v>
      </c>
      <c r="AQ389" s="158">
        <v>0.5843989769820972</v>
      </c>
      <c r="AR389" s="158">
        <v>0.5847404627892433</v>
      </c>
      <c r="AS389" s="158">
        <v>0.58540325053664521</v>
      </c>
      <c r="AT389" s="158">
        <v>0.5856845856845857</v>
      </c>
      <c r="AU389" s="158">
        <v>0.58582308142940831</v>
      </c>
      <c r="AV389" s="158">
        <v>0.58619710309571149</v>
      </c>
      <c r="AW389" s="158">
        <v>0.58629032258064517</v>
      </c>
      <c r="AX389" s="158">
        <v>0.58648790746582546</v>
      </c>
      <c r="AY389" s="158">
        <v>0.58670664667666161</v>
      </c>
      <c r="AZ389" s="158">
        <v>0.58683068017366136</v>
      </c>
      <c r="BA389" s="158">
        <v>0.58694057226705798</v>
      </c>
      <c r="BB389" s="158">
        <v>0.58703658237171619</v>
      </c>
      <c r="BC389" s="158">
        <v>0.5871374527112232</v>
      </c>
      <c r="BD389" s="158">
        <v>0.58696205755029285</v>
      </c>
      <c r="BE389" s="158">
        <v>0.58711528429838289</v>
      </c>
      <c r="BF389" s="158">
        <v>0.58713419456894278</v>
      </c>
      <c r="BG389" s="158">
        <v>0.58703350585671477</v>
      </c>
      <c r="BH389" s="158">
        <v>0.58696262995223381</v>
      </c>
      <c r="BI389" s="158">
        <v>0.58713062689864681</v>
      </c>
      <c r="BJ389" s="158">
        <v>0.58709131905298761</v>
      </c>
      <c r="BK389" s="158">
        <v>0.58699472759226712</v>
      </c>
      <c r="BL389" s="158">
        <v>0.5871044069801834</v>
      </c>
      <c r="BM389" s="158">
        <v>0.58700087438064708</v>
      </c>
      <c r="BN389" s="158">
        <v>0.58713450292397662</v>
      </c>
      <c r="BO389" s="158">
        <v>0.58715596330275233</v>
      </c>
      <c r="BP389" s="158">
        <v>0.58711283185840712</v>
      </c>
      <c r="BQ389" s="158">
        <v>0.58699143468950754</v>
      </c>
    </row>
    <row r="390" spans="1:69" s="124" customFormat="1">
      <c r="A390" s="124">
        <f>$A$83</f>
        <v>66</v>
      </c>
      <c r="B390" s="114"/>
      <c r="C390" s="114"/>
      <c r="D390" s="114"/>
      <c r="E390" s="114"/>
      <c r="F390" s="114"/>
      <c r="G390" s="114"/>
      <c r="H390" s="114"/>
      <c r="I390" s="114"/>
      <c r="J390" s="114"/>
      <c r="K390" s="114"/>
      <c r="L390" s="114"/>
      <c r="M390" s="158">
        <v>0.42851239669421487</v>
      </c>
      <c r="N390" s="158">
        <v>0.43506232408524326</v>
      </c>
      <c r="O390" s="158">
        <v>0.44145569620253167</v>
      </c>
      <c r="P390" s="158">
        <v>0.44734848484848483</v>
      </c>
      <c r="Q390" s="158">
        <v>0.45269770879526977</v>
      </c>
      <c r="R390" s="158">
        <v>0.4577490111470694</v>
      </c>
      <c r="S390" s="158">
        <v>0.46280125742228434</v>
      </c>
      <c r="T390" s="158">
        <v>0.46744746813641058</v>
      </c>
      <c r="U390" s="158">
        <v>0.47163588390501321</v>
      </c>
      <c r="V390" s="158">
        <v>0.47549496916585526</v>
      </c>
      <c r="W390" s="158">
        <v>0.47903075489282387</v>
      </c>
      <c r="X390" s="158">
        <v>0.4824748552270649</v>
      </c>
      <c r="Y390" s="158">
        <v>0.48563652857574841</v>
      </c>
      <c r="Z390" s="158">
        <v>0.48874498920752391</v>
      </c>
      <c r="AA390" s="158">
        <v>0.49122807017543857</v>
      </c>
      <c r="AB390" s="158">
        <v>0.49390635022450291</v>
      </c>
      <c r="AC390" s="158">
        <v>0.49606547056971984</v>
      </c>
      <c r="AD390" s="158">
        <v>0.4982850015590895</v>
      </c>
      <c r="AE390" s="158">
        <v>0.50015313935681471</v>
      </c>
      <c r="AF390" s="158">
        <v>0.50198959289868383</v>
      </c>
      <c r="AG390" s="158">
        <v>0.5035314891112419</v>
      </c>
      <c r="AH390" s="158">
        <v>0.5049594229035167</v>
      </c>
      <c r="AI390" s="158">
        <v>0.50648949320148329</v>
      </c>
      <c r="AJ390" s="158">
        <v>0.50749601275917067</v>
      </c>
      <c r="AK390" s="158">
        <v>0.50876033057851244</v>
      </c>
      <c r="AL390" s="158">
        <v>0.50950570342205326</v>
      </c>
      <c r="AM390" s="158">
        <v>0.51030219780219777</v>
      </c>
      <c r="AN390" s="158">
        <v>0.51111883252258516</v>
      </c>
      <c r="AO390" s="158">
        <v>0.51173708920187788</v>
      </c>
      <c r="AP390" s="158">
        <v>0.51252086811352249</v>
      </c>
      <c r="AQ390" s="158">
        <v>0.51320132013201325</v>
      </c>
      <c r="AR390" s="158">
        <v>0.51344430217669657</v>
      </c>
      <c r="AS390" s="158">
        <v>0.51377582968065127</v>
      </c>
      <c r="AT390" s="158">
        <v>0.51427694197113905</v>
      </c>
      <c r="AU390" s="158">
        <v>0.51442164733868567</v>
      </c>
      <c r="AV390" s="158">
        <v>0.51466275659824046</v>
      </c>
      <c r="AW390" s="158">
        <v>0.51492749502416835</v>
      </c>
      <c r="AX390" s="158">
        <v>0.51506996770721203</v>
      </c>
      <c r="AY390" s="158">
        <v>0.51526315789473687</v>
      </c>
      <c r="AZ390" s="158">
        <v>0.51525762881440718</v>
      </c>
      <c r="BA390" s="158">
        <v>0.51521004345726706</v>
      </c>
      <c r="BB390" s="158">
        <v>0.51554467564259487</v>
      </c>
      <c r="BC390" s="158">
        <v>0.51547911547911551</v>
      </c>
      <c r="BD390" s="158">
        <v>0.51551854655563967</v>
      </c>
      <c r="BE390" s="158">
        <v>0.51541401273885346</v>
      </c>
      <c r="BF390" s="158">
        <v>0.51539665970772441</v>
      </c>
      <c r="BG390" s="158">
        <v>0.51543128462147192</v>
      </c>
      <c r="BH390" s="158">
        <v>0.51567184518942488</v>
      </c>
      <c r="BI390" s="158">
        <v>0.51545812254075318</v>
      </c>
      <c r="BJ390" s="158">
        <v>0.51546961325966856</v>
      </c>
      <c r="BK390" s="158">
        <v>0.51536509726529467</v>
      </c>
      <c r="BL390" s="158">
        <v>0.51567535892176974</v>
      </c>
      <c r="BM390" s="158">
        <v>0.51552795031055898</v>
      </c>
      <c r="BN390" s="158">
        <v>0.51545189504373179</v>
      </c>
      <c r="BO390" s="158">
        <v>0.51549707602339179</v>
      </c>
      <c r="BP390" s="158">
        <v>0.51548165137614677</v>
      </c>
      <c r="BQ390" s="158">
        <v>0.51548672566371678</v>
      </c>
    </row>
    <row r="391" spans="1:69" s="124" customFormat="1">
      <c r="A391" s="124">
        <f>$A$84</f>
        <v>67</v>
      </c>
      <c r="B391" s="114"/>
      <c r="C391" s="114"/>
      <c r="D391" s="114"/>
      <c r="E391" s="114"/>
      <c r="F391" s="114"/>
      <c r="G391" s="114"/>
      <c r="H391" s="114"/>
      <c r="I391" s="114"/>
      <c r="J391" s="114"/>
      <c r="K391" s="114"/>
      <c r="L391" s="114"/>
      <c r="M391" s="158">
        <v>0.36615639222176249</v>
      </c>
      <c r="N391" s="158">
        <v>0.37235367372353673</v>
      </c>
      <c r="O391" s="158">
        <v>0.37802907915993539</v>
      </c>
      <c r="P391" s="158">
        <v>0.38354531001589826</v>
      </c>
      <c r="Q391" s="158">
        <v>0.38865626189569852</v>
      </c>
      <c r="R391" s="158">
        <v>0.39338781575037146</v>
      </c>
      <c r="S391" s="158">
        <v>0.3979038670039754</v>
      </c>
      <c r="T391" s="158">
        <v>0.4018954018954019</v>
      </c>
      <c r="U391" s="158">
        <v>0.4056767047421253</v>
      </c>
      <c r="V391" s="158">
        <v>0.40954274353876741</v>
      </c>
      <c r="W391" s="158">
        <v>0.41278121943267038</v>
      </c>
      <c r="X391" s="158">
        <v>0.41591263650546023</v>
      </c>
      <c r="Y391" s="158">
        <v>0.41873278236914602</v>
      </c>
      <c r="Z391" s="158">
        <v>0.4215001518372305</v>
      </c>
      <c r="AA391" s="158">
        <v>0.42401733209532655</v>
      </c>
      <c r="AB391" s="158">
        <v>0.42637644046094753</v>
      </c>
      <c r="AC391" s="158">
        <v>0.42838751206952042</v>
      </c>
      <c r="AD391" s="158">
        <v>0.43051168667087808</v>
      </c>
      <c r="AE391" s="158">
        <v>0.43210262828535667</v>
      </c>
      <c r="AF391" s="158">
        <v>0.43379416282642091</v>
      </c>
      <c r="AG391" s="158">
        <v>0.43536997236720909</v>
      </c>
      <c r="AH391" s="158">
        <v>0.43654073199527743</v>
      </c>
      <c r="AI391" s="158">
        <v>0.43791440626883665</v>
      </c>
      <c r="AJ391" s="158">
        <v>0.43897149938042129</v>
      </c>
      <c r="AK391" s="158">
        <v>0.44003837543971858</v>
      </c>
      <c r="AL391" s="158">
        <v>0.44102054340622932</v>
      </c>
      <c r="AM391" s="158">
        <v>0.44163491513682024</v>
      </c>
      <c r="AN391" s="158">
        <v>0.44234079173838209</v>
      </c>
      <c r="AO391" s="158">
        <v>0.44289693593314761</v>
      </c>
      <c r="AP391" s="158">
        <v>0.44354838709677419</v>
      </c>
      <c r="AQ391" s="158">
        <v>0.44381270903010034</v>
      </c>
      <c r="AR391" s="158">
        <v>0.44429752066115702</v>
      </c>
      <c r="AS391" s="158">
        <v>0.44469381211926901</v>
      </c>
      <c r="AT391" s="158">
        <v>0.444967074317968</v>
      </c>
      <c r="AU391" s="158">
        <v>0.44526445264452646</v>
      </c>
      <c r="AV391" s="158">
        <v>0.44550327575938059</v>
      </c>
      <c r="AW391" s="158">
        <v>0.44581497797356828</v>
      </c>
      <c r="AX391" s="158">
        <v>0.44589977220956722</v>
      </c>
      <c r="AY391" s="158">
        <v>0.44597143627054703</v>
      </c>
      <c r="AZ391" s="158">
        <v>0.44611330698287222</v>
      </c>
      <c r="BA391" s="158">
        <v>0.44603055346857001</v>
      </c>
      <c r="BB391" s="158">
        <v>0.44621706550640561</v>
      </c>
      <c r="BC391" s="158">
        <v>0.44621416319529528</v>
      </c>
      <c r="BD391" s="158">
        <v>0.44613871126414167</v>
      </c>
      <c r="BE391" s="158">
        <v>0.44643759474482064</v>
      </c>
      <c r="BF391" s="158">
        <v>0.4463147156337669</v>
      </c>
      <c r="BG391" s="158">
        <v>0.44644723092998956</v>
      </c>
      <c r="BH391" s="158">
        <v>0.44626353313968842</v>
      </c>
      <c r="BI391" s="158">
        <v>0.44614125988546494</v>
      </c>
      <c r="BJ391" s="158">
        <v>0.44641350210970465</v>
      </c>
      <c r="BK391" s="158">
        <v>0.44610281923714762</v>
      </c>
      <c r="BL391" s="158">
        <v>0.446262341325811</v>
      </c>
      <c r="BM391" s="158">
        <v>0.44620345939607153</v>
      </c>
      <c r="BN391" s="158">
        <v>0.44628588339745484</v>
      </c>
      <c r="BO391" s="158">
        <v>0.4461942257217848</v>
      </c>
      <c r="BP391" s="158">
        <v>0.44632933606317637</v>
      </c>
      <c r="BQ391" s="158">
        <v>0.44622885001433898</v>
      </c>
    </row>
    <row r="392" spans="1:69" s="124" customFormat="1">
      <c r="A392" s="124">
        <f>$A$85</f>
        <v>68</v>
      </c>
      <c r="B392" s="114"/>
      <c r="C392" s="114"/>
      <c r="D392" s="114"/>
      <c r="E392" s="114"/>
      <c r="F392" s="114"/>
      <c r="G392" s="114"/>
      <c r="H392" s="114"/>
      <c r="I392" s="114"/>
      <c r="J392" s="114"/>
      <c r="K392" s="114"/>
      <c r="L392" s="114"/>
      <c r="M392" s="158">
        <v>0.3095948827292111</v>
      </c>
      <c r="N392" s="158">
        <v>0.31530782029950083</v>
      </c>
      <c r="O392" s="158">
        <v>0.32095158597662771</v>
      </c>
      <c r="P392" s="158">
        <v>0.32629012596505486</v>
      </c>
      <c r="Q392" s="158">
        <v>0.33106757297081169</v>
      </c>
      <c r="R392" s="158">
        <v>0.33588663347376485</v>
      </c>
      <c r="S392" s="158">
        <v>0.34005979073243647</v>
      </c>
      <c r="T392" s="158">
        <v>0.34423845874227554</v>
      </c>
      <c r="U392" s="158">
        <v>0.34804094599364632</v>
      </c>
      <c r="V392" s="158">
        <v>0.35142658315935976</v>
      </c>
      <c r="W392" s="158">
        <v>0.35476349100599602</v>
      </c>
      <c r="X392" s="158">
        <v>0.3577981651376147</v>
      </c>
      <c r="Y392" s="158">
        <v>0.36081504702194356</v>
      </c>
      <c r="Z392" s="158">
        <v>0.36316113161131613</v>
      </c>
      <c r="AA392" s="158">
        <v>0.36577181208053694</v>
      </c>
      <c r="AB392" s="158">
        <v>0.36815920398009949</v>
      </c>
      <c r="AC392" s="158">
        <v>0.37009646302250804</v>
      </c>
      <c r="AD392" s="158">
        <v>0.37189014539579968</v>
      </c>
      <c r="AE392" s="158">
        <v>0.37381103360811668</v>
      </c>
      <c r="AF392" s="158">
        <v>0.37531407035175879</v>
      </c>
      <c r="AG392" s="158">
        <v>0.37681159420289856</v>
      </c>
      <c r="AH392" s="158">
        <v>0.37812018489984589</v>
      </c>
      <c r="AI392" s="158">
        <v>0.37903464613562332</v>
      </c>
      <c r="AJ392" s="158">
        <v>0.38040520108859993</v>
      </c>
      <c r="AK392" s="158">
        <v>0.38141125271992538</v>
      </c>
      <c r="AL392" s="158">
        <v>0.38197562540089802</v>
      </c>
      <c r="AM392" s="158">
        <v>0.38272425249169434</v>
      </c>
      <c r="AN392" s="158">
        <v>0.38346648141715872</v>
      </c>
      <c r="AO392" s="158">
        <v>0.38405797101449274</v>
      </c>
      <c r="AP392" s="158">
        <v>0.38464223385689356</v>
      </c>
      <c r="AQ392" s="158">
        <v>0.38497810710676994</v>
      </c>
      <c r="AR392" s="158">
        <v>0.38551793496480052</v>
      </c>
      <c r="AS392" s="158">
        <v>0.38601722995361165</v>
      </c>
      <c r="AT392" s="158">
        <v>0.38624678663239076</v>
      </c>
      <c r="AU392" s="158">
        <v>0.38654934003771213</v>
      </c>
      <c r="AV392" s="158">
        <v>0.3866296980899569</v>
      </c>
      <c r="AW392" s="158">
        <v>0.38675022381378693</v>
      </c>
      <c r="AX392" s="158">
        <v>0.38687849367461019</v>
      </c>
      <c r="AY392" s="158">
        <v>0.38705077010838562</v>
      </c>
      <c r="AZ392" s="158">
        <v>0.38704453441295544</v>
      </c>
      <c r="BA392" s="158">
        <v>0.38727560718057025</v>
      </c>
      <c r="BB392" s="158">
        <v>0.38735574510787757</v>
      </c>
      <c r="BC392" s="158">
        <v>0.38740920096852299</v>
      </c>
      <c r="BD392" s="158">
        <v>0.38733431516936673</v>
      </c>
      <c r="BE392" s="158">
        <v>0.38743842364532022</v>
      </c>
      <c r="BF392" s="158">
        <v>0.38730078421452063</v>
      </c>
      <c r="BG392" s="158">
        <v>0.38738508682328909</v>
      </c>
      <c r="BH392" s="158">
        <v>0.38729079497907948</v>
      </c>
      <c r="BI392" s="158">
        <v>0.38752312979117104</v>
      </c>
      <c r="BJ392" s="158">
        <v>0.38749317312943748</v>
      </c>
      <c r="BK392" s="158">
        <v>0.38749647986482683</v>
      </c>
      <c r="BL392" s="158">
        <v>0.38738240177089101</v>
      </c>
      <c r="BM392" s="158">
        <v>0.38746116916125389</v>
      </c>
      <c r="BN392" s="158">
        <v>0.38750366676444703</v>
      </c>
      <c r="BO392" s="158">
        <v>0.38732602901984009</v>
      </c>
      <c r="BP392" s="158">
        <v>0.38733216579100993</v>
      </c>
      <c r="BQ392" s="158">
        <v>0.38729508196721313</v>
      </c>
    </row>
    <row r="393" spans="1:69" s="124" customFormat="1">
      <c r="A393" s="124">
        <f>$A$86</f>
        <v>69</v>
      </c>
      <c r="B393" s="114"/>
      <c r="C393" s="114"/>
      <c r="D393" s="114"/>
      <c r="E393" s="114"/>
      <c r="F393" s="114"/>
      <c r="G393" s="114"/>
      <c r="H393" s="114"/>
      <c r="I393" s="114"/>
      <c r="J393" s="114"/>
      <c r="K393" s="114"/>
      <c r="L393" s="114"/>
      <c r="M393" s="158">
        <v>0.26338147833474934</v>
      </c>
      <c r="N393" s="158">
        <v>0.26866952789699572</v>
      </c>
      <c r="O393" s="158">
        <v>0.2735651445328865</v>
      </c>
      <c r="P393" s="158">
        <v>0.27826817990752417</v>
      </c>
      <c r="Q393" s="158">
        <v>0.2827332242225859</v>
      </c>
      <c r="R393" s="158">
        <v>0.28663446054750402</v>
      </c>
      <c r="S393" s="158">
        <v>0.29039722329348244</v>
      </c>
      <c r="T393" s="158">
        <v>0.29420617005267119</v>
      </c>
      <c r="U393" s="158">
        <v>0.29747530186608123</v>
      </c>
      <c r="V393" s="158">
        <v>0.3005328596802842</v>
      </c>
      <c r="W393" s="158">
        <v>0.30346517325866296</v>
      </c>
      <c r="X393" s="158">
        <v>0.30619765494137352</v>
      </c>
      <c r="Y393" s="158">
        <v>0.3087314662273476</v>
      </c>
      <c r="Z393" s="158">
        <v>0.31116015132408575</v>
      </c>
      <c r="AA393" s="158">
        <v>0.31313755795981452</v>
      </c>
      <c r="AB393" s="158">
        <v>0.31514408338442673</v>
      </c>
      <c r="AC393" s="158">
        <v>0.317088409871915</v>
      </c>
      <c r="AD393" s="158">
        <v>0.3184754521963824</v>
      </c>
      <c r="AE393" s="158">
        <v>0.32002596559558583</v>
      </c>
      <c r="AF393" s="158">
        <v>0.321656050955414</v>
      </c>
      <c r="AG393" s="158">
        <v>0.32292652160201829</v>
      </c>
      <c r="AH393" s="158">
        <v>0.32414860681114549</v>
      </c>
      <c r="AI393" s="158">
        <v>0.32518564356435642</v>
      </c>
      <c r="AJ393" s="158">
        <v>0.32609988109393578</v>
      </c>
      <c r="AK393" s="158">
        <v>0.32685887708649469</v>
      </c>
      <c r="AL393" s="158">
        <v>0.32751091703056767</v>
      </c>
      <c r="AM393" s="158">
        <v>0.3281853281853282</v>
      </c>
      <c r="AN393" s="158">
        <v>0.32900000000000001</v>
      </c>
      <c r="AO393" s="158">
        <v>0.32961672473867598</v>
      </c>
      <c r="AP393" s="158">
        <v>0.3298719280027691</v>
      </c>
      <c r="AQ393" s="158">
        <v>0.33041652082604128</v>
      </c>
      <c r="AR393" s="158">
        <v>0.33063154339750084</v>
      </c>
      <c r="AS393" s="158">
        <v>0.33109243697478991</v>
      </c>
      <c r="AT393" s="158">
        <v>0.33111922949186318</v>
      </c>
      <c r="AU393" s="158">
        <v>0.3314009661835749</v>
      </c>
      <c r="AV393" s="158">
        <v>0.33175803402646503</v>
      </c>
      <c r="AW393" s="158">
        <v>0.33168622606547249</v>
      </c>
      <c r="AX393" s="158">
        <v>0.3319377990430622</v>
      </c>
      <c r="AY393" s="158">
        <v>0.33205544087289884</v>
      </c>
      <c r="AZ393" s="158">
        <v>0.33209488425264361</v>
      </c>
      <c r="BA393" s="158">
        <v>0.33216121179334596</v>
      </c>
      <c r="BB393" s="158">
        <v>0.33218725204972227</v>
      </c>
      <c r="BC393" s="158">
        <v>0.33224428248303595</v>
      </c>
      <c r="BD393" s="158">
        <v>0.3323629306162057</v>
      </c>
      <c r="BE393" s="158">
        <v>0.33218588640275387</v>
      </c>
      <c r="BF393" s="158">
        <v>0.3323464100666173</v>
      </c>
      <c r="BG393" s="158">
        <v>0.3324885960466295</v>
      </c>
      <c r="BH393" s="158">
        <v>0.33231005372217959</v>
      </c>
      <c r="BI393" s="158">
        <v>0.3323729701414353</v>
      </c>
      <c r="BJ393" s="158">
        <v>0.33218634197988356</v>
      </c>
      <c r="BK393" s="158">
        <v>0.33242208857299071</v>
      </c>
      <c r="BL393" s="158">
        <v>0.3323935720327037</v>
      </c>
      <c r="BM393" s="158">
        <v>0.33240997229916897</v>
      </c>
      <c r="BN393" s="158">
        <v>0.3324851569126378</v>
      </c>
      <c r="BO393" s="158">
        <v>0.33245227606461086</v>
      </c>
      <c r="BP393" s="158">
        <v>0.33234509338867479</v>
      </c>
      <c r="BQ393" s="158">
        <v>0.3324569091440257</v>
      </c>
    </row>
    <row r="394" spans="1:69" s="124" customFormat="1">
      <c r="A394" s="124">
        <f>$A$87</f>
        <v>70</v>
      </c>
      <c r="B394" s="114"/>
      <c r="C394" s="114"/>
      <c r="D394" s="114"/>
      <c r="E394" s="114"/>
      <c r="F394" s="114"/>
      <c r="G394" s="114"/>
      <c r="H394" s="114"/>
      <c r="I394" s="114"/>
      <c r="J394" s="114"/>
      <c r="K394" s="114"/>
      <c r="L394" s="114"/>
      <c r="M394" s="158">
        <v>0.22193658954584405</v>
      </c>
      <c r="N394" s="158">
        <v>0.22602739726027396</v>
      </c>
      <c r="O394" s="158">
        <v>0.2296712802768166</v>
      </c>
      <c r="P394" s="158">
        <v>0.23343182777543267</v>
      </c>
      <c r="Q394" s="158">
        <v>0.23676408301567134</v>
      </c>
      <c r="R394" s="158">
        <v>0.24</v>
      </c>
      <c r="S394" s="158">
        <v>0.24300202839756593</v>
      </c>
      <c r="T394" s="158">
        <v>0.24592074592074592</v>
      </c>
      <c r="U394" s="158">
        <v>0.24857900719969686</v>
      </c>
      <c r="V394" s="158">
        <v>0.25092114959469419</v>
      </c>
      <c r="W394" s="158">
        <v>0.25321888412017168</v>
      </c>
      <c r="X394" s="158">
        <v>0.25546159267089502</v>
      </c>
      <c r="Y394" s="158">
        <v>0.25724881995954146</v>
      </c>
      <c r="Z394" s="158">
        <v>0.25928381962864722</v>
      </c>
      <c r="AA394" s="158">
        <v>0.26102124960355216</v>
      </c>
      <c r="AB394" s="158">
        <v>0.26243781094527363</v>
      </c>
      <c r="AC394" s="158">
        <v>0.26395312981806968</v>
      </c>
      <c r="AD394" s="158">
        <v>0.26515865535658184</v>
      </c>
      <c r="AE394" s="158">
        <v>0.26623376623376621</v>
      </c>
      <c r="AF394" s="158">
        <v>0.26753670473083196</v>
      </c>
      <c r="AG394" s="158">
        <v>0.26848</v>
      </c>
      <c r="AH394" s="158">
        <v>0.26932826362484158</v>
      </c>
      <c r="AI394" s="158">
        <v>0.27029548989113528</v>
      </c>
      <c r="AJ394" s="158">
        <v>0.27097576134244872</v>
      </c>
      <c r="AK394" s="158">
        <v>0.27172290235891311</v>
      </c>
      <c r="AL394" s="158">
        <v>0.27217311795184396</v>
      </c>
      <c r="AM394" s="158">
        <v>0.27278421547134357</v>
      </c>
      <c r="AN394" s="158">
        <v>0.27325581395348836</v>
      </c>
      <c r="AO394" s="158">
        <v>0.27367012378721983</v>
      </c>
      <c r="AP394" s="158">
        <v>0.27412587412587414</v>
      </c>
      <c r="AQ394" s="158">
        <v>0.27430555555555558</v>
      </c>
      <c r="AR394" s="158">
        <v>0.27467509659290479</v>
      </c>
      <c r="AS394" s="158">
        <v>0.27482209420535414</v>
      </c>
      <c r="AT394" s="158">
        <v>0.27511800404585302</v>
      </c>
      <c r="AU394" s="158">
        <v>0.27514990006662227</v>
      </c>
      <c r="AV394" s="158">
        <v>0.2755167958656331</v>
      </c>
      <c r="AW394" s="158">
        <v>0.27542640555906506</v>
      </c>
      <c r="AX394" s="158">
        <v>0.27554179566563469</v>
      </c>
      <c r="AY394" s="158">
        <v>0.27556221889055471</v>
      </c>
      <c r="AZ394" s="158">
        <v>0.27579071829736918</v>
      </c>
      <c r="BA394" s="158">
        <v>0.27593123209169057</v>
      </c>
      <c r="BB394" s="158">
        <v>0.27575921908893708</v>
      </c>
      <c r="BC394" s="158">
        <v>0.27598091198303287</v>
      </c>
      <c r="BD394" s="158">
        <v>0.27581863979848864</v>
      </c>
      <c r="BE394" s="158">
        <v>0.27595429127157795</v>
      </c>
      <c r="BF394" s="158">
        <v>0.27599802858551009</v>
      </c>
      <c r="BG394" s="158">
        <v>0.27596439169139464</v>
      </c>
      <c r="BH394" s="158">
        <v>0.27595836506727595</v>
      </c>
      <c r="BI394" s="158">
        <v>0.2760123013839057</v>
      </c>
      <c r="BJ394" s="158">
        <v>0.27604303332458674</v>
      </c>
      <c r="BK394" s="158">
        <v>0.2760540970564837</v>
      </c>
      <c r="BL394" s="158">
        <v>0.27601314348302303</v>
      </c>
      <c r="BM394" s="158">
        <v>0.27591075967240891</v>
      </c>
      <c r="BN394" s="158">
        <v>0.27580466148723642</v>
      </c>
      <c r="BO394" s="158">
        <v>0.27604756511891282</v>
      </c>
      <c r="BP394" s="158">
        <v>0.27588235294117647</v>
      </c>
      <c r="BQ394" s="158">
        <v>0.27604630454140694</v>
      </c>
    </row>
    <row r="395" spans="1:69" s="124" customFormat="1">
      <c r="A395" s="124">
        <f>$A$88</f>
        <v>71</v>
      </c>
      <c r="B395" s="114"/>
      <c r="C395" s="114"/>
      <c r="D395" s="114"/>
      <c r="E395" s="114"/>
      <c r="F395" s="114"/>
      <c r="G395" s="114"/>
      <c r="H395" s="114"/>
      <c r="I395" s="114"/>
      <c r="J395" s="114"/>
      <c r="K395" s="114"/>
      <c r="L395" s="114"/>
      <c r="M395" s="158">
        <v>0.18580908626850434</v>
      </c>
      <c r="N395" s="158">
        <v>0.18901384083044984</v>
      </c>
      <c r="O395" s="158">
        <v>0.19179265658747299</v>
      </c>
      <c r="P395" s="158">
        <v>0.19467481449148843</v>
      </c>
      <c r="Q395" s="158">
        <v>0.19727311461440136</v>
      </c>
      <c r="R395" s="158">
        <v>0.20008550662676358</v>
      </c>
      <c r="S395" s="158">
        <v>0.20216306156405989</v>
      </c>
      <c r="T395" s="158">
        <v>0.20458265139116202</v>
      </c>
      <c r="U395" s="158">
        <v>0.20642381511946728</v>
      </c>
      <c r="V395" s="158">
        <v>0.20855614973262032</v>
      </c>
      <c r="W395" s="158">
        <v>0.21054585963609357</v>
      </c>
      <c r="X395" s="158">
        <v>0.21189189189189189</v>
      </c>
      <c r="Y395" s="158">
        <v>0.21370252041178558</v>
      </c>
      <c r="Z395" s="158">
        <v>0.21494057724957555</v>
      </c>
      <c r="AA395" s="158">
        <v>0.21636060100166946</v>
      </c>
      <c r="AB395" s="158">
        <v>0.21768273220555379</v>
      </c>
      <c r="AC395" s="158">
        <v>0.2187793427230047</v>
      </c>
      <c r="AD395" s="158">
        <v>0.2196711138690661</v>
      </c>
      <c r="AE395" s="158">
        <v>0.22060682680151708</v>
      </c>
      <c r="AF395" s="158">
        <v>0.22142390594382758</v>
      </c>
      <c r="AG395" s="158">
        <v>0.22244094488188976</v>
      </c>
      <c r="AH395" s="158">
        <v>0.22297297297297297</v>
      </c>
      <c r="AI395" s="158">
        <v>0.22363810130614845</v>
      </c>
      <c r="AJ395" s="158">
        <v>0.22444513910597061</v>
      </c>
      <c r="AK395" s="158">
        <v>0.22485946283572766</v>
      </c>
      <c r="AL395" s="158">
        <v>0.22532253225322532</v>
      </c>
      <c r="AM395" s="158">
        <v>0.22565829761175751</v>
      </c>
      <c r="AN395" s="158">
        <v>0.22617175212330923</v>
      </c>
      <c r="AO395" s="158">
        <v>0.22647631408176508</v>
      </c>
      <c r="AP395" s="158">
        <v>0.22681451612903225</v>
      </c>
      <c r="AQ395" s="158">
        <v>0.2270972270972271</v>
      </c>
      <c r="AR395" s="158">
        <v>0.22733612273361228</v>
      </c>
      <c r="AS395" s="158">
        <v>0.22735283750440607</v>
      </c>
      <c r="AT395" s="158">
        <v>0.22755102040816327</v>
      </c>
      <c r="AU395" s="158">
        <v>0.22767253044654939</v>
      </c>
      <c r="AV395" s="158">
        <v>0.22794117647058823</v>
      </c>
      <c r="AW395" s="158">
        <v>0.22787682333873582</v>
      </c>
      <c r="AX395" s="158">
        <v>0.22782002534854245</v>
      </c>
      <c r="AY395" s="158">
        <v>0.22795031055900622</v>
      </c>
      <c r="AZ395" s="158">
        <v>0.22796992481203007</v>
      </c>
      <c r="BA395" s="158">
        <v>0.22828342721612807</v>
      </c>
      <c r="BB395" s="158">
        <v>0.22816091954022988</v>
      </c>
      <c r="BC395" s="158">
        <v>0.2281131049483415</v>
      </c>
      <c r="BD395" s="158">
        <v>0.22833599149388623</v>
      </c>
      <c r="BE395" s="158">
        <v>0.22834049002273302</v>
      </c>
      <c r="BF395" s="158">
        <v>0.22812576163782597</v>
      </c>
      <c r="BG395" s="158">
        <v>0.2282044949370215</v>
      </c>
      <c r="BH395" s="158">
        <v>0.22825278810408922</v>
      </c>
      <c r="BI395" s="158">
        <v>0.22824427480916032</v>
      </c>
      <c r="BJ395" s="158">
        <v>0.22829994863893169</v>
      </c>
      <c r="BK395" s="158">
        <v>0.22824086247699185</v>
      </c>
      <c r="BL395" s="158">
        <v>0.22821466524973433</v>
      </c>
      <c r="BM395" s="158">
        <v>0.22825788751714679</v>
      </c>
      <c r="BN395" s="158">
        <v>0.22828854314002828</v>
      </c>
      <c r="BO395" s="158">
        <v>0.22818232351306281</v>
      </c>
      <c r="BP395" s="158">
        <v>0.22830402722631876</v>
      </c>
      <c r="BQ395" s="158">
        <v>0.22827687776141384</v>
      </c>
    </row>
    <row r="396" spans="1:69" s="124" customFormat="1">
      <c r="A396" s="124">
        <f>$A$89</f>
        <v>72</v>
      </c>
      <c r="B396" s="114"/>
      <c r="C396" s="114"/>
      <c r="D396" s="114"/>
      <c r="E396" s="114"/>
      <c r="F396" s="114"/>
      <c r="G396" s="114"/>
      <c r="H396" s="114"/>
      <c r="I396" s="114"/>
      <c r="J396" s="114"/>
      <c r="K396" s="114"/>
      <c r="L396" s="114"/>
      <c r="M396" s="158">
        <v>0.15655471289274106</v>
      </c>
      <c r="N396" s="158">
        <v>0.1593604951005673</v>
      </c>
      <c r="O396" s="158">
        <v>0.16215034965034966</v>
      </c>
      <c r="P396" s="158">
        <v>0.1646288209606987</v>
      </c>
      <c r="Q396" s="158">
        <v>0.16718129686810762</v>
      </c>
      <c r="R396" s="158">
        <v>0.16960826517434352</v>
      </c>
      <c r="S396" s="158">
        <v>0.17141623488773747</v>
      </c>
      <c r="T396" s="158">
        <v>0.17345653086938262</v>
      </c>
      <c r="U396" s="158">
        <v>0.1755472945064023</v>
      </c>
      <c r="V396" s="158">
        <v>0.17707509881422925</v>
      </c>
      <c r="W396" s="158">
        <v>0.1788053949903661</v>
      </c>
      <c r="X396" s="158">
        <v>0.1805243445692884</v>
      </c>
      <c r="Y396" s="158">
        <v>0.1816860465116279</v>
      </c>
      <c r="Z396" s="158">
        <v>0.18318425760286225</v>
      </c>
      <c r="AA396" s="158">
        <v>0.18446269678302532</v>
      </c>
      <c r="AB396" s="158">
        <v>0.18533467877564749</v>
      </c>
      <c r="AC396" s="158">
        <v>0.18649517684887459</v>
      </c>
      <c r="AD396" s="158">
        <v>0.18726355611601514</v>
      </c>
      <c r="AE396" s="158">
        <v>0.18837863167760074</v>
      </c>
      <c r="AF396" s="158">
        <v>0.18899140948138721</v>
      </c>
      <c r="AG396" s="158">
        <v>0.18967784352399736</v>
      </c>
      <c r="AH396" s="158">
        <v>0.19049191152195444</v>
      </c>
      <c r="AI396" s="158">
        <v>0.19100032372936226</v>
      </c>
      <c r="AJ396" s="158">
        <v>0.19160525472604933</v>
      </c>
      <c r="AK396" s="158">
        <v>0.19207796290474694</v>
      </c>
      <c r="AL396" s="158">
        <v>0.1924646781789639</v>
      </c>
      <c r="AM396" s="158">
        <v>0.19276018099547512</v>
      </c>
      <c r="AN396" s="158">
        <v>0.19329024315173898</v>
      </c>
      <c r="AO396" s="158">
        <v>0.19348719570028455</v>
      </c>
      <c r="AP396" s="158">
        <v>0.19367460058689273</v>
      </c>
      <c r="AQ396" s="158">
        <v>0.19406007424907187</v>
      </c>
      <c r="AR396" s="158">
        <v>0.19428772919605078</v>
      </c>
      <c r="AS396" s="158">
        <v>0.19432773109243698</v>
      </c>
      <c r="AT396" s="158">
        <v>0.1943362831858407</v>
      </c>
      <c r="AU396" s="158">
        <v>0.19467213114754098</v>
      </c>
      <c r="AV396" s="158">
        <v>0.19463315217391305</v>
      </c>
      <c r="AW396" s="158">
        <v>0.19463087248322147</v>
      </c>
      <c r="AX396" s="158">
        <v>0.1948601171112557</v>
      </c>
      <c r="AY396" s="158">
        <v>0.19497455470737912</v>
      </c>
      <c r="AZ396" s="158">
        <v>0.19482543640897756</v>
      </c>
      <c r="BA396" s="158">
        <v>0.19493059746529873</v>
      </c>
      <c r="BB396" s="158">
        <v>0.1951219512195122</v>
      </c>
      <c r="BC396" s="158">
        <v>0.195157105794177</v>
      </c>
      <c r="BD396" s="158">
        <v>0.19498227433869647</v>
      </c>
      <c r="BE396" s="158">
        <v>0.19514796054385497</v>
      </c>
      <c r="BF396" s="158">
        <v>0.19503546099290781</v>
      </c>
      <c r="BG396" s="158">
        <v>0.19506233194817893</v>
      </c>
      <c r="BH396" s="158">
        <v>0.19519445132524152</v>
      </c>
      <c r="BI396" s="158">
        <v>0.19507952286282307</v>
      </c>
      <c r="BJ396" s="158">
        <v>0.1951530612244898</v>
      </c>
      <c r="BK396" s="158">
        <v>0.19515962924819774</v>
      </c>
      <c r="BL396" s="158">
        <v>0.19504480759093304</v>
      </c>
      <c r="BM396" s="158">
        <v>0.19494007989347537</v>
      </c>
      <c r="BN396" s="158">
        <v>0.19499449944994499</v>
      </c>
      <c r="BO396" s="158">
        <v>0.19506662886305642</v>
      </c>
      <c r="BP396" s="158">
        <v>0.19498607242339833</v>
      </c>
      <c r="BQ396" s="158">
        <v>0.19494174481386758</v>
      </c>
    </row>
    <row r="397" spans="1:69" s="124" customFormat="1">
      <c r="A397" s="124">
        <f>$A$90</f>
        <v>73</v>
      </c>
      <c r="B397" s="114"/>
      <c r="C397" s="114"/>
      <c r="D397" s="114"/>
      <c r="E397" s="114"/>
      <c r="F397" s="114"/>
      <c r="G397" s="114"/>
      <c r="H397" s="114"/>
      <c r="I397" s="114"/>
      <c r="J397" s="114"/>
      <c r="K397" s="114"/>
      <c r="L397" s="114"/>
      <c r="M397" s="158">
        <v>0.13352769679300291</v>
      </c>
      <c r="N397" s="158">
        <v>0.13603949533735601</v>
      </c>
      <c r="O397" s="158">
        <v>0.13883089770354906</v>
      </c>
      <c r="P397" s="158">
        <v>0.14108801415302963</v>
      </c>
      <c r="Q397" s="158">
        <v>0.1435512367491166</v>
      </c>
      <c r="R397" s="158">
        <v>0.1459170013386881</v>
      </c>
      <c r="S397" s="158">
        <v>0.14801915542011318</v>
      </c>
      <c r="T397" s="158">
        <v>0.14971628109995636</v>
      </c>
      <c r="U397" s="158">
        <v>0.15152801358234294</v>
      </c>
      <c r="V397" s="158">
        <v>0.15358931552587646</v>
      </c>
      <c r="W397" s="158">
        <v>0.15489021956087826</v>
      </c>
      <c r="X397" s="158">
        <v>0.15642023346303502</v>
      </c>
      <c r="Y397" s="158">
        <v>0.15765595463137996</v>
      </c>
      <c r="Z397" s="158">
        <v>0.15909090909090909</v>
      </c>
      <c r="AA397" s="158">
        <v>0.16028880866425993</v>
      </c>
      <c r="AB397" s="158">
        <v>0.16120124266482569</v>
      </c>
      <c r="AC397" s="158">
        <v>0.16214382632293081</v>
      </c>
      <c r="AD397" s="158">
        <v>0.16304700162074554</v>
      </c>
      <c r="AE397" s="158">
        <v>0.16391359593392629</v>
      </c>
      <c r="AF397" s="158">
        <v>0.164620711362921</v>
      </c>
      <c r="AG397" s="158">
        <v>0.16538461538461538</v>
      </c>
      <c r="AH397" s="158">
        <v>0.16617014233697452</v>
      </c>
      <c r="AI397" s="158">
        <v>0.16655585106382978</v>
      </c>
      <c r="AJ397" s="158">
        <v>0.16715542521994134</v>
      </c>
      <c r="AK397" s="158">
        <v>0.16774193548387098</v>
      </c>
      <c r="AL397" s="158">
        <v>0.16798481493198356</v>
      </c>
      <c r="AM397" s="158">
        <v>0.1684044233807267</v>
      </c>
      <c r="AN397" s="158">
        <v>0.16868932038834952</v>
      </c>
      <c r="AO397" s="158">
        <v>0.16898792943361188</v>
      </c>
      <c r="AP397" s="158">
        <v>0.16910362364907819</v>
      </c>
      <c r="AQ397" s="158">
        <v>0.16945263847918715</v>
      </c>
      <c r="AR397" s="158">
        <v>0.16966406515100102</v>
      </c>
      <c r="AS397" s="158">
        <v>0.16973777462792347</v>
      </c>
      <c r="AT397" s="158">
        <v>0.16995073891625614</v>
      </c>
      <c r="AU397" s="158">
        <v>0.17004624688722875</v>
      </c>
      <c r="AV397" s="158">
        <v>0.17015437392795885</v>
      </c>
      <c r="AW397" s="158">
        <v>0.17024906175366769</v>
      </c>
      <c r="AX397" s="158">
        <v>0.17020559487698012</v>
      </c>
      <c r="AY397" s="158">
        <v>0.17053250571708592</v>
      </c>
      <c r="AZ397" s="158">
        <v>0.17055253912488022</v>
      </c>
      <c r="BA397" s="158">
        <v>0.17052565707133918</v>
      </c>
      <c r="BB397" s="158">
        <v>0.17055437746137533</v>
      </c>
      <c r="BC397" s="158">
        <v>0.17049865631531799</v>
      </c>
      <c r="BD397" s="158">
        <v>0.17037894127856523</v>
      </c>
      <c r="BE397" s="158">
        <v>0.17049808429118773</v>
      </c>
      <c r="BF397" s="158">
        <v>0.17041198501872659</v>
      </c>
      <c r="BG397" s="158">
        <v>0.17052096569250319</v>
      </c>
      <c r="BH397" s="158">
        <v>0.17042667974497303</v>
      </c>
      <c r="BI397" s="158">
        <v>0.17043478260869566</v>
      </c>
      <c r="BJ397" s="158">
        <v>0.17048853439680958</v>
      </c>
      <c r="BK397" s="158">
        <v>0.17067553735926305</v>
      </c>
      <c r="BL397" s="158">
        <v>0.17041053446940357</v>
      </c>
      <c r="BM397" s="158">
        <v>0.17045454545454544</v>
      </c>
      <c r="BN397" s="158">
        <v>0.1706275033377837</v>
      </c>
      <c r="BO397" s="158">
        <v>0.17066446098704163</v>
      </c>
      <c r="BP397" s="158">
        <v>0.17050298380221654</v>
      </c>
      <c r="BQ397" s="158">
        <v>0.17057509771077611</v>
      </c>
    </row>
    <row r="398" spans="1:69" s="124" customFormat="1">
      <c r="A398" s="124">
        <f>$A$91</f>
        <v>74</v>
      </c>
      <c r="B398" s="114"/>
      <c r="C398" s="114"/>
      <c r="D398" s="114"/>
      <c r="E398" s="114"/>
      <c r="F398" s="114"/>
      <c r="G398" s="114"/>
      <c r="H398" s="114"/>
      <c r="I398" s="114"/>
      <c r="J398" s="114"/>
      <c r="K398" s="114"/>
      <c r="L398" s="114"/>
      <c r="M398" s="158">
        <v>0.11257406188281764</v>
      </c>
      <c r="N398" s="158">
        <v>0.11465721040189125</v>
      </c>
      <c r="O398" s="158">
        <v>0.11728738187882157</v>
      </c>
      <c r="P398" s="158">
        <v>0.11957671957671957</v>
      </c>
      <c r="Q398" s="158">
        <v>0.12191842223218288</v>
      </c>
      <c r="R398" s="158">
        <v>0.12399283795881827</v>
      </c>
      <c r="S398" s="158">
        <v>0.12607320379575238</v>
      </c>
      <c r="T398" s="158">
        <v>0.12780960775672101</v>
      </c>
      <c r="U398" s="158">
        <v>0.12941696113074205</v>
      </c>
      <c r="V398" s="158">
        <v>0.13095749248604552</v>
      </c>
      <c r="W398" s="158">
        <v>0.13248945147679325</v>
      </c>
      <c r="X398" s="158">
        <v>0.13403310456197012</v>
      </c>
      <c r="Y398" s="158">
        <v>0.13527329925285098</v>
      </c>
      <c r="Z398" s="158">
        <v>0.13631156930126001</v>
      </c>
      <c r="AA398" s="158">
        <v>0.13735653461680858</v>
      </c>
      <c r="AB398" s="158">
        <v>0.13848396501457727</v>
      </c>
      <c r="AC398" s="158">
        <v>0.13937282229965156</v>
      </c>
      <c r="AD398" s="158">
        <v>0.1403148528405202</v>
      </c>
      <c r="AE398" s="158">
        <v>0.14094179202092871</v>
      </c>
      <c r="AF398" s="158">
        <v>0.14162127523229734</v>
      </c>
      <c r="AG398" s="158">
        <v>0.14249444620755317</v>
      </c>
      <c r="AH398" s="158">
        <v>0.14281098546042004</v>
      </c>
      <c r="AI398" s="158">
        <v>0.14347681014347682</v>
      </c>
      <c r="AJ398" s="158">
        <v>0.1440536013400335</v>
      </c>
      <c r="AK398" s="158">
        <v>0.14445173998686803</v>
      </c>
      <c r="AL398" s="158">
        <v>0.14489928525016244</v>
      </c>
      <c r="AM398" s="158">
        <v>0.14526919401083146</v>
      </c>
      <c r="AN398" s="158">
        <v>0.1453562340966921</v>
      </c>
      <c r="AO398" s="158">
        <v>0.14569334147831398</v>
      </c>
      <c r="AP398" s="158">
        <v>0.14610591900311526</v>
      </c>
      <c r="AQ398" s="158">
        <v>0.14619321817018555</v>
      </c>
      <c r="AR398" s="158">
        <v>0.14638971315529178</v>
      </c>
      <c r="AS398" s="158">
        <v>0.14641638225255973</v>
      </c>
      <c r="AT398" s="158">
        <v>0.14647184604419103</v>
      </c>
      <c r="AU398" s="158">
        <v>0.14679872656526352</v>
      </c>
      <c r="AV398" s="158">
        <v>0.14694315337861996</v>
      </c>
      <c r="AW398" s="158">
        <v>0.14689655172413793</v>
      </c>
      <c r="AX398" s="158">
        <v>0.147119341563786</v>
      </c>
      <c r="AY398" s="158">
        <v>0.14696918388079919</v>
      </c>
      <c r="AZ398" s="158">
        <v>0.1470298654414178</v>
      </c>
      <c r="BA398" s="158">
        <v>0.14725697786333011</v>
      </c>
      <c r="BB398" s="158">
        <v>0.14707730986800754</v>
      </c>
      <c r="BC398" s="158">
        <v>0.14724672954061455</v>
      </c>
      <c r="BD398" s="158">
        <v>0.14718225419664269</v>
      </c>
      <c r="BE398" s="158">
        <v>0.14725530060993319</v>
      </c>
      <c r="BF398" s="158">
        <v>0.14729321242099477</v>
      </c>
      <c r="BG398" s="158">
        <v>0.14715359828141783</v>
      </c>
      <c r="BH398" s="158">
        <v>0.1471938775510204</v>
      </c>
      <c r="BI398" s="158">
        <v>0.14718188530642382</v>
      </c>
      <c r="BJ398" s="158">
        <v>0.14709548740962353</v>
      </c>
      <c r="BK398" s="158">
        <v>0.14707353676838419</v>
      </c>
      <c r="BL398" s="158">
        <v>0.14707392197125257</v>
      </c>
      <c r="BM398" s="158">
        <v>0.14711214711214712</v>
      </c>
      <c r="BN398" s="158">
        <v>0.14713679745493108</v>
      </c>
      <c r="BO398" s="158">
        <v>0.14729512587038029</v>
      </c>
      <c r="BP398" s="158">
        <v>0.14708321813657727</v>
      </c>
      <c r="BQ398" s="158">
        <v>0.14705044172128812</v>
      </c>
    </row>
    <row r="399" spans="1:69" s="124" customFormat="1">
      <c r="A399" s="124">
        <f>$A$92</f>
        <v>75</v>
      </c>
      <c r="B399" s="114"/>
      <c r="C399" s="114"/>
      <c r="D399" s="114"/>
      <c r="E399" s="114"/>
      <c r="F399" s="114"/>
      <c r="G399" s="114"/>
      <c r="H399" s="114"/>
      <c r="I399" s="114"/>
      <c r="J399" s="114"/>
      <c r="K399" s="114"/>
      <c r="L399" s="114"/>
      <c r="M399" s="158">
        <v>9.5840867992766726E-2</v>
      </c>
      <c r="N399" s="158">
        <v>9.8262032085561501E-2</v>
      </c>
      <c r="O399" s="158">
        <v>0.10084033613445378</v>
      </c>
      <c r="P399" s="158">
        <v>0.10270880361173815</v>
      </c>
      <c r="Q399" s="158">
        <v>0.10472610096670247</v>
      </c>
      <c r="R399" s="158">
        <v>0.10686675761709868</v>
      </c>
      <c r="S399" s="158">
        <v>0.10848842487517023</v>
      </c>
      <c r="T399" s="158">
        <v>0.11039853412734768</v>
      </c>
      <c r="U399" s="158">
        <v>0.11165698972755694</v>
      </c>
      <c r="V399" s="158">
        <v>0.11319910514541387</v>
      </c>
      <c r="W399" s="158">
        <v>0.11434782608695652</v>
      </c>
      <c r="X399" s="158">
        <v>0.11576249466040153</v>
      </c>
      <c r="Y399" s="158">
        <v>0.11683006535947713</v>
      </c>
      <c r="Z399" s="158">
        <v>0.11813842482100238</v>
      </c>
      <c r="AA399" s="158">
        <v>0.11896485129393589</v>
      </c>
      <c r="AB399" s="158">
        <v>0.11980531636091352</v>
      </c>
      <c r="AC399" s="158">
        <v>0.12081031307550645</v>
      </c>
      <c r="AD399" s="158">
        <v>0.12143611404435058</v>
      </c>
      <c r="AE399" s="158">
        <v>0.1223643276875216</v>
      </c>
      <c r="AF399" s="158">
        <v>0.12285336856010567</v>
      </c>
      <c r="AG399" s="158">
        <v>0.12354463130659767</v>
      </c>
      <c r="AH399" s="158">
        <v>0.12395900064061499</v>
      </c>
      <c r="AI399" s="158">
        <v>0.12451108213820078</v>
      </c>
      <c r="AJ399" s="158">
        <v>0.12487377987209694</v>
      </c>
      <c r="AK399" s="158">
        <v>0.12533783783783783</v>
      </c>
      <c r="AL399" s="158">
        <v>0.12578616352201258</v>
      </c>
      <c r="AM399" s="158">
        <v>0.12606417812704648</v>
      </c>
      <c r="AN399" s="158">
        <v>0.12648475120385233</v>
      </c>
      <c r="AO399" s="158">
        <v>0.12656199935917975</v>
      </c>
      <c r="AP399" s="158">
        <v>0.12673023685019993</v>
      </c>
      <c r="AQ399" s="158">
        <v>0.12703889585947303</v>
      </c>
      <c r="AR399" s="158">
        <v>0.12721417069243157</v>
      </c>
      <c r="AS399" s="158">
        <v>0.12744772651842018</v>
      </c>
      <c r="AT399" s="158">
        <v>0.12740384615384615</v>
      </c>
      <c r="AU399" s="158">
        <v>0.12764431695948369</v>
      </c>
      <c r="AV399" s="158">
        <v>0.12775800711743773</v>
      </c>
      <c r="AW399" s="158">
        <v>0.12769784172661872</v>
      </c>
      <c r="AX399" s="158">
        <v>0.1276005547850208</v>
      </c>
      <c r="AY399" s="158">
        <v>0.12793103448275861</v>
      </c>
      <c r="AZ399" s="158">
        <v>0.12768130745658834</v>
      </c>
      <c r="BA399" s="158">
        <v>0.1276806334543055</v>
      </c>
      <c r="BB399" s="158">
        <v>0.12802321831667204</v>
      </c>
      <c r="BC399" s="158">
        <v>0.1279216677195199</v>
      </c>
      <c r="BD399" s="158">
        <v>0.12778966676857231</v>
      </c>
      <c r="BE399" s="158">
        <v>0.12801204819277109</v>
      </c>
      <c r="BF399" s="158">
        <v>0.1278085789320105</v>
      </c>
      <c r="BG399" s="158">
        <v>0.12775938189845473</v>
      </c>
      <c r="BH399" s="158">
        <v>0.127831715210356</v>
      </c>
      <c r="BI399" s="158">
        <v>0.12781762295081966</v>
      </c>
      <c r="BJ399" s="158">
        <v>0.12799604645416357</v>
      </c>
      <c r="BK399" s="158">
        <v>0.127909887359199</v>
      </c>
      <c r="BL399" s="158">
        <v>0.12804418779814211</v>
      </c>
      <c r="BM399" s="158">
        <v>0.12780211285751095</v>
      </c>
      <c r="BN399" s="158">
        <v>0.1278918637899662</v>
      </c>
      <c r="BO399" s="158">
        <v>0.12795956371375367</v>
      </c>
      <c r="BP399" s="158">
        <v>0.12792260145122278</v>
      </c>
      <c r="BQ399" s="158">
        <v>0.12787794729542301</v>
      </c>
    </row>
    <row r="400" spans="1:69" s="124" customFormat="1">
      <c r="A400" s="124">
        <f>$A$93</f>
        <v>76</v>
      </c>
      <c r="B400" s="114"/>
      <c r="C400" s="114"/>
      <c r="D400" s="114"/>
      <c r="E400" s="114"/>
      <c r="F400" s="114"/>
      <c r="G400" s="114"/>
      <c r="H400" s="114"/>
      <c r="I400" s="114"/>
      <c r="J400" s="114"/>
      <c r="K400" s="114"/>
      <c r="L400" s="114"/>
      <c r="M400" s="158">
        <v>8.4639498432601878E-2</v>
      </c>
      <c r="N400" s="158">
        <v>8.7116564417177911E-2</v>
      </c>
      <c r="O400" s="158">
        <v>8.9055064581917059E-2</v>
      </c>
      <c r="P400" s="158">
        <v>9.1575091575091569E-2</v>
      </c>
      <c r="Q400" s="158">
        <v>9.351692484222604E-2</v>
      </c>
      <c r="R400" s="158">
        <v>9.4978165938864628E-2</v>
      </c>
      <c r="S400" s="158">
        <v>9.6580406654343809E-2</v>
      </c>
      <c r="T400" s="158">
        <v>9.8201936376210233E-2</v>
      </c>
      <c r="U400" s="158">
        <v>0.1</v>
      </c>
      <c r="V400" s="158">
        <v>0.1010421386497508</v>
      </c>
      <c r="W400" s="158">
        <v>0.10258738084430322</v>
      </c>
      <c r="X400" s="158">
        <v>0.10361552028218694</v>
      </c>
      <c r="Y400" s="158">
        <v>0.10476190476190476</v>
      </c>
      <c r="Z400" s="158">
        <v>0.10596026490066225</v>
      </c>
      <c r="AA400" s="158">
        <v>0.10676873489121676</v>
      </c>
      <c r="AB400" s="158">
        <v>0.10750586395621579</v>
      </c>
      <c r="AC400" s="158">
        <v>0.10833333333333334</v>
      </c>
      <c r="AD400" s="158">
        <v>0.10920611256056653</v>
      </c>
      <c r="AE400" s="158">
        <v>0.10964756140975436</v>
      </c>
      <c r="AF400" s="158">
        <v>0.11045089129674938</v>
      </c>
      <c r="AG400" s="158">
        <v>0.11081441922563418</v>
      </c>
      <c r="AH400" s="158">
        <v>0.11143790849673203</v>
      </c>
      <c r="AI400" s="158">
        <v>0.11197411003236246</v>
      </c>
      <c r="AJ400" s="158">
        <v>0.11224489795918367</v>
      </c>
      <c r="AK400" s="158">
        <v>0.11281005776418621</v>
      </c>
      <c r="AL400" s="158">
        <v>0.1131946812137743</v>
      </c>
      <c r="AM400" s="158">
        <v>0.11322645290581163</v>
      </c>
      <c r="AN400" s="158">
        <v>0.11360634081902246</v>
      </c>
      <c r="AO400" s="158">
        <v>0.11398963730569948</v>
      </c>
      <c r="AP400" s="158">
        <v>0.11405492730210016</v>
      </c>
      <c r="AQ400" s="158">
        <v>0.11410852713178295</v>
      </c>
      <c r="AR400" s="158">
        <v>0.11444830856781536</v>
      </c>
      <c r="AS400" s="158">
        <v>0.1145360155743024</v>
      </c>
      <c r="AT400" s="158">
        <v>0.1146773654296222</v>
      </c>
      <c r="AU400" s="158">
        <v>0.1148391560013836</v>
      </c>
      <c r="AV400" s="158">
        <v>0.11480144404332129</v>
      </c>
      <c r="AW400" s="158">
        <v>0.11501254030813328</v>
      </c>
      <c r="AX400" s="158">
        <v>0.11477190441708907</v>
      </c>
      <c r="AY400" s="158">
        <v>0.11483420593368238</v>
      </c>
      <c r="AZ400" s="158">
        <v>0.11485079805690493</v>
      </c>
      <c r="BA400" s="158">
        <v>0.11506849315068493</v>
      </c>
      <c r="BB400" s="158">
        <v>0.11516760703617657</v>
      </c>
      <c r="BC400" s="158">
        <v>0.11511024643320363</v>
      </c>
      <c r="BD400" s="158">
        <v>0.11495712924738012</v>
      </c>
      <c r="BE400" s="158">
        <v>0.11493546404425323</v>
      </c>
      <c r="BF400" s="158">
        <v>0.11504692703602785</v>
      </c>
      <c r="BG400" s="158">
        <v>0.11495601173020528</v>
      </c>
      <c r="BH400" s="158">
        <v>0.11508596783139212</v>
      </c>
      <c r="BI400" s="158">
        <v>0.11517615176151762</v>
      </c>
      <c r="BJ400" s="158">
        <v>0.11502830674215131</v>
      </c>
      <c r="BK400" s="158">
        <v>0.11519364448857994</v>
      </c>
      <c r="BL400" s="158">
        <v>0.11516218254966056</v>
      </c>
      <c r="BM400" s="158">
        <v>0.11497730711043873</v>
      </c>
      <c r="BN400" s="158">
        <v>0.11513583441138421</v>
      </c>
      <c r="BO400" s="158">
        <v>0.11511354737666406</v>
      </c>
      <c r="BP400" s="158">
        <v>0.11511752136752136</v>
      </c>
      <c r="BQ400" s="158">
        <v>0.11518748314000539</v>
      </c>
    </row>
    <row r="401" spans="1:69" s="124" customFormat="1">
      <c r="A401" s="124">
        <f>$A$94</f>
        <v>77</v>
      </c>
      <c r="B401" s="114"/>
      <c r="C401" s="114"/>
      <c r="D401" s="114"/>
      <c r="E401" s="114"/>
      <c r="F401" s="114"/>
      <c r="G401" s="114"/>
      <c r="H401" s="114"/>
      <c r="I401" s="114"/>
      <c r="J401" s="114"/>
      <c r="K401" s="114"/>
      <c r="L401" s="114"/>
      <c r="M401" s="158">
        <v>7.9529737206085749E-2</v>
      </c>
      <c r="N401" s="158">
        <v>8.1893793985924501E-2</v>
      </c>
      <c r="O401" s="158">
        <v>8.3854818523153948E-2</v>
      </c>
      <c r="P401" s="158">
        <v>8.5932085932085928E-2</v>
      </c>
      <c r="Q401" s="158">
        <v>8.7686567164179108E-2</v>
      </c>
      <c r="R401" s="158">
        <v>8.942139099941554E-2</v>
      </c>
      <c r="S401" s="158">
        <v>9.1161756531406332E-2</v>
      </c>
      <c r="T401" s="158">
        <v>9.2662276575729063E-2</v>
      </c>
      <c r="U401" s="158">
        <v>9.3764650726676044E-2</v>
      </c>
      <c r="V401" s="158">
        <v>9.50354609929078E-2</v>
      </c>
      <c r="W401" s="158">
        <v>9.6729617687701525E-2</v>
      </c>
      <c r="X401" s="158">
        <v>9.7740894421392346E-2</v>
      </c>
      <c r="Y401" s="158">
        <v>9.8478066248880933E-2</v>
      </c>
      <c r="Z401" s="158">
        <v>9.9736379613356768E-2</v>
      </c>
      <c r="AA401" s="158">
        <v>0.10075566750629723</v>
      </c>
      <c r="AB401" s="158">
        <v>0.10130718954248366</v>
      </c>
      <c r="AC401" s="158">
        <v>0.10225921521997622</v>
      </c>
      <c r="AD401" s="158">
        <v>0.10287907869481766</v>
      </c>
      <c r="AE401" s="158">
        <v>0.10343525858814646</v>
      </c>
      <c r="AF401" s="158">
        <v>0.10418168709444844</v>
      </c>
      <c r="AG401" s="158">
        <v>0.10474168435951875</v>
      </c>
      <c r="AH401" s="158">
        <v>0.10506756756756756</v>
      </c>
      <c r="AI401" s="158">
        <v>0.10548941798941799</v>
      </c>
      <c r="AJ401" s="158">
        <v>0.10602094240837696</v>
      </c>
      <c r="AK401" s="158">
        <v>0.1064891846921797</v>
      </c>
      <c r="AL401" s="158">
        <v>0.10679945054945054</v>
      </c>
      <c r="AM401" s="158">
        <v>0.107130554598691</v>
      </c>
      <c r="AN401" s="158">
        <v>0.10728744939271255</v>
      </c>
      <c r="AO401" s="158">
        <v>0.10740493662441628</v>
      </c>
      <c r="AP401" s="158">
        <v>0.10755148741418764</v>
      </c>
      <c r="AQ401" s="158">
        <v>0.10795825179386823</v>
      </c>
      <c r="AR401" s="158">
        <v>0.10794743429286609</v>
      </c>
      <c r="AS401" s="158">
        <v>0.10813397129186603</v>
      </c>
      <c r="AT401" s="158">
        <v>0.10831151832460734</v>
      </c>
      <c r="AU401" s="158">
        <v>0.10822656776803777</v>
      </c>
      <c r="AV401" s="158">
        <v>0.10843793584379359</v>
      </c>
      <c r="AW401" s="158">
        <v>0.10844250363901019</v>
      </c>
      <c r="AX401" s="158">
        <v>0.10866425992779784</v>
      </c>
      <c r="AY401" s="158">
        <v>0.10867979576951131</v>
      </c>
      <c r="AZ401" s="158">
        <v>0.10861159929701231</v>
      </c>
      <c r="BA401" s="158">
        <v>0.10866526904262754</v>
      </c>
      <c r="BB401" s="158">
        <v>0.10862068965517241</v>
      </c>
      <c r="BC401" s="158">
        <v>0.10858670230537922</v>
      </c>
      <c r="BD401" s="158">
        <v>0.10868146214099217</v>
      </c>
      <c r="BE401" s="158">
        <v>0.10866091403004155</v>
      </c>
      <c r="BF401" s="158">
        <v>0.10884353741496598</v>
      </c>
      <c r="BG401" s="158">
        <v>0.10874200426439233</v>
      </c>
      <c r="BH401" s="158">
        <v>0.1088495575221239</v>
      </c>
      <c r="BI401" s="158">
        <v>0.10878661087866109</v>
      </c>
      <c r="BJ401" s="158">
        <v>0.10871934604904632</v>
      </c>
      <c r="BK401" s="158">
        <v>0.10866752910737387</v>
      </c>
      <c r="BL401" s="158">
        <v>0.10878243512974052</v>
      </c>
      <c r="BM401" s="158">
        <v>0.10866818296689411</v>
      </c>
      <c r="BN401" s="158">
        <v>0.10869014441347859</v>
      </c>
      <c r="BO401" s="158">
        <v>0.10865609565895502</v>
      </c>
      <c r="BP401" s="158">
        <v>0.10880964866282118</v>
      </c>
      <c r="BQ401" s="158">
        <v>0.10866648779178964</v>
      </c>
    </row>
    <row r="402" spans="1:69" s="124" customFormat="1">
      <c r="A402" s="124">
        <f>$A$95</f>
        <v>78</v>
      </c>
      <c r="B402" s="114"/>
      <c r="C402" s="114"/>
      <c r="D402" s="114"/>
      <c r="E402" s="114"/>
      <c r="F402" s="114"/>
      <c r="G402" s="114"/>
      <c r="H402" s="114"/>
      <c r="I402" s="114"/>
      <c r="J402" s="114"/>
      <c r="K402" s="114"/>
      <c r="L402" s="114"/>
      <c r="M402" s="158">
        <v>7.098765432098765E-2</v>
      </c>
      <c r="N402" s="158">
        <v>7.355021216407355E-2</v>
      </c>
      <c r="O402" s="158">
        <v>7.5212557226945712E-2</v>
      </c>
      <c r="P402" s="158">
        <v>7.7415227127319255E-2</v>
      </c>
      <c r="Q402" s="158">
        <v>7.9320113314447591E-2</v>
      </c>
      <c r="R402" s="158">
        <v>8.0686149936467597E-2</v>
      </c>
      <c r="S402" s="158">
        <v>8.2338902147971363E-2</v>
      </c>
      <c r="T402" s="158">
        <v>8.390022675736962E-2</v>
      </c>
      <c r="U402" s="158">
        <v>8.5371702637889693E-2</v>
      </c>
      <c r="V402" s="158">
        <v>8.6520076481835559E-2</v>
      </c>
      <c r="W402" s="158">
        <v>8.7668593448940263E-2</v>
      </c>
      <c r="X402" s="158">
        <v>8.8607594936708861E-2</v>
      </c>
      <c r="Y402" s="158">
        <v>9.0056285178236398E-2</v>
      </c>
      <c r="Z402" s="158">
        <v>9.0619307832422585E-2</v>
      </c>
      <c r="AA402" s="158">
        <v>9.1599642537980336E-2</v>
      </c>
      <c r="AB402" s="158">
        <v>9.2576791808873723E-2</v>
      </c>
      <c r="AC402" s="158">
        <v>9.3360995850622408E-2</v>
      </c>
      <c r="AD402" s="158">
        <v>9.3762575452716296E-2</v>
      </c>
      <c r="AE402" s="158">
        <v>9.4699922057677313E-2</v>
      </c>
      <c r="AF402" s="158">
        <v>9.4982765224052093E-2</v>
      </c>
      <c r="AG402" s="158">
        <v>9.579524680073126E-2</v>
      </c>
      <c r="AH402" s="158">
        <v>9.6126255380200865E-2</v>
      </c>
      <c r="AI402" s="158">
        <v>9.6542280041081827E-2</v>
      </c>
      <c r="AJ402" s="158">
        <v>9.6817420435510892E-2</v>
      </c>
      <c r="AK402" s="158">
        <v>9.7447795823665889E-2</v>
      </c>
      <c r="AL402" s="158">
        <v>9.7708894878706196E-2</v>
      </c>
      <c r="AM402" s="158">
        <v>9.8018769551616272E-2</v>
      </c>
      <c r="AN402" s="158">
        <v>9.8292087835482753E-2</v>
      </c>
      <c r="AO402" s="158">
        <v>9.8259979529170927E-2</v>
      </c>
      <c r="AP402" s="158">
        <v>9.84822934232715E-2</v>
      </c>
      <c r="AQ402" s="158">
        <v>9.8810310641110372E-2</v>
      </c>
      <c r="AR402" s="158">
        <v>9.8879367172050092E-2</v>
      </c>
      <c r="AS402" s="158">
        <v>9.89566866898514E-2</v>
      </c>
      <c r="AT402" s="158">
        <v>9.9226804123711335E-2</v>
      </c>
      <c r="AU402" s="158">
        <v>9.9140779907468599E-2</v>
      </c>
      <c r="AV402" s="158">
        <v>9.9387338325391428E-2</v>
      </c>
      <c r="AW402" s="158">
        <v>9.9260823653643082E-2</v>
      </c>
      <c r="AX402" s="158">
        <v>9.9522585383767903E-2</v>
      </c>
      <c r="AY402" s="158">
        <v>9.9417334304442828E-2</v>
      </c>
      <c r="AZ402" s="158">
        <v>9.930121368150055E-2</v>
      </c>
      <c r="BA402" s="158">
        <v>9.961006735200284E-2</v>
      </c>
      <c r="BB402" s="158">
        <v>9.9682986967241982E-2</v>
      </c>
      <c r="BC402" s="158">
        <v>9.9409106708376785E-2</v>
      </c>
      <c r="BD402" s="158">
        <v>9.9629754291484351E-2</v>
      </c>
      <c r="BE402" s="158">
        <v>9.9638276882604404E-2</v>
      </c>
      <c r="BF402" s="158">
        <v>9.9484867997424342E-2</v>
      </c>
      <c r="BG402" s="158">
        <v>9.9657427592650269E-2</v>
      </c>
      <c r="BH402" s="158">
        <v>9.9662680159460282E-2</v>
      </c>
      <c r="BI402" s="158">
        <v>9.9495099495099493E-2</v>
      </c>
      <c r="BJ402" s="158">
        <v>9.9663110612015715E-2</v>
      </c>
      <c r="BK402" s="158">
        <v>9.9533863449410481E-2</v>
      </c>
      <c r="BL402" s="158">
        <v>9.94532673782869E-2</v>
      </c>
      <c r="BM402" s="158">
        <v>9.9673612854632193E-2</v>
      </c>
      <c r="BN402" s="158">
        <v>9.9644128113879002E-2</v>
      </c>
      <c r="BO402" s="158">
        <v>9.9643221202854224E-2</v>
      </c>
      <c r="BP402" s="158">
        <v>9.9607843137254903E-2</v>
      </c>
      <c r="BQ402" s="158">
        <v>9.9657263379910363E-2</v>
      </c>
    </row>
    <row r="403" spans="1:69" s="124" customFormat="1">
      <c r="A403" s="124">
        <f>$A$96</f>
        <v>79</v>
      </c>
      <c r="B403" s="114"/>
      <c r="C403" s="114"/>
      <c r="D403" s="114"/>
      <c r="E403" s="114"/>
      <c r="F403" s="114"/>
      <c r="G403" s="114"/>
      <c r="H403" s="114"/>
      <c r="I403" s="114"/>
      <c r="J403" s="114"/>
      <c r="K403" s="114"/>
      <c r="L403" s="114"/>
      <c r="M403" s="158">
        <v>6.3386155129274396E-2</v>
      </c>
      <c r="N403" s="158">
        <v>6.5716547901821062E-2</v>
      </c>
      <c r="O403" s="158">
        <v>6.7489114658925986E-2</v>
      </c>
      <c r="P403" s="158">
        <v>6.9081153588195846E-2</v>
      </c>
      <c r="Q403" s="158">
        <v>7.0773263433813891E-2</v>
      </c>
      <c r="R403" s="158">
        <v>7.2516316171138503E-2</v>
      </c>
      <c r="S403" s="158">
        <v>7.4122236671001304E-2</v>
      </c>
      <c r="T403" s="158">
        <v>7.5091575091575088E-2</v>
      </c>
      <c r="U403" s="158">
        <v>7.6521739130434779E-2</v>
      </c>
      <c r="V403" s="158">
        <v>7.7413032827045564E-2</v>
      </c>
      <c r="W403" s="158">
        <v>7.8574914592484141E-2</v>
      </c>
      <c r="X403" s="158">
        <v>7.9646017699115043E-2</v>
      </c>
      <c r="Y403" s="158">
        <v>8.0861244019138759E-2</v>
      </c>
      <c r="Z403" s="158">
        <v>8.1818181818181818E-2</v>
      </c>
      <c r="AA403" s="158">
        <v>8.2636954503249774E-2</v>
      </c>
      <c r="AB403" s="158">
        <v>8.3295402822030046E-2</v>
      </c>
      <c r="AC403" s="158">
        <v>8.3876575401999137E-2</v>
      </c>
      <c r="AD403" s="158">
        <v>8.4495141529362064E-2</v>
      </c>
      <c r="AE403" s="158">
        <v>8.5176085176085173E-2</v>
      </c>
      <c r="AF403" s="158">
        <v>8.5612366230677764E-2</v>
      </c>
      <c r="AG403" s="158">
        <v>8.6059190031152644E-2</v>
      </c>
      <c r="AH403" s="158">
        <v>8.6584912671869199E-2</v>
      </c>
      <c r="AI403" s="158">
        <v>8.7099125364431484E-2</v>
      </c>
      <c r="AJ403" s="158">
        <v>8.7243656586722285E-2</v>
      </c>
      <c r="AK403" s="158">
        <v>8.7725263515810947E-2</v>
      </c>
      <c r="AL403" s="158">
        <v>8.7760591795561532E-2</v>
      </c>
      <c r="AM403" s="158">
        <v>8.8174982911825017E-2</v>
      </c>
      <c r="AN403" s="158">
        <v>8.8442565186751226E-2</v>
      </c>
      <c r="AO403" s="158">
        <v>8.8661250441540093E-2</v>
      </c>
      <c r="AP403" s="158">
        <v>8.8835119253370204E-2</v>
      </c>
      <c r="AQ403" s="158">
        <v>8.8828151691151352E-2</v>
      </c>
      <c r="AR403" s="158">
        <v>8.899297423887588E-2</v>
      </c>
      <c r="AS403" s="158">
        <v>8.9059372915276852E-2</v>
      </c>
      <c r="AT403" s="158">
        <v>8.9251439539347402E-2</v>
      </c>
      <c r="AU403" s="158">
        <v>8.9279895731508629E-2</v>
      </c>
      <c r="AV403" s="158">
        <v>8.9572192513368981E-2</v>
      </c>
      <c r="AW403" s="158">
        <v>8.9470061940812112E-2</v>
      </c>
      <c r="AX403" s="158">
        <v>8.9647812166488788E-2</v>
      </c>
      <c r="AY403" s="158">
        <v>8.9424860853432278E-2</v>
      </c>
      <c r="AZ403" s="158">
        <v>8.9403973509933773E-2</v>
      </c>
      <c r="BA403" s="158">
        <v>8.9524517087667163E-2</v>
      </c>
      <c r="BB403" s="158">
        <v>8.9477451682176093E-2</v>
      </c>
      <c r="BC403" s="158">
        <v>8.9584073942410233E-2</v>
      </c>
      <c r="BD403" s="158">
        <v>8.9793055068397049E-2</v>
      </c>
      <c r="BE403" s="158">
        <v>8.9673913043478257E-2</v>
      </c>
      <c r="BF403" s="158">
        <v>8.9552238805970144E-2</v>
      </c>
      <c r="BG403" s="158">
        <v>8.9610389610389612E-2</v>
      </c>
      <c r="BH403" s="158">
        <v>8.9795918367346933E-2</v>
      </c>
      <c r="BI403" s="158">
        <v>8.964451313755796E-2</v>
      </c>
      <c r="BJ403" s="158">
        <v>8.979347500748279E-2</v>
      </c>
      <c r="BK403" s="158">
        <v>8.9674681753889679E-2</v>
      </c>
      <c r="BL403" s="158">
        <v>8.9779005524861885E-2</v>
      </c>
      <c r="BM403" s="158">
        <v>8.9693154996066088E-2</v>
      </c>
      <c r="BN403" s="158">
        <v>8.9759797724399501E-2</v>
      </c>
      <c r="BO403" s="158">
        <v>8.9582800102380344E-2</v>
      </c>
      <c r="BP403" s="158">
        <v>8.9533093894304777E-2</v>
      </c>
      <c r="BQ403" s="158">
        <v>8.9736842105263157E-2</v>
      </c>
    </row>
    <row r="404" spans="1:69" s="124" customFormat="1">
      <c r="A404" s="124" t="s">
        <v>1017</v>
      </c>
      <c r="B404" s="114"/>
      <c r="C404" s="114"/>
      <c r="D404" s="114"/>
      <c r="E404" s="114"/>
      <c r="F404" s="114"/>
      <c r="G404" s="114"/>
      <c r="H404" s="114"/>
      <c r="I404" s="114"/>
      <c r="J404" s="114"/>
      <c r="K404" s="114"/>
      <c r="L404" s="114"/>
      <c r="M404" s="158">
        <v>3.9848575413428969E-2</v>
      </c>
      <c r="N404" s="158">
        <v>4.1751626371492379E-2</v>
      </c>
      <c r="O404" s="158">
        <v>4.335123927999246E-2</v>
      </c>
      <c r="P404" s="158">
        <v>4.4472681067344345E-2</v>
      </c>
      <c r="Q404" s="158">
        <v>4.6030918881361821E-2</v>
      </c>
      <c r="R404" s="158">
        <v>4.7401247401247404E-2</v>
      </c>
      <c r="S404" s="158">
        <v>4.7688328483672812E-2</v>
      </c>
      <c r="T404" s="158">
        <v>4.9015793978059594E-2</v>
      </c>
      <c r="U404" s="158">
        <v>4.9977621960316278E-2</v>
      </c>
      <c r="V404" s="158">
        <v>5.1347881899871634E-2</v>
      </c>
      <c r="W404" s="158">
        <v>5.2310374891020049E-2</v>
      </c>
      <c r="X404" s="158">
        <v>5.3279208423189138E-2</v>
      </c>
      <c r="Y404" s="158">
        <v>5.3721253093499122E-2</v>
      </c>
      <c r="Z404" s="158">
        <v>5.4085155350978138E-2</v>
      </c>
      <c r="AA404" s="158">
        <v>5.4569507220813579E-2</v>
      </c>
      <c r="AB404" s="158">
        <v>5.4968287526427059E-2</v>
      </c>
      <c r="AC404" s="158">
        <v>5.5366485498044397E-2</v>
      </c>
      <c r="AD404" s="158">
        <v>5.5593484833707206E-2</v>
      </c>
      <c r="AE404" s="158">
        <v>5.6248242242429927E-2</v>
      </c>
      <c r="AF404" s="158">
        <v>5.636470216891374E-2</v>
      </c>
      <c r="AG404" s="158">
        <v>5.6852703758354307E-2</v>
      </c>
      <c r="AH404" s="158">
        <v>5.6922819353758577E-2</v>
      </c>
      <c r="AI404" s="158">
        <v>5.7248830833736497E-2</v>
      </c>
      <c r="AJ404" s="158">
        <v>5.7580827140800685E-2</v>
      </c>
      <c r="AK404" s="158">
        <v>5.7736287631687477E-2</v>
      </c>
      <c r="AL404" s="158">
        <v>5.7870370370370371E-2</v>
      </c>
      <c r="AM404" s="158">
        <v>5.8052107011715336E-2</v>
      </c>
      <c r="AN404" s="158">
        <v>5.8098053205585566E-2</v>
      </c>
      <c r="AO404" s="158">
        <v>5.7761253485592884E-2</v>
      </c>
      <c r="AP404" s="158">
        <v>5.7878649931716201E-2</v>
      </c>
      <c r="AQ404" s="158">
        <v>5.7972861056252788E-2</v>
      </c>
      <c r="AR404" s="158">
        <v>5.7787218092084716E-2</v>
      </c>
      <c r="AS404" s="158">
        <v>5.7902637786832509E-2</v>
      </c>
      <c r="AT404" s="158">
        <v>5.7782592993860599E-2</v>
      </c>
      <c r="AU404" s="158">
        <v>5.7829050246363554E-2</v>
      </c>
      <c r="AV404" s="158">
        <v>5.7759846747743301E-2</v>
      </c>
      <c r="AW404" s="158">
        <v>5.7607979135020491E-2</v>
      </c>
      <c r="AX404" s="158">
        <v>5.7665539868761183E-2</v>
      </c>
      <c r="AY404" s="158">
        <v>5.7364078218605175E-2</v>
      </c>
      <c r="AZ404" s="158">
        <v>5.7294459653975331E-2</v>
      </c>
      <c r="BA404" s="158">
        <v>5.7231463208345081E-2</v>
      </c>
      <c r="BB404" s="158">
        <v>5.6960776020077264E-2</v>
      </c>
      <c r="BC404" s="158">
        <v>5.7113918352418198E-2</v>
      </c>
      <c r="BD404" s="158">
        <v>5.6976058828482418E-2</v>
      </c>
      <c r="BE404" s="158">
        <v>5.7078903189703413E-2</v>
      </c>
      <c r="BF404" s="158">
        <v>5.7034749464429789E-2</v>
      </c>
      <c r="BG404" s="158">
        <v>5.7174423422179259E-2</v>
      </c>
      <c r="BH404" s="158">
        <v>5.7211683227943393E-2</v>
      </c>
      <c r="BI404" s="158">
        <v>5.7354651949246542E-2</v>
      </c>
      <c r="BJ404" s="158">
        <v>5.7419079158209596E-2</v>
      </c>
      <c r="BK404" s="158">
        <v>5.7586116224033659E-2</v>
      </c>
      <c r="BL404" s="158">
        <v>5.7723032520744212E-2</v>
      </c>
      <c r="BM404" s="158">
        <v>5.7729151961278612E-2</v>
      </c>
      <c r="BN404" s="158">
        <v>5.7969590528358428E-2</v>
      </c>
      <c r="BO404" s="158">
        <v>5.8018766563999714E-2</v>
      </c>
      <c r="BP404" s="158">
        <v>5.7924488798939217E-2</v>
      </c>
      <c r="BQ404" s="158">
        <v>5.7880878881423646E-2</v>
      </c>
    </row>
    <row r="405" spans="1:69" s="124" customFormat="1">
      <c r="A405" s="108" t="str">
        <f>$A$108</f>
        <v>Female total</v>
      </c>
      <c r="B405" s="114"/>
      <c r="C405" s="114"/>
      <c r="D405" s="114"/>
      <c r="E405" s="114"/>
      <c r="F405" s="114"/>
      <c r="G405" s="114"/>
      <c r="H405" s="114"/>
      <c r="I405" s="114"/>
      <c r="J405" s="114"/>
      <c r="K405" s="114"/>
      <c r="L405" s="114"/>
      <c r="M405" s="159">
        <v>0.63167314819979004</v>
      </c>
      <c r="N405" s="159">
        <v>0.63285799760670125</v>
      </c>
      <c r="O405" s="159">
        <v>0.63337099071663638</v>
      </c>
      <c r="P405" s="159">
        <v>0.6334689365250995</v>
      </c>
      <c r="Q405" s="159">
        <v>0.63294488732509147</v>
      </c>
      <c r="R405" s="159">
        <v>0.63174827630386399</v>
      </c>
      <c r="S405" s="159">
        <v>0.63013518526344459</v>
      </c>
      <c r="T405" s="159">
        <v>0.62861219955470649</v>
      </c>
      <c r="U405" s="159">
        <v>0.62679185911708957</v>
      </c>
      <c r="V405" s="159">
        <v>0.62505465874722155</v>
      </c>
      <c r="W405" s="159">
        <v>0.62334796792722713</v>
      </c>
      <c r="X405" s="159">
        <v>0.6216993323763913</v>
      </c>
      <c r="Y405" s="159">
        <v>0.62013737079917175</v>
      </c>
      <c r="Z405" s="159">
        <v>0.61854912844783227</v>
      </c>
      <c r="AA405" s="159">
        <v>0.61691904865808422</v>
      </c>
      <c r="AB405" s="159">
        <v>0.61519942150227547</v>
      </c>
      <c r="AC405" s="159">
        <v>0.61339107719804775</v>
      </c>
      <c r="AD405" s="159">
        <v>0.61151493189521033</v>
      </c>
      <c r="AE405" s="159">
        <v>0.60973896856623089</v>
      </c>
      <c r="AF405" s="159">
        <v>0.60794662501469576</v>
      </c>
      <c r="AG405" s="159">
        <v>0.60630196936542669</v>
      </c>
      <c r="AH405" s="159">
        <v>0.60470592130037704</v>
      </c>
      <c r="AI405" s="159">
        <v>0.60334127897419032</v>
      </c>
      <c r="AJ405" s="159">
        <v>0.60210896739796038</v>
      </c>
      <c r="AK405" s="159">
        <v>0.60106117581200635</v>
      </c>
      <c r="AL405" s="159">
        <v>0.60010805057411942</v>
      </c>
      <c r="AM405" s="159">
        <v>0.59933383302536802</v>
      </c>
      <c r="AN405" s="159">
        <v>0.59867899182441831</v>
      </c>
      <c r="AO405" s="159">
        <v>0.59811075331926844</v>
      </c>
      <c r="AP405" s="159">
        <v>0.59761574037535714</v>
      </c>
      <c r="AQ405" s="159">
        <v>0.59716864772289824</v>
      </c>
      <c r="AR405" s="159">
        <v>0.59661775288633023</v>
      </c>
      <c r="AS405" s="159">
        <v>0.59607766763394165</v>
      </c>
      <c r="AT405" s="159">
        <v>0.59536502467641306</v>
      </c>
      <c r="AU405" s="159">
        <v>0.59458080278962244</v>
      </c>
      <c r="AV405" s="159">
        <v>0.59361829990831549</v>
      </c>
      <c r="AW405" s="159">
        <v>0.59246531950593018</v>
      </c>
      <c r="AX405" s="159">
        <v>0.59118168214713529</v>
      </c>
      <c r="AY405" s="159">
        <v>0.58969223197628506</v>
      </c>
      <c r="AZ405" s="159">
        <v>0.58808181769775525</v>
      </c>
      <c r="BA405" s="159">
        <v>0.58633202642136162</v>
      </c>
      <c r="BB405" s="159">
        <v>0.58447818295919374</v>
      </c>
      <c r="BC405" s="159">
        <v>0.58261216982269937</v>
      </c>
      <c r="BD405" s="159">
        <v>0.5807096526895702</v>
      </c>
      <c r="BE405" s="159">
        <v>0.57885724990633192</v>
      </c>
      <c r="BF405" s="159">
        <v>0.57705971347989315</v>
      </c>
      <c r="BG405" s="159">
        <v>0.5753907806674835</v>
      </c>
      <c r="BH405" s="159">
        <v>0.57383045007110689</v>
      </c>
      <c r="BI405" s="159">
        <v>0.5723688350725743</v>
      </c>
      <c r="BJ405" s="159">
        <v>0.57102790632449862</v>
      </c>
      <c r="BK405" s="159">
        <v>0.56978938655384903</v>
      </c>
      <c r="BL405" s="159">
        <v>0.56861637757160144</v>
      </c>
      <c r="BM405" s="159">
        <v>0.5674706458641009</v>
      </c>
      <c r="BN405" s="159">
        <v>0.56645701083748146</v>
      </c>
      <c r="BO405" s="159">
        <v>0.56537737836640101</v>
      </c>
      <c r="BP405" s="159">
        <v>0.56433617839515338</v>
      </c>
      <c r="BQ405" s="159">
        <v>0.56330980703622813</v>
      </c>
    </row>
    <row r="406" spans="1:69" s="124" customFormat="1">
      <c r="A406" s="108" t="s">
        <v>1046</v>
      </c>
      <c r="B406" s="114"/>
      <c r="C406" s="114"/>
      <c r="D406" s="114"/>
      <c r="E406" s="114"/>
      <c r="F406" s="114"/>
      <c r="G406" s="114"/>
      <c r="H406" s="114"/>
      <c r="I406" s="114"/>
      <c r="J406" s="114"/>
      <c r="K406" s="114"/>
      <c r="L406" s="114"/>
      <c r="M406" s="153"/>
      <c r="N406" s="153"/>
      <c r="O406" s="153"/>
      <c r="P406" s="153"/>
      <c r="Q406" s="153"/>
      <c r="R406" s="153"/>
      <c r="S406" s="153"/>
      <c r="T406" s="153"/>
      <c r="U406" s="153"/>
      <c r="V406" s="153"/>
      <c r="W406" s="153"/>
      <c r="X406" s="153"/>
      <c r="Y406" s="153"/>
      <c r="Z406" s="153"/>
      <c r="AA406" s="153"/>
      <c r="AB406" s="153"/>
      <c r="AC406" s="153"/>
      <c r="AD406" s="153"/>
      <c r="AE406" s="153"/>
      <c r="AF406" s="153"/>
      <c r="AG406" s="153"/>
      <c r="AH406" s="153"/>
      <c r="AI406" s="153"/>
      <c r="AJ406" s="153"/>
      <c r="AK406" s="153"/>
      <c r="AL406" s="153"/>
      <c r="AM406" s="153"/>
      <c r="AN406" s="153"/>
      <c r="AO406" s="153"/>
      <c r="AP406" s="153"/>
      <c r="AQ406" s="153"/>
      <c r="AR406" s="153"/>
      <c r="AS406" s="153"/>
      <c r="AT406" s="153"/>
      <c r="AU406" s="153"/>
      <c r="AV406" s="153"/>
      <c r="AW406" s="153"/>
      <c r="AX406" s="153"/>
      <c r="AY406" s="153"/>
      <c r="AZ406" s="153"/>
      <c r="BA406" s="153"/>
      <c r="BB406" s="153"/>
      <c r="BC406" s="153"/>
      <c r="BD406" s="153"/>
      <c r="BE406" s="153"/>
      <c r="BF406" s="153"/>
      <c r="BG406" s="153"/>
      <c r="BH406" s="153"/>
      <c r="BI406" s="153"/>
      <c r="BJ406" s="153"/>
      <c r="BK406" s="153"/>
      <c r="BL406" s="153"/>
      <c r="BM406" s="200"/>
      <c r="BN406" s="200"/>
      <c r="BO406" s="200"/>
      <c r="BP406" s="200"/>
      <c r="BQ406" s="200"/>
    </row>
    <row r="407" spans="1:69" s="124" customFormat="1">
      <c r="A407" s="124">
        <f>$A$32</f>
        <v>15</v>
      </c>
      <c r="B407" s="114"/>
      <c r="C407" s="114"/>
      <c r="D407" s="114"/>
      <c r="E407" s="114"/>
      <c r="F407" s="114"/>
      <c r="G407" s="114"/>
      <c r="H407" s="114"/>
      <c r="I407" s="114"/>
      <c r="J407" s="114"/>
      <c r="K407" s="114"/>
      <c r="L407" s="114"/>
      <c r="M407" s="158">
        <v>0.181517058628685</v>
      </c>
      <c r="N407" s="158">
        <v>0.17949557811988209</v>
      </c>
      <c r="O407" s="158">
        <v>0.17735728030788966</v>
      </c>
      <c r="P407" s="158">
        <v>0.17525773195876287</v>
      </c>
      <c r="Q407" s="158">
        <v>0.17362428842504743</v>
      </c>
      <c r="R407" s="158">
        <v>0.172020414290003</v>
      </c>
      <c r="S407" s="158">
        <v>0.17037250938492637</v>
      </c>
      <c r="T407" s="158">
        <v>0.16880891173950299</v>
      </c>
      <c r="U407" s="158">
        <v>0.16737709576584256</v>
      </c>
      <c r="V407" s="158">
        <v>0.16599073001158748</v>
      </c>
      <c r="W407" s="158">
        <v>0.16480611045828436</v>
      </c>
      <c r="X407" s="158">
        <v>0.16365253483545805</v>
      </c>
      <c r="Y407" s="158">
        <v>0.16262870987280437</v>
      </c>
      <c r="Z407" s="158">
        <v>0.16185848770118433</v>
      </c>
      <c r="AA407" s="158">
        <v>0.16096518020769701</v>
      </c>
      <c r="AB407" s="158">
        <v>0.16003616636528029</v>
      </c>
      <c r="AC407" s="158">
        <v>0.1591715976331361</v>
      </c>
      <c r="AD407" s="158">
        <v>0.15866084425036389</v>
      </c>
      <c r="AE407" s="158">
        <v>0.15795519816197587</v>
      </c>
      <c r="AF407" s="158">
        <v>0.15743108837737993</v>
      </c>
      <c r="AG407" s="158">
        <v>0.15688487584650113</v>
      </c>
      <c r="AH407" s="158">
        <v>0.15622365833099186</v>
      </c>
      <c r="AI407" s="158">
        <v>0.15591699383062255</v>
      </c>
      <c r="AJ407" s="158">
        <v>0.15535614133482895</v>
      </c>
      <c r="AK407" s="158">
        <v>0.15505617977528091</v>
      </c>
      <c r="AL407" s="158">
        <v>0.15469146238377007</v>
      </c>
      <c r="AM407" s="158">
        <v>0.15458663646659115</v>
      </c>
      <c r="AN407" s="158">
        <v>0.15432801822323464</v>
      </c>
      <c r="AO407" s="158">
        <v>0.15391229578675839</v>
      </c>
      <c r="AP407" s="158">
        <v>0.15386836027713627</v>
      </c>
      <c r="AQ407" s="158">
        <v>0.15377906976744185</v>
      </c>
      <c r="AR407" s="158">
        <v>0.15359859566998244</v>
      </c>
      <c r="AS407" s="158">
        <v>0.15328037658134747</v>
      </c>
      <c r="AT407" s="158">
        <v>0.15336879432624115</v>
      </c>
      <c r="AU407" s="158">
        <v>0.15318518518518517</v>
      </c>
      <c r="AV407" s="158">
        <v>0.15307030554731535</v>
      </c>
      <c r="AW407" s="158">
        <v>0.15307030554731535</v>
      </c>
      <c r="AX407" s="158">
        <v>0.15284360189573459</v>
      </c>
      <c r="AY407" s="158">
        <v>0.15277777777777779</v>
      </c>
      <c r="AZ407" s="158">
        <v>0.15296198054818744</v>
      </c>
      <c r="BA407" s="158">
        <v>0.15280634734058185</v>
      </c>
      <c r="BB407" s="158">
        <v>0.15289982425307558</v>
      </c>
      <c r="BC407" s="158">
        <v>0.15274532710280375</v>
      </c>
      <c r="BD407" s="158">
        <v>0.15288293535235878</v>
      </c>
      <c r="BE407" s="158">
        <v>0.15277374382805692</v>
      </c>
      <c r="BF407" s="158">
        <v>0.15270935960591134</v>
      </c>
      <c r="BG407" s="158">
        <v>0.15289017341040462</v>
      </c>
      <c r="BH407" s="158">
        <v>0.15282583621683968</v>
      </c>
      <c r="BI407" s="158">
        <v>0.15276179516685845</v>
      </c>
      <c r="BJ407" s="158">
        <v>0.15269804822043628</v>
      </c>
      <c r="BK407" s="158">
        <v>0.15292096219931273</v>
      </c>
      <c r="BL407" s="158">
        <v>0.15290082880823092</v>
      </c>
      <c r="BM407" s="158">
        <v>0.15288077581289219</v>
      </c>
      <c r="BN407" s="158">
        <v>0.15266305895756194</v>
      </c>
      <c r="BO407" s="158">
        <v>0.15277382645803697</v>
      </c>
      <c r="BP407" s="158">
        <v>0.15268694910435029</v>
      </c>
      <c r="BQ407" s="158">
        <v>0.15268694910435029</v>
      </c>
    </row>
    <row r="408" spans="1:69" s="124" customFormat="1">
      <c r="A408" s="124">
        <f>$A$33</f>
        <v>16</v>
      </c>
      <c r="B408" s="114"/>
      <c r="C408" s="114"/>
      <c r="D408" s="114"/>
      <c r="E408" s="114"/>
      <c r="F408" s="114"/>
      <c r="G408" s="114"/>
      <c r="H408" s="114"/>
      <c r="I408" s="114"/>
      <c r="J408" s="114"/>
      <c r="K408" s="114"/>
      <c r="L408" s="114"/>
      <c r="M408" s="158">
        <v>0.35638297872340424</v>
      </c>
      <c r="N408" s="158">
        <v>0.35945151811949072</v>
      </c>
      <c r="O408" s="158">
        <v>0.36231415643180348</v>
      </c>
      <c r="P408" s="158">
        <v>0.36513470681458005</v>
      </c>
      <c r="Q408" s="158">
        <v>0.36775015933715743</v>
      </c>
      <c r="R408" s="158">
        <v>0.37018477920450987</v>
      </c>
      <c r="S408" s="158">
        <v>0.3725081820886641</v>
      </c>
      <c r="T408" s="158">
        <v>0.37446321213856282</v>
      </c>
      <c r="U408" s="158">
        <v>0.37666383460775982</v>
      </c>
      <c r="V408" s="158">
        <v>0.3783098591549296</v>
      </c>
      <c r="W408" s="158">
        <v>0.38024124066628373</v>
      </c>
      <c r="X408" s="158">
        <v>0.38165938864628823</v>
      </c>
      <c r="Y408" s="158">
        <v>0.38319130179253602</v>
      </c>
      <c r="Z408" s="158">
        <v>0.38475390156062422</v>
      </c>
      <c r="AA408" s="158">
        <v>0.38598074608904936</v>
      </c>
      <c r="AB408" s="158">
        <v>0.38698940998487141</v>
      </c>
      <c r="AC408" s="158">
        <v>0.38817557479844728</v>
      </c>
      <c r="AD408" s="158">
        <v>0.38903547346819117</v>
      </c>
      <c r="AE408" s="158">
        <v>0.39007501442585113</v>
      </c>
      <c r="AF408" s="158">
        <v>0.39083404497580415</v>
      </c>
      <c r="AG408" s="158">
        <v>0.39154929577464787</v>
      </c>
      <c r="AH408" s="158">
        <v>0.39244755244755247</v>
      </c>
      <c r="AI408" s="158">
        <v>0.39314572304263024</v>
      </c>
      <c r="AJ408" s="158">
        <v>0.39366138448707255</v>
      </c>
      <c r="AK408" s="158">
        <v>0.39421740339171529</v>
      </c>
      <c r="AL408" s="158">
        <v>0.39459760512392089</v>
      </c>
      <c r="AM408" s="158">
        <v>0.39508242525845211</v>
      </c>
      <c r="AN408" s="158">
        <v>0.39517260735335391</v>
      </c>
      <c r="AO408" s="158">
        <v>0.39570985040925771</v>
      </c>
      <c r="AP408" s="158">
        <v>0.39573863636363638</v>
      </c>
      <c r="AQ408" s="158">
        <v>0.39628040057224606</v>
      </c>
      <c r="AR408" s="158">
        <v>0.39642754249495821</v>
      </c>
      <c r="AS408" s="158">
        <v>0.39663670629167874</v>
      </c>
      <c r="AT408" s="158">
        <v>0.39679300291545189</v>
      </c>
      <c r="AU408" s="158">
        <v>0.39677891654465591</v>
      </c>
      <c r="AV408" s="158">
        <v>0.39694656488549618</v>
      </c>
      <c r="AW408" s="158">
        <v>0.39711934156378603</v>
      </c>
      <c r="AX408" s="158">
        <v>0.39711934156378603</v>
      </c>
      <c r="AY408" s="158">
        <v>0.39712356912239505</v>
      </c>
      <c r="AZ408" s="158">
        <v>0.39707174231332359</v>
      </c>
      <c r="BA408" s="158">
        <v>0.39719626168224298</v>
      </c>
      <c r="BB408" s="158">
        <v>0.39720442632498543</v>
      </c>
      <c r="BC408" s="158">
        <v>0.39738751814223511</v>
      </c>
      <c r="BD408" s="158">
        <v>0.39739507959479015</v>
      </c>
      <c r="BE408" s="158">
        <v>0.39740259740259742</v>
      </c>
      <c r="BF408" s="158">
        <v>0.39723661485319517</v>
      </c>
      <c r="BG408" s="158">
        <v>0.3973585989089865</v>
      </c>
      <c r="BH408" s="158">
        <v>0.39730736178745346</v>
      </c>
      <c r="BI408" s="158">
        <v>0.39725635895970279</v>
      </c>
      <c r="BJ408" s="158">
        <v>0.39749073282007413</v>
      </c>
      <c r="BK408" s="158">
        <v>0.39743954480796584</v>
      </c>
      <c r="BL408" s="158">
        <v>0.39738858927050807</v>
      </c>
      <c r="BM408" s="158">
        <v>0.39745042492917848</v>
      </c>
      <c r="BN408" s="158">
        <v>0.39722929035906135</v>
      </c>
      <c r="BO408" s="158">
        <v>0.39723320158102765</v>
      </c>
      <c r="BP408" s="158">
        <v>0.39734912577552173</v>
      </c>
      <c r="BQ408" s="158">
        <v>0.39740698985343853</v>
      </c>
    </row>
    <row r="409" spans="1:69" s="124" customFormat="1">
      <c r="A409" s="124">
        <f>$A$34</f>
        <v>17</v>
      </c>
      <c r="B409" s="114"/>
      <c r="C409" s="114"/>
      <c r="D409" s="114"/>
      <c r="E409" s="114"/>
      <c r="F409" s="114"/>
      <c r="G409" s="114"/>
      <c r="H409" s="114"/>
      <c r="I409" s="114"/>
      <c r="J409" s="114"/>
      <c r="K409" s="114"/>
      <c r="L409" s="114"/>
      <c r="M409" s="158">
        <v>0.46429647484181985</v>
      </c>
      <c r="N409" s="158">
        <v>0.46621413144091328</v>
      </c>
      <c r="O409" s="158">
        <v>0.46827697262479873</v>
      </c>
      <c r="P409" s="158">
        <v>0.46998722860791825</v>
      </c>
      <c r="Q409" s="158">
        <v>0.47193477579178428</v>
      </c>
      <c r="R409" s="158">
        <v>0.47348484848484851</v>
      </c>
      <c r="S409" s="158">
        <v>0.47502327024511326</v>
      </c>
      <c r="T409" s="158">
        <v>0.47612028301886794</v>
      </c>
      <c r="U409" s="158">
        <v>0.47758229284903519</v>
      </c>
      <c r="V409" s="158">
        <v>0.47866367209432903</v>
      </c>
      <c r="W409" s="158">
        <v>0.4798882681564246</v>
      </c>
      <c r="X409" s="158">
        <v>0.4810703102761173</v>
      </c>
      <c r="Y409" s="158">
        <v>0.48196248196248198</v>
      </c>
      <c r="Z409" s="158">
        <v>0.48281887012230634</v>
      </c>
      <c r="AA409" s="158">
        <v>0.48379423134106453</v>
      </c>
      <c r="AB409" s="158">
        <v>0.48449612403100772</v>
      </c>
      <c r="AC409" s="158">
        <v>0.48531175059952036</v>
      </c>
      <c r="AD409" s="158">
        <v>0.48579881656804735</v>
      </c>
      <c r="AE409" s="158">
        <v>0.48648648648648651</v>
      </c>
      <c r="AF409" s="158">
        <v>0.48712814645308927</v>
      </c>
      <c r="AG409" s="158">
        <v>0.48758465011286684</v>
      </c>
      <c r="AH409" s="158">
        <v>0.48813180675788886</v>
      </c>
      <c r="AI409" s="158">
        <v>0.4884882108183079</v>
      </c>
      <c r="AJ409" s="158">
        <v>0.4889502762430939</v>
      </c>
      <c r="AK409" s="158">
        <v>0.48925027563395812</v>
      </c>
      <c r="AL409" s="158">
        <v>0.48952590959206171</v>
      </c>
      <c r="AM409" s="158">
        <v>0.48978464936499172</v>
      </c>
      <c r="AN409" s="158">
        <v>0.49002770083102493</v>
      </c>
      <c r="AO409" s="158">
        <v>0.49026154702281582</v>
      </c>
      <c r="AP409" s="158">
        <v>0.49034424853064651</v>
      </c>
      <c r="AQ409" s="158">
        <v>0.49070422535211267</v>
      </c>
      <c r="AR409" s="158">
        <v>0.49064095292115711</v>
      </c>
      <c r="AS409" s="158">
        <v>0.490862364363221</v>
      </c>
      <c r="AT409" s="158">
        <v>0.49080459770114943</v>
      </c>
      <c r="AU409" s="158">
        <v>0.49089858422421268</v>
      </c>
      <c r="AV409" s="158">
        <v>0.4910040626813697</v>
      </c>
      <c r="AW409" s="158">
        <v>0.49112598196101254</v>
      </c>
      <c r="AX409" s="158">
        <v>0.49111564229536847</v>
      </c>
      <c r="AY409" s="158">
        <v>0.49140693271191377</v>
      </c>
      <c r="AZ409" s="158">
        <v>0.49127399650959858</v>
      </c>
      <c r="BA409" s="158">
        <v>0.49129425420777711</v>
      </c>
      <c r="BB409" s="158">
        <v>0.49146164978292328</v>
      </c>
      <c r="BC409" s="158">
        <v>0.49148629148629147</v>
      </c>
      <c r="BD409" s="158">
        <v>0.49136939010356734</v>
      </c>
      <c r="BE409" s="158">
        <v>0.49139414802065406</v>
      </c>
      <c r="BF409" s="158">
        <v>0.4914187643020595</v>
      </c>
      <c r="BG409" s="158">
        <v>0.49129814550641943</v>
      </c>
      <c r="BH409" s="158">
        <v>0.4914627205463859</v>
      </c>
      <c r="BI409" s="158">
        <v>0.49148211243611584</v>
      </c>
      <c r="BJ409" s="158">
        <v>0.49150141643059492</v>
      </c>
      <c r="BK409" s="158">
        <v>0.49152063312605992</v>
      </c>
      <c r="BL409" s="158">
        <v>0.49153976311336717</v>
      </c>
      <c r="BM409" s="158">
        <v>0.49127743387732131</v>
      </c>
      <c r="BN409" s="158">
        <v>0.49129702414373949</v>
      </c>
      <c r="BO409" s="158">
        <v>0.4913116591928251</v>
      </c>
      <c r="BP409" s="158">
        <v>0.49146375594738317</v>
      </c>
      <c r="BQ409" s="158">
        <v>0.49147330164942687</v>
      </c>
    </row>
    <row r="410" spans="1:69" s="124" customFormat="1">
      <c r="A410" s="124">
        <f>$A$35</f>
        <v>18</v>
      </c>
      <c r="B410" s="114"/>
      <c r="C410" s="114"/>
      <c r="D410" s="114"/>
      <c r="E410" s="114"/>
      <c r="F410" s="114"/>
      <c r="G410" s="114"/>
      <c r="H410" s="114"/>
      <c r="I410" s="114"/>
      <c r="J410" s="114"/>
      <c r="K410" s="114"/>
      <c r="L410" s="114"/>
      <c r="M410" s="158">
        <v>0.55835101545923005</v>
      </c>
      <c r="N410" s="158">
        <v>0.55964653902798234</v>
      </c>
      <c r="O410" s="158">
        <v>0.5608945300695074</v>
      </c>
      <c r="P410" s="158">
        <v>0.56194690265486724</v>
      </c>
      <c r="Q410" s="158">
        <v>0.56299088909833495</v>
      </c>
      <c r="R410" s="158">
        <v>0.56422160321881776</v>
      </c>
      <c r="S410" s="158">
        <v>0.56493304266583622</v>
      </c>
      <c r="T410" s="158">
        <v>0.5660030627871363</v>
      </c>
      <c r="U410" s="158">
        <v>0.56668608037274315</v>
      </c>
      <c r="V410" s="158">
        <v>0.56730229949523281</v>
      </c>
      <c r="W410" s="158">
        <v>0.56798002219755828</v>
      </c>
      <c r="X410" s="158">
        <v>0.56874654886802867</v>
      </c>
      <c r="Y410" s="158">
        <v>0.56933895921237698</v>
      </c>
      <c r="Z410" s="158">
        <v>0.5700028514399772</v>
      </c>
      <c r="AA410" s="158">
        <v>0.57048331415420028</v>
      </c>
      <c r="AB410" s="158">
        <v>0.57092511013215863</v>
      </c>
      <c r="AC410" s="158">
        <v>0.57138651751545477</v>
      </c>
      <c r="AD410" s="158">
        <v>0.5719360568383659</v>
      </c>
      <c r="AE410" s="158">
        <v>0.57218001168907073</v>
      </c>
      <c r="AF410" s="158">
        <v>0.572617680826636</v>
      </c>
      <c r="AG410" s="158">
        <v>0.57276066685504379</v>
      </c>
      <c r="AH410" s="158">
        <v>0.57306190741773566</v>
      </c>
      <c r="AI410" s="158">
        <v>0.57328181065415407</v>
      </c>
      <c r="AJ410" s="158">
        <v>0.57373903508771928</v>
      </c>
      <c r="AK410" s="158">
        <v>0.57384657384657389</v>
      </c>
      <c r="AL410" s="158">
        <v>0.57411444141689372</v>
      </c>
      <c r="AM410" s="158">
        <v>0.57423045491691638</v>
      </c>
      <c r="AN410" s="158">
        <v>0.57450873362445409</v>
      </c>
      <c r="AO410" s="158">
        <v>0.57432247467834652</v>
      </c>
      <c r="AP410" s="158">
        <v>0.57453245324532454</v>
      </c>
      <c r="AQ410" s="158">
        <v>0.57466814159292035</v>
      </c>
      <c r="AR410" s="158">
        <v>0.57472863902031723</v>
      </c>
      <c r="AS410" s="158">
        <v>0.57467077612776685</v>
      </c>
      <c r="AT410" s="158">
        <v>0.57489421720733425</v>
      </c>
      <c r="AU410" s="158">
        <v>0.57479420948055637</v>
      </c>
      <c r="AV410" s="158">
        <v>0.57505707762557079</v>
      </c>
      <c r="AW410" s="158">
        <v>0.57494984236170821</v>
      </c>
      <c r="AX410" s="158">
        <v>0.57499999999999996</v>
      </c>
      <c r="AY410" s="158">
        <v>0.57508630609896427</v>
      </c>
      <c r="AZ410" s="158">
        <v>0.57508630609896427</v>
      </c>
      <c r="BA410" s="158">
        <v>0.57512209135305947</v>
      </c>
      <c r="BB410" s="158">
        <v>0.57523645743766127</v>
      </c>
      <c r="BC410" s="158">
        <v>0.57518582046883937</v>
      </c>
      <c r="BD410" s="158">
        <v>0.57509261897976627</v>
      </c>
      <c r="BE410" s="158">
        <v>0.57516339869281041</v>
      </c>
      <c r="BF410" s="158">
        <v>0.57523377727401526</v>
      </c>
      <c r="BG410" s="158">
        <v>0.57502119242723937</v>
      </c>
      <c r="BH410" s="158">
        <v>0.5752536640360767</v>
      </c>
      <c r="BI410" s="158">
        <v>0.57520382344672472</v>
      </c>
      <c r="BJ410" s="158">
        <v>0.57531556802244044</v>
      </c>
      <c r="BK410" s="158">
        <v>0.57514693534844663</v>
      </c>
      <c r="BL410" s="158">
        <v>0.57509771077610272</v>
      </c>
      <c r="BM410" s="158">
        <v>0.57520891364902504</v>
      </c>
      <c r="BN410" s="158">
        <v>0.57520155685293295</v>
      </c>
      <c r="BO410" s="158">
        <v>0.57503467406380027</v>
      </c>
      <c r="BP410" s="158">
        <v>0.57518692882857936</v>
      </c>
      <c r="BQ410" s="158">
        <v>0.57506220624827209</v>
      </c>
    </row>
    <row r="411" spans="1:69" s="124" customFormat="1">
      <c r="A411" s="124">
        <f>$A$36</f>
        <v>19</v>
      </c>
      <c r="B411" s="114"/>
      <c r="C411" s="114"/>
      <c r="D411" s="114"/>
      <c r="E411" s="114"/>
      <c r="F411" s="114"/>
      <c r="G411" s="114"/>
      <c r="H411" s="114"/>
      <c r="I411" s="114"/>
      <c r="J411" s="114"/>
      <c r="K411" s="114"/>
      <c r="L411" s="114"/>
      <c r="M411" s="158">
        <v>0.64002316825948447</v>
      </c>
      <c r="N411" s="158">
        <v>0.6410406313943291</v>
      </c>
      <c r="O411" s="158">
        <v>0.64134780125642488</v>
      </c>
      <c r="P411" s="158">
        <v>0.64224771991762286</v>
      </c>
      <c r="Q411" s="158">
        <v>0.64268066707844351</v>
      </c>
      <c r="R411" s="158">
        <v>0.64340845940104974</v>
      </c>
      <c r="S411" s="158">
        <v>0.6441605839416058</v>
      </c>
      <c r="T411" s="158">
        <v>0.64462809917355368</v>
      </c>
      <c r="U411" s="158">
        <v>0.64509331727874775</v>
      </c>
      <c r="V411" s="158">
        <v>0.64555873925501428</v>
      </c>
      <c r="W411" s="158">
        <v>0.64605190502484811</v>
      </c>
      <c r="X411" s="158">
        <v>0.64644808743169402</v>
      </c>
      <c r="Y411" s="158">
        <v>0.64664310954063609</v>
      </c>
      <c r="Z411" s="158">
        <v>0.64718914428136254</v>
      </c>
      <c r="AA411" s="158">
        <v>0.64730639730639727</v>
      </c>
      <c r="AB411" s="158">
        <v>0.64760826493065382</v>
      </c>
      <c r="AC411" s="158">
        <v>0.64789139225880998</v>
      </c>
      <c r="AD411" s="158">
        <v>0.64823393167342214</v>
      </c>
      <c r="AE411" s="158">
        <v>0.64832605531295484</v>
      </c>
      <c r="AF411" s="158">
        <v>0.64874964070135099</v>
      </c>
      <c r="AG411" s="158">
        <v>0.64868681163513131</v>
      </c>
      <c r="AH411" s="158">
        <v>0.64905450500556172</v>
      </c>
      <c r="AI411" s="158">
        <v>0.64919022783420255</v>
      </c>
      <c r="AJ411" s="158">
        <v>0.64918478260869561</v>
      </c>
      <c r="AK411" s="158">
        <v>0.64939271255060727</v>
      </c>
      <c r="AL411" s="158">
        <v>0.64946236559139781</v>
      </c>
      <c r="AM411" s="158">
        <v>0.64958411591092036</v>
      </c>
      <c r="AN411" s="158">
        <v>0.64967811158798283</v>
      </c>
      <c r="AO411" s="158">
        <v>0.64965072541644275</v>
      </c>
      <c r="AP411" s="158">
        <v>0.64986522911051214</v>
      </c>
      <c r="AQ411" s="158">
        <v>0.64997292907417437</v>
      </c>
      <c r="AR411" s="158">
        <v>0.65014974135583992</v>
      </c>
      <c r="AS411" s="158">
        <v>0.6499589153656532</v>
      </c>
      <c r="AT411" s="158">
        <v>0.65002757859900717</v>
      </c>
      <c r="AU411" s="158">
        <v>0.65019433647973346</v>
      </c>
      <c r="AV411" s="158">
        <v>0.65</v>
      </c>
      <c r="AW411" s="158">
        <v>0.65009828699803429</v>
      </c>
      <c r="AX411" s="158">
        <v>0.65012686777558504</v>
      </c>
      <c r="AY411" s="158">
        <v>0.65026858919988695</v>
      </c>
      <c r="AZ411" s="158">
        <v>0.65015567506368521</v>
      </c>
      <c r="BA411" s="158">
        <v>0.65025466893039052</v>
      </c>
      <c r="BB411" s="158">
        <v>0.65018366770274094</v>
      </c>
      <c r="BC411" s="158">
        <v>0.65031020868584322</v>
      </c>
      <c r="BD411" s="158">
        <v>0.65016872890888644</v>
      </c>
      <c r="BE411" s="158">
        <v>0.65030846887268645</v>
      </c>
      <c r="BF411" s="158">
        <v>0.65026558568632931</v>
      </c>
      <c r="BG411" s="158">
        <v>0.65012545302481184</v>
      </c>
      <c r="BH411" s="158">
        <v>0.65026410897970532</v>
      </c>
      <c r="BI411" s="158">
        <v>0.65030504714364945</v>
      </c>
      <c r="BJ411" s="158">
        <v>0.65006915629322271</v>
      </c>
      <c r="BK411" s="158">
        <v>0.65028981507038364</v>
      </c>
      <c r="BL411" s="158">
        <v>0.65023409529055354</v>
      </c>
      <c r="BM411" s="158">
        <v>0.65017862050013742</v>
      </c>
      <c r="BN411" s="158">
        <v>0.65039758705785577</v>
      </c>
      <c r="BO411" s="158">
        <v>0.65034199726402186</v>
      </c>
      <c r="BP411" s="158">
        <v>0.65001365001364997</v>
      </c>
      <c r="BQ411" s="158">
        <v>0.65031343690378851</v>
      </c>
    </row>
    <row r="412" spans="1:69" s="124" customFormat="1">
      <c r="A412" s="124">
        <f>$A$37</f>
        <v>20</v>
      </c>
      <c r="B412" s="114"/>
      <c r="C412" s="114"/>
      <c r="D412" s="114"/>
      <c r="E412" s="114"/>
      <c r="F412" s="114"/>
      <c r="G412" s="114"/>
      <c r="H412" s="114"/>
      <c r="I412" s="114"/>
      <c r="J412" s="114"/>
      <c r="K412" s="114"/>
      <c r="L412" s="114"/>
      <c r="M412" s="158">
        <v>0.7103429049344856</v>
      </c>
      <c r="N412" s="158">
        <v>0.71081307627829005</v>
      </c>
      <c r="O412" s="158">
        <v>0.71116780045351469</v>
      </c>
      <c r="P412" s="158">
        <v>0.71181716833890751</v>
      </c>
      <c r="Q412" s="158">
        <v>0.71226551226551227</v>
      </c>
      <c r="R412" s="158">
        <v>0.71254567600487206</v>
      </c>
      <c r="S412" s="158">
        <v>0.71302495435179547</v>
      </c>
      <c r="T412" s="158">
        <v>0.71325734853029399</v>
      </c>
      <c r="U412" s="158">
        <v>0.71363910681955345</v>
      </c>
      <c r="V412" s="158">
        <v>0.7140736342042755</v>
      </c>
      <c r="W412" s="158">
        <v>0.71416454622561498</v>
      </c>
      <c r="X412" s="158">
        <v>0.71436358680839462</v>
      </c>
      <c r="Y412" s="158">
        <v>0.7145940113299164</v>
      </c>
      <c r="Z412" s="158">
        <v>0.71489932885906038</v>
      </c>
      <c r="AA412" s="158">
        <v>0.71514488791689446</v>
      </c>
      <c r="AB412" s="158">
        <v>0.71531431736361117</v>
      </c>
      <c r="AC412" s="158">
        <v>0.71556300642637605</v>
      </c>
      <c r="AD412" s="158">
        <v>0.7155884867483614</v>
      </c>
      <c r="AE412" s="158">
        <v>0.71599999999999997</v>
      </c>
      <c r="AF412" s="158">
        <v>0.71596783457782887</v>
      </c>
      <c r="AG412" s="158">
        <v>0.71610890527509929</v>
      </c>
      <c r="AH412" s="158">
        <v>0.71619737942570394</v>
      </c>
      <c r="AI412" s="158">
        <v>0.71616799341202309</v>
      </c>
      <c r="AJ412" s="158">
        <v>0.71626016260162606</v>
      </c>
      <c r="AK412" s="158">
        <v>0.71639388247920577</v>
      </c>
      <c r="AL412" s="158">
        <v>0.71641791044776115</v>
      </c>
      <c r="AM412" s="158">
        <v>0.71648526679054947</v>
      </c>
      <c r="AN412" s="158">
        <v>0.71674615792262852</v>
      </c>
      <c r="AO412" s="158">
        <v>0.71655629139072852</v>
      </c>
      <c r="AP412" s="158">
        <v>0.71663571239055457</v>
      </c>
      <c r="AQ412" s="158">
        <v>0.71679531541123231</v>
      </c>
      <c r="AR412" s="158">
        <v>0.71692060946271052</v>
      </c>
      <c r="AS412" s="158">
        <v>0.71674281107229243</v>
      </c>
      <c r="AT412" s="158">
        <v>0.71687398593834506</v>
      </c>
      <c r="AU412" s="158">
        <v>0.71712496596787367</v>
      </c>
      <c r="AV412" s="158">
        <v>0.71690874212112909</v>
      </c>
      <c r="AW412" s="158">
        <v>0.71712158808933002</v>
      </c>
      <c r="AX412" s="158">
        <v>0.7170177383592018</v>
      </c>
      <c r="AY412" s="158">
        <v>0.71702838063439067</v>
      </c>
      <c r="AZ412" s="158">
        <v>0.7170758928571429</v>
      </c>
      <c r="BA412" s="158">
        <v>0.71703910614525135</v>
      </c>
      <c r="BB412" s="158">
        <v>0.71711812342920966</v>
      </c>
      <c r="BC412" s="158">
        <v>0.71695482431678748</v>
      </c>
      <c r="BD412" s="158">
        <v>0.71702838063439067</v>
      </c>
      <c r="BE412" s="158">
        <v>0.71718012767138495</v>
      </c>
      <c r="BF412" s="158">
        <v>0.71693414499169894</v>
      </c>
      <c r="BG412" s="158">
        <v>0.71716335540838849</v>
      </c>
      <c r="BH412" s="158">
        <v>0.717116125481563</v>
      </c>
      <c r="BI412" s="158">
        <v>0.71706915477497257</v>
      </c>
      <c r="BJ412" s="158">
        <v>0.71721872433616207</v>
      </c>
      <c r="BK412" s="158">
        <v>0.71709448388858543</v>
      </c>
      <c r="BL412" s="158">
        <v>0.71716621253405999</v>
      </c>
      <c r="BM412" s="158">
        <v>0.71704267463984783</v>
      </c>
      <c r="BN412" s="158">
        <v>0.71711418497423385</v>
      </c>
      <c r="BO412" s="158">
        <v>0.71691474966170499</v>
      </c>
      <c r="BP412" s="158">
        <v>0.71698622738320283</v>
      </c>
      <c r="BQ412" s="158">
        <v>0.71698113207547165</v>
      </c>
    </row>
    <row r="413" spans="1:69" s="124" customFormat="1">
      <c r="A413" s="124">
        <f>$A$38</f>
        <v>21</v>
      </c>
      <c r="B413" s="114"/>
      <c r="C413" s="114"/>
      <c r="D413" s="114"/>
      <c r="E413" s="114"/>
      <c r="F413" s="114"/>
      <c r="G413" s="114"/>
      <c r="H413" s="114"/>
      <c r="I413" s="114"/>
      <c r="J413" s="114"/>
      <c r="K413" s="114"/>
      <c r="L413" s="114"/>
      <c r="M413" s="158">
        <v>0.76530339481422083</v>
      </c>
      <c r="N413" s="158">
        <v>0.76599783080260309</v>
      </c>
      <c r="O413" s="158">
        <v>0.76666666666666672</v>
      </c>
      <c r="P413" s="158">
        <v>0.76721494284917757</v>
      </c>
      <c r="Q413" s="158">
        <v>0.76778819635962492</v>
      </c>
      <c r="R413" s="158">
        <v>0.7682366456059736</v>
      </c>
      <c r="S413" s="158">
        <v>0.76885792184186608</v>
      </c>
      <c r="T413" s="158">
        <v>0.76930063578564944</v>
      </c>
      <c r="U413" s="158">
        <v>0.76968973747016711</v>
      </c>
      <c r="V413" s="158">
        <v>0.77003902731912344</v>
      </c>
      <c r="W413" s="158">
        <v>0.77023036030714709</v>
      </c>
      <c r="X413" s="158">
        <v>0.77068092290377044</v>
      </c>
      <c r="Y413" s="158">
        <v>0.77102550189907759</v>
      </c>
      <c r="Z413" s="158">
        <v>0.7712137486573577</v>
      </c>
      <c r="AA413" s="158">
        <v>0.77157360406091369</v>
      </c>
      <c r="AB413" s="158">
        <v>0.77176278563656153</v>
      </c>
      <c r="AC413" s="158">
        <v>0.77183797189308345</v>
      </c>
      <c r="AD413" s="158">
        <v>0.77231025854879065</v>
      </c>
      <c r="AE413" s="158">
        <v>0.77232775730082226</v>
      </c>
      <c r="AF413" s="158">
        <v>0.77259806708357026</v>
      </c>
      <c r="AG413" s="158">
        <v>0.77285714285714291</v>
      </c>
      <c r="AH413" s="158">
        <v>0.77285553047404065</v>
      </c>
      <c r="AI413" s="158">
        <v>0.77287853577371046</v>
      </c>
      <c r="AJ413" s="158">
        <v>0.77301283802239829</v>
      </c>
      <c r="AK413" s="158">
        <v>0.77319309600862995</v>
      </c>
      <c r="AL413" s="158">
        <v>0.77329773030707605</v>
      </c>
      <c r="AM413" s="158">
        <v>0.77347480106100797</v>
      </c>
      <c r="AN413" s="158">
        <v>0.77357992073976223</v>
      </c>
      <c r="AO413" s="158">
        <v>0.77373417721518989</v>
      </c>
      <c r="AP413" s="158">
        <v>0.77353018718692323</v>
      </c>
      <c r="AQ413" s="158">
        <v>0.77369949828360185</v>
      </c>
      <c r="AR413" s="158">
        <v>0.77377483443708606</v>
      </c>
      <c r="AS413" s="158">
        <v>0.77387603085927104</v>
      </c>
      <c r="AT413" s="158">
        <v>0.77373629312650438</v>
      </c>
      <c r="AU413" s="158">
        <v>0.77395048439181913</v>
      </c>
      <c r="AV413" s="158">
        <v>0.77383531960996754</v>
      </c>
      <c r="AW413" s="158">
        <v>0.77399127589967287</v>
      </c>
      <c r="AX413" s="158">
        <v>0.77399890290729567</v>
      </c>
      <c r="AY413" s="158">
        <v>0.77391783843396744</v>
      </c>
      <c r="AZ413" s="158">
        <v>0.77408637873754149</v>
      </c>
      <c r="BA413" s="158">
        <v>0.77407715792395226</v>
      </c>
      <c r="BB413" s="158">
        <v>0.77410391775493193</v>
      </c>
      <c r="BC413" s="158">
        <v>0.77388888888888885</v>
      </c>
      <c r="BD413" s="158">
        <v>0.77392510402219139</v>
      </c>
      <c r="BE413" s="158">
        <v>0.77387212842513142</v>
      </c>
      <c r="BF413" s="158">
        <v>0.77388183324130311</v>
      </c>
      <c r="BG413" s="158">
        <v>0.77395374449339205</v>
      </c>
      <c r="BH413" s="158">
        <v>0.7738127916552292</v>
      </c>
      <c r="BI413" s="158">
        <v>0.77388447851081299</v>
      </c>
      <c r="BJ413" s="158">
        <v>0.77395577395577397</v>
      </c>
      <c r="BK413" s="158">
        <v>0.77396514161220042</v>
      </c>
      <c r="BL413" s="158">
        <v>0.77397446346101606</v>
      </c>
      <c r="BM413" s="158">
        <v>0.77392247221469235</v>
      </c>
      <c r="BN413" s="158">
        <v>0.77393185505678741</v>
      </c>
      <c r="BO413" s="158">
        <v>0.77388019427954668</v>
      </c>
      <c r="BP413" s="158">
        <v>0.77382875605815837</v>
      </c>
      <c r="BQ413" s="158">
        <v>0.77377753895754975</v>
      </c>
    </row>
    <row r="414" spans="1:69" s="124" customFormat="1">
      <c r="A414" s="124">
        <f>$A$39</f>
        <v>22</v>
      </c>
      <c r="B414" s="114"/>
      <c r="C414" s="114"/>
      <c r="D414" s="114"/>
      <c r="E414" s="114"/>
      <c r="F414" s="114"/>
      <c r="G414" s="114"/>
      <c r="H414" s="114"/>
      <c r="I414" s="114"/>
      <c r="J414" s="114"/>
      <c r="K414" s="114"/>
      <c r="L414" s="114"/>
      <c r="M414" s="158">
        <v>0.8051705756929638</v>
      </c>
      <c r="N414" s="158">
        <v>0.80629225169006757</v>
      </c>
      <c r="O414" s="158">
        <v>0.8073248407643312</v>
      </c>
      <c r="P414" s="158">
        <v>0.80829294561120091</v>
      </c>
      <c r="Q414" s="158">
        <v>0.80945796460176989</v>
      </c>
      <c r="R414" s="158">
        <v>0.8104160925874897</v>
      </c>
      <c r="S414" s="158">
        <v>0.81095811818703389</v>
      </c>
      <c r="T414" s="158">
        <v>0.81180030257186087</v>
      </c>
      <c r="U414" s="158">
        <v>0.8125188993045056</v>
      </c>
      <c r="V414" s="158">
        <v>0.81341281669150522</v>
      </c>
      <c r="W414" s="158">
        <v>0.81379310344827582</v>
      </c>
      <c r="X414" s="158">
        <v>0.81445427728613573</v>
      </c>
      <c r="Y414" s="158">
        <v>0.81506464305789772</v>
      </c>
      <c r="Z414" s="158">
        <v>0.8154471544715447</v>
      </c>
      <c r="AA414" s="158">
        <v>0.81598712446351929</v>
      </c>
      <c r="AB414" s="158">
        <v>0.8166043780032034</v>
      </c>
      <c r="AC414" s="158">
        <v>0.81706985593911385</v>
      </c>
      <c r="AD414" s="158">
        <v>0.81718061674008813</v>
      </c>
      <c r="AE414" s="158">
        <v>0.81755068036656486</v>
      </c>
      <c r="AF414" s="158">
        <v>0.8178986122911357</v>
      </c>
      <c r="AG414" s="158">
        <v>0.81828506530380463</v>
      </c>
      <c r="AH414" s="158">
        <v>0.81849315068493156</v>
      </c>
      <c r="AI414" s="158">
        <v>0.8187711386696731</v>
      </c>
      <c r="AJ414" s="158">
        <v>0.8190634524799113</v>
      </c>
      <c r="AK414" s="158">
        <v>0.81909959072305594</v>
      </c>
      <c r="AL414" s="158">
        <v>0.81923491379310343</v>
      </c>
      <c r="AM414" s="158">
        <v>0.8194185116030942</v>
      </c>
      <c r="AN414" s="158">
        <v>0.81955484896661368</v>
      </c>
      <c r="AO414" s="158">
        <v>0.81947743467933487</v>
      </c>
      <c r="AP414" s="158">
        <v>0.81981032665964171</v>
      </c>
      <c r="AQ414" s="158">
        <v>0.81985778245983676</v>
      </c>
      <c r="AR414" s="158">
        <v>0.81983645476127676</v>
      </c>
      <c r="AS414" s="158">
        <v>0.82005821645938082</v>
      </c>
      <c r="AT414" s="158">
        <v>0.82009035344140313</v>
      </c>
      <c r="AU414" s="158">
        <v>0.82019770237777179</v>
      </c>
      <c r="AV414" s="158">
        <v>0.82016129032258067</v>
      </c>
      <c r="AW414" s="158">
        <v>0.82007575757575757</v>
      </c>
      <c r="AX414" s="158">
        <v>0.8202614379084967</v>
      </c>
      <c r="AY414" s="158">
        <v>0.82027397260273971</v>
      </c>
      <c r="AZ414" s="158">
        <v>0.82015973561002475</v>
      </c>
      <c r="BA414" s="158">
        <v>0.82029306054741502</v>
      </c>
      <c r="BB414" s="158">
        <v>0.82034932076517886</v>
      </c>
      <c r="BC414" s="158">
        <v>0.82042742159311688</v>
      </c>
      <c r="BD414" s="158">
        <v>0.82019977802441735</v>
      </c>
      <c r="BE414" s="158">
        <v>0.82017179274037133</v>
      </c>
      <c r="BF414" s="158">
        <v>0.82029306054741502</v>
      </c>
      <c r="BG414" s="158">
        <v>0.82046332046332049</v>
      </c>
      <c r="BH414" s="158">
        <v>0.82018146824305749</v>
      </c>
      <c r="BI414" s="158">
        <v>0.8204003290375651</v>
      </c>
      <c r="BJ414" s="158">
        <v>0.82012028430836525</v>
      </c>
      <c r="BK414" s="158">
        <v>0.82006543075245364</v>
      </c>
      <c r="BL414" s="158">
        <v>0.82023388632036986</v>
      </c>
      <c r="BM414" s="158">
        <v>0.82035278154681135</v>
      </c>
      <c r="BN414" s="158">
        <v>0.82024905251759606</v>
      </c>
      <c r="BO414" s="158">
        <v>0.82036736898973528</v>
      </c>
      <c r="BP414" s="158">
        <v>0.82048517520215636</v>
      </c>
      <c r="BQ414" s="158">
        <v>0.82033351264120491</v>
      </c>
    </row>
    <row r="415" spans="1:69" s="124" customFormat="1">
      <c r="A415" s="124">
        <f>$A$40</f>
        <v>23</v>
      </c>
      <c r="B415" s="114"/>
      <c r="C415" s="114"/>
      <c r="D415" s="114"/>
      <c r="E415" s="114"/>
      <c r="F415" s="114"/>
      <c r="G415" s="114"/>
      <c r="H415" s="114"/>
      <c r="I415" s="114"/>
      <c r="J415" s="114"/>
      <c r="K415" s="114"/>
      <c r="L415" s="114"/>
      <c r="M415" s="158">
        <v>0.83737669954678751</v>
      </c>
      <c r="N415" s="158">
        <v>0.83879288109362915</v>
      </c>
      <c r="O415" s="158">
        <v>0.84035532994923856</v>
      </c>
      <c r="P415" s="158">
        <v>0.84159707724425892</v>
      </c>
      <c r="Q415" s="158">
        <v>0.84307445956765414</v>
      </c>
      <c r="R415" s="158">
        <v>0.8441558441558441</v>
      </c>
      <c r="S415" s="158">
        <v>0.84530690889072391</v>
      </c>
      <c r="T415" s="158">
        <v>0.8463743192891946</v>
      </c>
      <c r="U415" s="158">
        <v>0.84738591719552736</v>
      </c>
      <c r="V415" s="158">
        <v>0.84838417396556931</v>
      </c>
      <c r="W415" s="158">
        <v>0.84935992855016373</v>
      </c>
      <c r="X415" s="158">
        <v>0.84995507637017076</v>
      </c>
      <c r="Y415" s="158">
        <v>0.85086943707633367</v>
      </c>
      <c r="Z415" s="158">
        <v>0.85148792813026386</v>
      </c>
      <c r="AA415" s="158">
        <v>0.85192203573362213</v>
      </c>
      <c r="AB415" s="158">
        <v>0.85262593783494101</v>
      </c>
      <c r="AC415" s="158">
        <v>0.85333333333333339</v>
      </c>
      <c r="AD415" s="158">
        <v>0.85392343198479503</v>
      </c>
      <c r="AE415" s="158">
        <v>0.85423542354235427</v>
      </c>
      <c r="AF415" s="158">
        <v>0.85464632454923717</v>
      </c>
      <c r="AG415" s="158">
        <v>0.85487977369165491</v>
      </c>
      <c r="AH415" s="158">
        <v>0.85536018150879178</v>
      </c>
      <c r="AI415" s="158">
        <v>0.85575826681870015</v>
      </c>
      <c r="AJ415" s="158">
        <v>0.85613738738738743</v>
      </c>
      <c r="AK415" s="158">
        <v>0.85611510791366907</v>
      </c>
      <c r="AL415" s="158">
        <v>0.85636413191605343</v>
      </c>
      <c r="AM415" s="158">
        <v>0.85683530678148545</v>
      </c>
      <c r="AN415" s="158">
        <v>0.85691446842525976</v>
      </c>
      <c r="AO415" s="158">
        <v>0.85706723133933294</v>
      </c>
      <c r="AP415" s="158">
        <v>0.85710519377801209</v>
      </c>
      <c r="AQ415" s="158">
        <v>0.8571428571428571</v>
      </c>
      <c r="AR415" s="158">
        <v>0.85740594580373586</v>
      </c>
      <c r="AS415" s="158">
        <v>0.85744400527009224</v>
      </c>
      <c r="AT415" s="158">
        <v>0.85755813953488369</v>
      </c>
      <c r="AU415" s="158">
        <v>0.85748407643312097</v>
      </c>
      <c r="AV415" s="158">
        <v>0.85752401280683033</v>
      </c>
      <c r="AW415" s="158">
        <v>0.85771812080536913</v>
      </c>
      <c r="AX415" s="158">
        <v>0.85760605241826537</v>
      </c>
      <c r="AY415" s="158">
        <v>0.8577644819146043</v>
      </c>
      <c r="AZ415" s="158">
        <v>0.85772913816689467</v>
      </c>
      <c r="BA415" s="158">
        <v>0.85781078107810782</v>
      </c>
      <c r="BB415" s="158">
        <v>0.85805026235846449</v>
      </c>
      <c r="BC415" s="158">
        <v>0.85797342192691028</v>
      </c>
      <c r="BD415" s="158">
        <v>0.85781596452328157</v>
      </c>
      <c r="BE415" s="158">
        <v>0.85785536159600995</v>
      </c>
      <c r="BF415" s="158">
        <v>0.85777531820697284</v>
      </c>
      <c r="BG415" s="158">
        <v>0.85781336278299281</v>
      </c>
      <c r="BH415" s="158">
        <v>0.85789038832277609</v>
      </c>
      <c r="BI415" s="158">
        <v>0.85777045579352007</v>
      </c>
      <c r="BJ415" s="158">
        <v>0.85788608981380066</v>
      </c>
      <c r="BK415" s="158">
        <v>0.85776685776685779</v>
      </c>
      <c r="BL415" s="158">
        <v>0.85811546840958608</v>
      </c>
      <c r="BM415" s="158">
        <v>0.85768604019554595</v>
      </c>
      <c r="BN415" s="158">
        <v>0.85799457994579942</v>
      </c>
      <c r="BO415" s="158">
        <v>0.8577994052446607</v>
      </c>
      <c r="BP415" s="158">
        <v>0.85783652549231182</v>
      </c>
      <c r="BQ415" s="158">
        <v>0.8578734858681023</v>
      </c>
    </row>
    <row r="416" spans="1:69" s="124" customFormat="1">
      <c r="A416" s="124">
        <f>$A$41</f>
        <v>24</v>
      </c>
      <c r="B416" s="114"/>
      <c r="C416" s="114"/>
      <c r="D416" s="114"/>
      <c r="E416" s="114"/>
      <c r="F416" s="114"/>
      <c r="G416" s="114"/>
      <c r="H416" s="114"/>
      <c r="I416" s="114"/>
      <c r="J416" s="114"/>
      <c r="K416" s="114"/>
      <c r="L416" s="114"/>
      <c r="M416" s="158">
        <v>0.86093059526904081</v>
      </c>
      <c r="N416" s="158">
        <v>0.86336684712554779</v>
      </c>
      <c r="O416" s="158">
        <v>0.86512330145948668</v>
      </c>
      <c r="P416" s="158">
        <v>0.86719920119820271</v>
      </c>
      <c r="Q416" s="158">
        <v>0.86863201448151017</v>
      </c>
      <c r="R416" s="158">
        <v>0.87043455078645693</v>
      </c>
      <c r="S416" s="158">
        <v>0.87192934032569691</v>
      </c>
      <c r="T416" s="158">
        <v>0.87324718174319493</v>
      </c>
      <c r="U416" s="158">
        <v>0.87489264242771259</v>
      </c>
      <c r="V416" s="158">
        <v>0.87594325384847571</v>
      </c>
      <c r="W416" s="158">
        <v>0.87722473604826545</v>
      </c>
      <c r="X416" s="158">
        <v>0.87812128418549351</v>
      </c>
      <c r="Y416" s="158">
        <v>0.87915046365539939</v>
      </c>
      <c r="Z416" s="158">
        <v>0.8802236609770453</v>
      </c>
      <c r="AA416" s="158">
        <v>0.88109927089175544</v>
      </c>
      <c r="AB416" s="158">
        <v>0.88182801514332076</v>
      </c>
      <c r="AC416" s="158">
        <v>0.88249464668094213</v>
      </c>
      <c r="AD416" s="158">
        <v>0.88308921438082555</v>
      </c>
      <c r="AE416" s="158">
        <v>0.88367678958785245</v>
      </c>
      <c r="AF416" s="158">
        <v>0.88437242515792369</v>
      </c>
      <c r="AG416" s="158">
        <v>0.88476454293628803</v>
      </c>
      <c r="AH416" s="158">
        <v>0.88556089290760098</v>
      </c>
      <c r="AI416" s="158">
        <v>0.88558482016425943</v>
      </c>
      <c r="AJ416" s="158">
        <v>0.88613720466837465</v>
      </c>
      <c r="AK416" s="158">
        <v>0.88642114141130168</v>
      </c>
      <c r="AL416" s="158">
        <v>0.88695411829740189</v>
      </c>
      <c r="AM416" s="158">
        <v>0.88704409363091996</v>
      </c>
      <c r="AN416" s="158">
        <v>0.88712711636656816</v>
      </c>
      <c r="AO416" s="158">
        <v>0.88744012772751468</v>
      </c>
      <c r="AP416" s="158">
        <v>0.887655300026434</v>
      </c>
      <c r="AQ416" s="158">
        <v>0.88783570300157977</v>
      </c>
      <c r="AR416" s="158">
        <v>0.88780872306883862</v>
      </c>
      <c r="AS416" s="158">
        <v>0.88807146610614818</v>
      </c>
      <c r="AT416" s="158">
        <v>0.88815789473684215</v>
      </c>
      <c r="AU416" s="158">
        <v>0.88836104513064129</v>
      </c>
      <c r="AV416" s="158">
        <v>0.88841770474423531</v>
      </c>
      <c r="AW416" s="158">
        <v>0.88835598188116172</v>
      </c>
      <c r="AX416" s="158">
        <v>0.88847184986595173</v>
      </c>
      <c r="AY416" s="158">
        <v>0.88855909336211547</v>
      </c>
      <c r="AZ416" s="158">
        <v>0.88864747419880497</v>
      </c>
      <c r="BA416" s="158">
        <v>0.88852459016393448</v>
      </c>
      <c r="BB416" s="158">
        <v>0.88849217248008794</v>
      </c>
      <c r="BC416" s="158">
        <v>0.88861317893575953</v>
      </c>
      <c r="BD416" s="158">
        <v>0.88885816975393972</v>
      </c>
      <c r="BE416" s="158">
        <v>0.88848920863309355</v>
      </c>
      <c r="BF416" s="158">
        <v>0.88876591034864416</v>
      </c>
      <c r="BG416" s="158">
        <v>0.88864327162199508</v>
      </c>
      <c r="BH416" s="158">
        <v>0.88861317893575953</v>
      </c>
      <c r="BI416" s="158">
        <v>0.88864448721473743</v>
      </c>
      <c r="BJ416" s="158">
        <v>0.8886756238003839</v>
      </c>
      <c r="BK416" s="158">
        <v>0.8884636413340623</v>
      </c>
      <c r="BL416" s="158">
        <v>0.88876772082878952</v>
      </c>
      <c r="BM416" s="158">
        <v>0.88852637302881998</v>
      </c>
      <c r="BN416" s="158">
        <v>0.88879848114998639</v>
      </c>
      <c r="BO416" s="158">
        <v>0.8885281385281385</v>
      </c>
      <c r="BP416" s="158">
        <v>0.88876889848812091</v>
      </c>
      <c r="BQ416" s="158">
        <v>0.88849986533800163</v>
      </c>
    </row>
    <row r="417" spans="1:69" s="124" customFormat="1">
      <c r="A417" s="124">
        <f>$A$42</f>
        <v>25</v>
      </c>
      <c r="B417" s="114"/>
      <c r="C417" s="114"/>
      <c r="D417" s="114"/>
      <c r="E417" s="114"/>
      <c r="F417" s="114"/>
      <c r="G417" s="114"/>
      <c r="H417" s="114"/>
      <c r="I417" s="114"/>
      <c r="J417" s="114"/>
      <c r="K417" s="114"/>
      <c r="L417" s="114"/>
      <c r="M417" s="158">
        <v>0.87935517420696829</v>
      </c>
      <c r="N417" s="158">
        <v>0.88211586901763228</v>
      </c>
      <c r="O417" s="158">
        <v>0.8847218726403222</v>
      </c>
      <c r="P417" s="158">
        <v>0.88707280832095092</v>
      </c>
      <c r="Q417" s="158">
        <v>0.8891363523880228</v>
      </c>
      <c r="R417" s="158">
        <v>0.8912706611570248</v>
      </c>
      <c r="S417" s="158">
        <v>0.89299973383018361</v>
      </c>
      <c r="T417" s="158">
        <v>0.89501240011022321</v>
      </c>
      <c r="U417" s="158">
        <v>0.89676002196595272</v>
      </c>
      <c r="V417" s="158">
        <v>0.89825664475564448</v>
      </c>
      <c r="W417" s="158">
        <v>0.8996685748719494</v>
      </c>
      <c r="X417" s="158">
        <v>0.90123456790123457</v>
      </c>
      <c r="Y417" s="158">
        <v>0.90264173345206289</v>
      </c>
      <c r="Z417" s="158">
        <v>0.90355329949238583</v>
      </c>
      <c r="AA417" s="158">
        <v>0.90452408930669803</v>
      </c>
      <c r="AB417" s="158">
        <v>0.90565509518477039</v>
      </c>
      <c r="AC417" s="158">
        <v>0.9065874730021598</v>
      </c>
      <c r="AD417" s="158">
        <v>0.90753607696419025</v>
      </c>
      <c r="AE417" s="158">
        <v>0.90826907737303908</v>
      </c>
      <c r="AF417" s="158">
        <v>0.90877097996751488</v>
      </c>
      <c r="AG417" s="158">
        <v>0.909514669591445</v>
      </c>
      <c r="AH417" s="158">
        <v>0.9101216814159292</v>
      </c>
      <c r="AI417" s="158">
        <v>0.91060349689791309</v>
      </c>
      <c r="AJ417" s="158">
        <v>0.91122420130053716</v>
      </c>
      <c r="AK417" s="158">
        <v>0.91162262006251771</v>
      </c>
      <c r="AL417" s="158">
        <v>0.91215268032556829</v>
      </c>
      <c r="AM417" s="158">
        <v>0.91227586206896549</v>
      </c>
      <c r="AN417" s="158">
        <v>0.91277173913043474</v>
      </c>
      <c r="AO417" s="158">
        <v>0.91306680976656829</v>
      </c>
      <c r="AP417" s="158">
        <v>0.91339001062699254</v>
      </c>
      <c r="AQ417" s="158">
        <v>0.91343362364740033</v>
      </c>
      <c r="AR417" s="158">
        <v>0.91377497371188221</v>
      </c>
      <c r="AS417" s="158">
        <v>0.9136935991605456</v>
      </c>
      <c r="AT417" s="158">
        <v>0.91395592864637987</v>
      </c>
      <c r="AU417" s="158">
        <v>0.91384292093511954</v>
      </c>
      <c r="AV417" s="158">
        <v>0.91409749670619234</v>
      </c>
      <c r="AW417" s="158">
        <v>0.91426303254829322</v>
      </c>
      <c r="AX417" s="158">
        <v>0.91433891992551208</v>
      </c>
      <c r="AY417" s="158">
        <v>0.91434689507494649</v>
      </c>
      <c r="AZ417" s="158">
        <v>0.91433189655172409</v>
      </c>
      <c r="BA417" s="158">
        <v>0.91458785249457697</v>
      </c>
      <c r="BB417" s="158">
        <v>0.91462084015275502</v>
      </c>
      <c r="BC417" s="158">
        <v>0.91419956140350878</v>
      </c>
      <c r="BD417" s="158">
        <v>0.91439581612992016</v>
      </c>
      <c r="BE417" s="158">
        <v>0.91445916114790282</v>
      </c>
      <c r="BF417" s="158">
        <v>0.91436464088397795</v>
      </c>
      <c r="BG417" s="158">
        <v>0.91438829052747861</v>
      </c>
      <c r="BH417" s="158">
        <v>0.91450634307777168</v>
      </c>
      <c r="BI417" s="158">
        <v>0.91441937259218486</v>
      </c>
      <c r="BJ417" s="158">
        <v>0.91463079879220421</v>
      </c>
      <c r="BK417" s="158">
        <v>0.91434044882320742</v>
      </c>
      <c r="BL417" s="158">
        <v>0.91457423580786024</v>
      </c>
      <c r="BM417" s="158">
        <v>0.91428571428571426</v>
      </c>
      <c r="BN417" s="158">
        <v>0.91424694708276799</v>
      </c>
      <c r="BO417" s="158">
        <v>0.91445587439090414</v>
      </c>
      <c r="BP417" s="158">
        <v>0.91439373480961383</v>
      </c>
      <c r="BQ417" s="158">
        <v>0.91457828078684988</v>
      </c>
    </row>
    <row r="418" spans="1:69" s="124" customFormat="1">
      <c r="A418" s="124">
        <f>$A$43</f>
        <v>26</v>
      </c>
      <c r="B418" s="114"/>
      <c r="C418" s="114"/>
      <c r="D418" s="114"/>
      <c r="E418" s="114"/>
      <c r="F418" s="114"/>
      <c r="G418" s="114"/>
      <c r="H418" s="114"/>
      <c r="I418" s="114"/>
      <c r="J418" s="114"/>
      <c r="K418" s="114"/>
      <c r="L418" s="114"/>
      <c r="M418" s="158">
        <v>0.89318122893440499</v>
      </c>
      <c r="N418" s="158">
        <v>0.89585439838220426</v>
      </c>
      <c r="O418" s="158">
        <v>0.89815043156596797</v>
      </c>
      <c r="P418" s="158">
        <v>0.90054563492063489</v>
      </c>
      <c r="Q418" s="158">
        <v>0.90272660280029482</v>
      </c>
      <c r="R418" s="158">
        <v>0.90486780331109462</v>
      </c>
      <c r="S418" s="158">
        <v>0.90665291387313052</v>
      </c>
      <c r="T418" s="158">
        <v>0.90858357693329794</v>
      </c>
      <c r="U418" s="158">
        <v>0.91006600660066006</v>
      </c>
      <c r="V418" s="158">
        <v>0.91175664565634418</v>
      </c>
      <c r="W418" s="158">
        <v>0.9130062749572162</v>
      </c>
      <c r="X418" s="158">
        <v>0.91431148526758865</v>
      </c>
      <c r="Y418" s="158">
        <v>0.91556490384615385</v>
      </c>
      <c r="Z418" s="158">
        <v>0.91679005034053895</v>
      </c>
      <c r="AA418" s="158">
        <v>0.91805721096543502</v>
      </c>
      <c r="AB418" s="158">
        <v>0.91908531222515388</v>
      </c>
      <c r="AC418" s="158">
        <v>0.91981000279407654</v>
      </c>
      <c r="AD418" s="158">
        <v>0.92077607113985449</v>
      </c>
      <c r="AE418" s="158">
        <v>0.92157908775673514</v>
      </c>
      <c r="AF418" s="158">
        <v>0.92223991507431002</v>
      </c>
      <c r="AG418" s="158">
        <v>0.92272358821940015</v>
      </c>
      <c r="AH418" s="158">
        <v>0.92337164750957856</v>
      </c>
      <c r="AI418" s="158">
        <v>0.92382003864200934</v>
      </c>
      <c r="AJ418" s="158">
        <v>0.92428933295806359</v>
      </c>
      <c r="AK418" s="158">
        <v>0.9246826516220028</v>
      </c>
      <c r="AL418" s="158">
        <v>0.92541123085649457</v>
      </c>
      <c r="AM418" s="158">
        <v>0.92551106132735927</v>
      </c>
      <c r="AN418" s="158">
        <v>0.92593612334801767</v>
      </c>
      <c r="AO418" s="158">
        <v>0.92622728505560081</v>
      </c>
      <c r="AP418" s="158">
        <v>0.92610441767068274</v>
      </c>
      <c r="AQ418" s="158">
        <v>0.92656415694591732</v>
      </c>
      <c r="AR418" s="158">
        <v>0.92678430339741902</v>
      </c>
      <c r="AS418" s="158">
        <v>0.92681007345225608</v>
      </c>
      <c r="AT418" s="158">
        <v>0.92696335078534031</v>
      </c>
      <c r="AU418" s="158">
        <v>0.92722513089005232</v>
      </c>
      <c r="AV418" s="158">
        <v>0.92737283691662298</v>
      </c>
      <c r="AW418" s="158">
        <v>0.92716276623718119</v>
      </c>
      <c r="AX418" s="158">
        <v>0.92738315289147077</v>
      </c>
      <c r="AY418" s="158">
        <v>0.92726307406424213</v>
      </c>
      <c r="AZ418" s="158">
        <v>0.92735042735042739</v>
      </c>
      <c r="BA418" s="158">
        <v>0.92741935483870963</v>
      </c>
      <c r="BB418" s="158">
        <v>0.92748917748917747</v>
      </c>
      <c r="BC418" s="158">
        <v>0.9275993467610234</v>
      </c>
      <c r="BD418" s="158">
        <v>0.92751641137855578</v>
      </c>
      <c r="BE418" s="158">
        <v>0.92749244712990941</v>
      </c>
      <c r="BF418" s="158">
        <v>0.92758810572687223</v>
      </c>
      <c r="BG418" s="158">
        <v>0.92750826901874306</v>
      </c>
      <c r="BH418" s="158">
        <v>0.92752824469550843</v>
      </c>
      <c r="BI418" s="158">
        <v>0.92762795817281229</v>
      </c>
      <c r="BJ418" s="158">
        <v>0.92751235584843494</v>
      </c>
      <c r="BK418" s="158">
        <v>0.92769104354971244</v>
      </c>
      <c r="BL418" s="158">
        <v>0.9273620972146368</v>
      </c>
      <c r="BM418" s="158">
        <v>0.92730737816498776</v>
      </c>
      <c r="BN418" s="158">
        <v>0.92750475156122725</v>
      </c>
      <c r="BO418" s="158">
        <v>0.9274302734903872</v>
      </c>
      <c r="BP418" s="158">
        <v>0.92760669908157756</v>
      </c>
      <c r="BQ418" s="158">
        <v>0.92751279978442469</v>
      </c>
    </row>
    <row r="419" spans="1:69" s="124" customFormat="1">
      <c r="A419" s="124">
        <f>$A$44</f>
        <v>27</v>
      </c>
      <c r="B419" s="114"/>
      <c r="C419" s="114"/>
      <c r="D419" s="114"/>
      <c r="E419" s="114"/>
      <c r="F419" s="114"/>
      <c r="G419" s="114"/>
      <c r="H419" s="114"/>
      <c r="I419" s="114"/>
      <c r="J419" s="114"/>
      <c r="K419" s="114"/>
      <c r="L419" s="114"/>
      <c r="M419" s="158">
        <v>0.8996474098182804</v>
      </c>
      <c r="N419" s="158">
        <v>0.90174286435968676</v>
      </c>
      <c r="O419" s="158">
        <v>0.90406544372830933</v>
      </c>
      <c r="P419" s="158">
        <v>0.90583941605839413</v>
      </c>
      <c r="Q419" s="158">
        <v>0.9077263779527559</v>
      </c>
      <c r="R419" s="158">
        <v>0.90931372549019607</v>
      </c>
      <c r="S419" s="158">
        <v>0.91101799359132363</v>
      </c>
      <c r="T419" s="158">
        <v>0.91229423868312753</v>
      </c>
      <c r="U419" s="158">
        <v>0.9138616485555261</v>
      </c>
      <c r="V419" s="158">
        <v>0.91522633744855963</v>
      </c>
      <c r="W419" s="158">
        <v>0.91637059305821267</v>
      </c>
      <c r="X419" s="158">
        <v>0.91751990898748581</v>
      </c>
      <c r="Y419" s="158">
        <v>0.91846522781774576</v>
      </c>
      <c r="Z419" s="158">
        <v>0.91941282204913122</v>
      </c>
      <c r="AA419" s="158">
        <v>0.92028343666961909</v>
      </c>
      <c r="AB419" s="158">
        <v>0.9212715389185977</v>
      </c>
      <c r="AC419" s="158">
        <v>0.92195264542531419</v>
      </c>
      <c r="AD419" s="158">
        <v>0.92281972694343828</v>
      </c>
      <c r="AE419" s="158">
        <v>0.92340768610588553</v>
      </c>
      <c r="AF419" s="158">
        <v>0.9239159350891194</v>
      </c>
      <c r="AG419" s="158">
        <v>0.92456326098464792</v>
      </c>
      <c r="AH419" s="158">
        <v>0.92508757747237946</v>
      </c>
      <c r="AI419" s="158">
        <v>0.92549126637554591</v>
      </c>
      <c r="AJ419" s="158">
        <v>0.92595650977153865</v>
      </c>
      <c r="AK419" s="158">
        <v>0.92618579848442328</v>
      </c>
      <c r="AL419" s="158">
        <v>0.92630098452883258</v>
      </c>
      <c r="AM419" s="158">
        <v>0.92677410234662139</v>
      </c>
      <c r="AN419" s="158">
        <v>0.92711533091315279</v>
      </c>
      <c r="AO419" s="158">
        <v>0.92723778143876989</v>
      </c>
      <c r="AP419" s="158">
        <v>0.92725797728501891</v>
      </c>
      <c r="AQ419" s="158">
        <v>0.92763684913217626</v>
      </c>
      <c r="AR419" s="158">
        <v>0.92781597038603913</v>
      </c>
      <c r="AS419" s="158">
        <v>0.92802731809824013</v>
      </c>
      <c r="AT419" s="158">
        <v>0.92804814233385657</v>
      </c>
      <c r="AU419" s="158">
        <v>0.92819843342036557</v>
      </c>
      <c r="AV419" s="158">
        <v>0.92795614722004693</v>
      </c>
      <c r="AW419" s="158">
        <v>0.92810457516339873</v>
      </c>
      <c r="AX419" s="158">
        <v>0.92840283241542088</v>
      </c>
      <c r="AY419" s="158">
        <v>0.92836449828812218</v>
      </c>
      <c r="AZ419" s="158">
        <v>0.92851469420174737</v>
      </c>
      <c r="BA419" s="158">
        <v>0.92836218375499335</v>
      </c>
      <c r="BB419" s="158">
        <v>0.92843741624229426</v>
      </c>
      <c r="BC419" s="158">
        <v>0.92851362287564065</v>
      </c>
      <c r="BD419" s="158">
        <v>0.92835820895522392</v>
      </c>
      <c r="BE419" s="158">
        <v>0.92853246044735405</v>
      </c>
      <c r="BF419" s="158">
        <v>0.9285323110624315</v>
      </c>
      <c r="BG419" s="158">
        <v>0.92835575075487231</v>
      </c>
      <c r="BH419" s="158">
        <v>0.92855179994503989</v>
      </c>
      <c r="BI419" s="158">
        <v>0.92829670329670333</v>
      </c>
      <c r="BJ419" s="158">
        <v>0.92839506172839503</v>
      </c>
      <c r="BK419" s="158">
        <v>0.92827812756638384</v>
      </c>
      <c r="BL419" s="158">
        <v>0.92845439650464223</v>
      </c>
      <c r="BM419" s="158">
        <v>0.92839640620745989</v>
      </c>
      <c r="BN419" s="158">
        <v>0.92859082269888682</v>
      </c>
      <c r="BO419" s="158">
        <v>0.92853275582024908</v>
      </c>
      <c r="BP419" s="158">
        <v>0.92845572354211658</v>
      </c>
      <c r="BQ419" s="158">
        <v>0.92835981685968216</v>
      </c>
    </row>
    <row r="420" spans="1:69" s="124" customFormat="1">
      <c r="A420" s="124">
        <f>$A$45</f>
        <v>28</v>
      </c>
      <c r="B420" s="114"/>
      <c r="C420" s="114"/>
      <c r="D420" s="114"/>
      <c r="E420" s="114"/>
      <c r="F420" s="114"/>
      <c r="G420" s="114"/>
      <c r="H420" s="114"/>
      <c r="I420" s="114"/>
      <c r="J420" s="114"/>
      <c r="K420" s="114"/>
      <c r="L420" s="114"/>
      <c r="M420" s="158">
        <v>0.90591935945095792</v>
      </c>
      <c r="N420" s="158">
        <v>0.90789126418580102</v>
      </c>
      <c r="O420" s="158">
        <v>0.90969816922315683</v>
      </c>
      <c r="P420" s="158">
        <v>0.91142020497803811</v>
      </c>
      <c r="Q420" s="158">
        <v>0.91307488562484951</v>
      </c>
      <c r="R420" s="158">
        <v>0.91462818003913893</v>
      </c>
      <c r="S420" s="158">
        <v>0.91617933723196876</v>
      </c>
      <c r="T420" s="158">
        <v>0.91742220044106837</v>
      </c>
      <c r="U420" s="158">
        <v>0.91871165644171782</v>
      </c>
      <c r="V420" s="158">
        <v>0.91969457609268035</v>
      </c>
      <c r="W420" s="158">
        <v>0.92098092643051777</v>
      </c>
      <c r="X420" s="158">
        <v>0.92182410423452765</v>
      </c>
      <c r="Y420" s="158">
        <v>0.92290313470770968</v>
      </c>
      <c r="Z420" s="158">
        <v>0.92353466230288606</v>
      </c>
      <c r="AA420" s="158">
        <v>0.92447219744275944</v>
      </c>
      <c r="AB420" s="158">
        <v>0.92526377491207501</v>
      </c>
      <c r="AC420" s="158">
        <v>0.92598053671483338</v>
      </c>
      <c r="AD420" s="158">
        <v>0.92658154381892044</v>
      </c>
      <c r="AE420" s="158">
        <v>0.9272274488101826</v>
      </c>
      <c r="AF420" s="158">
        <v>0.92765616657768291</v>
      </c>
      <c r="AG420" s="158">
        <v>0.92811839323467227</v>
      </c>
      <c r="AH420" s="158">
        <v>0.92847751774914544</v>
      </c>
      <c r="AI420" s="158">
        <v>0.92906852248394001</v>
      </c>
      <c r="AJ420" s="158">
        <v>0.92924911900243967</v>
      </c>
      <c r="AK420" s="158">
        <v>0.92974302897758343</v>
      </c>
      <c r="AL420" s="158">
        <v>0.92978545555865144</v>
      </c>
      <c r="AM420" s="158">
        <v>0.93016759776536317</v>
      </c>
      <c r="AN420" s="158">
        <v>0.93037619314991582</v>
      </c>
      <c r="AO420" s="158">
        <v>0.93067110371602879</v>
      </c>
      <c r="AP420" s="158">
        <v>0.93075245365321702</v>
      </c>
      <c r="AQ420" s="158">
        <v>0.93096964813322591</v>
      </c>
      <c r="AR420" s="158">
        <v>0.93103448275862066</v>
      </c>
      <c r="AS420" s="158">
        <v>0.93093487394957986</v>
      </c>
      <c r="AT420" s="158">
        <v>0.93112444560396557</v>
      </c>
      <c r="AU420" s="158">
        <v>0.93113305613305608</v>
      </c>
      <c r="AV420" s="158">
        <v>0.93127593360995853</v>
      </c>
      <c r="AW420" s="158">
        <v>0.93153526970954359</v>
      </c>
      <c r="AX420" s="158">
        <v>0.93142857142857138</v>
      </c>
      <c r="AY420" s="158">
        <v>0.93149257619171655</v>
      </c>
      <c r="AZ420" s="158">
        <v>0.9314674339523934</v>
      </c>
      <c r="BA420" s="158">
        <v>0.93163292137785958</v>
      </c>
      <c r="BB420" s="158">
        <v>0.93174603174603177</v>
      </c>
      <c r="BC420" s="158">
        <v>0.93157614483493079</v>
      </c>
      <c r="BD420" s="158">
        <v>0.93142244843289579</v>
      </c>
      <c r="BE420" s="158">
        <v>0.93155483697116681</v>
      </c>
      <c r="BF420" s="158">
        <v>0.93174431202600216</v>
      </c>
      <c r="BG420" s="158">
        <v>0.93148450244698211</v>
      </c>
      <c r="BH420" s="158">
        <v>0.93158898882529295</v>
      </c>
      <c r="BI420" s="158">
        <v>0.93151432469304229</v>
      </c>
      <c r="BJ420" s="158">
        <v>0.93153300600109112</v>
      </c>
      <c r="BK420" s="158">
        <v>0.9316262598746935</v>
      </c>
      <c r="BL420" s="158">
        <v>0.93150312584941564</v>
      </c>
      <c r="BM420" s="158">
        <v>0.9316702819956616</v>
      </c>
      <c r="BN420" s="158">
        <v>0.93160313598269806</v>
      </c>
      <c r="BO420" s="158">
        <v>0.9317875438123483</v>
      </c>
      <c r="BP420" s="158">
        <v>0.93145161290322576</v>
      </c>
      <c r="BQ420" s="158">
        <v>0.93163538873994634</v>
      </c>
    </row>
    <row r="421" spans="1:69" s="124" customFormat="1">
      <c r="A421" s="124">
        <f>$A$46</f>
        <v>29</v>
      </c>
      <c r="B421" s="114"/>
      <c r="C421" s="114"/>
      <c r="D421" s="114"/>
      <c r="E421" s="114"/>
      <c r="F421" s="114"/>
      <c r="G421" s="114"/>
      <c r="H421" s="114"/>
      <c r="I421" s="114"/>
      <c r="J421" s="114"/>
      <c r="K421" s="114"/>
      <c r="L421" s="114"/>
      <c r="M421" s="158">
        <v>0.91211757648470304</v>
      </c>
      <c r="N421" s="158">
        <v>0.91411895497498608</v>
      </c>
      <c r="O421" s="158">
        <v>0.91587096774193544</v>
      </c>
      <c r="P421" s="158">
        <v>0.91753831184626611</v>
      </c>
      <c r="Q421" s="158">
        <v>0.91907514450867056</v>
      </c>
      <c r="R421" s="158">
        <v>0.92056297709923662</v>
      </c>
      <c r="S421" s="158">
        <v>0.92197722316452624</v>
      </c>
      <c r="T421" s="158">
        <v>0.92324402606806666</v>
      </c>
      <c r="U421" s="158">
        <v>0.92451456310679614</v>
      </c>
      <c r="V421" s="158">
        <v>0.92558845861807137</v>
      </c>
      <c r="W421" s="158">
        <v>0.92674661105318035</v>
      </c>
      <c r="X421" s="158">
        <v>0.92774332704232942</v>
      </c>
      <c r="Y421" s="158">
        <v>0.9285522428149342</v>
      </c>
      <c r="Z421" s="158">
        <v>0.92932960893854744</v>
      </c>
      <c r="AA421" s="158">
        <v>0.93029411764705883</v>
      </c>
      <c r="AB421" s="158">
        <v>0.93092298647854199</v>
      </c>
      <c r="AC421" s="158">
        <v>0.93161402492031298</v>
      </c>
      <c r="AD421" s="158">
        <v>0.93208976974642965</v>
      </c>
      <c r="AE421" s="158">
        <v>0.93285509325681493</v>
      </c>
      <c r="AF421" s="158">
        <v>0.93347933205584455</v>
      </c>
      <c r="AG421" s="158">
        <v>0.9336856010568032</v>
      </c>
      <c r="AH421" s="158">
        <v>0.93434475542767459</v>
      </c>
      <c r="AI421" s="158">
        <v>0.93466944299843835</v>
      </c>
      <c r="AJ421" s="158">
        <v>0.93509933774834442</v>
      </c>
      <c r="AK421" s="158">
        <v>0.93510324483775809</v>
      </c>
      <c r="AL421" s="158">
        <v>0.93537047052460787</v>
      </c>
      <c r="AM421" s="158">
        <v>0.93577728776185221</v>
      </c>
      <c r="AN421" s="158">
        <v>0.93591160220994474</v>
      </c>
      <c r="AO421" s="158">
        <v>0.93614658523042749</v>
      </c>
      <c r="AP421" s="158">
        <v>0.9363686231486561</v>
      </c>
      <c r="AQ421" s="158">
        <v>0.93660642028594554</v>
      </c>
      <c r="AR421" s="158">
        <v>0.93648684560191342</v>
      </c>
      <c r="AS421" s="158">
        <v>0.93674540682414698</v>
      </c>
      <c r="AT421" s="158">
        <v>0.93683389654276061</v>
      </c>
      <c r="AU421" s="158">
        <v>0.93698347107438018</v>
      </c>
      <c r="AV421" s="158">
        <v>0.93696938512992023</v>
      </c>
      <c r="AW421" s="158">
        <v>0.93709884467265725</v>
      </c>
      <c r="AX421" s="158">
        <v>0.93685831622176596</v>
      </c>
      <c r="AY421" s="158">
        <v>0.93701799485861181</v>
      </c>
      <c r="AZ421" s="158">
        <v>0.93709718999742198</v>
      </c>
      <c r="BA421" s="158">
        <v>0.93709552161532483</v>
      </c>
      <c r="BB421" s="158">
        <v>0.93702836325787142</v>
      </c>
      <c r="BC421" s="158">
        <v>0.93717277486910999</v>
      </c>
      <c r="BD421" s="158">
        <v>0.93730242360379346</v>
      </c>
      <c r="BE421" s="158">
        <v>0.93718526371587596</v>
      </c>
      <c r="BF421" s="158">
        <v>0.93708344441482272</v>
      </c>
      <c r="BG421" s="158">
        <v>0.93729903536977488</v>
      </c>
      <c r="BH421" s="158">
        <v>0.93706293706293708</v>
      </c>
      <c r="BI421" s="158">
        <v>0.93743257820927728</v>
      </c>
      <c r="BJ421" s="158">
        <v>0.93711201079622131</v>
      </c>
      <c r="BK421" s="158">
        <v>0.93712898003237988</v>
      </c>
      <c r="BL421" s="158">
        <v>0.93721368903260571</v>
      </c>
      <c r="BM421" s="158">
        <v>0.93707986017746703</v>
      </c>
      <c r="BN421" s="158">
        <v>0.9372317596566524</v>
      </c>
      <c r="BO421" s="158">
        <v>0.93714897031291788</v>
      </c>
      <c r="BP421" s="158">
        <v>0.93731661776473729</v>
      </c>
      <c r="BQ421" s="158">
        <v>0.93723404255319154</v>
      </c>
    </row>
    <row r="422" spans="1:69" s="124" customFormat="1">
      <c r="A422" s="124">
        <f>$A$47</f>
        <v>30</v>
      </c>
      <c r="B422" s="114"/>
      <c r="C422" s="114"/>
      <c r="D422" s="114"/>
      <c r="E422" s="114"/>
      <c r="F422" s="114"/>
      <c r="G422" s="114"/>
      <c r="H422" s="114"/>
      <c r="I422" s="114"/>
      <c r="J422" s="114"/>
      <c r="K422" s="114"/>
      <c r="L422" s="114"/>
      <c r="M422" s="158">
        <v>0.91547545059042879</v>
      </c>
      <c r="N422" s="158">
        <v>0.91746864975211428</v>
      </c>
      <c r="O422" s="158">
        <v>0.91899972818700737</v>
      </c>
      <c r="P422" s="158">
        <v>0.92055837563451781</v>
      </c>
      <c r="Q422" s="158">
        <v>0.92191254204709272</v>
      </c>
      <c r="R422" s="158">
        <v>0.92335243553008595</v>
      </c>
      <c r="S422" s="158">
        <v>0.92455061494796598</v>
      </c>
      <c r="T422" s="158">
        <v>0.92577468171991351</v>
      </c>
      <c r="U422" s="158">
        <v>0.92701603254367071</v>
      </c>
      <c r="V422" s="158">
        <v>0.92805582290664101</v>
      </c>
      <c r="W422" s="158">
        <v>0.92901931276649108</v>
      </c>
      <c r="X422" s="158">
        <v>0.92977020397624577</v>
      </c>
      <c r="Y422" s="158">
        <v>0.93084112149532705</v>
      </c>
      <c r="Z422" s="158">
        <v>0.93163075285980312</v>
      </c>
      <c r="AA422" s="158">
        <v>0.93252212389380529</v>
      </c>
      <c r="AB422" s="158">
        <v>0.9327902240325866</v>
      </c>
      <c r="AC422" s="158">
        <v>0.93341087525443445</v>
      </c>
      <c r="AD422" s="158">
        <v>0.93405963302752293</v>
      </c>
      <c r="AE422" s="158">
        <v>0.93481396019613494</v>
      </c>
      <c r="AF422" s="158">
        <v>0.93526405451448036</v>
      </c>
      <c r="AG422" s="158">
        <v>0.93550135501355014</v>
      </c>
      <c r="AH422" s="158">
        <v>0.9358974358974359</v>
      </c>
      <c r="AI422" s="158">
        <v>0.93626943005181351</v>
      </c>
      <c r="AJ422" s="158">
        <v>0.93658159319412215</v>
      </c>
      <c r="AK422" s="158">
        <v>0.93704092339979017</v>
      </c>
      <c r="AL422" s="158">
        <v>0.937068507700478</v>
      </c>
      <c r="AM422" s="158">
        <v>0.9373493975903614</v>
      </c>
      <c r="AN422" s="158">
        <v>0.93751705320600276</v>
      </c>
      <c r="AO422" s="158">
        <v>0.93765381460213293</v>
      </c>
      <c r="AP422" s="158">
        <v>0.93789502610607312</v>
      </c>
      <c r="AQ422" s="158">
        <v>0.93809394515340749</v>
      </c>
      <c r="AR422" s="158">
        <v>0.93830128205128205</v>
      </c>
      <c r="AS422" s="158">
        <v>0.93815789473684208</v>
      </c>
      <c r="AT422" s="158">
        <v>0.93839355341824804</v>
      </c>
      <c r="AU422" s="158">
        <v>0.93846549948506697</v>
      </c>
      <c r="AV422" s="158">
        <v>0.93860322333077517</v>
      </c>
      <c r="AW422" s="158">
        <v>0.93858307849133538</v>
      </c>
      <c r="AX422" s="158">
        <v>0.93870803662258395</v>
      </c>
      <c r="AY422" s="158">
        <v>0.93872362064581749</v>
      </c>
      <c r="AZ422" s="158">
        <v>0.93862999745352682</v>
      </c>
      <c r="BA422" s="158">
        <v>0.93871297242083762</v>
      </c>
      <c r="BB422" s="158">
        <v>0.93871794871794867</v>
      </c>
      <c r="BC422" s="158">
        <v>0.93865979381443299</v>
      </c>
      <c r="BD422" s="158">
        <v>0.93881254861291163</v>
      </c>
      <c r="BE422" s="158">
        <v>0.93870631194574861</v>
      </c>
      <c r="BF422" s="158">
        <v>0.93884514435695543</v>
      </c>
      <c r="BG422" s="158">
        <v>0.93875395987328403</v>
      </c>
      <c r="BH422" s="158">
        <v>0.93897585566463249</v>
      </c>
      <c r="BI422" s="158">
        <v>0.93874833555259651</v>
      </c>
      <c r="BJ422" s="158">
        <v>0.93886812600106784</v>
      </c>
      <c r="BK422" s="158">
        <v>0.9388027792624265</v>
      </c>
      <c r="BL422" s="158">
        <v>0.93881912904087628</v>
      </c>
      <c r="BM422" s="158">
        <v>0.9389007470651014</v>
      </c>
      <c r="BN422" s="158">
        <v>0.93876464323748665</v>
      </c>
      <c r="BO422" s="158">
        <v>0.93866171003717469</v>
      </c>
      <c r="BP422" s="158">
        <v>0.93882415254237284</v>
      </c>
      <c r="BQ422" s="158">
        <v>0.93873778716662271</v>
      </c>
    </row>
    <row r="423" spans="1:69" s="124" customFormat="1">
      <c r="A423" s="124">
        <f>$A$48</f>
        <v>31</v>
      </c>
      <c r="B423" s="114"/>
      <c r="C423" s="114"/>
      <c r="D423" s="114"/>
      <c r="E423" s="114"/>
      <c r="F423" s="114"/>
      <c r="G423" s="114"/>
      <c r="H423" s="114"/>
      <c r="I423" s="114"/>
      <c r="J423" s="114"/>
      <c r="K423" s="114"/>
      <c r="L423" s="114"/>
      <c r="M423" s="158">
        <v>0.91884057971014488</v>
      </c>
      <c r="N423" s="158">
        <v>0.92030303030303029</v>
      </c>
      <c r="O423" s="158">
        <v>0.92193308550185871</v>
      </c>
      <c r="P423" s="158">
        <v>0.92338601660862574</v>
      </c>
      <c r="Q423" s="158">
        <v>0.92489324290379304</v>
      </c>
      <c r="R423" s="158">
        <v>0.92623537837192649</v>
      </c>
      <c r="S423" s="158">
        <v>0.92740213523131676</v>
      </c>
      <c r="T423" s="158">
        <v>0.92855464159811985</v>
      </c>
      <c r="U423" s="158">
        <v>0.92959427207637235</v>
      </c>
      <c r="V423" s="158">
        <v>0.9305753685211603</v>
      </c>
      <c r="W423" s="158">
        <v>0.93162801816877838</v>
      </c>
      <c r="X423" s="158">
        <v>0.93250311332503111</v>
      </c>
      <c r="Y423" s="158">
        <v>0.93309407844142522</v>
      </c>
      <c r="Z423" s="158">
        <v>0.93400477073946464</v>
      </c>
      <c r="AA423" s="158">
        <v>0.9347768682334302</v>
      </c>
      <c r="AB423" s="158">
        <v>0.9352537722908093</v>
      </c>
      <c r="AC423" s="158">
        <v>0.93593073593073595</v>
      </c>
      <c r="AD423" s="158">
        <v>0.93654456302278632</v>
      </c>
      <c r="AE423" s="158">
        <v>0.93686006825938561</v>
      </c>
      <c r="AF423" s="158">
        <v>0.93735697940503437</v>
      </c>
      <c r="AG423" s="158">
        <v>0.93776401013798927</v>
      </c>
      <c r="AH423" s="158">
        <v>0.9381554181231514</v>
      </c>
      <c r="AI423" s="158">
        <v>0.93844155844155841</v>
      </c>
      <c r="AJ423" s="158">
        <v>0.93878600823045266</v>
      </c>
      <c r="AK423" s="158">
        <v>0.93908369593038132</v>
      </c>
      <c r="AL423" s="158">
        <v>0.93933871387659462</v>
      </c>
      <c r="AM423" s="158">
        <v>0.93964153927253558</v>
      </c>
      <c r="AN423" s="158">
        <v>0.9396757905926123</v>
      </c>
      <c r="AO423" s="158">
        <v>0.93963183540877093</v>
      </c>
      <c r="AP423" s="158">
        <v>0.94002713704206242</v>
      </c>
      <c r="AQ423" s="158">
        <v>0.94027815653122448</v>
      </c>
      <c r="AR423" s="158">
        <v>0.94019396551724133</v>
      </c>
      <c r="AS423" s="158">
        <v>0.94036575669228728</v>
      </c>
      <c r="AT423" s="158">
        <v>0.94043887147335425</v>
      </c>
      <c r="AU423" s="158">
        <v>0.94040247678018574</v>
      </c>
      <c r="AV423" s="158">
        <v>0.94071045233835926</v>
      </c>
      <c r="AW423" s="158">
        <v>0.9405789740985272</v>
      </c>
      <c r="AX423" s="158">
        <v>0.94080445231469767</v>
      </c>
      <c r="AY423" s="158">
        <v>0.94067154758899263</v>
      </c>
      <c r="AZ423" s="158">
        <v>0.9406865219586068</v>
      </c>
      <c r="BA423" s="158">
        <v>0.94084934277047527</v>
      </c>
      <c r="BB423" s="158">
        <v>0.94068441064638786</v>
      </c>
      <c r="BC423" s="158">
        <v>0.94069737846780355</v>
      </c>
      <c r="BD423" s="158">
        <v>0.94090560245587107</v>
      </c>
      <c r="BE423" s="158">
        <v>0.94081317550180132</v>
      </c>
      <c r="BF423" s="158">
        <v>0.94071964794201401</v>
      </c>
      <c r="BG423" s="158">
        <v>0.94087001823391503</v>
      </c>
      <c r="BH423" s="158">
        <v>0.9407911972753471</v>
      </c>
      <c r="BI423" s="158">
        <v>0.94102159031068988</v>
      </c>
      <c r="BJ423" s="158">
        <v>0.94080338266384778</v>
      </c>
      <c r="BK423" s="158">
        <v>0.94092715231788082</v>
      </c>
      <c r="BL423" s="158">
        <v>0.9408644921771413</v>
      </c>
      <c r="BM423" s="158">
        <v>0.94088016967126198</v>
      </c>
      <c r="BN423" s="158">
        <v>0.94095843261848022</v>
      </c>
      <c r="BO423" s="158">
        <v>0.94081902245706739</v>
      </c>
      <c r="BP423" s="158">
        <v>0.94071146245059289</v>
      </c>
      <c r="BQ423" s="158">
        <v>0.94086727989487517</v>
      </c>
    </row>
    <row r="424" spans="1:69" s="124" customFormat="1">
      <c r="A424" s="124">
        <f>$A$49</f>
        <v>32</v>
      </c>
      <c r="B424" s="114"/>
      <c r="C424" s="114"/>
      <c r="D424" s="114"/>
      <c r="E424" s="114"/>
      <c r="F424" s="114"/>
      <c r="G424" s="114"/>
      <c r="H424" s="114"/>
      <c r="I424" s="114"/>
      <c r="J424" s="114"/>
      <c r="K424" s="114"/>
      <c r="L424" s="114"/>
      <c r="M424" s="158">
        <v>0.92184368737474953</v>
      </c>
      <c r="N424" s="158">
        <v>0.92324699936828802</v>
      </c>
      <c r="O424" s="158">
        <v>0.92475365780830099</v>
      </c>
      <c r="P424" s="158">
        <v>0.9261877828054299</v>
      </c>
      <c r="Q424" s="158">
        <v>0.92765957446808511</v>
      </c>
      <c r="R424" s="158">
        <v>0.92894671003252438</v>
      </c>
      <c r="S424" s="158">
        <v>0.93008323424494654</v>
      </c>
      <c r="T424" s="158">
        <v>0.93122193334909009</v>
      </c>
      <c r="U424" s="158">
        <v>0.93233434792788572</v>
      </c>
      <c r="V424" s="158">
        <v>0.9331906799809796</v>
      </c>
      <c r="W424" s="158">
        <v>0.93415442918048319</v>
      </c>
      <c r="X424" s="158">
        <v>0.93498452012383904</v>
      </c>
      <c r="Y424" s="158">
        <v>0.93574795336144878</v>
      </c>
      <c r="Z424" s="158">
        <v>0.93643094204748534</v>
      </c>
      <c r="AA424" s="158">
        <v>0.93720316622691291</v>
      </c>
      <c r="AB424" s="158">
        <v>0.93794372863528797</v>
      </c>
      <c r="AC424" s="158">
        <v>0.93826823272329962</v>
      </c>
      <c r="AD424" s="158">
        <v>0.93909796035621951</v>
      </c>
      <c r="AE424" s="158">
        <v>0.93915040183696896</v>
      </c>
      <c r="AF424" s="158">
        <v>0.9399773499433749</v>
      </c>
      <c r="AG424" s="158">
        <v>0.94020501138952162</v>
      </c>
      <c r="AH424" s="158">
        <v>0.94056630221474624</v>
      </c>
      <c r="AI424" s="158">
        <v>0.94082998661311912</v>
      </c>
      <c r="AJ424" s="158">
        <v>0.94103956555469359</v>
      </c>
      <c r="AK424" s="158">
        <v>0.94135723431498075</v>
      </c>
      <c r="AL424" s="158">
        <v>0.94164118246687056</v>
      </c>
      <c r="AM424" s="158">
        <v>0.94192377495462798</v>
      </c>
      <c r="AN424" s="158">
        <v>0.94200997113618468</v>
      </c>
      <c r="AO424" s="158">
        <v>0.94232804232804235</v>
      </c>
      <c r="AP424" s="158">
        <v>0.94258760107816708</v>
      </c>
      <c r="AQ424" s="158">
        <v>0.94246353322528365</v>
      </c>
      <c r="AR424" s="158">
        <v>0.94272529858849075</v>
      </c>
      <c r="AS424" s="158">
        <v>0.94286480686695284</v>
      </c>
      <c r="AT424" s="158">
        <v>0.94274406332453831</v>
      </c>
      <c r="AU424" s="158">
        <v>0.9430429128738621</v>
      </c>
      <c r="AV424" s="158">
        <v>0.94271769843308506</v>
      </c>
      <c r="AW424" s="158">
        <v>0.94300254452926213</v>
      </c>
      <c r="AX424" s="158">
        <v>0.94310998735777496</v>
      </c>
      <c r="AY424" s="158">
        <v>0.94307304785894208</v>
      </c>
      <c r="AZ424" s="158">
        <v>0.94318753142282552</v>
      </c>
      <c r="BA424" s="158">
        <v>0.94295049007288267</v>
      </c>
      <c r="BB424" s="158">
        <v>0.94311603322426374</v>
      </c>
      <c r="BC424" s="158">
        <v>0.94295810196870267</v>
      </c>
      <c r="BD424" s="158">
        <v>0.94298023314749113</v>
      </c>
      <c r="BE424" s="158">
        <v>0.94319918492103927</v>
      </c>
      <c r="BF424" s="158">
        <v>0.94313524590163933</v>
      </c>
      <c r="BG424" s="158">
        <v>0.94304123711340204</v>
      </c>
      <c r="BH424" s="158">
        <v>0.94320539419087135</v>
      </c>
      <c r="BI424" s="158">
        <v>0.94314032342201359</v>
      </c>
      <c r="BJ424" s="158">
        <v>0.94313417190775684</v>
      </c>
      <c r="BK424" s="158">
        <v>0.94317284925019729</v>
      </c>
      <c r="BL424" s="158">
        <v>0.94330168776371304</v>
      </c>
      <c r="BM424" s="158">
        <v>0.94299287410926369</v>
      </c>
      <c r="BN424" s="158">
        <v>0.94300791556728236</v>
      </c>
      <c r="BO424" s="158">
        <v>0.94308300395256917</v>
      </c>
      <c r="BP424" s="158">
        <v>0.94293978438075199</v>
      </c>
      <c r="BQ424" s="158">
        <v>0.94307450157397688</v>
      </c>
    </row>
    <row r="425" spans="1:69" s="124" customFormat="1">
      <c r="A425" s="124">
        <f>$A$50</f>
        <v>33</v>
      </c>
      <c r="B425" s="114"/>
      <c r="C425" s="114"/>
      <c r="D425" s="114"/>
      <c r="E425" s="114"/>
      <c r="F425" s="114"/>
      <c r="G425" s="114"/>
      <c r="H425" s="114"/>
      <c r="I425" s="114"/>
      <c r="J425" s="114"/>
      <c r="K425" s="114"/>
      <c r="L425" s="114"/>
      <c r="M425" s="158">
        <v>0.92331081081081079</v>
      </c>
      <c r="N425" s="158">
        <v>0.92504930966469423</v>
      </c>
      <c r="O425" s="158">
        <v>0.9263650546021841</v>
      </c>
      <c r="P425" s="158">
        <v>0.92776791000592063</v>
      </c>
      <c r="Q425" s="158">
        <v>0.92885264341957252</v>
      </c>
      <c r="R425" s="158">
        <v>0.92999204455051709</v>
      </c>
      <c r="S425" s="158">
        <v>0.93137010232093831</v>
      </c>
      <c r="T425" s="158">
        <v>0.93238434163701067</v>
      </c>
      <c r="U425" s="158">
        <v>0.93327045508134876</v>
      </c>
      <c r="V425" s="158">
        <v>0.93412754029432377</v>
      </c>
      <c r="W425" s="158">
        <v>0.9350094876660342</v>
      </c>
      <c r="X425" s="158">
        <v>0.93574297188755018</v>
      </c>
      <c r="Y425" s="158">
        <v>0.93657957244655587</v>
      </c>
      <c r="Z425" s="158">
        <v>0.93715982187036118</v>
      </c>
      <c r="AA425" s="158">
        <v>0.93786605551311431</v>
      </c>
      <c r="AB425" s="158">
        <v>0.93842105263157893</v>
      </c>
      <c r="AC425" s="158">
        <v>0.9389092815941269</v>
      </c>
      <c r="AD425" s="158">
        <v>0.93927015250544665</v>
      </c>
      <c r="AE425" s="158">
        <v>0.93987975951903813</v>
      </c>
      <c r="AF425" s="158">
        <v>0.94020028612303286</v>
      </c>
      <c r="AG425" s="158">
        <v>0.94046275395033863</v>
      </c>
      <c r="AH425" s="158">
        <v>0.94097616345062429</v>
      </c>
      <c r="AI425" s="158">
        <v>0.94130799329234205</v>
      </c>
      <c r="AJ425" s="158">
        <v>0.94153764014949282</v>
      </c>
      <c r="AK425" s="158">
        <v>0.94172253739040745</v>
      </c>
      <c r="AL425" s="158">
        <v>0.94203268641470894</v>
      </c>
      <c r="AM425" s="158">
        <v>0.94231257941550195</v>
      </c>
      <c r="AN425" s="158">
        <v>0.94236236753683122</v>
      </c>
      <c r="AO425" s="158">
        <v>0.94243851386708533</v>
      </c>
      <c r="AP425" s="158">
        <v>0.94275916644684776</v>
      </c>
      <c r="AQ425" s="158">
        <v>0.94277270284793124</v>
      </c>
      <c r="AR425" s="158">
        <v>0.94290331268516026</v>
      </c>
      <c r="AS425" s="158">
        <v>0.94291125541125542</v>
      </c>
      <c r="AT425" s="158">
        <v>0.94304812834224594</v>
      </c>
      <c r="AU425" s="158">
        <v>0.94317284925019729</v>
      </c>
      <c r="AV425" s="158">
        <v>0.94322011926367644</v>
      </c>
      <c r="AW425" s="158">
        <v>0.94313524590163933</v>
      </c>
      <c r="AX425" s="158">
        <v>0.94341537680791676</v>
      </c>
      <c r="AY425" s="158">
        <v>0.94328207713637513</v>
      </c>
      <c r="AZ425" s="158">
        <v>0.94324460070316429</v>
      </c>
      <c r="BA425" s="158">
        <v>0.94310776942355889</v>
      </c>
      <c r="BB425" s="158">
        <v>0.94335839598997495</v>
      </c>
      <c r="BC425" s="158">
        <v>0.94328732747804267</v>
      </c>
      <c r="BD425" s="158">
        <v>0.94336773219229797</v>
      </c>
      <c r="BE425" s="158">
        <v>0.94315310763011617</v>
      </c>
      <c r="BF425" s="158">
        <v>0.9433722701879127</v>
      </c>
      <c r="BG425" s="158">
        <v>0.94355044699872281</v>
      </c>
      <c r="BH425" s="158">
        <v>0.94345926497044463</v>
      </c>
      <c r="BI425" s="158">
        <v>0.94338159255429166</v>
      </c>
      <c r="BJ425" s="158">
        <v>0.94331773270930841</v>
      </c>
      <c r="BK425" s="158">
        <v>0.94355892343872483</v>
      </c>
      <c r="BL425" s="158">
        <v>0.94335169158143195</v>
      </c>
      <c r="BM425" s="158">
        <v>0.94348054679284965</v>
      </c>
      <c r="BN425" s="158">
        <v>0.94317284925019729</v>
      </c>
      <c r="BO425" s="158">
        <v>0.94318779589689639</v>
      </c>
      <c r="BP425" s="158">
        <v>0.94326241134751776</v>
      </c>
      <c r="BQ425" s="158">
        <v>0.9433813892529489</v>
      </c>
    </row>
    <row r="426" spans="1:69" s="124" customFormat="1">
      <c r="A426" s="124">
        <f>$A$51</f>
        <v>34</v>
      </c>
      <c r="B426" s="114"/>
      <c r="C426" s="114"/>
      <c r="D426" s="114"/>
      <c r="E426" s="114"/>
      <c r="F426" s="114"/>
      <c r="G426" s="114"/>
      <c r="H426" s="114"/>
      <c r="I426" s="114"/>
      <c r="J426" s="114"/>
      <c r="K426" s="114"/>
      <c r="L426" s="114"/>
      <c r="M426" s="158">
        <v>0.92407660738714092</v>
      </c>
      <c r="N426" s="158">
        <v>0.92545757071547419</v>
      </c>
      <c r="O426" s="158">
        <v>0.92692432607989605</v>
      </c>
      <c r="P426" s="158">
        <v>0.92793071450665021</v>
      </c>
      <c r="Q426" s="158">
        <v>0.9290759270158917</v>
      </c>
      <c r="R426" s="158">
        <v>0.93045429052159279</v>
      </c>
      <c r="S426" s="158">
        <v>0.93149960327955572</v>
      </c>
      <c r="T426" s="158">
        <v>0.93230462916874068</v>
      </c>
      <c r="U426" s="158">
        <v>0.93325443786982254</v>
      </c>
      <c r="V426" s="158">
        <v>0.93413314514231949</v>
      </c>
      <c r="W426" s="158">
        <v>0.93476234855545204</v>
      </c>
      <c r="X426" s="158">
        <v>0.93565176247929971</v>
      </c>
      <c r="Y426" s="158">
        <v>0.93613009662974311</v>
      </c>
      <c r="Z426" s="158">
        <v>0.93696682464454972</v>
      </c>
      <c r="AA426" s="158">
        <v>0.93756169792694966</v>
      </c>
      <c r="AB426" s="158">
        <v>0.93803961401726765</v>
      </c>
      <c r="AC426" s="158">
        <v>0.93859879296772497</v>
      </c>
      <c r="AD426" s="158">
        <v>0.93882352941176472</v>
      </c>
      <c r="AE426" s="158">
        <v>0.93918001629106707</v>
      </c>
      <c r="AF426" s="158">
        <v>0.93949771689497719</v>
      </c>
      <c r="AG426" s="158">
        <v>0.94010268111808326</v>
      </c>
      <c r="AH426" s="158">
        <v>0.940365682137834</v>
      </c>
      <c r="AI426" s="158">
        <v>0.94059405940594054</v>
      </c>
      <c r="AJ426" s="158">
        <v>0.94066852367688025</v>
      </c>
      <c r="AK426" s="158">
        <v>0.94092602448110696</v>
      </c>
      <c r="AL426" s="158">
        <v>0.94111596811519671</v>
      </c>
      <c r="AM426" s="158">
        <v>0.94143111790170608</v>
      </c>
      <c r="AN426" s="158">
        <v>0.94171312721743539</v>
      </c>
      <c r="AO426" s="158">
        <v>0.94175257731958761</v>
      </c>
      <c r="AP426" s="158">
        <v>0.94182102791547095</v>
      </c>
      <c r="AQ426" s="158">
        <v>0.94188798317118061</v>
      </c>
      <c r="AR426" s="158">
        <v>0.94213769086525578</v>
      </c>
      <c r="AS426" s="158">
        <v>0.94201342281879197</v>
      </c>
      <c r="AT426" s="158">
        <v>0.94227137847315889</v>
      </c>
      <c r="AU426" s="158">
        <v>0.94241535590509196</v>
      </c>
      <c r="AV426" s="158">
        <v>0.9423026488329399</v>
      </c>
      <c r="AW426" s="158">
        <v>0.94234746639089972</v>
      </c>
      <c r="AX426" s="158">
        <v>0.94228804902962204</v>
      </c>
      <c r="AY426" s="158">
        <v>0.94232228687073105</v>
      </c>
      <c r="AZ426" s="158">
        <v>0.94243338360985418</v>
      </c>
      <c r="BA426" s="158">
        <v>0.94239919859754573</v>
      </c>
      <c r="BB426" s="158">
        <v>0.94251437140714822</v>
      </c>
      <c r="BC426" s="158">
        <v>0.94252873563218387</v>
      </c>
      <c r="BD426" s="158">
        <v>0.94244244244244246</v>
      </c>
      <c r="BE426" s="158">
        <v>0.94253450439146802</v>
      </c>
      <c r="BF426" s="158">
        <v>0.94255479969765688</v>
      </c>
      <c r="BG426" s="158">
        <v>0.94227848101265821</v>
      </c>
      <c r="BH426" s="158">
        <v>0.94244970715558951</v>
      </c>
      <c r="BI426" s="158">
        <v>0.94260825006405324</v>
      </c>
      <c r="BJ426" s="158">
        <v>0.94252577319587627</v>
      </c>
      <c r="BK426" s="158">
        <v>0.94245723172628304</v>
      </c>
      <c r="BL426" s="158">
        <v>0.94269340974212035</v>
      </c>
      <c r="BM426" s="158">
        <v>0.94248366013071894</v>
      </c>
      <c r="BN426" s="158">
        <v>0.9426100628930818</v>
      </c>
      <c r="BO426" s="158">
        <v>0.9423026488329399</v>
      </c>
      <c r="BP426" s="158">
        <v>0.94231777661248028</v>
      </c>
      <c r="BQ426" s="158">
        <v>0.9423932966745221</v>
      </c>
    </row>
    <row r="427" spans="1:69" s="124" customFormat="1">
      <c r="A427" s="124">
        <f>$A$52</f>
        <v>35</v>
      </c>
      <c r="B427" s="114"/>
      <c r="C427" s="114"/>
      <c r="D427" s="114"/>
      <c r="E427" s="114"/>
      <c r="F427" s="114"/>
      <c r="G427" s="114"/>
      <c r="H427" s="114"/>
      <c r="I427" s="114"/>
      <c r="J427" s="114"/>
      <c r="K427" s="114"/>
      <c r="L427" s="114"/>
      <c r="M427" s="158">
        <v>0.92416725726435156</v>
      </c>
      <c r="N427" s="158">
        <v>0.92580101180438445</v>
      </c>
      <c r="O427" s="158">
        <v>0.92692560895325871</v>
      </c>
      <c r="P427" s="158">
        <v>0.92783505154639179</v>
      </c>
      <c r="Q427" s="158">
        <v>0.92892307692307696</v>
      </c>
      <c r="R427" s="158">
        <v>0.9301438215438802</v>
      </c>
      <c r="S427" s="158">
        <v>0.93092841163310958</v>
      </c>
      <c r="T427" s="158">
        <v>0.93168029543656028</v>
      </c>
      <c r="U427" s="158">
        <v>0.93270424633722371</v>
      </c>
      <c r="V427" s="158">
        <v>0.93341204250295162</v>
      </c>
      <c r="W427" s="158">
        <v>0.93405303919267779</v>
      </c>
      <c r="X427" s="158">
        <v>0.93489886073006279</v>
      </c>
      <c r="Y427" s="158">
        <v>0.93555240793201133</v>
      </c>
      <c r="Z427" s="158">
        <v>0.93626528692380051</v>
      </c>
      <c r="AA427" s="158">
        <v>0.93664302600472815</v>
      </c>
      <c r="AB427" s="158">
        <v>0.93722304283604141</v>
      </c>
      <c r="AC427" s="158">
        <v>0.93768996960486317</v>
      </c>
      <c r="AD427" s="158">
        <v>0.93797435226380532</v>
      </c>
      <c r="AE427" s="158">
        <v>0.93846153846153846</v>
      </c>
      <c r="AF427" s="158">
        <v>0.93880314107771456</v>
      </c>
      <c r="AG427" s="158">
        <v>0.93910073989755261</v>
      </c>
      <c r="AH427" s="158">
        <v>0.93941979522184305</v>
      </c>
      <c r="AI427" s="158">
        <v>0.93969144460028053</v>
      </c>
      <c r="AJ427" s="158">
        <v>0.93991537376586742</v>
      </c>
      <c r="AK427" s="158">
        <v>0.94</v>
      </c>
      <c r="AL427" s="158">
        <v>0.9402866242038217</v>
      </c>
      <c r="AM427" s="158">
        <v>0.94049756347781488</v>
      </c>
      <c r="AN427" s="158">
        <v>0.94056388112776224</v>
      </c>
      <c r="AO427" s="158">
        <v>0.94061157442506949</v>
      </c>
      <c r="AP427" s="158">
        <v>0.94087403598971719</v>
      </c>
      <c r="AQ427" s="158">
        <v>0.94094693028095733</v>
      </c>
      <c r="AR427" s="158">
        <v>0.94099134539732499</v>
      </c>
      <c r="AS427" s="158">
        <v>0.94097222222222221</v>
      </c>
      <c r="AT427" s="158">
        <v>0.94136546184738956</v>
      </c>
      <c r="AU427" s="158">
        <v>0.94109736417428724</v>
      </c>
      <c r="AV427" s="158">
        <v>0.94125465178096757</v>
      </c>
      <c r="AW427" s="158">
        <v>0.94116108786610875</v>
      </c>
      <c r="AX427" s="158">
        <v>0.94122196442382056</v>
      </c>
      <c r="AY427" s="158">
        <v>0.94141619969434542</v>
      </c>
      <c r="AZ427" s="158">
        <v>0.94122098890010086</v>
      </c>
      <c r="BA427" s="158">
        <v>0.94133868137377785</v>
      </c>
      <c r="BB427" s="158">
        <v>0.94130869130869133</v>
      </c>
      <c r="BC427" s="158">
        <v>0.9414257228315055</v>
      </c>
      <c r="BD427" s="158">
        <v>0.9414403189633691</v>
      </c>
      <c r="BE427" s="158">
        <v>0.9413526328924382</v>
      </c>
      <c r="BF427" s="158">
        <v>0.94144144144144148</v>
      </c>
      <c r="BG427" s="158">
        <v>0.94145728643216076</v>
      </c>
      <c r="BH427" s="158">
        <v>0.94141414141414137</v>
      </c>
      <c r="BI427" s="158">
        <v>0.94134078212290506</v>
      </c>
      <c r="BJ427" s="158">
        <v>0.94149207971384774</v>
      </c>
      <c r="BK427" s="158">
        <v>0.94140323824209715</v>
      </c>
      <c r="BL427" s="158">
        <v>0.9413285086585681</v>
      </c>
      <c r="BM427" s="158">
        <v>0.94155844155844159</v>
      </c>
      <c r="BN427" s="158">
        <v>0.94134515119916584</v>
      </c>
      <c r="BO427" s="158">
        <v>0.94146851319571467</v>
      </c>
      <c r="BP427" s="158">
        <v>0.94142259414225937</v>
      </c>
      <c r="BQ427" s="158">
        <v>0.94143790849673203</v>
      </c>
    </row>
    <row r="428" spans="1:69" s="124" customFormat="1">
      <c r="A428" s="124">
        <f>$A$53</f>
        <v>36</v>
      </c>
      <c r="B428" s="114"/>
      <c r="C428" s="114"/>
      <c r="D428" s="114"/>
      <c r="E428" s="114"/>
      <c r="F428" s="114"/>
      <c r="G428" s="114"/>
      <c r="H428" s="114"/>
      <c r="I428" s="114"/>
      <c r="J428" s="114"/>
      <c r="K428" s="114"/>
      <c r="L428" s="114"/>
      <c r="M428" s="158">
        <v>0.92373485388453314</v>
      </c>
      <c r="N428" s="158">
        <v>0.92517482517482519</v>
      </c>
      <c r="O428" s="158">
        <v>0.92623497997329773</v>
      </c>
      <c r="P428" s="158">
        <v>0.92780137210062075</v>
      </c>
      <c r="Q428" s="158">
        <v>0.92884615384615388</v>
      </c>
      <c r="R428" s="158">
        <v>0.93001841620626147</v>
      </c>
      <c r="S428" s="158">
        <v>0.93062060889929743</v>
      </c>
      <c r="T428" s="158">
        <v>0.931640625</v>
      </c>
      <c r="U428" s="158">
        <v>0.93235061858383783</v>
      </c>
      <c r="V428" s="158">
        <v>0.93333333333333335</v>
      </c>
      <c r="W428" s="158">
        <v>0.93399339933993397</v>
      </c>
      <c r="X428" s="158">
        <v>0.93462980318650424</v>
      </c>
      <c r="Y428" s="158">
        <v>0.93525179856115104</v>
      </c>
      <c r="Z428" s="158">
        <v>0.93590951932139488</v>
      </c>
      <c r="AA428" s="158">
        <v>0.93638497652582164</v>
      </c>
      <c r="AB428" s="158">
        <v>0.93676262387918829</v>
      </c>
      <c r="AC428" s="158">
        <v>0.9373464373464373</v>
      </c>
      <c r="AD428" s="158">
        <v>0.93781597573306374</v>
      </c>
      <c r="AE428" s="158">
        <v>0.93812010443864224</v>
      </c>
      <c r="AF428" s="158">
        <v>0.93834547346514052</v>
      </c>
      <c r="AG428" s="158">
        <v>0.93868179362506754</v>
      </c>
      <c r="AH428" s="158">
        <v>0.93897246664774336</v>
      </c>
      <c r="AI428" s="158">
        <v>0.93929078014184397</v>
      </c>
      <c r="AJ428" s="158">
        <v>0.93956351426972584</v>
      </c>
      <c r="AK428" s="158">
        <v>0.93978615644344399</v>
      </c>
      <c r="AL428" s="158">
        <v>0.93987254087004712</v>
      </c>
      <c r="AM428" s="158">
        <v>0.94016415144294418</v>
      </c>
      <c r="AN428" s="158">
        <v>0.94037871033776865</v>
      </c>
      <c r="AO428" s="158">
        <v>0.94044602128737964</v>
      </c>
      <c r="AP428" s="158">
        <v>0.94073139974779318</v>
      </c>
      <c r="AQ428" s="158">
        <v>0.94075403949730696</v>
      </c>
      <c r="AR428" s="158">
        <v>0.94056579288865816</v>
      </c>
      <c r="AS428" s="158">
        <v>0.94086865515436946</v>
      </c>
      <c r="AT428" s="158">
        <v>0.94084732214228617</v>
      </c>
      <c r="AU428" s="158">
        <v>0.9407209612817089</v>
      </c>
      <c r="AV428" s="158">
        <v>0.94097129058223772</v>
      </c>
      <c r="AW428" s="158">
        <v>0.9411296738265712</v>
      </c>
      <c r="AX428" s="158">
        <v>0.94103835116097057</v>
      </c>
      <c r="AY428" s="158">
        <v>0.94110082304526754</v>
      </c>
      <c r="AZ428" s="158">
        <v>0.94129606099110541</v>
      </c>
      <c r="BA428" s="158">
        <v>0.94110244147998989</v>
      </c>
      <c r="BB428" s="158">
        <v>0.94122061030515258</v>
      </c>
      <c r="BC428" s="158">
        <v>0.9411911288312983</v>
      </c>
      <c r="BD428" s="158">
        <v>0.94105943795075853</v>
      </c>
      <c r="BE428" s="158">
        <v>0.94107409249129781</v>
      </c>
      <c r="BF428" s="158">
        <v>0.94123505976095623</v>
      </c>
      <c r="BG428" s="158">
        <v>0.94132334581772781</v>
      </c>
      <c r="BH428" s="158">
        <v>0.94133868137377785</v>
      </c>
      <c r="BI428" s="158">
        <v>0.94105793450881614</v>
      </c>
      <c r="BJ428" s="158">
        <v>0.94122118064352678</v>
      </c>
      <c r="BK428" s="158">
        <v>0.94113149847094801</v>
      </c>
      <c r="BL428" s="158">
        <v>0.94128205128205134</v>
      </c>
      <c r="BM428" s="158">
        <v>0.9412068076328004</v>
      </c>
      <c r="BN428" s="158">
        <v>0.94119170984455958</v>
      </c>
      <c r="BO428" s="158">
        <v>0.94123764950598021</v>
      </c>
      <c r="BP428" s="158">
        <v>0.94109981756580663</v>
      </c>
      <c r="BQ428" s="158">
        <v>0.94129924341247062</v>
      </c>
    </row>
    <row r="429" spans="1:69" s="124" customFormat="1">
      <c r="A429" s="124">
        <f>$A$54</f>
        <v>37</v>
      </c>
      <c r="B429" s="114"/>
      <c r="C429" s="114"/>
      <c r="D429" s="114"/>
      <c r="E429" s="114"/>
      <c r="F429" s="114"/>
      <c r="G429" s="114"/>
      <c r="H429" s="114"/>
      <c r="I429" s="114"/>
      <c r="J429" s="114"/>
      <c r="K429" s="114"/>
      <c r="L429" s="114"/>
      <c r="M429" s="158">
        <v>0.92369477911646591</v>
      </c>
      <c r="N429" s="158">
        <v>0.92500000000000004</v>
      </c>
      <c r="O429" s="158">
        <v>0.92624653739612184</v>
      </c>
      <c r="P429" s="158">
        <v>0.92741133576400403</v>
      </c>
      <c r="Q429" s="158">
        <v>0.92847854356306891</v>
      </c>
      <c r="R429" s="158">
        <v>0.92996482251359125</v>
      </c>
      <c r="S429" s="158">
        <v>0.93080220453153706</v>
      </c>
      <c r="T429" s="158">
        <v>0.93163891323400527</v>
      </c>
      <c r="U429" s="158">
        <v>0.93260930103035367</v>
      </c>
      <c r="V429" s="158">
        <v>0.93326326852338415</v>
      </c>
      <c r="W429" s="158">
        <v>0.93419099455714993</v>
      </c>
      <c r="X429" s="158">
        <v>0.93480819016239114</v>
      </c>
      <c r="Y429" s="158">
        <v>0.93543859649122807</v>
      </c>
      <c r="Z429" s="158">
        <v>0.93605189990732163</v>
      </c>
      <c r="AA429" s="158">
        <v>0.93672077158315692</v>
      </c>
      <c r="AB429" s="158">
        <v>0.93697282099343959</v>
      </c>
      <c r="AC429" s="158">
        <v>0.9375736160188457</v>
      </c>
      <c r="AD429" s="158">
        <v>0.93795978420794512</v>
      </c>
      <c r="AE429" s="158">
        <v>0.93844601412714435</v>
      </c>
      <c r="AF429" s="158">
        <v>0.93901485535574669</v>
      </c>
      <c r="AG429" s="158">
        <v>0.9392365619319657</v>
      </c>
      <c r="AH429" s="158">
        <v>0.93960636290105148</v>
      </c>
      <c r="AI429" s="158">
        <v>0.93967714528462187</v>
      </c>
      <c r="AJ429" s="158">
        <v>0.93999433908859331</v>
      </c>
      <c r="AK429" s="158">
        <v>0.94025683975432717</v>
      </c>
      <c r="AL429" s="158">
        <v>0.94048287478944415</v>
      </c>
      <c r="AM429" s="158">
        <v>0.94055847387337577</v>
      </c>
      <c r="AN429" s="158">
        <v>0.94055482166446502</v>
      </c>
      <c r="AO429" s="158">
        <v>0.94075587334014299</v>
      </c>
      <c r="AP429" s="158">
        <v>0.94107233181588268</v>
      </c>
      <c r="AQ429" s="158">
        <v>0.94110244147998989</v>
      </c>
      <c r="AR429" s="158">
        <v>0.94113130278986434</v>
      </c>
      <c r="AS429" s="158">
        <v>0.94120694120694126</v>
      </c>
      <c r="AT429" s="158">
        <v>0.94151436031331592</v>
      </c>
      <c r="AU429" s="158">
        <v>0.94123903217229465</v>
      </c>
      <c r="AV429" s="158">
        <v>0.94138022915001329</v>
      </c>
      <c r="AW429" s="158">
        <v>0.94163319946452473</v>
      </c>
      <c r="AX429" s="158">
        <v>0.94151892034929874</v>
      </c>
      <c r="AY429" s="158">
        <v>0.94142150481645404</v>
      </c>
      <c r="AZ429" s="158">
        <v>0.94173511293634493</v>
      </c>
      <c r="BA429" s="158">
        <v>0.94143002028397571</v>
      </c>
      <c r="BB429" s="158">
        <v>0.94147199196181863</v>
      </c>
      <c r="BC429" s="158">
        <v>0.94158761857214179</v>
      </c>
      <c r="BD429" s="158">
        <v>0.94157135753356536</v>
      </c>
      <c r="BE429" s="158">
        <v>0.94143920595533503</v>
      </c>
      <c r="BF429" s="158">
        <v>0.94168734491315131</v>
      </c>
      <c r="BG429" s="158">
        <v>0.94161490683229809</v>
      </c>
      <c r="BH429" s="158">
        <v>0.94145490782262087</v>
      </c>
      <c r="BI429" s="158">
        <v>0.94172086043021508</v>
      </c>
      <c r="BJ429" s="158">
        <v>0.94167923579688284</v>
      </c>
      <c r="BK429" s="158">
        <v>0.94160768452982813</v>
      </c>
      <c r="BL429" s="158">
        <v>0.94175991861648012</v>
      </c>
      <c r="BM429" s="158">
        <v>0.94167306216423641</v>
      </c>
      <c r="BN429" s="158">
        <v>0.94160020581425263</v>
      </c>
      <c r="BO429" s="158">
        <v>0.94158697337813391</v>
      </c>
      <c r="BP429" s="158">
        <v>0.94163424124513617</v>
      </c>
      <c r="BQ429" s="158">
        <v>0.94149765990639622</v>
      </c>
    </row>
    <row r="430" spans="1:69" s="124" customFormat="1">
      <c r="A430" s="124">
        <f>$A$55</f>
        <v>38</v>
      </c>
      <c r="B430" s="114"/>
      <c r="C430" s="114"/>
      <c r="D430" s="114"/>
      <c r="E430" s="114"/>
      <c r="F430" s="114"/>
      <c r="G430" s="114"/>
      <c r="H430" s="114"/>
      <c r="I430" s="114"/>
      <c r="J430" s="114"/>
      <c r="K430" s="114"/>
      <c r="L430" s="114"/>
      <c r="M430" s="158">
        <v>0.92290585618977017</v>
      </c>
      <c r="N430" s="158">
        <v>0.9245487364620939</v>
      </c>
      <c r="O430" s="158">
        <v>0.92568039078855546</v>
      </c>
      <c r="P430" s="158">
        <v>0.92707258341933263</v>
      </c>
      <c r="Q430" s="158">
        <v>0.92805280528052803</v>
      </c>
      <c r="R430" s="158">
        <v>0.92926670992861782</v>
      </c>
      <c r="S430" s="158">
        <v>0.93044033184428843</v>
      </c>
      <c r="T430" s="158">
        <v>0.93154034229828853</v>
      </c>
      <c r="U430" s="158">
        <v>0.93234179060950717</v>
      </c>
      <c r="V430" s="158">
        <v>0.93327773144286907</v>
      </c>
      <c r="W430" s="158">
        <v>0.93389296956977963</v>
      </c>
      <c r="X430" s="158">
        <v>0.93478260869565222</v>
      </c>
      <c r="Y430" s="158">
        <v>0.93537015276145707</v>
      </c>
      <c r="Z430" s="158">
        <v>0.93622985283812188</v>
      </c>
      <c r="AA430" s="158">
        <v>0.93660342434058308</v>
      </c>
      <c r="AB430" s="158">
        <v>0.93727977448907684</v>
      </c>
      <c r="AC430" s="158">
        <v>0.93752924660739356</v>
      </c>
      <c r="AD430" s="158">
        <v>0.93813220418725007</v>
      </c>
      <c r="AE430" s="158">
        <v>0.93854064642507351</v>
      </c>
      <c r="AF430" s="158">
        <v>0.9390428211586902</v>
      </c>
      <c r="AG430" s="158">
        <v>0.9393860561914672</v>
      </c>
      <c r="AH430" s="158">
        <v>0.93960601347848627</v>
      </c>
      <c r="AI430" s="158">
        <v>0.93998923573735205</v>
      </c>
      <c r="AJ430" s="158">
        <v>0.94007914075749011</v>
      </c>
      <c r="AK430" s="158">
        <v>0.94039548022598873</v>
      </c>
      <c r="AL430" s="158">
        <v>0.94065199219838391</v>
      </c>
      <c r="AM430" s="158">
        <v>0.94087979826281876</v>
      </c>
      <c r="AN430" s="158">
        <v>0.94094922737306841</v>
      </c>
      <c r="AO430" s="158">
        <v>0.94092827004219415</v>
      </c>
      <c r="AP430" s="158">
        <v>0.94111649248024476</v>
      </c>
      <c r="AQ430" s="158">
        <v>0.94142893208785661</v>
      </c>
      <c r="AR430" s="158">
        <v>0.94145728643216076</v>
      </c>
      <c r="AS430" s="158">
        <v>0.94149207971384774</v>
      </c>
      <c r="AT430" s="158">
        <v>0.94157187176835577</v>
      </c>
      <c r="AU430" s="158">
        <v>0.94163626889004692</v>
      </c>
      <c r="AV430" s="158">
        <v>0.94187898089171973</v>
      </c>
      <c r="AW430" s="158">
        <v>0.94175531914893618</v>
      </c>
      <c r="AX430" s="158">
        <v>0.9417579481699172</v>
      </c>
      <c r="AY430" s="158">
        <v>0.94190652231317662</v>
      </c>
      <c r="AZ430" s="158">
        <v>0.94180306573135875</v>
      </c>
      <c r="BA430" s="158">
        <v>0.94185450819672134</v>
      </c>
      <c r="BB430" s="158">
        <v>0.94203998987598081</v>
      </c>
      <c r="BC430" s="158">
        <v>0.94184006016545496</v>
      </c>
      <c r="BD430" s="158">
        <v>0.94195316392625805</v>
      </c>
      <c r="BE430" s="158">
        <v>0.9419210722263589</v>
      </c>
      <c r="BF430" s="158">
        <v>0.94203616546940794</v>
      </c>
      <c r="BG430" s="158">
        <v>0.941802872709262</v>
      </c>
      <c r="BH430" s="158">
        <v>0.94173072154723536</v>
      </c>
      <c r="BI430" s="158">
        <v>0.94181999005469919</v>
      </c>
      <c r="BJ430" s="158">
        <v>0.94183724413379932</v>
      </c>
      <c r="BK430" s="158">
        <v>0.9420471650777722</v>
      </c>
      <c r="BL430" s="158">
        <v>0.94197780020181632</v>
      </c>
      <c r="BM430" s="158">
        <v>0.94187817258883244</v>
      </c>
      <c r="BN430" s="158">
        <v>0.94179218789890218</v>
      </c>
      <c r="BO430" s="158">
        <v>0.94197689345314506</v>
      </c>
      <c r="BP430" s="158">
        <v>0.9417075058034563</v>
      </c>
      <c r="BQ430" s="158">
        <v>0.94175511260678224</v>
      </c>
    </row>
    <row r="431" spans="1:69" s="124" customFormat="1">
      <c r="A431" s="124">
        <f>$A$56</f>
        <v>39</v>
      </c>
      <c r="B431" s="114"/>
      <c r="C431" s="114"/>
      <c r="D431" s="114"/>
      <c r="E431" s="114"/>
      <c r="F431" s="114"/>
      <c r="G431" s="114"/>
      <c r="H431" s="114"/>
      <c r="I431" s="114"/>
      <c r="J431" s="114"/>
      <c r="K431" s="114"/>
      <c r="L431" s="114"/>
      <c r="M431" s="158">
        <v>0.92217160212604399</v>
      </c>
      <c r="N431" s="158">
        <v>0.92369772560528252</v>
      </c>
      <c r="O431" s="158">
        <v>0.92514326647564471</v>
      </c>
      <c r="P431" s="158">
        <v>0.92643997224149899</v>
      </c>
      <c r="Q431" s="158">
        <v>0.92769019876627823</v>
      </c>
      <c r="R431" s="158">
        <v>0.92883031301482699</v>
      </c>
      <c r="S431" s="158">
        <v>0.93002915451895041</v>
      </c>
      <c r="T431" s="158">
        <v>0.93118827652118508</v>
      </c>
      <c r="U431" s="158">
        <v>0.93197071384990848</v>
      </c>
      <c r="V431" s="158">
        <v>0.93302271403610948</v>
      </c>
      <c r="W431" s="158">
        <v>0.93392559689061627</v>
      </c>
      <c r="X431" s="158">
        <v>0.93450353680901233</v>
      </c>
      <c r="Y431" s="158">
        <v>0.93510979521342219</v>
      </c>
      <c r="Z431" s="158">
        <v>0.93591549295774645</v>
      </c>
      <c r="AA431" s="158">
        <v>0.9365375641623892</v>
      </c>
      <c r="AB431" s="158">
        <v>0.93712436430883028</v>
      </c>
      <c r="AC431" s="158">
        <v>0.93758798686062883</v>
      </c>
      <c r="AD431" s="158">
        <v>0.93828892005610098</v>
      </c>
      <c r="AE431" s="158">
        <v>0.93867481203007519</v>
      </c>
      <c r="AF431" s="158">
        <v>0.93886035705551485</v>
      </c>
      <c r="AG431" s="158">
        <v>0.93913480885311873</v>
      </c>
      <c r="AH431" s="158">
        <v>0.939724603793193</v>
      </c>
      <c r="AI431" s="158">
        <v>0.94020191560962985</v>
      </c>
      <c r="AJ431" s="158">
        <v>0.94035464803868885</v>
      </c>
      <c r="AK431" s="158">
        <v>0.94046275395033863</v>
      </c>
      <c r="AL431" s="158">
        <v>0.94077834179357023</v>
      </c>
      <c r="AM431" s="158">
        <v>0.94075104311543811</v>
      </c>
      <c r="AN431" s="158">
        <v>0.94097902097902097</v>
      </c>
      <c r="AO431" s="158">
        <v>0.94132231404958677</v>
      </c>
      <c r="AP431" s="158">
        <v>0.94153278904398208</v>
      </c>
      <c r="AQ431" s="158">
        <v>0.94146093153474164</v>
      </c>
      <c r="AR431" s="158">
        <v>0.94151751953617346</v>
      </c>
      <c r="AS431" s="158">
        <v>0.94179628700451579</v>
      </c>
      <c r="AT431" s="158">
        <v>0.94183673469387752</v>
      </c>
      <c r="AU431" s="158">
        <v>0.94192049561177082</v>
      </c>
      <c r="AV431" s="158">
        <v>0.94172736732570239</v>
      </c>
      <c r="AW431" s="158">
        <v>0.94197138314785378</v>
      </c>
      <c r="AX431" s="158">
        <v>0.94211364843335099</v>
      </c>
      <c r="AY431" s="158">
        <v>0.94185116030941585</v>
      </c>
      <c r="AZ431" s="158">
        <v>0.94199841813867646</v>
      </c>
      <c r="BA431" s="158">
        <v>0.94189364461738001</v>
      </c>
      <c r="BB431" s="158">
        <v>0.94194373401534526</v>
      </c>
      <c r="BC431" s="158">
        <v>0.94212787465251457</v>
      </c>
      <c r="BD431" s="158">
        <v>0.94192740926157692</v>
      </c>
      <c r="BE431" s="158">
        <v>0.94203980099502482</v>
      </c>
      <c r="BF431" s="158">
        <v>0.94225526641883517</v>
      </c>
      <c r="BG431" s="158">
        <v>0.94212218649517687</v>
      </c>
      <c r="BH431" s="158">
        <v>0.94213649851632042</v>
      </c>
      <c r="BI431" s="158">
        <v>0.94206486754147067</v>
      </c>
      <c r="BJ431" s="158">
        <v>0.94215491559086395</v>
      </c>
      <c r="BK431" s="158">
        <v>0.94217347956131603</v>
      </c>
      <c r="BL431" s="158">
        <v>0.94189832206361135</v>
      </c>
      <c r="BM431" s="158">
        <v>0.94206549118387906</v>
      </c>
      <c r="BN431" s="158">
        <v>0.94198125158348112</v>
      </c>
      <c r="BO431" s="158">
        <v>0.94213612031608462</v>
      </c>
      <c r="BP431" s="158">
        <v>0.9420809841107125</v>
      </c>
      <c r="BQ431" s="158">
        <v>0.94205511202678338</v>
      </c>
    </row>
    <row r="432" spans="1:69" s="124" customFormat="1">
      <c r="A432" s="124">
        <f>$A$57</f>
        <v>40</v>
      </c>
      <c r="B432" s="114"/>
      <c r="C432" s="114"/>
      <c r="D432" s="114"/>
      <c r="E432" s="114"/>
      <c r="F432" s="114"/>
      <c r="G432" s="114"/>
      <c r="H432" s="114"/>
      <c r="I432" s="114"/>
      <c r="J432" s="114"/>
      <c r="K432" s="114"/>
      <c r="L432" s="114"/>
      <c r="M432" s="158">
        <v>0.92142327650111189</v>
      </c>
      <c r="N432" s="158">
        <v>0.92290334712297861</v>
      </c>
      <c r="O432" s="158">
        <v>0.92461762563729055</v>
      </c>
      <c r="P432" s="158">
        <v>0.92589953687210547</v>
      </c>
      <c r="Q432" s="158">
        <v>0.92704011065006919</v>
      </c>
      <c r="R432" s="158">
        <v>0.92847364818617384</v>
      </c>
      <c r="S432" s="158">
        <v>0.9295820993747943</v>
      </c>
      <c r="T432" s="158">
        <v>0.93078913324708923</v>
      </c>
      <c r="U432" s="158">
        <v>0.93191218580973589</v>
      </c>
      <c r="V432" s="158">
        <v>0.93266301035953691</v>
      </c>
      <c r="W432" s="158">
        <v>0.93368237347294936</v>
      </c>
      <c r="X432" s="158">
        <v>0.93455352190793117</v>
      </c>
      <c r="Y432" s="158">
        <v>0.93534031413612562</v>
      </c>
      <c r="Z432" s="158">
        <v>0.93614398422090728</v>
      </c>
      <c r="AA432" s="158">
        <v>0.93666432090077412</v>
      </c>
      <c r="AB432" s="158">
        <v>0.93751457216134293</v>
      </c>
      <c r="AC432" s="158">
        <v>0.93787528868360281</v>
      </c>
      <c r="AD432" s="158">
        <v>0.93834974214721045</v>
      </c>
      <c r="AE432" s="158">
        <v>0.93881363848668842</v>
      </c>
      <c r="AF432" s="158">
        <v>0.93920187793427234</v>
      </c>
      <c r="AG432" s="158">
        <v>0.93965306621060352</v>
      </c>
      <c r="AH432" s="158">
        <v>0.93994974874371862</v>
      </c>
      <c r="AI432" s="158">
        <v>0.94032174364296839</v>
      </c>
      <c r="AJ432" s="158">
        <v>0.94053774560496384</v>
      </c>
      <c r="AK432" s="158">
        <v>0.94095544820182497</v>
      </c>
      <c r="AL432" s="158">
        <v>0.94109357384441938</v>
      </c>
      <c r="AM432" s="158">
        <v>0.94142495071810761</v>
      </c>
      <c r="AN432" s="158">
        <v>0.94138888888888894</v>
      </c>
      <c r="AO432" s="158">
        <v>0.94162011173184357</v>
      </c>
      <c r="AP432" s="158">
        <v>0.94167812929848693</v>
      </c>
      <c r="AQ432" s="158">
        <v>0.94213571804313523</v>
      </c>
      <c r="AR432" s="158">
        <v>0.94228324434274091</v>
      </c>
      <c r="AS432" s="158">
        <v>0.9420946626384693</v>
      </c>
      <c r="AT432" s="158">
        <v>0.94237033324981212</v>
      </c>
      <c r="AU432" s="158">
        <v>0.94242038216560509</v>
      </c>
      <c r="AV432" s="158">
        <v>0.94251095643207017</v>
      </c>
      <c r="AW432" s="158">
        <v>0.94232268121590024</v>
      </c>
      <c r="AX432" s="158">
        <v>0.94232804232804235</v>
      </c>
      <c r="AY432" s="158">
        <v>0.94247083775185581</v>
      </c>
      <c r="AZ432" s="158">
        <v>0.94246137453383061</v>
      </c>
      <c r="BA432" s="158">
        <v>0.94260136914165349</v>
      </c>
      <c r="BB432" s="158">
        <v>0.94248704663212435</v>
      </c>
      <c r="BC432" s="158">
        <v>0.94252873563218387</v>
      </c>
      <c r="BD432" s="158">
        <v>0.94246782740348223</v>
      </c>
      <c r="BE432" s="158">
        <v>0.9425</v>
      </c>
      <c r="BF432" s="158">
        <v>0.94260869565217387</v>
      </c>
      <c r="BG432" s="158">
        <v>0.94258846820094033</v>
      </c>
      <c r="BH432" s="158">
        <v>0.94245492714250434</v>
      </c>
      <c r="BI432" s="158">
        <v>0.94246913580246916</v>
      </c>
      <c r="BJ432" s="158">
        <v>0.94263105835806138</v>
      </c>
      <c r="BK432" s="158">
        <v>0.94272253905281433</v>
      </c>
      <c r="BL432" s="158">
        <v>0.94250871080139376</v>
      </c>
      <c r="BM432" s="158">
        <v>0.94272136068034018</v>
      </c>
      <c r="BN432" s="158">
        <v>0.94265593561368211</v>
      </c>
      <c r="BO432" s="158">
        <v>0.94281376518218618</v>
      </c>
      <c r="BP432" s="158">
        <v>0.94273351997963861</v>
      </c>
      <c r="BQ432" s="158">
        <v>0.94242579324462639</v>
      </c>
    </row>
    <row r="433" spans="1:69" s="124" customFormat="1">
      <c r="A433" s="124">
        <f>$A$58</f>
        <v>41</v>
      </c>
      <c r="B433" s="114"/>
      <c r="C433" s="114"/>
      <c r="D433" s="114"/>
      <c r="E433" s="114"/>
      <c r="F433" s="114"/>
      <c r="G433" s="114"/>
      <c r="H433" s="114"/>
      <c r="I433" s="114"/>
      <c r="J433" s="114"/>
      <c r="K433" s="114"/>
      <c r="L433" s="114"/>
      <c r="M433" s="158">
        <v>0.92035398230088494</v>
      </c>
      <c r="N433" s="158">
        <v>0.9220874678427049</v>
      </c>
      <c r="O433" s="158">
        <v>0.92382374906646747</v>
      </c>
      <c r="P433" s="158">
        <v>0.92536231884057973</v>
      </c>
      <c r="Q433" s="158">
        <v>0.92684659090909094</v>
      </c>
      <c r="R433" s="158">
        <v>0.92815198618307426</v>
      </c>
      <c r="S433" s="158">
        <v>0.929254955570745</v>
      </c>
      <c r="T433" s="158">
        <v>0.9306605323693723</v>
      </c>
      <c r="U433" s="158">
        <v>0.93182552504038774</v>
      </c>
      <c r="V433" s="158">
        <v>0.93295201779472514</v>
      </c>
      <c r="W433" s="158">
        <v>0.93394216133942165</v>
      </c>
      <c r="X433" s="158">
        <v>0.93463102847181867</v>
      </c>
      <c r="Y433" s="158">
        <v>0.9354570637119114</v>
      </c>
      <c r="Z433" s="158">
        <v>0.93619246861924688</v>
      </c>
      <c r="AA433" s="158">
        <v>0.93694581280788181</v>
      </c>
      <c r="AB433" s="158">
        <v>0.93764650726676046</v>
      </c>
      <c r="AC433" s="158">
        <v>0.93803866759841603</v>
      </c>
      <c r="AD433" s="158">
        <v>0.93884144934225711</v>
      </c>
      <c r="AE433" s="158">
        <v>0.93933005387678614</v>
      </c>
      <c r="AF433" s="158">
        <v>0.93957069528698089</v>
      </c>
      <c r="AG433" s="158">
        <v>0.94018296973962001</v>
      </c>
      <c r="AH433" s="158">
        <v>0.94044422748352452</v>
      </c>
      <c r="AI433" s="158">
        <v>0.94076305220883538</v>
      </c>
      <c r="AJ433" s="158">
        <v>0.94116122343182995</v>
      </c>
      <c r="AK433" s="158">
        <v>0.94137396694214881</v>
      </c>
      <c r="AL433" s="158">
        <v>0.94157062449745377</v>
      </c>
      <c r="AM433" s="158">
        <v>0.94202082746974392</v>
      </c>
      <c r="AN433" s="158">
        <v>0.94233473980309423</v>
      </c>
      <c r="AO433" s="158">
        <v>0.94228634850166482</v>
      </c>
      <c r="AP433" s="158">
        <v>0.94253835425383548</v>
      </c>
      <c r="AQ433" s="158">
        <v>0.94284143995603187</v>
      </c>
      <c r="AR433" s="158">
        <v>0.94273706330443918</v>
      </c>
      <c r="AS433" s="158">
        <v>0.94286439817166079</v>
      </c>
      <c r="AT433" s="158">
        <v>0.94290744466800802</v>
      </c>
      <c r="AU433" s="158">
        <v>0.9429429429429429</v>
      </c>
      <c r="AV433" s="158">
        <v>0.94300254452926213</v>
      </c>
      <c r="AW433" s="158">
        <v>0.94309989701338826</v>
      </c>
      <c r="AX433" s="158">
        <v>0.94316117311186087</v>
      </c>
      <c r="AY433" s="158">
        <v>0.94344608879492597</v>
      </c>
      <c r="AZ433" s="158">
        <v>0.94332627118644063</v>
      </c>
      <c r="BA433" s="158">
        <v>0.94333599361532328</v>
      </c>
      <c r="BB433" s="158">
        <v>0.94346568498553773</v>
      </c>
      <c r="BC433" s="158">
        <v>0.94333764553686938</v>
      </c>
      <c r="BD433" s="158">
        <v>0.94336734693877555</v>
      </c>
      <c r="BE433" s="158">
        <v>0.94329637096774188</v>
      </c>
      <c r="BF433" s="158">
        <v>0.94332084893882651</v>
      </c>
      <c r="BG433" s="158">
        <v>0.94342431761786605</v>
      </c>
      <c r="BH433" s="158">
        <v>0.94340088976767178</v>
      </c>
      <c r="BI433" s="158">
        <v>0.94326591021213613</v>
      </c>
      <c r="BJ433" s="158">
        <v>0.9432799013563502</v>
      </c>
      <c r="BK433" s="158">
        <v>0.94344282538898494</v>
      </c>
      <c r="BL433" s="158">
        <v>0.94330279772220849</v>
      </c>
      <c r="BM433" s="158">
        <v>0.94332587621178221</v>
      </c>
      <c r="BN433" s="158">
        <v>0.94330669330669326</v>
      </c>
      <c r="BO433" s="158">
        <v>0.94348153730218542</v>
      </c>
      <c r="BP433" s="158">
        <v>0.9434057604850935</v>
      </c>
      <c r="BQ433" s="158">
        <v>0.94332909783989838</v>
      </c>
    </row>
    <row r="434" spans="1:69" s="124" customFormat="1">
      <c r="A434" s="124">
        <f>$A$59</f>
        <v>42</v>
      </c>
      <c r="B434" s="114"/>
      <c r="C434" s="114"/>
      <c r="D434" s="114"/>
      <c r="E434" s="114"/>
      <c r="F434" s="114"/>
      <c r="G434" s="114"/>
      <c r="H434" s="114"/>
      <c r="I434" s="114"/>
      <c r="J434" s="114"/>
      <c r="K434" s="114"/>
      <c r="L434" s="114"/>
      <c r="M434" s="158">
        <v>0.91929698708751795</v>
      </c>
      <c r="N434" s="158">
        <v>0.92096597145993409</v>
      </c>
      <c r="O434" s="158">
        <v>0.92293644996347701</v>
      </c>
      <c r="P434" s="158">
        <v>0.92453531598513006</v>
      </c>
      <c r="Q434" s="158">
        <v>0.92593930635838151</v>
      </c>
      <c r="R434" s="158">
        <v>0.92763391273501239</v>
      </c>
      <c r="S434" s="158">
        <v>0.92859606760952051</v>
      </c>
      <c r="T434" s="158">
        <v>0.93001024240355068</v>
      </c>
      <c r="U434" s="158">
        <v>0.93105712409717667</v>
      </c>
      <c r="V434" s="158">
        <v>0.93223620522749273</v>
      </c>
      <c r="W434" s="158">
        <v>0.93333333333333335</v>
      </c>
      <c r="X434" s="158">
        <v>0.93402249923989056</v>
      </c>
      <c r="Y434" s="158">
        <v>0.93497822931785191</v>
      </c>
      <c r="Z434" s="158">
        <v>0.93578743426515365</v>
      </c>
      <c r="AA434" s="158">
        <v>0.93650378886856545</v>
      </c>
      <c r="AB434" s="158">
        <v>0.93746922698178237</v>
      </c>
      <c r="AC434" s="158">
        <v>0.93792457249941441</v>
      </c>
      <c r="AD434" s="158">
        <v>0.9385331781140861</v>
      </c>
      <c r="AE434" s="158">
        <v>0.93911439114391149</v>
      </c>
      <c r="AF434" s="158">
        <v>0.9396067415730337</v>
      </c>
      <c r="AG434" s="158">
        <v>0.94006529850746268</v>
      </c>
      <c r="AH434" s="158">
        <v>0.94045944678856075</v>
      </c>
      <c r="AI434" s="158">
        <v>0.94073170731707312</v>
      </c>
      <c r="AJ434" s="158">
        <v>0.94105843992977178</v>
      </c>
      <c r="AK434" s="158">
        <v>0.94146594146594142</v>
      </c>
      <c r="AL434" s="158">
        <v>0.94169246646026827</v>
      </c>
      <c r="AM434" s="158">
        <v>0.94215318693090522</v>
      </c>
      <c r="AN434" s="158">
        <v>0.94208602755130733</v>
      </c>
      <c r="AO434" s="158">
        <v>0.9423995504355156</v>
      </c>
      <c r="AP434" s="158">
        <v>0.94262749445676275</v>
      </c>
      <c r="AQ434" s="158">
        <v>0.94260239621064368</v>
      </c>
      <c r="AR434" s="158">
        <v>0.9429041998353006</v>
      </c>
      <c r="AS434" s="158">
        <v>0.94279716609813702</v>
      </c>
      <c r="AT434" s="158">
        <v>0.94292237442922378</v>
      </c>
      <c r="AU434" s="158">
        <v>0.9432160804020101</v>
      </c>
      <c r="AV434" s="158">
        <v>0.94299999999999995</v>
      </c>
      <c r="AW434" s="158">
        <v>0.94306049822064053</v>
      </c>
      <c r="AX434" s="158">
        <v>0.94315843621399176</v>
      </c>
      <c r="AY434" s="158">
        <v>0.94323483670295494</v>
      </c>
      <c r="AZ434" s="158">
        <v>0.94325679598838741</v>
      </c>
      <c r="BA434" s="158">
        <v>0.9434012166093626</v>
      </c>
      <c r="BB434" s="158">
        <v>0.94339622641509435</v>
      </c>
      <c r="BC434" s="158">
        <v>0.94327731092436973</v>
      </c>
      <c r="BD434" s="158">
        <v>0.94339622641509435</v>
      </c>
      <c r="BE434" s="158">
        <v>0.94318471337579612</v>
      </c>
      <c r="BF434" s="158">
        <v>0.94335347432024175</v>
      </c>
      <c r="BG434" s="158">
        <v>0.94339152119700753</v>
      </c>
      <c r="BH434" s="158">
        <v>0.94349442379182158</v>
      </c>
      <c r="BI434" s="158">
        <v>0.94345679012345685</v>
      </c>
      <c r="BJ434" s="158">
        <v>0.94333579699433356</v>
      </c>
      <c r="BK434" s="158">
        <v>0.94334975369458129</v>
      </c>
      <c r="BL434" s="158">
        <v>0.94351258016773554</v>
      </c>
      <c r="BM434" s="158">
        <v>0.94335889191194655</v>
      </c>
      <c r="BN434" s="158">
        <v>0.94339622641509435</v>
      </c>
      <c r="BO434" s="158">
        <v>0.94336327345309379</v>
      </c>
      <c r="BP434" s="158">
        <v>0.94330155544405414</v>
      </c>
      <c r="BQ434" s="158">
        <v>0.94322482967448906</v>
      </c>
    </row>
    <row r="435" spans="1:69" s="124" customFormat="1">
      <c r="A435" s="124">
        <f>$A$60</f>
        <v>43</v>
      </c>
      <c r="B435" s="114"/>
      <c r="C435" s="114"/>
      <c r="D435" s="114"/>
      <c r="E435" s="114"/>
      <c r="F435" s="114"/>
      <c r="G435" s="114"/>
      <c r="H435" s="114"/>
      <c r="I435" s="114"/>
      <c r="J435" s="114"/>
      <c r="K435" s="114"/>
      <c r="L435" s="114"/>
      <c r="M435" s="158">
        <v>0.91804407713498626</v>
      </c>
      <c r="N435" s="158">
        <v>0.91981468282252321</v>
      </c>
      <c r="O435" s="158">
        <v>0.92173279941754638</v>
      </c>
      <c r="P435" s="158">
        <v>0.92358078602620086</v>
      </c>
      <c r="Q435" s="158">
        <v>0.92507418397626118</v>
      </c>
      <c r="R435" s="158">
        <v>0.92635379061371836</v>
      </c>
      <c r="S435" s="158">
        <v>0.92771084337349397</v>
      </c>
      <c r="T435" s="158">
        <v>0.92899000344708726</v>
      </c>
      <c r="U435" s="158">
        <v>0.93008185538881305</v>
      </c>
      <c r="V435" s="158">
        <v>0.93143044619422577</v>
      </c>
      <c r="W435" s="158">
        <v>0.93227990970654628</v>
      </c>
      <c r="X435" s="158">
        <v>0.93307960672375512</v>
      </c>
      <c r="Y435" s="158">
        <v>0.93406259495594046</v>
      </c>
      <c r="Z435" s="158">
        <v>0.93501595590368436</v>
      </c>
      <c r="AA435" s="158">
        <v>0.9355463347164592</v>
      </c>
      <c r="AB435" s="158">
        <v>0.93627579002350481</v>
      </c>
      <c r="AC435" s="158">
        <v>0.93700787401574803</v>
      </c>
      <c r="AD435" s="158">
        <v>0.93748536642472491</v>
      </c>
      <c r="AE435" s="158">
        <v>0.93809634628810801</v>
      </c>
      <c r="AF435" s="158">
        <v>0.9386672815310122</v>
      </c>
      <c r="AG435" s="158">
        <v>0.93916705662143196</v>
      </c>
      <c r="AH435" s="158">
        <v>0.93962703962703964</v>
      </c>
      <c r="AI435" s="158">
        <v>0.94001874414245545</v>
      </c>
      <c r="AJ435" s="158">
        <v>0.94027303754266212</v>
      </c>
      <c r="AK435" s="158">
        <v>0.94058661318626224</v>
      </c>
      <c r="AL435" s="158">
        <v>0.94073498964803315</v>
      </c>
      <c r="AM435" s="158">
        <v>0.9412068076328004</v>
      </c>
      <c r="AN435" s="158">
        <v>0.94139684238694143</v>
      </c>
      <c r="AO435" s="158">
        <v>0.94129213483146068</v>
      </c>
      <c r="AP435" s="158">
        <v>0.94160583941605835</v>
      </c>
      <c r="AQ435" s="158">
        <v>0.94184436444198283</v>
      </c>
      <c r="AR435" s="158">
        <v>0.94181514476614703</v>
      </c>
      <c r="AS435" s="158">
        <v>0.94187003016177684</v>
      </c>
      <c r="AT435" s="158">
        <v>0.94205558468799167</v>
      </c>
      <c r="AU435" s="158">
        <v>0.94220532319391637</v>
      </c>
      <c r="AV435" s="158">
        <v>0.94201807228915657</v>
      </c>
      <c r="AW435" s="158">
        <v>0.94229328003997004</v>
      </c>
      <c r="AX435" s="158">
        <v>0.94234188468376934</v>
      </c>
      <c r="AY435" s="158">
        <v>0.94243125160627084</v>
      </c>
      <c r="AZ435" s="158">
        <v>0.94250194250194252</v>
      </c>
      <c r="BA435" s="158">
        <v>0.9425105485232067</v>
      </c>
      <c r="BB435" s="158">
        <v>0.94240422721268169</v>
      </c>
      <c r="BC435" s="158">
        <v>0.94239447836474644</v>
      </c>
      <c r="BD435" s="158">
        <v>0.9422875131164743</v>
      </c>
      <c r="BE435" s="158">
        <v>0.9424218951717015</v>
      </c>
      <c r="BF435" s="158">
        <v>0.94247900229065917</v>
      </c>
      <c r="BG435" s="158">
        <v>0.94240442655935619</v>
      </c>
      <c r="BH435" s="158">
        <v>0.94245142002989535</v>
      </c>
      <c r="BI435" s="158">
        <v>0.94256003961376578</v>
      </c>
      <c r="BJ435" s="158">
        <v>0.9425259003453379</v>
      </c>
      <c r="BK435" s="158">
        <v>0.94240708835835585</v>
      </c>
      <c r="BL435" s="158">
        <v>0.94242125984251968</v>
      </c>
      <c r="BM435" s="158">
        <v>0.94258255298176441</v>
      </c>
      <c r="BN435" s="158">
        <v>0.94244071146245056</v>
      </c>
      <c r="BO435" s="158">
        <v>0.94246031746031744</v>
      </c>
      <c r="BP435" s="158">
        <v>0.94243707949165212</v>
      </c>
      <c r="BQ435" s="158">
        <v>0.94237033324981212</v>
      </c>
    </row>
    <row r="436" spans="1:69" s="124" customFormat="1">
      <c r="A436" s="124">
        <f>$A$61</f>
        <v>44</v>
      </c>
      <c r="B436" s="114"/>
      <c r="C436" s="114"/>
      <c r="D436" s="114"/>
      <c r="E436" s="114"/>
      <c r="F436" s="114"/>
      <c r="G436" s="114"/>
      <c r="H436" s="114"/>
      <c r="I436" s="114"/>
      <c r="J436" s="114"/>
      <c r="K436" s="114"/>
      <c r="L436" s="114"/>
      <c r="M436" s="158">
        <v>0.91686143572621037</v>
      </c>
      <c r="N436" s="158">
        <v>0.91883561643835621</v>
      </c>
      <c r="O436" s="158">
        <v>0.92051100070972325</v>
      </c>
      <c r="P436" s="158">
        <v>0.92198838896952107</v>
      </c>
      <c r="Q436" s="158">
        <v>0.92338416848220772</v>
      </c>
      <c r="R436" s="158">
        <v>0.92512972572275765</v>
      </c>
      <c r="S436" s="158">
        <v>0.92640692640692646</v>
      </c>
      <c r="T436" s="158">
        <v>0.92773645058448462</v>
      </c>
      <c r="U436" s="158">
        <v>0.92869445401308992</v>
      </c>
      <c r="V436" s="158">
        <v>0.93010569382884423</v>
      </c>
      <c r="W436" s="158">
        <v>0.93081967213114758</v>
      </c>
      <c r="X436" s="158">
        <v>0.93167902030293259</v>
      </c>
      <c r="Y436" s="158">
        <v>0.93310082435003172</v>
      </c>
      <c r="Z436" s="158">
        <v>0.93377885783718106</v>
      </c>
      <c r="AA436" s="158">
        <v>0.93418382139750655</v>
      </c>
      <c r="AB436" s="158">
        <v>0.93528761061946908</v>
      </c>
      <c r="AC436" s="158">
        <v>0.93577023498694512</v>
      </c>
      <c r="AD436" s="158">
        <v>0.93628536285362851</v>
      </c>
      <c r="AE436" s="158">
        <v>0.93701709201592132</v>
      </c>
      <c r="AF436" s="158">
        <v>0.93741275011633318</v>
      </c>
      <c r="AG436" s="158">
        <v>0.937989857076994</v>
      </c>
      <c r="AH436" s="158">
        <v>0.93824561403508777</v>
      </c>
      <c r="AI436" s="158">
        <v>0.9384902143522833</v>
      </c>
      <c r="AJ436" s="158">
        <v>0.93887587822014051</v>
      </c>
      <c r="AK436" s="158">
        <v>0.93908382066276808</v>
      </c>
      <c r="AL436" s="158">
        <v>0.93961413179654218</v>
      </c>
      <c r="AM436" s="158">
        <v>0.93973098810139677</v>
      </c>
      <c r="AN436" s="158">
        <v>0.93994845360824741</v>
      </c>
      <c r="AO436" s="158">
        <v>0.94010695187165771</v>
      </c>
      <c r="AP436" s="158">
        <v>0.94048287478944415</v>
      </c>
      <c r="AQ436" s="158">
        <v>0.94053295932678826</v>
      </c>
      <c r="AR436" s="158">
        <v>0.94050913115661317</v>
      </c>
      <c r="AS436" s="158">
        <v>0.94047287899860921</v>
      </c>
      <c r="AT436" s="158">
        <v>0.94080570019183341</v>
      </c>
      <c r="AU436" s="158">
        <v>0.94103773584905659</v>
      </c>
      <c r="AV436" s="158">
        <v>0.94072948328267481</v>
      </c>
      <c r="AW436" s="158">
        <v>0.94104365278474666</v>
      </c>
      <c r="AX436" s="158">
        <v>0.94107365792759046</v>
      </c>
      <c r="AY436" s="158">
        <v>0.94111675126903549</v>
      </c>
      <c r="AZ436" s="158">
        <v>0.94119157678479715</v>
      </c>
      <c r="BA436" s="158">
        <v>0.9412525879917184</v>
      </c>
      <c r="BB436" s="158">
        <v>0.94123847167325425</v>
      </c>
      <c r="BC436" s="158">
        <v>0.94112988384371699</v>
      </c>
      <c r="BD436" s="158">
        <v>0.94111405835543771</v>
      </c>
      <c r="BE436" s="158">
        <v>0.94102228047182179</v>
      </c>
      <c r="BF436" s="158">
        <v>0.94117647058823528</v>
      </c>
      <c r="BG436" s="158">
        <v>0.94099694811800605</v>
      </c>
      <c r="BH436" s="158">
        <v>0.94119125408394066</v>
      </c>
      <c r="BI436" s="158">
        <v>0.94100074682598955</v>
      </c>
      <c r="BJ436" s="158">
        <v>0.94111825828797624</v>
      </c>
      <c r="BK436" s="158">
        <v>0.94110399211434204</v>
      </c>
      <c r="BL436" s="158">
        <v>0.94121987211018199</v>
      </c>
      <c r="BM436" s="158">
        <v>0.94123432505532334</v>
      </c>
      <c r="BN436" s="158">
        <v>0.94116198916789762</v>
      </c>
      <c r="BO436" s="158">
        <v>0.94124907430264138</v>
      </c>
      <c r="BP436" s="158">
        <v>0.94103072348860262</v>
      </c>
      <c r="BQ436" s="158">
        <v>0.94123505976095623</v>
      </c>
    </row>
    <row r="437" spans="1:69" s="124" customFormat="1">
      <c r="A437" s="124">
        <f>$A$62</f>
        <v>45</v>
      </c>
      <c r="B437" s="114"/>
      <c r="C437" s="114"/>
      <c r="D437" s="114"/>
      <c r="E437" s="114"/>
      <c r="F437" s="114"/>
      <c r="G437" s="114"/>
      <c r="H437" s="114"/>
      <c r="I437" s="114"/>
      <c r="J437" s="114"/>
      <c r="K437" s="114"/>
      <c r="L437" s="114"/>
      <c r="M437" s="158">
        <v>0.91561996779388088</v>
      </c>
      <c r="N437" s="158">
        <v>0.91724825523429709</v>
      </c>
      <c r="O437" s="158">
        <v>0.91911262798634807</v>
      </c>
      <c r="P437" s="158">
        <v>0.92038216560509556</v>
      </c>
      <c r="Q437" s="158">
        <v>0.92210144927536231</v>
      </c>
      <c r="R437" s="158">
        <v>0.92374727668845313</v>
      </c>
      <c r="S437" s="158">
        <v>0.92478695813264167</v>
      </c>
      <c r="T437" s="158">
        <v>0.92640692640692646</v>
      </c>
      <c r="U437" s="158">
        <v>0.92740793201133143</v>
      </c>
      <c r="V437" s="158">
        <v>0.92869445401308992</v>
      </c>
      <c r="W437" s="158">
        <v>0.92944785276073616</v>
      </c>
      <c r="X437" s="158">
        <v>0.9301868239921337</v>
      </c>
      <c r="Y437" s="158">
        <v>0.93135675153077668</v>
      </c>
      <c r="Z437" s="158">
        <v>0.93217115689381935</v>
      </c>
      <c r="AA437" s="158">
        <v>0.93288794412389919</v>
      </c>
      <c r="AB437" s="158">
        <v>0.93360394317193385</v>
      </c>
      <c r="AC437" s="158">
        <v>0.93419961293889964</v>
      </c>
      <c r="AD437" s="158">
        <v>0.93472584856396868</v>
      </c>
      <c r="AE437" s="158">
        <v>0.93530135301353012</v>
      </c>
      <c r="AF437" s="158">
        <v>0.93584640599391244</v>
      </c>
      <c r="AG437" s="158">
        <v>0.93624941833410891</v>
      </c>
      <c r="AH437" s="158">
        <v>0.93683725218994929</v>
      </c>
      <c r="AI437" s="158">
        <v>0.93707602339181284</v>
      </c>
      <c r="AJ437" s="158">
        <v>0.93732525629077357</v>
      </c>
      <c r="AK437" s="158">
        <v>0.93770491803278688</v>
      </c>
      <c r="AL437" s="158">
        <v>0.93788063337393424</v>
      </c>
      <c r="AM437" s="158">
        <v>0.93812625250501003</v>
      </c>
      <c r="AN437" s="158">
        <v>0.93845358158779413</v>
      </c>
      <c r="AO437" s="158">
        <v>0.93867559907240405</v>
      </c>
      <c r="AP437" s="158">
        <v>0.9387864207431168</v>
      </c>
      <c r="AQ437" s="158">
        <v>0.9388327721661055</v>
      </c>
      <c r="AR437" s="158">
        <v>0.93888421642837117</v>
      </c>
      <c r="AS437" s="158">
        <v>0.93888274336283184</v>
      </c>
      <c r="AT437" s="158">
        <v>0.93937708565072298</v>
      </c>
      <c r="AU437" s="158">
        <v>0.93919474116680357</v>
      </c>
      <c r="AV437" s="158">
        <v>0.93949711891042431</v>
      </c>
      <c r="AW437" s="158">
        <v>0.93947834894910098</v>
      </c>
      <c r="AX437" s="158">
        <v>0.93931795386158479</v>
      </c>
      <c r="AY437" s="158">
        <v>0.93960569004242578</v>
      </c>
      <c r="AZ437" s="158">
        <v>0.93937087772704209</v>
      </c>
      <c r="BA437" s="158">
        <v>0.93968172484599588</v>
      </c>
      <c r="BB437" s="158">
        <v>0.93947232281427828</v>
      </c>
      <c r="BC437" s="158">
        <v>0.93944181147972616</v>
      </c>
      <c r="BD437" s="158">
        <v>0.93957783641160952</v>
      </c>
      <c r="BE437" s="158">
        <v>0.93957063344818448</v>
      </c>
      <c r="BF437" s="158">
        <v>0.93948126801152743</v>
      </c>
      <c r="BG437" s="158">
        <v>0.93941737561227123</v>
      </c>
      <c r="BH437" s="158">
        <v>0.93950177935943058</v>
      </c>
      <c r="BI437" s="158">
        <v>0.93947764942240075</v>
      </c>
      <c r="BJ437" s="158">
        <v>0.93953719830803684</v>
      </c>
      <c r="BK437" s="158">
        <v>0.93943139678615573</v>
      </c>
      <c r="BL437" s="158">
        <v>0.93965517241379315</v>
      </c>
      <c r="BM437" s="158">
        <v>0.93977384464110125</v>
      </c>
      <c r="BN437" s="158">
        <v>0.93955773955773958</v>
      </c>
      <c r="BO437" s="158">
        <v>0.93971456692913391</v>
      </c>
      <c r="BP437" s="158">
        <v>0.93956586087814509</v>
      </c>
      <c r="BQ437" s="158">
        <v>0.93957404655770183</v>
      </c>
    </row>
    <row r="438" spans="1:69" s="124" customFormat="1">
      <c r="A438" s="124">
        <f>$A$63</f>
        <v>46</v>
      </c>
      <c r="B438" s="114"/>
      <c r="C438" s="114"/>
      <c r="D438" s="114"/>
      <c r="E438" s="114"/>
      <c r="F438" s="114"/>
      <c r="G438" s="114"/>
      <c r="H438" s="114"/>
      <c r="I438" s="114"/>
      <c r="J438" s="114"/>
      <c r="K438" s="114"/>
      <c r="L438" s="114"/>
      <c r="M438" s="158">
        <v>0.9140300415468201</v>
      </c>
      <c r="N438" s="158">
        <v>0.91559691912708596</v>
      </c>
      <c r="O438" s="158">
        <v>0.91744031830238726</v>
      </c>
      <c r="P438" s="158">
        <v>0.91925042589437822</v>
      </c>
      <c r="Q438" s="158">
        <v>0.92043847241867038</v>
      </c>
      <c r="R438" s="158">
        <v>0.92207321493294669</v>
      </c>
      <c r="S438" s="158">
        <v>0.9230210602759622</v>
      </c>
      <c r="T438" s="158">
        <v>0.92475908080059299</v>
      </c>
      <c r="U438" s="158">
        <v>0.92568542568542567</v>
      </c>
      <c r="V438" s="158">
        <v>0.92669971671388107</v>
      </c>
      <c r="W438" s="158">
        <v>0.92766104030313468</v>
      </c>
      <c r="X438" s="158">
        <v>0.92876618950238587</v>
      </c>
      <c r="Y438" s="158">
        <v>0.92950819672131146</v>
      </c>
      <c r="Z438" s="158">
        <v>0.93038994521430873</v>
      </c>
      <c r="AA438" s="158">
        <v>0.9312202852614897</v>
      </c>
      <c r="AB438" s="158">
        <v>0.93167324627998782</v>
      </c>
      <c r="AC438" s="158">
        <v>0.93244418672078866</v>
      </c>
      <c r="AD438" s="158">
        <v>0.93307522123893805</v>
      </c>
      <c r="AE438" s="158">
        <v>0.93366414207364845</v>
      </c>
      <c r="AF438" s="158">
        <v>0.93405511811023623</v>
      </c>
      <c r="AG438" s="158">
        <v>0.93442622950819676</v>
      </c>
      <c r="AH438" s="158">
        <v>0.93483825925064001</v>
      </c>
      <c r="AI438" s="158">
        <v>0.93543924371685494</v>
      </c>
      <c r="AJ438" s="158">
        <v>0.93565746373420688</v>
      </c>
      <c r="AK438" s="158">
        <v>0.9359123747378234</v>
      </c>
      <c r="AL438" s="158">
        <v>0.93606557377049182</v>
      </c>
      <c r="AM438" s="158">
        <v>0.93640350877192979</v>
      </c>
      <c r="AN438" s="158">
        <v>0.93662324649298601</v>
      </c>
      <c r="AO438" s="158">
        <v>0.93690199120765449</v>
      </c>
      <c r="AP438" s="158">
        <v>0.93688820195775369</v>
      </c>
      <c r="AQ438" s="158">
        <v>0.93718257150494522</v>
      </c>
      <c r="AR438" s="158">
        <v>0.9374298540965208</v>
      </c>
      <c r="AS438" s="158">
        <v>0.93748247827305864</v>
      </c>
      <c r="AT438" s="158">
        <v>0.9375</v>
      </c>
      <c r="AU438" s="158">
        <v>0.93744787322768974</v>
      </c>
      <c r="AV438" s="158">
        <v>0.93756845564074476</v>
      </c>
      <c r="AW438" s="158">
        <v>0.93768002094789216</v>
      </c>
      <c r="AX438" s="158">
        <v>0.9377215189873418</v>
      </c>
      <c r="AY438" s="158">
        <v>0.93757834043619959</v>
      </c>
      <c r="AZ438" s="158">
        <v>0.93762475049900196</v>
      </c>
      <c r="BA438" s="158">
        <v>0.93761095612477807</v>
      </c>
      <c r="BB438" s="158">
        <v>0.93790094944829361</v>
      </c>
      <c r="BC438" s="158">
        <v>0.93793638479441432</v>
      </c>
      <c r="BD438" s="158">
        <v>0.93761516188470651</v>
      </c>
      <c r="BE438" s="158">
        <v>0.9377472962279082</v>
      </c>
      <c r="BF438" s="158">
        <v>0.93773184949655541</v>
      </c>
      <c r="BG438" s="158">
        <v>0.93792561550550024</v>
      </c>
      <c r="BH438" s="158">
        <v>0.93788659793814433</v>
      </c>
      <c r="BI438" s="158">
        <v>0.9377540650406504</v>
      </c>
      <c r="BJ438" s="158">
        <v>0.93773537534521723</v>
      </c>
      <c r="BK438" s="158">
        <v>0.93757771698582437</v>
      </c>
      <c r="BL438" s="158">
        <v>0.93771626297577859</v>
      </c>
      <c r="BM438" s="158">
        <v>0.93771541112752343</v>
      </c>
      <c r="BN438" s="158">
        <v>0.93783783783783781</v>
      </c>
      <c r="BO438" s="158">
        <v>0.93785310734463279</v>
      </c>
      <c r="BP438" s="158">
        <v>0.93777668470241027</v>
      </c>
      <c r="BQ438" s="158">
        <v>0.93762327416173574</v>
      </c>
    </row>
    <row r="439" spans="1:69" s="124" customFormat="1">
      <c r="A439" s="124">
        <f>$A$64</f>
        <v>47</v>
      </c>
      <c r="B439" s="114"/>
      <c r="C439" s="114"/>
      <c r="D439" s="114"/>
      <c r="E439" s="114"/>
      <c r="F439" s="114"/>
      <c r="G439" s="114"/>
      <c r="H439" s="114"/>
      <c r="I439" s="114"/>
      <c r="J439" s="114"/>
      <c r="K439" s="114"/>
      <c r="L439" s="114"/>
      <c r="M439" s="158">
        <v>0.91227495908346967</v>
      </c>
      <c r="N439" s="158">
        <v>0.91422193877551017</v>
      </c>
      <c r="O439" s="158">
        <v>0.91573213713553347</v>
      </c>
      <c r="P439" s="158">
        <v>0.91719112288837368</v>
      </c>
      <c r="Q439" s="158">
        <v>0.91890971039182279</v>
      </c>
      <c r="R439" s="158">
        <v>0.92035398230088494</v>
      </c>
      <c r="S439" s="158">
        <v>0.92165397170837871</v>
      </c>
      <c r="T439" s="158">
        <v>0.92293711377680843</v>
      </c>
      <c r="U439" s="158">
        <v>0.92396142433234418</v>
      </c>
      <c r="V439" s="158">
        <v>0.92490974729241882</v>
      </c>
      <c r="W439" s="158">
        <v>0.92593905031892276</v>
      </c>
      <c r="X439" s="158">
        <v>0.92692175112030339</v>
      </c>
      <c r="Y439" s="158">
        <v>0.92769440654843105</v>
      </c>
      <c r="Z439" s="158">
        <v>0.9288057742782152</v>
      </c>
      <c r="AA439" s="158">
        <v>0.9293776201225411</v>
      </c>
      <c r="AB439" s="158">
        <v>0.92990802410402795</v>
      </c>
      <c r="AC439" s="158">
        <v>0.93041628684290489</v>
      </c>
      <c r="AD439" s="158">
        <v>0.93122460824143938</v>
      </c>
      <c r="AE439" s="158">
        <v>0.93165467625899279</v>
      </c>
      <c r="AF439" s="158">
        <v>0.93206166710216876</v>
      </c>
      <c r="AG439" s="158">
        <v>0.93277517852745628</v>
      </c>
      <c r="AH439" s="158">
        <v>0.93320834309819545</v>
      </c>
      <c r="AI439" s="158">
        <v>0.93339543549138337</v>
      </c>
      <c r="AJ439" s="158">
        <v>0.93379469434832751</v>
      </c>
      <c r="AK439" s="158">
        <v>0.9339887640449438</v>
      </c>
      <c r="AL439" s="158">
        <v>0.93425040802051762</v>
      </c>
      <c r="AM439" s="158">
        <v>0.93461448324349661</v>
      </c>
      <c r="AN439" s="158">
        <v>0.93490980009751345</v>
      </c>
      <c r="AO439" s="158">
        <v>0.93508771929824563</v>
      </c>
      <c r="AP439" s="158">
        <v>0.93507501293326434</v>
      </c>
      <c r="AQ439" s="158">
        <v>0.93530927835051547</v>
      </c>
      <c r="AR439" s="158">
        <v>0.93529411764705883</v>
      </c>
      <c r="AS439" s="158">
        <v>0.93518518518518523</v>
      </c>
      <c r="AT439" s="158">
        <v>0.93552004485562101</v>
      </c>
      <c r="AU439" s="158">
        <v>0.93582295988934994</v>
      </c>
      <c r="AV439" s="158">
        <v>0.93576195773081206</v>
      </c>
      <c r="AW439" s="158">
        <v>0.93590797041906326</v>
      </c>
      <c r="AX439" s="158">
        <v>0.93583027763226823</v>
      </c>
      <c r="AY439" s="158">
        <v>0.93593314763231195</v>
      </c>
      <c r="AZ439" s="158">
        <v>0.93580742226680036</v>
      </c>
      <c r="BA439" s="158">
        <v>0.93586224107811333</v>
      </c>
      <c r="BB439" s="158">
        <v>0.93581938102486051</v>
      </c>
      <c r="BC439" s="158">
        <v>0.93584808827303056</v>
      </c>
      <c r="BD439" s="158">
        <v>0.93586759762089478</v>
      </c>
      <c r="BE439" s="158">
        <v>0.93577257172940242</v>
      </c>
      <c r="BF439" s="158">
        <v>0.9359008177261936</v>
      </c>
      <c r="BG439" s="158">
        <v>0.93587705352411232</v>
      </c>
      <c r="BH439" s="158">
        <v>0.93609219486642226</v>
      </c>
      <c r="BI439" s="158">
        <v>0.93582474226804124</v>
      </c>
      <c r="BJ439" s="158">
        <v>0.93572154471544711</v>
      </c>
      <c r="BK439" s="158">
        <v>0.9359779061009289</v>
      </c>
      <c r="BL439" s="158">
        <v>0.93583685650335735</v>
      </c>
      <c r="BM439" s="158">
        <v>0.93598615916955019</v>
      </c>
      <c r="BN439" s="158">
        <v>0.93574593796159522</v>
      </c>
      <c r="BO439" s="158">
        <v>0.93587223587223589</v>
      </c>
      <c r="BP439" s="158">
        <v>0.9361336281012036</v>
      </c>
      <c r="BQ439" s="158">
        <v>0.93605509099852435</v>
      </c>
    </row>
    <row r="440" spans="1:69" s="124" customFormat="1">
      <c r="A440" s="124">
        <f>$A$65</f>
        <v>48</v>
      </c>
      <c r="B440" s="114"/>
      <c r="C440" s="114"/>
      <c r="D440" s="114"/>
      <c r="E440" s="114"/>
      <c r="F440" s="114"/>
      <c r="G440" s="114"/>
      <c r="H440" s="114"/>
      <c r="I440" s="114"/>
      <c r="J440" s="114"/>
      <c r="K440" s="114"/>
      <c r="L440" s="114"/>
      <c r="M440" s="158">
        <v>0.91072010426849137</v>
      </c>
      <c r="N440" s="158">
        <v>0.91274509803921566</v>
      </c>
      <c r="O440" s="158">
        <v>0.91430391844536474</v>
      </c>
      <c r="P440" s="158">
        <v>0.91573213713553347</v>
      </c>
      <c r="Q440" s="158">
        <v>0.9171362280411004</v>
      </c>
      <c r="R440" s="158">
        <v>0.91845786421016717</v>
      </c>
      <c r="S440" s="158">
        <v>0.91988656504785538</v>
      </c>
      <c r="T440" s="158">
        <v>0.92117689792953139</v>
      </c>
      <c r="U440" s="158">
        <v>0.92212518195050941</v>
      </c>
      <c r="V440" s="158">
        <v>0.92313405124396586</v>
      </c>
      <c r="W440" s="158">
        <v>0.92410552945428259</v>
      </c>
      <c r="X440" s="158">
        <v>0.92512420156139108</v>
      </c>
      <c r="Y440" s="158">
        <v>0.9261304798066966</v>
      </c>
      <c r="Z440" s="158">
        <v>0.92691256830601088</v>
      </c>
      <c r="AA440" s="158">
        <v>0.9274220032840722</v>
      </c>
      <c r="AB440" s="158">
        <v>0.92831772683241842</v>
      </c>
      <c r="AC440" s="158">
        <v>0.92886630676405213</v>
      </c>
      <c r="AD440" s="158">
        <v>0.92941892303011864</v>
      </c>
      <c r="AE440" s="158">
        <v>0.92971246006389774</v>
      </c>
      <c r="AF440" s="158">
        <v>0.93019390581717454</v>
      </c>
      <c r="AG440" s="158">
        <v>0.93068270991368041</v>
      </c>
      <c r="AH440" s="158">
        <v>0.93122997288636922</v>
      </c>
      <c r="AI440" s="158">
        <v>0.93150363593713348</v>
      </c>
      <c r="AJ440" s="158">
        <v>0.93170163170163167</v>
      </c>
      <c r="AK440" s="158">
        <v>0.93211729392749942</v>
      </c>
      <c r="AL440" s="158">
        <v>0.93228678537956888</v>
      </c>
      <c r="AM440" s="158">
        <v>0.93255542590431739</v>
      </c>
      <c r="AN440" s="158">
        <v>0.93269230769230771</v>
      </c>
      <c r="AO440" s="158">
        <v>0.93291046596730909</v>
      </c>
      <c r="AP440" s="158">
        <v>0.93303235515425131</v>
      </c>
      <c r="AQ440" s="158">
        <v>0.93321252912244368</v>
      </c>
      <c r="AR440" s="158">
        <v>0.93345370131545014</v>
      </c>
      <c r="AS440" s="158">
        <v>0.9333868378812199</v>
      </c>
      <c r="AT440" s="158">
        <v>0.93372648132547043</v>
      </c>
      <c r="AU440" s="158">
        <v>0.93378226711560042</v>
      </c>
      <c r="AV440" s="158">
        <v>0.93384998616108494</v>
      </c>
      <c r="AW440" s="158">
        <v>0.93377851975514747</v>
      </c>
      <c r="AX440" s="158">
        <v>0.93395450808440672</v>
      </c>
      <c r="AY440" s="158">
        <v>0.93396226415094341</v>
      </c>
      <c r="AZ440" s="158">
        <v>0.93387382822396758</v>
      </c>
      <c r="BA440" s="158">
        <v>0.93376818866031108</v>
      </c>
      <c r="BB440" s="158">
        <v>0.93408239700374529</v>
      </c>
      <c r="BC440" s="158">
        <v>0.93401015228426398</v>
      </c>
      <c r="BD440" s="158">
        <v>0.93401797175866497</v>
      </c>
      <c r="BE440" s="158">
        <v>0.93402328589909445</v>
      </c>
      <c r="BF440" s="158">
        <v>0.93389518040558339</v>
      </c>
      <c r="BG440" s="158">
        <v>0.93377308707124007</v>
      </c>
      <c r="BH440" s="158">
        <v>0.93398727465535525</v>
      </c>
      <c r="BI440" s="158">
        <v>0.93397956510348445</v>
      </c>
      <c r="BJ440" s="158">
        <v>0.93374581077597318</v>
      </c>
      <c r="BK440" s="158">
        <v>0.93390950686324348</v>
      </c>
      <c r="BL440" s="158">
        <v>0.93395278754394773</v>
      </c>
      <c r="BM440" s="158">
        <v>0.93406319980094554</v>
      </c>
      <c r="BN440" s="158">
        <v>0.93399258343634117</v>
      </c>
      <c r="BO440" s="158">
        <v>0.9337601575966511</v>
      </c>
      <c r="BP440" s="158">
        <v>0.93389039075940039</v>
      </c>
      <c r="BQ440" s="158">
        <v>0.93390663390663387</v>
      </c>
    </row>
    <row r="441" spans="1:69" s="124" customFormat="1">
      <c r="A441" s="124">
        <f>$A$66</f>
        <v>49</v>
      </c>
      <c r="B441" s="114"/>
      <c r="C441" s="114"/>
      <c r="D441" s="114"/>
      <c r="E441" s="114"/>
      <c r="F441" s="114"/>
      <c r="G441" s="114"/>
      <c r="H441" s="114"/>
      <c r="I441" s="114"/>
      <c r="J441" s="114"/>
      <c r="K441" s="114"/>
      <c r="L441" s="114"/>
      <c r="M441" s="158">
        <v>0.90930155577623306</v>
      </c>
      <c r="N441" s="158">
        <v>0.91110387495929668</v>
      </c>
      <c r="O441" s="158">
        <v>0.91244691277360335</v>
      </c>
      <c r="P441" s="158">
        <v>0.91424928275422379</v>
      </c>
      <c r="Q441" s="158">
        <v>0.91530317613089507</v>
      </c>
      <c r="R441" s="158">
        <v>0.91663899036864827</v>
      </c>
      <c r="S441" s="158">
        <v>0.91829059829059834</v>
      </c>
      <c r="T441" s="158">
        <v>0.91903409090909094</v>
      </c>
      <c r="U441" s="158">
        <v>0.92030567685589515</v>
      </c>
      <c r="V441" s="158">
        <v>0.92125410134888808</v>
      </c>
      <c r="W441" s="158">
        <v>0.92224702380952384</v>
      </c>
      <c r="X441" s="158">
        <v>0.92324402606806666</v>
      </c>
      <c r="Y441" s="158">
        <v>0.92395167022032698</v>
      </c>
      <c r="Z441" s="158">
        <v>0.92464569650881434</v>
      </c>
      <c r="AA441" s="158">
        <v>0.92544459644322841</v>
      </c>
      <c r="AB441" s="158">
        <v>0.92598684210526316</v>
      </c>
      <c r="AC441" s="158">
        <v>0.92660847074038155</v>
      </c>
      <c r="AD441" s="158">
        <v>0.9271860095389507</v>
      </c>
      <c r="AE441" s="158">
        <v>0.92778793418647165</v>
      </c>
      <c r="AF441" s="158">
        <v>0.92815590459569519</v>
      </c>
      <c r="AG441" s="158">
        <v>0.92871012482662973</v>
      </c>
      <c r="AH441" s="158">
        <v>0.929020429544264</v>
      </c>
      <c r="AI441" s="158">
        <v>0.92941757156959526</v>
      </c>
      <c r="AJ441" s="158">
        <v>0.92954438703616726</v>
      </c>
      <c r="AK441" s="158">
        <v>0.92975495915985995</v>
      </c>
      <c r="AL441" s="158">
        <v>0.93017341040462431</v>
      </c>
      <c r="AM441" s="158">
        <v>0.93033075299085155</v>
      </c>
      <c r="AN441" s="158">
        <v>0.93060747663551402</v>
      </c>
      <c r="AO441" s="158">
        <v>0.93073491429913124</v>
      </c>
      <c r="AP441" s="158">
        <v>0.93087445041524186</v>
      </c>
      <c r="AQ441" s="158">
        <v>0.93095656540296257</v>
      </c>
      <c r="AR441" s="158">
        <v>0.93107022544700702</v>
      </c>
      <c r="AS441" s="158">
        <v>0.93107898812596801</v>
      </c>
      <c r="AT441" s="158">
        <v>0.93117300482056775</v>
      </c>
      <c r="AU441" s="158">
        <v>0.93142214727374928</v>
      </c>
      <c r="AV441" s="158">
        <v>0.93147992137040159</v>
      </c>
      <c r="AW441" s="158">
        <v>0.93157894736842106</v>
      </c>
      <c r="AX441" s="158">
        <v>0.93149540517961571</v>
      </c>
      <c r="AY441" s="158">
        <v>0.93170597915523867</v>
      </c>
      <c r="AZ441" s="158">
        <v>0.9315499606608969</v>
      </c>
      <c r="BA441" s="158">
        <v>0.93154158215010141</v>
      </c>
      <c r="BB441" s="158">
        <v>0.93145869947275928</v>
      </c>
      <c r="BC441" s="158">
        <v>0.93178410794602695</v>
      </c>
      <c r="BD441" s="158">
        <v>0.93167386334772673</v>
      </c>
      <c r="BE441" s="158">
        <v>0.93165467625899279</v>
      </c>
      <c r="BF441" s="158">
        <v>0.93165933212529117</v>
      </c>
      <c r="BG441" s="158">
        <v>0.93173431734317347</v>
      </c>
      <c r="BH441" s="158">
        <v>0.93160813308687618</v>
      </c>
      <c r="BI441" s="158">
        <v>0.93156498673740051</v>
      </c>
      <c r="BJ441" s="158">
        <v>0.93158584534731326</v>
      </c>
      <c r="BK441" s="158">
        <v>0.93163054695562431</v>
      </c>
      <c r="BL441" s="158">
        <v>0.93158697863682605</v>
      </c>
      <c r="BM441" s="158">
        <v>0.93164111585825582</v>
      </c>
      <c r="BN441" s="158">
        <v>0.93178989295494152</v>
      </c>
      <c r="BO441" s="158">
        <v>0.9317338609943111</v>
      </c>
      <c r="BP441" s="158">
        <v>0.93173977328733371</v>
      </c>
      <c r="BQ441" s="158">
        <v>0.93164494713548074</v>
      </c>
    </row>
    <row r="442" spans="1:69" s="124" customFormat="1">
      <c r="A442" s="124">
        <f>$A$67</f>
        <v>50</v>
      </c>
      <c r="B442" s="114"/>
      <c r="C442" s="114"/>
      <c r="D442" s="114"/>
      <c r="E442" s="114"/>
      <c r="F442" s="114"/>
      <c r="G442" s="114"/>
      <c r="H442" s="114"/>
      <c r="I442" s="114"/>
      <c r="J442" s="114"/>
      <c r="K442" s="114"/>
      <c r="L442" s="114"/>
      <c r="M442" s="158">
        <v>0.90725126475548057</v>
      </c>
      <c r="N442" s="158">
        <v>0.90900066181336858</v>
      </c>
      <c r="O442" s="158">
        <v>0.9104234527687296</v>
      </c>
      <c r="P442" s="158">
        <v>0.91203400915631128</v>
      </c>
      <c r="Q442" s="158">
        <v>0.91315453384418899</v>
      </c>
      <c r="R442" s="158">
        <v>0.91446945337620578</v>
      </c>
      <c r="S442" s="158">
        <v>0.91577896138482029</v>
      </c>
      <c r="T442" s="158">
        <v>0.91675231243576571</v>
      </c>
      <c r="U442" s="158">
        <v>0.91779359430604979</v>
      </c>
      <c r="V442" s="158">
        <v>0.91903719912472648</v>
      </c>
      <c r="W442" s="158">
        <v>0.91998538545853126</v>
      </c>
      <c r="X442" s="158">
        <v>0.92061125605665295</v>
      </c>
      <c r="Y442" s="158">
        <v>0.92162554426705368</v>
      </c>
      <c r="Z442" s="158">
        <v>0.92236467236467234</v>
      </c>
      <c r="AA442" s="158">
        <v>0.92310356771735369</v>
      </c>
      <c r="AB442" s="158">
        <v>0.92357779300891019</v>
      </c>
      <c r="AC442" s="158">
        <v>0.92421746293245466</v>
      </c>
      <c r="AD442" s="158">
        <v>0.92484612892776163</v>
      </c>
      <c r="AE442" s="158">
        <v>0.92545396623128384</v>
      </c>
      <c r="AF442" s="158">
        <v>0.92554165395178511</v>
      </c>
      <c r="AG442" s="158">
        <v>0.92628205128205132</v>
      </c>
      <c r="AH442" s="158">
        <v>0.92664629063628789</v>
      </c>
      <c r="AI442" s="158">
        <v>0.92681007345225608</v>
      </c>
      <c r="AJ442" s="158">
        <v>0.9270884824518042</v>
      </c>
      <c r="AK442" s="158">
        <v>0.92732831608654753</v>
      </c>
      <c r="AL442" s="158">
        <v>0.92776998597475457</v>
      </c>
      <c r="AM442" s="158">
        <v>0.92799259087751795</v>
      </c>
      <c r="AN442" s="158">
        <v>0.92811839323467227</v>
      </c>
      <c r="AO442" s="158">
        <v>0.92817033224145995</v>
      </c>
      <c r="AP442" s="158">
        <v>0.92828591582412412</v>
      </c>
      <c r="AQ442" s="158">
        <v>0.92858889704084124</v>
      </c>
      <c r="AR442" s="158">
        <v>0.92860734037204629</v>
      </c>
      <c r="AS442" s="158">
        <v>0.92864556305137524</v>
      </c>
      <c r="AT442" s="158">
        <v>0.92866373739984487</v>
      </c>
      <c r="AU442" s="158">
        <v>0.92868632707774801</v>
      </c>
      <c r="AV442" s="158">
        <v>0.92881260551491274</v>
      </c>
      <c r="AW442" s="158">
        <v>0.9288726454877706</v>
      </c>
      <c r="AX442" s="158">
        <v>0.92900721020521349</v>
      </c>
      <c r="AY442" s="158">
        <v>0.92918873710621686</v>
      </c>
      <c r="AZ442" s="158">
        <v>0.92915980230642503</v>
      </c>
      <c r="BA442" s="158">
        <v>0.92911525334733525</v>
      </c>
      <c r="BB442" s="158">
        <v>0.92893401015228427</v>
      </c>
      <c r="BC442" s="158">
        <v>0.92887660216134704</v>
      </c>
      <c r="BD442" s="158">
        <v>0.9292146073036518</v>
      </c>
      <c r="BE442" s="158">
        <v>0.92907981698017283</v>
      </c>
      <c r="BF442" s="158">
        <v>0.92903059912573926</v>
      </c>
      <c r="BG442" s="158">
        <v>0.9289971495206012</v>
      </c>
      <c r="BH442" s="158">
        <v>0.92904246900553944</v>
      </c>
      <c r="BI442" s="158">
        <v>0.92891120507399583</v>
      </c>
      <c r="BJ442" s="158">
        <v>0.92912131669763742</v>
      </c>
      <c r="BK442" s="158">
        <v>0.92915245342429809</v>
      </c>
      <c r="BL442" s="158">
        <v>0.92899561063774849</v>
      </c>
      <c r="BM442" s="158">
        <v>0.92898956477475181</v>
      </c>
      <c r="BN442" s="158">
        <v>0.92907444668008043</v>
      </c>
      <c r="BO442" s="158">
        <v>0.92899850523168914</v>
      </c>
      <c r="BP442" s="158">
        <v>0.92896039603960401</v>
      </c>
      <c r="BQ442" s="158">
        <v>0.92899408284023666</v>
      </c>
    </row>
    <row r="443" spans="1:69" s="124" customFormat="1">
      <c r="A443" s="124">
        <f>$A$68</f>
        <v>51</v>
      </c>
      <c r="B443" s="114"/>
      <c r="C443" s="114"/>
      <c r="D443" s="114"/>
      <c r="E443" s="114"/>
      <c r="F443" s="114"/>
      <c r="G443" s="114"/>
      <c r="H443" s="114"/>
      <c r="I443" s="114"/>
      <c r="J443" s="114"/>
      <c r="K443" s="114"/>
      <c r="L443" s="114"/>
      <c r="M443" s="158">
        <v>0.90503355704697985</v>
      </c>
      <c r="N443" s="158">
        <v>0.90657672849915683</v>
      </c>
      <c r="O443" s="158">
        <v>0.90827814569536425</v>
      </c>
      <c r="P443" s="158">
        <v>0.90965427266797128</v>
      </c>
      <c r="Q443" s="158">
        <v>0.91087811271297514</v>
      </c>
      <c r="R443" s="158">
        <v>0.9119718309859155</v>
      </c>
      <c r="S443" s="158">
        <v>0.91328175370728559</v>
      </c>
      <c r="T443" s="158">
        <v>0.9145527369826435</v>
      </c>
      <c r="U443" s="158">
        <v>0.9151785714285714</v>
      </c>
      <c r="V443" s="158">
        <v>0.91651801641098818</v>
      </c>
      <c r="W443" s="158">
        <v>0.91739766081871343</v>
      </c>
      <c r="X443" s="158">
        <v>0.9179787623581106</v>
      </c>
      <c r="Y443" s="158">
        <v>0.91893911094508773</v>
      </c>
      <c r="Z443" s="158">
        <v>0.91963636363636359</v>
      </c>
      <c r="AA443" s="158">
        <v>0.92041399000713775</v>
      </c>
      <c r="AB443" s="158">
        <v>0.92086081221797988</v>
      </c>
      <c r="AC443" s="158">
        <v>0.92170329670329665</v>
      </c>
      <c r="AD443" s="158">
        <v>0.9220607661822986</v>
      </c>
      <c r="AE443" s="158">
        <v>0.92242778318727681</v>
      </c>
      <c r="AF443" s="158">
        <v>0.92307692307692313</v>
      </c>
      <c r="AG443" s="158">
        <v>0.92326505655762758</v>
      </c>
      <c r="AH443" s="158">
        <v>0.92352597781669588</v>
      </c>
      <c r="AI443" s="158">
        <v>0.92401892568883937</v>
      </c>
      <c r="AJ443" s="158">
        <v>0.92431011826544018</v>
      </c>
      <c r="AK443" s="158">
        <v>0.92448625897499381</v>
      </c>
      <c r="AL443" s="158">
        <v>0.92461719670200238</v>
      </c>
      <c r="AM443" s="158">
        <v>0.92485955056179781</v>
      </c>
      <c r="AN443" s="158">
        <v>0.92511013215859028</v>
      </c>
      <c r="AO443" s="158">
        <v>0.9251940719830628</v>
      </c>
      <c r="AP443" s="158">
        <v>0.92549203373945643</v>
      </c>
      <c r="AQ443" s="158">
        <v>0.92559453732046149</v>
      </c>
      <c r="AR443" s="158">
        <v>0.92578986039676703</v>
      </c>
      <c r="AS443" s="158">
        <v>0.92573011077542799</v>
      </c>
      <c r="AT443" s="158">
        <v>0.92569498571057418</v>
      </c>
      <c r="AU443" s="158">
        <v>0.92572463768115942</v>
      </c>
      <c r="AV443" s="158">
        <v>0.92590604026845635</v>
      </c>
      <c r="AW443" s="158">
        <v>0.92589461820231056</v>
      </c>
      <c r="AX443" s="158">
        <v>0.92623873873873874</v>
      </c>
      <c r="AY443" s="158">
        <v>0.92587451415880062</v>
      </c>
      <c r="AZ443" s="158">
        <v>0.92603963159363667</v>
      </c>
      <c r="BA443" s="158">
        <v>0.92605827377680039</v>
      </c>
      <c r="BB443" s="158">
        <v>0.92614980289093296</v>
      </c>
      <c r="BC443" s="158">
        <v>0.92630241423125792</v>
      </c>
      <c r="BD443" s="158">
        <v>0.9262707599396075</v>
      </c>
      <c r="BE443" s="158">
        <v>0.92613920881321987</v>
      </c>
      <c r="BF443" s="158">
        <v>0.92618987019597865</v>
      </c>
      <c r="BG443" s="158">
        <v>0.92636457260556127</v>
      </c>
      <c r="BH443" s="158">
        <v>0.92607003891050588</v>
      </c>
      <c r="BI443" s="158">
        <v>0.92632690784261951</v>
      </c>
      <c r="BJ443" s="158">
        <v>0.92619047619047623</v>
      </c>
      <c r="BK443" s="158">
        <v>0.92612277438214186</v>
      </c>
      <c r="BL443" s="158">
        <v>0.92620798319327735</v>
      </c>
      <c r="BM443" s="158">
        <v>0.92609819121447023</v>
      </c>
      <c r="BN443" s="158">
        <v>0.92611464968152868</v>
      </c>
      <c r="BO443" s="158">
        <v>0.92600050339793605</v>
      </c>
      <c r="BP443" s="158">
        <v>0.9259536275243081</v>
      </c>
      <c r="BQ443" s="158">
        <v>0.92616451932606536</v>
      </c>
    </row>
    <row r="444" spans="1:69" s="124" customFormat="1">
      <c r="A444" s="124">
        <f>$A$69</f>
        <v>52</v>
      </c>
      <c r="B444" s="114"/>
      <c r="C444" s="114"/>
      <c r="D444" s="114"/>
      <c r="E444" s="114"/>
      <c r="F444" s="114"/>
      <c r="G444" s="114"/>
      <c r="H444" s="114"/>
      <c r="I444" s="114"/>
      <c r="J444" s="114"/>
      <c r="K444" s="114"/>
      <c r="L444" s="114"/>
      <c r="M444" s="158">
        <v>0.90209790209790208</v>
      </c>
      <c r="N444" s="158">
        <v>0.9036589459550185</v>
      </c>
      <c r="O444" s="158">
        <v>0.90546927751519246</v>
      </c>
      <c r="P444" s="158">
        <v>0.90679933665008294</v>
      </c>
      <c r="Q444" s="158">
        <v>0.90784313725490196</v>
      </c>
      <c r="R444" s="158">
        <v>0.90930003286230698</v>
      </c>
      <c r="S444" s="158">
        <v>0.91043338683788122</v>
      </c>
      <c r="T444" s="158">
        <v>0.91141286776592301</v>
      </c>
      <c r="U444" s="158">
        <v>0.91234526597524257</v>
      </c>
      <c r="V444" s="158">
        <v>0.91322314049586772</v>
      </c>
      <c r="W444" s="158">
        <v>0.91416309012875541</v>
      </c>
      <c r="X444" s="158">
        <v>0.91498717478930014</v>
      </c>
      <c r="Y444" s="158">
        <v>0.91593245227606457</v>
      </c>
      <c r="Z444" s="158">
        <v>0.91613627854736057</v>
      </c>
      <c r="AA444" s="158">
        <v>0.91690962099125362</v>
      </c>
      <c r="AB444" s="158">
        <v>0.91773962804005726</v>
      </c>
      <c r="AC444" s="158">
        <v>0.91826086956521735</v>
      </c>
      <c r="AD444" s="158">
        <v>0.91878871300757059</v>
      </c>
      <c r="AE444" s="158">
        <v>0.91925876902713433</v>
      </c>
      <c r="AF444" s="158">
        <v>0.91967479674796748</v>
      </c>
      <c r="AG444" s="158">
        <v>0.9200511672529581</v>
      </c>
      <c r="AH444" s="158">
        <v>0.92034313725490191</v>
      </c>
      <c r="AI444" s="158">
        <v>0.92046783625730999</v>
      </c>
      <c r="AJ444" s="158">
        <v>0.92108198549916342</v>
      </c>
      <c r="AK444" s="158">
        <v>0.92103185048697023</v>
      </c>
      <c r="AL444" s="158">
        <v>0.92137896825396826</v>
      </c>
      <c r="AM444" s="158">
        <v>0.92164267170167569</v>
      </c>
      <c r="AN444" s="158">
        <v>0.92168815943728022</v>
      </c>
      <c r="AO444" s="158">
        <v>0.92196934509986062</v>
      </c>
      <c r="AP444" s="158">
        <v>0.92200754005655039</v>
      </c>
      <c r="AQ444" s="158">
        <v>0.9221022993899578</v>
      </c>
      <c r="AR444" s="158">
        <v>0.92218816316906393</v>
      </c>
      <c r="AS444" s="158">
        <v>0.92249202845229339</v>
      </c>
      <c r="AT444" s="158">
        <v>0.9223594655911268</v>
      </c>
      <c r="AU444" s="158">
        <v>0.92271662763466045</v>
      </c>
      <c r="AV444" s="158">
        <v>0.92275790565059612</v>
      </c>
      <c r="AW444" s="158">
        <v>0.92258064516129035</v>
      </c>
      <c r="AX444" s="158">
        <v>0.92268623024830698</v>
      </c>
      <c r="AY444" s="158">
        <v>0.92277339346110487</v>
      </c>
      <c r="AZ444" s="158">
        <v>0.92271337225465666</v>
      </c>
      <c r="BA444" s="158">
        <v>0.92286193404136385</v>
      </c>
      <c r="BB444" s="158">
        <v>0.92292870905587665</v>
      </c>
      <c r="BC444" s="158">
        <v>0.92289473684210521</v>
      </c>
      <c r="BD444" s="158">
        <v>0.92266598829814295</v>
      </c>
      <c r="BE444" s="158">
        <v>0.92267002518891683</v>
      </c>
      <c r="BF444" s="158">
        <v>0.92280701754385963</v>
      </c>
      <c r="BG444" s="158">
        <v>0.92280254777070059</v>
      </c>
      <c r="BH444" s="158">
        <v>0.92293814432989696</v>
      </c>
      <c r="BI444" s="158">
        <v>0.92287717475980269</v>
      </c>
      <c r="BJ444" s="158">
        <v>0.92281258260639709</v>
      </c>
      <c r="BK444" s="158">
        <v>0.92293432203389836</v>
      </c>
      <c r="BL444" s="158">
        <v>0.92285182229316309</v>
      </c>
      <c r="BM444" s="158">
        <v>0.92297581493165093</v>
      </c>
      <c r="BN444" s="158">
        <v>0.92291774443869634</v>
      </c>
      <c r="BO444" s="158">
        <v>0.9227434982151963</v>
      </c>
      <c r="BP444" s="158">
        <v>0.92290249433106575</v>
      </c>
      <c r="BQ444" s="158">
        <v>0.92288495133516346</v>
      </c>
    </row>
    <row r="445" spans="1:69" s="124" customFormat="1">
      <c r="A445" s="124">
        <f>$A$70</f>
        <v>53</v>
      </c>
      <c r="B445" s="114"/>
      <c r="C445" s="114"/>
      <c r="D445" s="114"/>
      <c r="E445" s="114"/>
      <c r="F445" s="114"/>
      <c r="G445" s="114"/>
      <c r="H445" s="114"/>
      <c r="I445" s="114"/>
      <c r="J445" s="114"/>
      <c r="K445" s="114"/>
      <c r="L445" s="114"/>
      <c r="M445" s="158">
        <v>0.89854604200323107</v>
      </c>
      <c r="N445" s="158">
        <v>0.90036654448517162</v>
      </c>
      <c r="O445" s="158">
        <v>0.9018817204301075</v>
      </c>
      <c r="P445" s="158">
        <v>0.90361853229624622</v>
      </c>
      <c r="Q445" s="158">
        <v>0.9046194749086075</v>
      </c>
      <c r="R445" s="158">
        <v>0.90593248115372005</v>
      </c>
      <c r="S445" s="158">
        <v>0.90708401976935749</v>
      </c>
      <c r="T445" s="158">
        <v>0.90827164467331833</v>
      </c>
      <c r="U445" s="158">
        <v>0.90956239870340361</v>
      </c>
      <c r="V445" s="158">
        <v>0.9104327406910433</v>
      </c>
      <c r="W445" s="158">
        <v>0.91128753883327585</v>
      </c>
      <c r="X445" s="158">
        <v>0.91215489422732166</v>
      </c>
      <c r="Y445" s="158">
        <v>0.91296364304076383</v>
      </c>
      <c r="Z445" s="158">
        <v>0.91390728476821192</v>
      </c>
      <c r="AA445" s="158">
        <v>0.9144144144144144</v>
      </c>
      <c r="AB445" s="158">
        <v>0.91490138787436082</v>
      </c>
      <c r="AC445" s="158">
        <v>0.91541218637992827</v>
      </c>
      <c r="AD445" s="158">
        <v>0.91599860578598813</v>
      </c>
      <c r="AE445" s="158">
        <v>0.91655172413793107</v>
      </c>
      <c r="AF445" s="158">
        <v>0.91710875331564989</v>
      </c>
      <c r="AG445" s="158">
        <v>0.91756272401433692</v>
      </c>
      <c r="AH445" s="158">
        <v>0.91797500801025311</v>
      </c>
      <c r="AI445" s="158">
        <v>0.91835481890730508</v>
      </c>
      <c r="AJ445" s="158">
        <v>0.91827768014059752</v>
      </c>
      <c r="AK445" s="158">
        <v>0.91871508379888267</v>
      </c>
      <c r="AL445" s="158">
        <v>0.91904008438818563</v>
      </c>
      <c r="AM445" s="158">
        <v>0.91925465838509313</v>
      </c>
      <c r="AN445" s="158">
        <v>0.91940439612384783</v>
      </c>
      <c r="AO445" s="158">
        <v>0.9194457491780178</v>
      </c>
      <c r="AP445" s="158">
        <v>0.91974877878576411</v>
      </c>
      <c r="AQ445" s="158">
        <v>0.91977347805568666</v>
      </c>
      <c r="AR445" s="158">
        <v>0.92009400705052879</v>
      </c>
      <c r="AS445" s="158">
        <v>0.9199527744982291</v>
      </c>
      <c r="AT445" s="158">
        <v>0.91994106090373284</v>
      </c>
      <c r="AU445" s="158">
        <v>0.92022216611966678</v>
      </c>
      <c r="AV445" s="158">
        <v>0.92027097446586759</v>
      </c>
      <c r="AW445" s="158">
        <v>0.92032182714767719</v>
      </c>
      <c r="AX445" s="158">
        <v>0.92032301480484524</v>
      </c>
      <c r="AY445" s="158">
        <v>0.92033898305084749</v>
      </c>
      <c r="AZ445" s="158">
        <v>0.92014672686230248</v>
      </c>
      <c r="BA445" s="158">
        <v>0.92040077929306985</v>
      </c>
      <c r="BB445" s="158">
        <v>0.92053721320649129</v>
      </c>
      <c r="BC445" s="158">
        <v>0.92063929457150728</v>
      </c>
      <c r="BD445" s="158">
        <v>0.92044257112750261</v>
      </c>
      <c r="BE445" s="158">
        <v>0.92029539088362622</v>
      </c>
      <c r="BF445" s="158">
        <v>0.92032274331820474</v>
      </c>
      <c r="BG445" s="158">
        <v>0.92047165077772197</v>
      </c>
      <c r="BH445" s="158">
        <v>0.92042846212700846</v>
      </c>
      <c r="BI445" s="158">
        <v>0.9202992004126902</v>
      </c>
      <c r="BJ445" s="158">
        <v>0.92045749935014298</v>
      </c>
      <c r="BK445" s="158">
        <v>0.92037037037037039</v>
      </c>
      <c r="BL445" s="158">
        <v>0.92048767558971645</v>
      </c>
      <c r="BM445" s="158">
        <v>0.92039403620873272</v>
      </c>
      <c r="BN445" s="158">
        <v>0.92054722441462777</v>
      </c>
      <c r="BO445" s="158">
        <v>0.92052808697903188</v>
      </c>
      <c r="BP445" s="158">
        <v>0.92062276671771315</v>
      </c>
      <c r="BQ445" s="158">
        <v>0.92057488653555219</v>
      </c>
    </row>
    <row r="446" spans="1:69" s="124" customFormat="1">
      <c r="A446" s="124">
        <f>$A$71</f>
        <v>54</v>
      </c>
      <c r="B446" s="114"/>
      <c r="C446" s="114"/>
      <c r="D446" s="114"/>
      <c r="E446" s="114"/>
      <c r="F446" s="114"/>
      <c r="G446" s="114"/>
      <c r="H446" s="114"/>
      <c r="I446" s="114"/>
      <c r="J446" s="114"/>
      <c r="K446" s="114"/>
      <c r="L446" s="114"/>
      <c r="M446" s="158">
        <v>0.8948043617703656</v>
      </c>
      <c r="N446" s="158">
        <v>0.89683053040103489</v>
      </c>
      <c r="O446" s="158">
        <v>0.89856523189856519</v>
      </c>
      <c r="P446" s="158">
        <v>0.90003365870077412</v>
      </c>
      <c r="Q446" s="158">
        <v>0.90172822771941719</v>
      </c>
      <c r="R446" s="158">
        <v>0.90333333333333332</v>
      </c>
      <c r="S446" s="158">
        <v>0.90437068682221489</v>
      </c>
      <c r="T446" s="158">
        <v>0.90584737363726464</v>
      </c>
      <c r="U446" s="158">
        <v>0.90706679574056148</v>
      </c>
      <c r="V446" s="158">
        <v>0.90805717998700453</v>
      </c>
      <c r="W446" s="158">
        <v>0.90921318090114323</v>
      </c>
      <c r="X446" s="158">
        <v>0.91003460207612452</v>
      </c>
      <c r="Y446" s="158">
        <v>0.91088753144089107</v>
      </c>
      <c r="Z446" s="158">
        <v>0.91166728008833275</v>
      </c>
      <c r="AA446" s="158">
        <v>0.91261061946902655</v>
      </c>
      <c r="AB446" s="158">
        <v>0.91350131628431741</v>
      </c>
      <c r="AC446" s="158">
        <v>0.91398243045387995</v>
      </c>
      <c r="AD446" s="158">
        <v>0.91487068965517238</v>
      </c>
      <c r="AE446" s="158">
        <v>0.91512399580859238</v>
      </c>
      <c r="AF446" s="158">
        <v>0.91571675302245248</v>
      </c>
      <c r="AG446" s="158">
        <v>0.91597475921620719</v>
      </c>
      <c r="AH446" s="158">
        <v>0.91644908616187992</v>
      </c>
      <c r="AI446" s="158">
        <v>0.91688061617458283</v>
      </c>
      <c r="AJ446" s="158">
        <v>0.91730710113741165</v>
      </c>
      <c r="AK446" s="158">
        <v>0.9175469483568075</v>
      </c>
      <c r="AL446" s="158">
        <v>0.91773922775601569</v>
      </c>
      <c r="AM446" s="158">
        <v>0.91811938721605912</v>
      </c>
      <c r="AN446" s="158">
        <v>0.9183876586215477</v>
      </c>
      <c r="AO446" s="158">
        <v>0.91856060606060608</v>
      </c>
      <c r="AP446" s="158">
        <v>0.91862652869238004</v>
      </c>
      <c r="AQ446" s="158">
        <v>0.918704868390403</v>
      </c>
      <c r="AR446" s="158">
        <v>0.91895085066162574</v>
      </c>
      <c r="AS446" s="158">
        <v>0.91882352941176471</v>
      </c>
      <c r="AT446" s="158">
        <v>0.91912981792385906</v>
      </c>
      <c r="AU446" s="158">
        <v>0.91910499139414803</v>
      </c>
      <c r="AV446" s="158">
        <v>0.91936299292214363</v>
      </c>
      <c r="AW446" s="158">
        <v>0.91914449660928532</v>
      </c>
      <c r="AX446" s="158">
        <v>0.91919979215380621</v>
      </c>
      <c r="AY446" s="158">
        <v>0.9191592562651576</v>
      </c>
      <c r="AZ446" s="158">
        <v>0.91940045248868774</v>
      </c>
      <c r="BA446" s="158">
        <v>0.91949152542372881</v>
      </c>
      <c r="BB446" s="158">
        <v>0.91947617720813601</v>
      </c>
      <c r="BC446" s="158">
        <v>0.91935032203864464</v>
      </c>
      <c r="BD446" s="158">
        <v>0.9194704908990623</v>
      </c>
      <c r="BE446" s="158">
        <v>0.91956751054852326</v>
      </c>
      <c r="BF446" s="158">
        <v>0.91944940096864647</v>
      </c>
      <c r="BG446" s="158">
        <v>0.91948510853104493</v>
      </c>
      <c r="BH446" s="158">
        <v>0.91963837267704673</v>
      </c>
      <c r="BI446" s="158">
        <v>0.91934660541092394</v>
      </c>
      <c r="BJ446" s="158">
        <v>0.91946308724832215</v>
      </c>
      <c r="BK446" s="158">
        <v>0.9196149843912591</v>
      </c>
      <c r="BL446" s="158">
        <v>0.91951284087900453</v>
      </c>
      <c r="BM446" s="158">
        <v>0.91936339522546418</v>
      </c>
      <c r="BN446" s="158">
        <v>0.91928609483217905</v>
      </c>
      <c r="BO446" s="158">
        <v>0.91943127962085303</v>
      </c>
      <c r="BP446" s="158">
        <v>0.91943005181347148</v>
      </c>
      <c r="BQ446" s="158">
        <v>0.91930541368743612</v>
      </c>
    </row>
    <row r="447" spans="1:69" s="124" customFormat="1">
      <c r="A447" s="124">
        <f>$A$72</f>
        <v>55</v>
      </c>
      <c r="B447" s="114"/>
      <c r="C447" s="114"/>
      <c r="D447" s="114"/>
      <c r="E447" s="114"/>
      <c r="F447" s="114"/>
      <c r="G447" s="114"/>
      <c r="H447" s="114"/>
      <c r="I447" s="114"/>
      <c r="J447" s="114"/>
      <c r="K447" s="114"/>
      <c r="L447" s="114"/>
      <c r="M447" s="158">
        <v>0.89016970861351263</v>
      </c>
      <c r="N447" s="158">
        <v>0.89242132305716115</v>
      </c>
      <c r="O447" s="158">
        <v>0.89410621761658027</v>
      </c>
      <c r="P447" s="158">
        <v>0.89605614973262027</v>
      </c>
      <c r="Q447" s="158">
        <v>0.89777327935222673</v>
      </c>
      <c r="R447" s="158">
        <v>0.89942235813795446</v>
      </c>
      <c r="S447" s="158">
        <v>0.90140374331550799</v>
      </c>
      <c r="T447" s="158">
        <v>0.90247116968698515</v>
      </c>
      <c r="U447" s="158">
        <v>0.90427293805895992</v>
      </c>
      <c r="V447" s="158">
        <v>0.90553219022969911</v>
      </c>
      <c r="W447" s="158">
        <v>0.90651465798045605</v>
      </c>
      <c r="X447" s="158">
        <v>0.90765082574991574</v>
      </c>
      <c r="Y447" s="158">
        <v>0.90846047156726772</v>
      </c>
      <c r="Z447" s="158">
        <v>0.90961469211379187</v>
      </c>
      <c r="AA447" s="158">
        <v>0.91036517890077462</v>
      </c>
      <c r="AB447" s="158">
        <v>0.91134096786110086</v>
      </c>
      <c r="AC447" s="158">
        <v>0.91183119819140923</v>
      </c>
      <c r="AD447" s="158">
        <v>0.91272460579391268</v>
      </c>
      <c r="AE447" s="158">
        <v>0.91327815761065134</v>
      </c>
      <c r="AF447" s="158">
        <v>0.91392582225332397</v>
      </c>
      <c r="AG447" s="158">
        <v>0.91418685121107268</v>
      </c>
      <c r="AH447" s="158">
        <v>0.91483699268130403</v>
      </c>
      <c r="AI447" s="158">
        <v>0.91533180778032042</v>
      </c>
      <c r="AJ447" s="158">
        <v>0.91578270652523308</v>
      </c>
      <c r="AK447" s="158">
        <v>0.91594827586206895</v>
      </c>
      <c r="AL447" s="158">
        <v>0.91625036732295029</v>
      </c>
      <c r="AM447" s="158">
        <v>0.91678341272065</v>
      </c>
      <c r="AN447" s="158">
        <v>0.9166887066913515</v>
      </c>
      <c r="AO447" s="158">
        <v>0.9170403587443946</v>
      </c>
      <c r="AP447" s="158">
        <v>0.91727897606067788</v>
      </c>
      <c r="AQ447" s="158">
        <v>0.91733396137541212</v>
      </c>
      <c r="AR447" s="158">
        <v>0.91744402985074625</v>
      </c>
      <c r="AS447" s="158">
        <v>0.91767210787792763</v>
      </c>
      <c r="AT447" s="158">
        <v>0.91778563015312131</v>
      </c>
      <c r="AU447" s="158">
        <v>0.91808712121212122</v>
      </c>
      <c r="AV447" s="158">
        <v>0.91802067946824228</v>
      </c>
      <c r="AW447" s="158">
        <v>0.91801619433198378</v>
      </c>
      <c r="AX447" s="158">
        <v>0.91801566579634464</v>
      </c>
      <c r="AY447" s="158">
        <v>0.91807542262678798</v>
      </c>
      <c r="AZ447" s="158">
        <v>0.91826274615592118</v>
      </c>
      <c r="BA447" s="158">
        <v>0.91819983017265783</v>
      </c>
      <c r="BB447" s="158">
        <v>0.91829233813966638</v>
      </c>
      <c r="BC447" s="158">
        <v>0.91829336307863918</v>
      </c>
      <c r="BD447" s="158">
        <v>0.91816143497757852</v>
      </c>
      <c r="BE447" s="158">
        <v>0.91829975158708255</v>
      </c>
      <c r="BF447" s="158">
        <v>0.91820580474934033</v>
      </c>
      <c r="BG447" s="158">
        <v>0.91836734693877553</v>
      </c>
      <c r="BH447" s="158">
        <v>0.91841374084364735</v>
      </c>
      <c r="BI447" s="158">
        <v>0.91809045226130648</v>
      </c>
      <c r="BJ447" s="158">
        <v>0.91802860061287028</v>
      </c>
      <c r="BK447" s="158">
        <v>0.91836734693877553</v>
      </c>
      <c r="BL447" s="158">
        <v>0.91827173347214996</v>
      </c>
      <c r="BM447" s="158">
        <v>0.9181456953642384</v>
      </c>
      <c r="BN447" s="158">
        <v>0.91825902335456477</v>
      </c>
      <c r="BO447" s="158">
        <v>0.9181769722814499</v>
      </c>
      <c r="BP447" s="158">
        <v>0.91809323149855149</v>
      </c>
      <c r="BQ447" s="158">
        <v>0.91835147744945567</v>
      </c>
    </row>
    <row r="448" spans="1:69" s="124" customFormat="1">
      <c r="A448" s="124">
        <f>$A$73</f>
        <v>56</v>
      </c>
      <c r="B448" s="114"/>
      <c r="C448" s="114"/>
      <c r="D448" s="114"/>
      <c r="E448" s="114"/>
      <c r="F448" s="114"/>
      <c r="G448" s="114"/>
      <c r="H448" s="114"/>
      <c r="I448" s="114"/>
      <c r="J448" s="114"/>
      <c r="K448" s="114"/>
      <c r="L448" s="114"/>
      <c r="M448" s="158">
        <v>0.88384336952945053</v>
      </c>
      <c r="N448" s="158">
        <v>0.88618146841936518</v>
      </c>
      <c r="O448" s="158">
        <v>0.88871019620456737</v>
      </c>
      <c r="P448" s="158">
        <v>0.89033095392602202</v>
      </c>
      <c r="Q448" s="158">
        <v>0.89246231155778899</v>
      </c>
      <c r="R448" s="158">
        <v>0.89445196211096079</v>
      </c>
      <c r="S448" s="158">
        <v>0.89608177172061332</v>
      </c>
      <c r="T448" s="158">
        <v>0.89782244556113899</v>
      </c>
      <c r="U448" s="158">
        <v>0.89957053187974889</v>
      </c>
      <c r="V448" s="158">
        <v>0.90106241699867196</v>
      </c>
      <c r="W448" s="158">
        <v>0.90207522697795073</v>
      </c>
      <c r="X448" s="158">
        <v>0.90339425587467359</v>
      </c>
      <c r="Y448" s="158">
        <v>0.90442418101992572</v>
      </c>
      <c r="Z448" s="158">
        <v>0.90548992355802638</v>
      </c>
      <c r="AA448" s="158">
        <v>0.90656565656565657</v>
      </c>
      <c r="AB448" s="158">
        <v>0.90761271249076125</v>
      </c>
      <c r="AC448" s="158">
        <v>0.90821613619541086</v>
      </c>
      <c r="AD448" s="158">
        <v>0.90905660377358488</v>
      </c>
      <c r="AE448" s="158">
        <v>0.90965846492838776</v>
      </c>
      <c r="AF448" s="158">
        <v>0.9102702702702703</v>
      </c>
      <c r="AG448" s="158">
        <v>0.91100210231254375</v>
      </c>
      <c r="AH448" s="158">
        <v>0.91129591129591125</v>
      </c>
      <c r="AI448" s="158">
        <v>0.91202932355881372</v>
      </c>
      <c r="AJ448" s="158">
        <v>0.91227495908346967</v>
      </c>
      <c r="AK448" s="158">
        <v>0.91277759897006761</v>
      </c>
      <c r="AL448" s="158">
        <v>0.91307028360049325</v>
      </c>
      <c r="AM448" s="158">
        <v>0.91350397175639897</v>
      </c>
      <c r="AN448" s="158">
        <v>0.91360448807854133</v>
      </c>
      <c r="AO448" s="158">
        <v>0.91393008474576276</v>
      </c>
      <c r="AP448" s="158">
        <v>0.91419306560239466</v>
      </c>
      <c r="AQ448" s="158">
        <v>0.91455020175646806</v>
      </c>
      <c r="AR448" s="158">
        <v>0.91464277293091256</v>
      </c>
      <c r="AS448" s="158">
        <v>0.9145458790567359</v>
      </c>
      <c r="AT448" s="158">
        <v>0.91473235433443867</v>
      </c>
      <c r="AU448" s="158">
        <v>0.91485849056603774</v>
      </c>
      <c r="AV448" s="158">
        <v>0.91516587677725114</v>
      </c>
      <c r="AW448" s="158">
        <v>0.91522917693445049</v>
      </c>
      <c r="AX448" s="158">
        <v>0.91516839706254749</v>
      </c>
      <c r="AY448" s="158">
        <v>0.91507708387771103</v>
      </c>
      <c r="AZ448" s="158">
        <v>0.91514836022904733</v>
      </c>
      <c r="BA448" s="158">
        <v>0.91524966261808371</v>
      </c>
      <c r="BB448" s="158">
        <v>0.91532143868592464</v>
      </c>
      <c r="BC448" s="158">
        <v>0.91513437057991509</v>
      </c>
      <c r="BD448" s="158">
        <v>0.9154575892857143</v>
      </c>
      <c r="BE448" s="158">
        <v>0.91531127313516547</v>
      </c>
      <c r="BF448" s="158">
        <v>0.91549295774647887</v>
      </c>
      <c r="BG448" s="158">
        <v>0.91525871172122497</v>
      </c>
      <c r="BH448" s="158">
        <v>0.91551812149055645</v>
      </c>
      <c r="BI448" s="158">
        <v>0.9151086407276402</v>
      </c>
      <c r="BJ448" s="158">
        <v>0.91528406234288584</v>
      </c>
      <c r="BK448" s="158">
        <v>0.91517629024016356</v>
      </c>
      <c r="BL448" s="158">
        <v>0.91524547803617573</v>
      </c>
      <c r="BM448" s="158">
        <v>0.91538661806821142</v>
      </c>
      <c r="BN448" s="158">
        <v>0.9152093269740329</v>
      </c>
      <c r="BO448" s="158">
        <v>0.9153172285638439</v>
      </c>
      <c r="BP448" s="158">
        <v>0.91522260730471872</v>
      </c>
      <c r="BQ448" s="158">
        <v>0.91517386722866179</v>
      </c>
    </row>
    <row r="449" spans="1:69" s="124" customFormat="1">
      <c r="A449" s="124">
        <f>$A$74</f>
        <v>57</v>
      </c>
      <c r="B449" s="114"/>
      <c r="C449" s="114"/>
      <c r="D449" s="114"/>
      <c r="E449" s="114"/>
      <c r="F449" s="114"/>
      <c r="G449" s="114"/>
      <c r="H449" s="114"/>
      <c r="I449" s="114"/>
      <c r="J449" s="114"/>
      <c r="K449" s="114"/>
      <c r="L449" s="114"/>
      <c r="M449" s="158">
        <v>0.87568119891008178</v>
      </c>
      <c r="N449" s="158">
        <v>0.87808896210873144</v>
      </c>
      <c r="O449" s="158">
        <v>0.88053949903660889</v>
      </c>
      <c r="P449" s="158">
        <v>0.88269416693522396</v>
      </c>
      <c r="Q449" s="158">
        <v>0.88484059856864017</v>
      </c>
      <c r="R449" s="158">
        <v>0.88679879072892176</v>
      </c>
      <c r="S449" s="158">
        <v>0.88873812754409764</v>
      </c>
      <c r="T449" s="158">
        <v>0.89036885245901642</v>
      </c>
      <c r="U449" s="158">
        <v>0.89187374076561454</v>
      </c>
      <c r="V449" s="158">
        <v>0.89370860927152318</v>
      </c>
      <c r="W449" s="158">
        <v>0.8948769128409847</v>
      </c>
      <c r="X449" s="158">
        <v>0.89636127355425599</v>
      </c>
      <c r="Y449" s="158">
        <v>0.89761203794569844</v>
      </c>
      <c r="Z449" s="158">
        <v>0.89881556683587138</v>
      </c>
      <c r="AA449" s="158">
        <v>0.89975635224504003</v>
      </c>
      <c r="AB449" s="158">
        <v>0.90061438380917958</v>
      </c>
      <c r="AC449" s="158">
        <v>0.9015544041450777</v>
      </c>
      <c r="AD449" s="158">
        <v>0.902520385470719</v>
      </c>
      <c r="AE449" s="158">
        <v>0.90325018896447473</v>
      </c>
      <c r="AF449" s="158">
        <v>0.90400882677454941</v>
      </c>
      <c r="AG449" s="158">
        <v>0.90472753518585347</v>
      </c>
      <c r="AH449" s="158">
        <v>0.90494563311118903</v>
      </c>
      <c r="AI449" s="158">
        <v>0.90562109646079114</v>
      </c>
      <c r="AJ449" s="158">
        <v>0.9059372915276851</v>
      </c>
      <c r="AK449" s="158">
        <v>0.90658800393313665</v>
      </c>
      <c r="AL449" s="158">
        <v>0.90657216494845361</v>
      </c>
      <c r="AM449" s="158">
        <v>0.90740740740740744</v>
      </c>
      <c r="AN449" s="158">
        <v>0.90751104565537555</v>
      </c>
      <c r="AO449" s="158">
        <v>0.90761022184779561</v>
      </c>
      <c r="AP449" s="158">
        <v>0.90800636267232238</v>
      </c>
      <c r="AQ449" s="158">
        <v>0.90811485642946321</v>
      </c>
      <c r="AR449" s="158">
        <v>0.90829175576146348</v>
      </c>
      <c r="AS449" s="158">
        <v>0.90842577295256077</v>
      </c>
      <c r="AT449" s="158">
        <v>0.90862351016592657</v>
      </c>
      <c r="AU449" s="158">
        <v>0.90872451398767184</v>
      </c>
      <c r="AV449" s="158">
        <v>0.90866178900165206</v>
      </c>
      <c r="AW449" s="158">
        <v>0.90894000474270809</v>
      </c>
      <c r="AX449" s="158">
        <v>0.90900123304562264</v>
      </c>
      <c r="AY449" s="158">
        <v>0.90902179422199691</v>
      </c>
      <c r="AZ449" s="158">
        <v>0.90925732217573219</v>
      </c>
      <c r="BA449" s="158">
        <v>0.90911458333333328</v>
      </c>
      <c r="BB449" s="158">
        <v>0.90899270861463677</v>
      </c>
      <c r="BC449" s="158">
        <v>0.90932275432133747</v>
      </c>
      <c r="BD449" s="158">
        <v>0.90914237192187941</v>
      </c>
      <c r="BE449" s="158">
        <v>0.9090147920736813</v>
      </c>
      <c r="BF449" s="158">
        <v>0.90911640953716688</v>
      </c>
      <c r="BG449" s="158">
        <v>0.90911602209944753</v>
      </c>
      <c r="BH449" s="158">
        <v>0.90940306391970416</v>
      </c>
      <c r="BI449" s="158">
        <v>0.90911411794740871</v>
      </c>
      <c r="BJ449" s="158">
        <v>0.90925176946410513</v>
      </c>
      <c r="BK449" s="158">
        <v>0.90922806135277845</v>
      </c>
      <c r="BL449" s="158">
        <v>0.90927676974188598</v>
      </c>
      <c r="BM449" s="158">
        <v>0.90927888343241148</v>
      </c>
      <c r="BN449" s="158">
        <v>0.90911458333333328</v>
      </c>
      <c r="BO449" s="158">
        <v>0.90935595017227666</v>
      </c>
      <c r="BP449" s="158">
        <v>0.90921157419697374</v>
      </c>
      <c r="BQ449" s="158">
        <v>0.90909090909090906</v>
      </c>
    </row>
    <row r="450" spans="1:69" s="124" customFormat="1">
      <c r="A450" s="124">
        <f>$A$75</f>
        <v>58</v>
      </c>
      <c r="B450" s="114"/>
      <c r="C450" s="114"/>
      <c r="D450" s="114"/>
      <c r="E450" s="114"/>
      <c r="F450" s="114"/>
      <c r="G450" s="114"/>
      <c r="H450" s="114"/>
      <c r="I450" s="114"/>
      <c r="J450" s="114"/>
      <c r="K450" s="114"/>
      <c r="L450" s="114"/>
      <c r="M450" s="158">
        <v>0.86888657648283041</v>
      </c>
      <c r="N450" s="158">
        <v>0.87150647580095431</v>
      </c>
      <c r="O450" s="158">
        <v>0.87429891125041237</v>
      </c>
      <c r="P450" s="158">
        <v>0.87676962676962678</v>
      </c>
      <c r="Q450" s="158">
        <v>0.87919896640826878</v>
      </c>
      <c r="R450" s="158">
        <v>0.88099119660906422</v>
      </c>
      <c r="S450" s="158">
        <v>0.88316498316498315</v>
      </c>
      <c r="T450" s="158">
        <v>0.88511216859279407</v>
      </c>
      <c r="U450" s="158">
        <v>0.88706365503080087</v>
      </c>
      <c r="V450" s="158">
        <v>0.88892628744530466</v>
      </c>
      <c r="W450" s="158">
        <v>0.89051094890510951</v>
      </c>
      <c r="X450" s="158">
        <v>0.89166666666666672</v>
      </c>
      <c r="Y450" s="158">
        <v>0.89322916666666663</v>
      </c>
      <c r="Z450" s="158">
        <v>0.89449541284403666</v>
      </c>
      <c r="AA450" s="158">
        <v>0.89528973229413755</v>
      </c>
      <c r="AB450" s="158">
        <v>0.89647960962007667</v>
      </c>
      <c r="AC450" s="158">
        <v>0.89793702497285555</v>
      </c>
      <c r="AD450" s="158">
        <v>0.89848091885883663</v>
      </c>
      <c r="AE450" s="158">
        <v>0.89944341372912806</v>
      </c>
      <c r="AF450" s="158">
        <v>0.90011350737797957</v>
      </c>
      <c r="AG450" s="158">
        <v>0.90062569009937432</v>
      </c>
      <c r="AH450" s="158">
        <v>0.90140845070422537</v>
      </c>
      <c r="AI450" s="158">
        <v>0.9020365168539326</v>
      </c>
      <c r="AJ450" s="158">
        <v>0.90243055555555551</v>
      </c>
      <c r="AK450" s="158">
        <v>0.90317195325542576</v>
      </c>
      <c r="AL450" s="158">
        <v>0.90324696621843226</v>
      </c>
      <c r="AM450" s="158">
        <v>0.90390196710738469</v>
      </c>
      <c r="AN450" s="158">
        <v>0.90395305744286591</v>
      </c>
      <c r="AO450" s="158">
        <v>0.90448113207547165</v>
      </c>
      <c r="AP450" s="158">
        <v>0.90472175379426645</v>
      </c>
      <c r="AQ450" s="158">
        <v>0.90474927036349162</v>
      </c>
      <c r="AR450" s="158">
        <v>0.905023744063984</v>
      </c>
      <c r="AS450" s="158">
        <v>0.90513552068473613</v>
      </c>
      <c r="AT450" s="158">
        <v>0.90529050543221545</v>
      </c>
      <c r="AU450" s="158">
        <v>0.90528531337698781</v>
      </c>
      <c r="AV450" s="158">
        <v>0.90536053130929794</v>
      </c>
      <c r="AW450" s="158">
        <v>0.90552668871043929</v>
      </c>
      <c r="AX450" s="158">
        <v>0.90557532621589565</v>
      </c>
      <c r="AY450" s="158">
        <v>0.90552540700542672</v>
      </c>
      <c r="AZ450" s="158">
        <v>0.90570342205323195</v>
      </c>
      <c r="BA450" s="158">
        <v>0.90583311535443367</v>
      </c>
      <c r="BB450" s="158">
        <v>0.90570461057567075</v>
      </c>
      <c r="BC450" s="158">
        <v>0.90599675850891415</v>
      </c>
      <c r="BD450" s="158">
        <v>0.90592235760838768</v>
      </c>
      <c r="BE450" s="158">
        <v>0.90602887064817439</v>
      </c>
      <c r="BF450" s="158">
        <v>0.90594473904549255</v>
      </c>
      <c r="BG450" s="158">
        <v>0.90603085553997198</v>
      </c>
      <c r="BH450" s="158">
        <v>0.90607734806629836</v>
      </c>
      <c r="BI450" s="158">
        <v>0.90573012939001851</v>
      </c>
      <c r="BJ450" s="158">
        <v>0.90605054888945624</v>
      </c>
      <c r="BK450" s="158">
        <v>0.90573666919383367</v>
      </c>
      <c r="BL450" s="158">
        <v>0.90595926577822483</v>
      </c>
      <c r="BM450" s="158">
        <v>0.90595451060567345</v>
      </c>
      <c r="BN450" s="158">
        <v>0.90568475452196384</v>
      </c>
      <c r="BO450" s="158">
        <v>0.90601405883884401</v>
      </c>
      <c r="BP450" s="158">
        <v>0.90593534711181767</v>
      </c>
      <c r="BQ450" s="158">
        <v>0.90578556263269638</v>
      </c>
    </row>
    <row r="451" spans="1:69" s="124" customFormat="1">
      <c r="A451" s="124">
        <f>$A$76</f>
        <v>59</v>
      </c>
      <c r="B451" s="114"/>
      <c r="C451" s="114"/>
      <c r="D451" s="114"/>
      <c r="E451" s="114"/>
      <c r="F451" s="114"/>
      <c r="G451" s="114"/>
      <c r="H451" s="114"/>
      <c r="I451" s="114"/>
      <c r="J451" s="114"/>
      <c r="K451" s="114"/>
      <c r="L451" s="114"/>
      <c r="M451" s="158">
        <v>0.8626876601977298</v>
      </c>
      <c r="N451" s="158">
        <v>0.86601874349184316</v>
      </c>
      <c r="O451" s="158">
        <v>0.86894197952218433</v>
      </c>
      <c r="P451" s="158">
        <v>0.8717779246530073</v>
      </c>
      <c r="Q451" s="158">
        <v>0.87427466150870403</v>
      </c>
      <c r="R451" s="158">
        <v>0.87665911298154742</v>
      </c>
      <c r="S451" s="158">
        <v>0.87908496732026142</v>
      </c>
      <c r="T451" s="158">
        <v>0.88153898076274051</v>
      </c>
      <c r="U451" s="158">
        <v>0.88351498637602177</v>
      </c>
      <c r="V451" s="158">
        <v>0.8854595336076817</v>
      </c>
      <c r="W451" s="158">
        <v>0.88705327039784221</v>
      </c>
      <c r="X451" s="158">
        <v>0.88899966766367566</v>
      </c>
      <c r="Y451" s="158">
        <v>0.89048414023372291</v>
      </c>
      <c r="Z451" s="158">
        <v>0.8917508966416694</v>
      </c>
      <c r="AA451" s="158">
        <v>0.89304461942257218</v>
      </c>
      <c r="AB451" s="158">
        <v>0.89412962334577539</v>
      </c>
      <c r="AC451" s="158">
        <v>0.89532449406838799</v>
      </c>
      <c r="AD451" s="158">
        <v>0.89641434262948205</v>
      </c>
      <c r="AE451" s="158">
        <v>0.89729328883945125</v>
      </c>
      <c r="AF451" s="158">
        <v>0.89825473449684368</v>
      </c>
      <c r="AG451" s="158">
        <v>0.89894019682059045</v>
      </c>
      <c r="AH451" s="158">
        <v>0.89981583793738484</v>
      </c>
      <c r="AI451" s="158">
        <v>0.90025298156848577</v>
      </c>
      <c r="AJ451" s="158">
        <v>0.90059711977520196</v>
      </c>
      <c r="AK451" s="158">
        <v>0.90166782487838781</v>
      </c>
      <c r="AL451" s="158">
        <v>0.90180360721442887</v>
      </c>
      <c r="AM451" s="158">
        <v>0.90219888414834259</v>
      </c>
      <c r="AN451" s="158">
        <v>0.90258064516129033</v>
      </c>
      <c r="AO451" s="158">
        <v>0.90296662546353523</v>
      </c>
      <c r="AP451" s="158">
        <v>0.903273370687113</v>
      </c>
      <c r="AQ451" s="158">
        <v>0.90328928872645486</v>
      </c>
      <c r="AR451" s="158">
        <v>0.90390230953013007</v>
      </c>
      <c r="AS451" s="158">
        <v>0.90397599399849959</v>
      </c>
      <c r="AT451" s="158">
        <v>0.90390104662226456</v>
      </c>
      <c r="AU451" s="158">
        <v>0.90406427221172025</v>
      </c>
      <c r="AV451" s="158">
        <v>0.90430510060832947</v>
      </c>
      <c r="AW451" s="158">
        <v>0.90436639772187943</v>
      </c>
      <c r="AX451" s="158">
        <v>0.90432317505315374</v>
      </c>
      <c r="AY451" s="158">
        <v>0.90458105862805605</v>
      </c>
      <c r="AZ451" s="158">
        <v>0.90451517394522574</v>
      </c>
      <c r="BA451" s="158">
        <v>0.90466531440162268</v>
      </c>
      <c r="BB451" s="158">
        <v>0.90478681663614957</v>
      </c>
      <c r="BC451" s="158">
        <v>0.90466267257098198</v>
      </c>
      <c r="BD451" s="158">
        <v>0.90467188765865514</v>
      </c>
      <c r="BE451" s="158">
        <v>0.9048158640226629</v>
      </c>
      <c r="BF451" s="158">
        <v>0.90464063384267124</v>
      </c>
      <c r="BG451" s="158">
        <v>0.9045758928571429</v>
      </c>
      <c r="BH451" s="158">
        <v>0.90465507571508696</v>
      </c>
      <c r="BI451" s="158">
        <v>0.90474875759249029</v>
      </c>
      <c r="BJ451" s="158">
        <v>0.90469904963041181</v>
      </c>
      <c r="BK451" s="158">
        <v>0.90456749170706818</v>
      </c>
      <c r="BL451" s="158">
        <v>0.90474987367357251</v>
      </c>
      <c r="BM451" s="158">
        <v>0.90449861774315155</v>
      </c>
      <c r="BN451" s="158">
        <v>0.90472541507024262</v>
      </c>
      <c r="BO451" s="158">
        <v>0.9049341255489538</v>
      </c>
      <c r="BP451" s="158">
        <v>0.90476190476190477</v>
      </c>
      <c r="BQ451" s="158">
        <v>0.90468625893566323</v>
      </c>
    </row>
    <row r="452" spans="1:69" s="124" customFormat="1">
      <c r="A452" s="124">
        <f>$A$77</f>
        <v>60</v>
      </c>
      <c r="B452" s="114"/>
      <c r="C452" s="114"/>
      <c r="D452" s="114"/>
      <c r="E452" s="114"/>
      <c r="F452" s="114"/>
      <c r="G452" s="114"/>
      <c r="H452" s="114"/>
      <c r="I452" s="114"/>
      <c r="J452" s="114"/>
      <c r="K452" s="114"/>
      <c r="L452" s="114"/>
      <c r="M452" s="158">
        <v>0.84829607914987171</v>
      </c>
      <c r="N452" s="158">
        <v>0.85164835164835162</v>
      </c>
      <c r="O452" s="158">
        <v>0.85510771369006255</v>
      </c>
      <c r="P452" s="158">
        <v>0.8581681476418318</v>
      </c>
      <c r="Q452" s="158">
        <v>0.86092715231788075</v>
      </c>
      <c r="R452" s="158">
        <v>0.86360698125404012</v>
      </c>
      <c r="S452" s="158">
        <v>0.86599610642439973</v>
      </c>
      <c r="T452" s="158">
        <v>0.86865378316410091</v>
      </c>
      <c r="U452" s="158">
        <v>0.87052062204192027</v>
      </c>
      <c r="V452" s="158">
        <v>0.87273967929034457</v>
      </c>
      <c r="W452" s="158">
        <v>0.87495705942974922</v>
      </c>
      <c r="X452" s="158">
        <v>0.87643484132343008</v>
      </c>
      <c r="Y452" s="158">
        <v>0.87820299500831944</v>
      </c>
      <c r="Z452" s="158">
        <v>0.87963891675025074</v>
      </c>
      <c r="AA452" s="158">
        <v>0.88116225922298397</v>
      </c>
      <c r="AB452" s="158">
        <v>0.8823915900131406</v>
      </c>
      <c r="AC452" s="158">
        <v>0.88349184782608692</v>
      </c>
      <c r="AD452" s="158">
        <v>0.88473629060426129</v>
      </c>
      <c r="AE452" s="158">
        <v>0.88582819862268936</v>
      </c>
      <c r="AF452" s="158">
        <v>0.88682745825602971</v>
      </c>
      <c r="AG452" s="158">
        <v>0.88744427934621095</v>
      </c>
      <c r="AH452" s="158">
        <v>0.88829988640666413</v>
      </c>
      <c r="AI452" s="158">
        <v>0.88876611418047879</v>
      </c>
      <c r="AJ452" s="158">
        <v>0.88941091434766895</v>
      </c>
      <c r="AK452" s="158">
        <v>0.89002108222066056</v>
      </c>
      <c r="AL452" s="158">
        <v>0.89054899235580265</v>
      </c>
      <c r="AM452" s="158">
        <v>0.89107918476445036</v>
      </c>
      <c r="AN452" s="158">
        <v>0.89136855923859537</v>
      </c>
      <c r="AO452" s="158">
        <v>0.89161290322580644</v>
      </c>
      <c r="AP452" s="158">
        <v>0.89215080346106301</v>
      </c>
      <c r="AQ452" s="158">
        <v>0.8926253687315634</v>
      </c>
      <c r="AR452" s="158">
        <v>0.89257592800899888</v>
      </c>
      <c r="AS452" s="158">
        <v>0.8929899097185342</v>
      </c>
      <c r="AT452" s="158">
        <v>0.89294647323661835</v>
      </c>
      <c r="AU452" s="158">
        <v>0.89314612089481205</v>
      </c>
      <c r="AV452" s="158">
        <v>0.89316946348380999</v>
      </c>
      <c r="AW452" s="158">
        <v>0.89328340744207813</v>
      </c>
      <c r="AX452" s="158">
        <v>0.89342511274626157</v>
      </c>
      <c r="AY452" s="158">
        <v>0.89366729678638945</v>
      </c>
      <c r="AZ452" s="158">
        <v>0.89366247329693804</v>
      </c>
      <c r="BA452" s="158">
        <v>0.89365901801134962</v>
      </c>
      <c r="BB452" s="158">
        <v>0.89353612167300378</v>
      </c>
      <c r="BC452" s="158">
        <v>0.89382845188284521</v>
      </c>
      <c r="BD452" s="158">
        <v>0.89375000000000004</v>
      </c>
      <c r="BE452" s="158">
        <v>0.8938984881209503</v>
      </c>
      <c r="BF452" s="158">
        <v>0.89382785956964894</v>
      </c>
      <c r="BG452" s="158">
        <v>0.89394796380090502</v>
      </c>
      <c r="BH452" s="158">
        <v>0.8937534857780256</v>
      </c>
      <c r="BI452" s="158">
        <v>0.8935275987671617</v>
      </c>
      <c r="BJ452" s="158">
        <v>0.89376379690949226</v>
      </c>
      <c r="BK452" s="158">
        <v>0.89366754617414246</v>
      </c>
      <c r="BL452" s="158">
        <v>0.89364957918898236</v>
      </c>
      <c r="BM452" s="158">
        <v>0.89368686868686864</v>
      </c>
      <c r="BN452" s="158">
        <v>0.89374529012810855</v>
      </c>
      <c r="BO452" s="158">
        <v>0.89356814701378251</v>
      </c>
      <c r="BP452" s="158">
        <v>0.89390810531750131</v>
      </c>
      <c r="BQ452" s="158">
        <v>0.89365574622984922</v>
      </c>
    </row>
    <row r="453" spans="1:69" s="124" customFormat="1">
      <c r="A453" s="124">
        <f>$A$78</f>
        <v>61</v>
      </c>
      <c r="B453" s="114"/>
      <c r="C453" s="114"/>
      <c r="D453" s="114"/>
      <c r="E453" s="114"/>
      <c r="F453" s="114"/>
      <c r="G453" s="114"/>
      <c r="H453" s="114"/>
      <c r="I453" s="114"/>
      <c r="J453" s="114"/>
      <c r="K453" s="114"/>
      <c r="L453" s="114"/>
      <c r="M453" s="158">
        <v>0.82548058801356949</v>
      </c>
      <c r="N453" s="158">
        <v>0.82881231671554256</v>
      </c>
      <c r="O453" s="158">
        <v>0.83211143695014667</v>
      </c>
      <c r="P453" s="158">
        <v>0.83542101600556717</v>
      </c>
      <c r="Q453" s="158">
        <v>0.83869863013698631</v>
      </c>
      <c r="R453" s="158">
        <v>0.84135413209425824</v>
      </c>
      <c r="S453" s="158">
        <v>0.844185293164885</v>
      </c>
      <c r="T453" s="158">
        <v>0.84650406504065046</v>
      </c>
      <c r="U453" s="158">
        <v>0.84870364292746969</v>
      </c>
      <c r="V453" s="158">
        <v>0.85128726287262868</v>
      </c>
      <c r="W453" s="158">
        <v>0.85304169514695827</v>
      </c>
      <c r="X453" s="158">
        <v>0.85483316133470932</v>
      </c>
      <c r="Y453" s="158">
        <v>0.85694961109232326</v>
      </c>
      <c r="Z453" s="158">
        <v>0.85838053982006002</v>
      </c>
      <c r="AA453" s="158">
        <v>0.85977242302543511</v>
      </c>
      <c r="AB453" s="158">
        <v>0.86111111111111116</v>
      </c>
      <c r="AC453" s="158">
        <v>0.86254521538967444</v>
      </c>
      <c r="AD453" s="158">
        <v>0.86365181910914657</v>
      </c>
      <c r="AE453" s="158">
        <v>0.8647326109751835</v>
      </c>
      <c r="AF453" s="158">
        <v>0.86548223350253806</v>
      </c>
      <c r="AG453" s="158">
        <v>0.86674090571640683</v>
      </c>
      <c r="AH453" s="158">
        <v>0.86738484398216942</v>
      </c>
      <c r="AI453" s="158">
        <v>0.86785308595229083</v>
      </c>
      <c r="AJ453" s="158">
        <v>0.86882829771554904</v>
      </c>
      <c r="AK453" s="158">
        <v>0.86917238886881099</v>
      </c>
      <c r="AL453" s="158">
        <v>0.86964160224877018</v>
      </c>
      <c r="AM453" s="158">
        <v>0.87039610840861714</v>
      </c>
      <c r="AN453" s="158">
        <v>0.87069829602405613</v>
      </c>
      <c r="AO453" s="158">
        <v>0.87102067607482769</v>
      </c>
      <c r="AP453" s="158">
        <v>0.8712903225806452</v>
      </c>
      <c r="AQ453" s="158">
        <v>0.8717552533992583</v>
      </c>
      <c r="AR453" s="158">
        <v>0.87197640117994102</v>
      </c>
      <c r="AS453" s="158">
        <v>0.87204724409448819</v>
      </c>
      <c r="AT453" s="158">
        <v>0.87227827934147639</v>
      </c>
      <c r="AU453" s="158">
        <v>0.87243621810905447</v>
      </c>
      <c r="AV453" s="158">
        <v>0.87264936919781</v>
      </c>
      <c r="AW453" s="158">
        <v>0.87281323877068562</v>
      </c>
      <c r="AX453" s="158">
        <v>0.8728932584269663</v>
      </c>
      <c r="AY453" s="158">
        <v>0.87301210538808449</v>
      </c>
      <c r="AZ453" s="158">
        <v>0.87310964083175802</v>
      </c>
      <c r="BA453" s="158">
        <v>0.87280493592785957</v>
      </c>
      <c r="BB453" s="158">
        <v>0.87296497286630492</v>
      </c>
      <c r="BC453" s="158">
        <v>0.87303598580841357</v>
      </c>
      <c r="BD453" s="158">
        <v>0.872974385781495</v>
      </c>
      <c r="BE453" s="158">
        <v>0.87324310255075477</v>
      </c>
      <c r="BF453" s="158">
        <v>0.87294308065821424</v>
      </c>
      <c r="BG453" s="158">
        <v>0.87298444130127295</v>
      </c>
      <c r="BH453" s="158">
        <v>0.87312800226052556</v>
      </c>
      <c r="BI453" s="158">
        <v>0.87322373920312069</v>
      </c>
      <c r="BJ453" s="158">
        <v>0.87290033594624861</v>
      </c>
      <c r="BK453" s="158">
        <v>0.87317342156051836</v>
      </c>
      <c r="BL453" s="158">
        <v>0.87318745056683367</v>
      </c>
      <c r="BM453" s="158">
        <v>0.87308868501529047</v>
      </c>
      <c r="BN453" s="158">
        <v>0.87307595256119097</v>
      </c>
      <c r="BO453" s="158">
        <v>0.87324297188755018</v>
      </c>
      <c r="BP453" s="158">
        <v>0.87324662076001025</v>
      </c>
      <c r="BQ453" s="158">
        <v>0.87313047962867463</v>
      </c>
    </row>
    <row r="454" spans="1:69" s="124" customFormat="1">
      <c r="A454" s="124">
        <f>$A$79</f>
        <v>62</v>
      </c>
      <c r="B454" s="114"/>
      <c r="C454" s="114"/>
      <c r="D454" s="114"/>
      <c r="E454" s="114"/>
      <c r="F454" s="114"/>
      <c r="G454" s="114"/>
      <c r="H454" s="114"/>
      <c r="I454" s="114"/>
      <c r="J454" s="114"/>
      <c r="K454" s="114"/>
      <c r="L454" s="114"/>
      <c r="M454" s="158">
        <v>0.79702776691435273</v>
      </c>
      <c r="N454" s="158">
        <v>0.80090497737556565</v>
      </c>
      <c r="O454" s="158">
        <v>0.80477064220183481</v>
      </c>
      <c r="P454" s="158">
        <v>0.80800293685756241</v>
      </c>
      <c r="Q454" s="158">
        <v>0.81136680613668066</v>
      </c>
      <c r="R454" s="158">
        <v>0.81428081016134568</v>
      </c>
      <c r="S454" s="158">
        <v>0.81730449251247916</v>
      </c>
      <c r="T454" s="158">
        <v>0.82012987012987015</v>
      </c>
      <c r="U454" s="158">
        <v>0.82268578878748366</v>
      </c>
      <c r="V454" s="158">
        <v>0.82499999999999996</v>
      </c>
      <c r="W454" s="158">
        <v>0.82694265354597896</v>
      </c>
      <c r="X454" s="158">
        <v>0.82916809311879491</v>
      </c>
      <c r="Y454" s="158">
        <v>0.8311509303928325</v>
      </c>
      <c r="Z454" s="158">
        <v>0.83271249576701656</v>
      </c>
      <c r="AA454" s="158">
        <v>0.83416750083416746</v>
      </c>
      <c r="AB454" s="158">
        <v>0.83579088471849861</v>
      </c>
      <c r="AC454" s="158">
        <v>0.83736910994764402</v>
      </c>
      <c r="AD454" s="158">
        <v>0.83838051349572085</v>
      </c>
      <c r="AE454" s="158">
        <v>0.83974140864239533</v>
      </c>
      <c r="AF454" s="158">
        <v>0.84085344526058059</v>
      </c>
      <c r="AG454" s="158">
        <v>0.84149437794704385</v>
      </c>
      <c r="AH454" s="158">
        <v>0.8426132145508537</v>
      </c>
      <c r="AI454" s="158">
        <v>0.84355258268301747</v>
      </c>
      <c r="AJ454" s="158">
        <v>0.84399848542218858</v>
      </c>
      <c r="AK454" s="158">
        <v>0.84487840825350036</v>
      </c>
      <c r="AL454" s="158">
        <v>0.84531984098301405</v>
      </c>
      <c r="AM454" s="158">
        <v>0.84574841883345042</v>
      </c>
      <c r="AN454" s="158">
        <v>0.84642112578179296</v>
      </c>
      <c r="AO454" s="158">
        <v>0.84635938543754174</v>
      </c>
      <c r="AP454" s="158">
        <v>0.84706268460781098</v>
      </c>
      <c r="AQ454" s="158">
        <v>0.84741935483870967</v>
      </c>
      <c r="AR454" s="158">
        <v>0.84765142150803463</v>
      </c>
      <c r="AS454" s="158">
        <v>0.84753759952816277</v>
      </c>
      <c r="AT454" s="158">
        <v>0.84786276715410569</v>
      </c>
      <c r="AU454" s="158">
        <v>0.84811471056824217</v>
      </c>
      <c r="AV454" s="158">
        <v>0.84838628971728791</v>
      </c>
      <c r="AW454" s="158">
        <v>0.84836943584860747</v>
      </c>
      <c r="AX454" s="158">
        <v>0.84846335697399522</v>
      </c>
      <c r="AY454" s="158">
        <v>0.84854868913857673</v>
      </c>
      <c r="AZ454" s="158">
        <v>0.8488013292190838</v>
      </c>
      <c r="BA454" s="158">
        <v>0.84857075360264589</v>
      </c>
      <c r="BB454" s="158">
        <v>0.84883720930232553</v>
      </c>
      <c r="BC454" s="158">
        <v>0.84882860665844639</v>
      </c>
      <c r="BD454" s="158">
        <v>0.84878419452887544</v>
      </c>
      <c r="BE454" s="158">
        <v>0.84874608150470221</v>
      </c>
      <c r="BF454" s="158">
        <v>0.84885535900104059</v>
      </c>
      <c r="BG454" s="158">
        <v>0.8487462928012941</v>
      </c>
      <c r="BH454" s="158">
        <v>0.84878462408140187</v>
      </c>
      <c r="BI454" s="158">
        <v>0.84895539243365326</v>
      </c>
      <c r="BJ454" s="158">
        <v>0.84883073496659245</v>
      </c>
      <c r="BK454" s="158">
        <v>0.848951048951049</v>
      </c>
      <c r="BL454" s="158">
        <v>0.84880198292481412</v>
      </c>
      <c r="BM454" s="158">
        <v>0.84882802212272845</v>
      </c>
      <c r="BN454" s="158">
        <v>0.84873949579831931</v>
      </c>
      <c r="BO454" s="158">
        <v>0.84875220569700027</v>
      </c>
      <c r="BP454" s="158">
        <v>0.84879638916750255</v>
      </c>
      <c r="BQ454" s="158">
        <v>0.84891719745222927</v>
      </c>
    </row>
    <row r="455" spans="1:69" s="124" customFormat="1">
      <c r="A455" s="124">
        <f>$A$80</f>
        <v>63</v>
      </c>
      <c r="B455" s="114"/>
      <c r="C455" s="114"/>
      <c r="D455" s="114"/>
      <c r="E455" s="114"/>
      <c r="F455" s="114"/>
      <c r="G455" s="114"/>
      <c r="H455" s="114"/>
      <c r="I455" s="114"/>
      <c r="J455" s="114"/>
      <c r="K455" s="114"/>
      <c r="L455" s="114"/>
      <c r="M455" s="158">
        <v>0.76045016077170413</v>
      </c>
      <c r="N455" s="158">
        <v>0.76507439310884884</v>
      </c>
      <c r="O455" s="158">
        <v>0.7691726482810729</v>
      </c>
      <c r="P455" s="158">
        <v>0.77271055535123212</v>
      </c>
      <c r="Q455" s="158">
        <v>0.77622377622377625</v>
      </c>
      <c r="R455" s="158">
        <v>0.77964323189926543</v>
      </c>
      <c r="S455" s="158">
        <v>0.78305785123966942</v>
      </c>
      <c r="T455" s="158">
        <v>0.78604806408544725</v>
      </c>
      <c r="U455" s="158">
        <v>0.78866818625854773</v>
      </c>
      <c r="V455" s="158">
        <v>0.79117647058823526</v>
      </c>
      <c r="W455" s="158">
        <v>0.79360369271348497</v>
      </c>
      <c r="X455" s="158">
        <v>0.79591836734693877</v>
      </c>
      <c r="Y455" s="158">
        <v>0.79794168096054885</v>
      </c>
      <c r="Z455" s="158">
        <v>0.79979288919571967</v>
      </c>
      <c r="AA455" s="158">
        <v>0.80156037991858886</v>
      </c>
      <c r="AB455" s="158">
        <v>0.80314171122994649</v>
      </c>
      <c r="AC455" s="158">
        <v>0.80496811010406177</v>
      </c>
      <c r="AD455" s="158">
        <v>0.80602883355176935</v>
      </c>
      <c r="AE455" s="158">
        <v>0.80718523401450226</v>
      </c>
      <c r="AF455" s="158">
        <v>0.80885860306643953</v>
      </c>
      <c r="AG455" s="158">
        <v>0.80987394957983194</v>
      </c>
      <c r="AH455" s="158">
        <v>0.81052631578947365</v>
      </c>
      <c r="AI455" s="158">
        <v>0.81166419019316494</v>
      </c>
      <c r="AJ455" s="158">
        <v>0.81226765799256506</v>
      </c>
      <c r="AK455" s="158">
        <v>0.81287878787878787</v>
      </c>
      <c r="AL455" s="158">
        <v>0.81355932203389836</v>
      </c>
      <c r="AM455" s="158">
        <v>0.81417208966015908</v>
      </c>
      <c r="AN455" s="158">
        <v>0.81476274165202112</v>
      </c>
      <c r="AO455" s="158">
        <v>0.81514940931202229</v>
      </c>
      <c r="AP455" s="158">
        <v>0.81556966254594054</v>
      </c>
      <c r="AQ455" s="158">
        <v>0.81588447653429608</v>
      </c>
      <c r="AR455" s="158">
        <v>0.81612903225806455</v>
      </c>
      <c r="AS455" s="158">
        <v>0.8164400494437577</v>
      </c>
      <c r="AT455" s="158">
        <v>0.81651917404129792</v>
      </c>
      <c r="AU455" s="158">
        <v>0.81687763713080164</v>
      </c>
      <c r="AV455" s="158">
        <v>0.81699867197875164</v>
      </c>
      <c r="AW455" s="158">
        <v>0.81706706706706711</v>
      </c>
      <c r="AX455" s="158">
        <v>0.8173374613003096</v>
      </c>
      <c r="AY455" s="158">
        <v>0.81740775780510877</v>
      </c>
      <c r="AZ455" s="158">
        <v>0.81737298056661201</v>
      </c>
      <c r="BA455" s="158">
        <v>0.81746973652978872</v>
      </c>
      <c r="BB455" s="158">
        <v>0.81758034026465032</v>
      </c>
      <c r="BC455" s="158">
        <v>0.81751305173232081</v>
      </c>
      <c r="BD455" s="158">
        <v>0.81730769230769229</v>
      </c>
      <c r="BE455" s="158">
        <v>0.81742213218536341</v>
      </c>
      <c r="BF455" s="158">
        <v>0.81744580830504043</v>
      </c>
      <c r="BG455" s="158">
        <v>0.81747269890795626</v>
      </c>
      <c r="BH455" s="158">
        <v>0.81756938830503911</v>
      </c>
      <c r="BI455" s="158">
        <v>0.81751412429378534</v>
      </c>
      <c r="BJ455" s="158">
        <v>0.81748942172073347</v>
      </c>
      <c r="BK455" s="158">
        <v>0.81752433936022251</v>
      </c>
      <c r="BL455" s="158">
        <v>0.81749580771380659</v>
      </c>
      <c r="BM455" s="158">
        <v>0.81755641166758397</v>
      </c>
      <c r="BN455" s="158">
        <v>0.81736842105263163</v>
      </c>
      <c r="BO455" s="158">
        <v>0.8175572519083969</v>
      </c>
      <c r="BP455" s="158">
        <v>0.81763224181360206</v>
      </c>
      <c r="BQ455" s="158">
        <v>0.8175895765472313</v>
      </c>
    </row>
    <row r="456" spans="1:69" s="124" customFormat="1">
      <c r="A456" s="124">
        <f>$A$81</f>
        <v>64</v>
      </c>
      <c r="B456" s="114"/>
      <c r="C456" s="114"/>
      <c r="D456" s="114"/>
      <c r="E456" s="114"/>
      <c r="F456" s="114"/>
      <c r="G456" s="114"/>
      <c r="H456" s="114"/>
      <c r="I456" s="114"/>
      <c r="J456" s="114"/>
      <c r="K456" s="114"/>
      <c r="L456" s="114"/>
      <c r="M456" s="158">
        <v>0.70956957793564568</v>
      </c>
      <c r="N456" s="158">
        <v>0.71405557792992347</v>
      </c>
      <c r="O456" s="158">
        <v>0.71888496270121716</v>
      </c>
      <c r="P456" s="158">
        <v>0.72338006820765444</v>
      </c>
      <c r="Q456" s="158">
        <v>0.72720561092654112</v>
      </c>
      <c r="R456" s="158">
        <v>0.73096821877309681</v>
      </c>
      <c r="S456" s="158">
        <v>0.7345505617977528</v>
      </c>
      <c r="T456" s="158">
        <v>0.73798824749395087</v>
      </c>
      <c r="U456" s="158">
        <v>0.74103852596314912</v>
      </c>
      <c r="V456" s="158">
        <v>0.74411764705882355</v>
      </c>
      <c r="W456" s="158">
        <v>0.74680223023942272</v>
      </c>
      <c r="X456" s="158">
        <v>0.7492557062520675</v>
      </c>
      <c r="Y456" s="158">
        <v>0.75136425648021832</v>
      </c>
      <c r="Z456" s="158">
        <v>0.75369797041623665</v>
      </c>
      <c r="AA456" s="158">
        <v>0.75597092419522327</v>
      </c>
      <c r="AB456" s="158">
        <v>0.7578231292517007</v>
      </c>
      <c r="AC456" s="158">
        <v>0.7593833780160858</v>
      </c>
      <c r="AD456" s="158">
        <v>0.76084762865792133</v>
      </c>
      <c r="AE456" s="158">
        <v>0.76223316912972083</v>
      </c>
      <c r="AF456" s="158">
        <v>0.76379253386190948</v>
      </c>
      <c r="AG456" s="158">
        <v>0.76484641638225259</v>
      </c>
      <c r="AH456" s="158">
        <v>0.76577840112201967</v>
      </c>
      <c r="AI456" s="158">
        <v>0.76663031624863687</v>
      </c>
      <c r="AJ456" s="158">
        <v>0.76757158795091107</v>
      </c>
      <c r="AK456" s="158">
        <v>0.7685150725716412</v>
      </c>
      <c r="AL456" s="158">
        <v>0.76914329037149354</v>
      </c>
      <c r="AM456" s="158">
        <v>0.76982663223902614</v>
      </c>
      <c r="AN456" s="158">
        <v>0.77026049204052094</v>
      </c>
      <c r="AO456" s="158">
        <v>0.77101653183257124</v>
      </c>
      <c r="AP456" s="158">
        <v>0.77121001390820587</v>
      </c>
      <c r="AQ456" s="158">
        <v>0.77164827816783688</v>
      </c>
      <c r="AR456" s="158">
        <v>0.77208538587848929</v>
      </c>
      <c r="AS456" s="158">
        <v>0.77243382827630724</v>
      </c>
      <c r="AT456" s="158">
        <v>0.77272727272727271</v>
      </c>
      <c r="AU456" s="158">
        <v>0.77272727272727271</v>
      </c>
      <c r="AV456" s="158">
        <v>0.77286799887419078</v>
      </c>
      <c r="AW456" s="158">
        <v>0.7732589048378522</v>
      </c>
      <c r="AX456" s="158">
        <v>0.77310293012772346</v>
      </c>
      <c r="AY456" s="158">
        <v>0.77335557673975219</v>
      </c>
      <c r="AZ456" s="158">
        <v>0.77330809275911028</v>
      </c>
      <c r="BA456" s="158">
        <v>0.77366447985004683</v>
      </c>
      <c r="BB456" s="158">
        <v>0.77345048682023276</v>
      </c>
      <c r="BC456" s="158">
        <v>0.77352245862884161</v>
      </c>
      <c r="BD456" s="158">
        <v>0.77355803465464035</v>
      </c>
      <c r="BE456" s="158">
        <v>0.77361282367447592</v>
      </c>
      <c r="BF456" s="158">
        <v>0.7735562310030395</v>
      </c>
      <c r="BG456" s="158">
        <v>0.77357012274745363</v>
      </c>
      <c r="BH456" s="158">
        <v>0.77353094123764954</v>
      </c>
      <c r="BI456" s="158">
        <v>0.7734375</v>
      </c>
      <c r="BJ456" s="158">
        <v>0.77379271392262072</v>
      </c>
      <c r="BK456" s="158">
        <v>0.77382966723068247</v>
      </c>
      <c r="BL456" s="158">
        <v>0.77363737486095663</v>
      </c>
      <c r="BM456" s="158">
        <v>0.77346368715083802</v>
      </c>
      <c r="BN456" s="158">
        <v>0.7736523652365237</v>
      </c>
      <c r="BO456" s="158">
        <v>0.77374375164430409</v>
      </c>
      <c r="BP456" s="158">
        <v>0.77365208545269581</v>
      </c>
      <c r="BQ456" s="158">
        <v>0.77366565961732126</v>
      </c>
    </row>
    <row r="457" spans="1:69" s="124" customFormat="1">
      <c r="A457" s="124">
        <f>$A$82</f>
        <v>65</v>
      </c>
      <c r="B457" s="114"/>
      <c r="C457" s="114"/>
      <c r="D457" s="114"/>
      <c r="E457" s="114"/>
      <c r="F457" s="114"/>
      <c r="G457" s="114"/>
      <c r="H457" s="114"/>
      <c r="I457" s="114"/>
      <c r="J457" s="114"/>
      <c r="K457" s="114"/>
      <c r="L457" s="114"/>
      <c r="M457" s="158">
        <v>0.64703389830508473</v>
      </c>
      <c r="N457" s="158">
        <v>0.65241090146750524</v>
      </c>
      <c r="O457" s="158">
        <v>0.65750101091791346</v>
      </c>
      <c r="P457" s="158">
        <v>0.66246056782334384</v>
      </c>
      <c r="Q457" s="158">
        <v>0.66653977921583552</v>
      </c>
      <c r="R457" s="158">
        <v>0.67087198515769941</v>
      </c>
      <c r="S457" s="158">
        <v>0.67471221685852212</v>
      </c>
      <c r="T457" s="158">
        <v>0.67854622441778401</v>
      </c>
      <c r="U457" s="158">
        <v>0.68194444444444446</v>
      </c>
      <c r="V457" s="158">
        <v>0.68506056527590853</v>
      </c>
      <c r="W457" s="158">
        <v>0.68821791926485065</v>
      </c>
      <c r="X457" s="158">
        <v>0.69081330260125129</v>
      </c>
      <c r="Y457" s="158">
        <v>0.69378943872467613</v>
      </c>
      <c r="Z457" s="158">
        <v>0.69599452242382742</v>
      </c>
      <c r="AA457" s="158">
        <v>0.6979634104245771</v>
      </c>
      <c r="AB457" s="158">
        <v>0.7</v>
      </c>
      <c r="AC457" s="158">
        <v>0.70214943705220056</v>
      </c>
      <c r="AD457" s="158">
        <v>0.7038655462184874</v>
      </c>
      <c r="AE457" s="158">
        <v>0.70546558704453444</v>
      </c>
      <c r="AF457" s="158">
        <v>0.70685111989459815</v>
      </c>
      <c r="AG457" s="158">
        <v>0.70818151705862864</v>
      </c>
      <c r="AH457" s="158">
        <v>0.70920287375983582</v>
      </c>
      <c r="AI457" s="158">
        <v>0.71011946591707664</v>
      </c>
      <c r="AJ457" s="158">
        <v>0.71147540983606561</v>
      </c>
      <c r="AK457" s="158">
        <v>0.71236959761549923</v>
      </c>
      <c r="AL457" s="158">
        <v>0.71300782705926202</v>
      </c>
      <c r="AM457" s="158">
        <v>0.7137433561123766</v>
      </c>
      <c r="AN457" s="158">
        <v>0.71444403398596235</v>
      </c>
      <c r="AO457" s="158">
        <v>0.71485507246376812</v>
      </c>
      <c r="AP457" s="158">
        <v>0.71539274392391683</v>
      </c>
      <c r="AQ457" s="158">
        <v>0.71587743732590525</v>
      </c>
      <c r="AR457" s="158">
        <v>0.71610311349179778</v>
      </c>
      <c r="AS457" s="158">
        <v>0.71654061164090754</v>
      </c>
      <c r="AT457" s="158">
        <v>0.71663974151857834</v>
      </c>
      <c r="AU457" s="158">
        <v>0.71702786377708982</v>
      </c>
      <c r="AV457" s="158">
        <v>0.71719858156028371</v>
      </c>
      <c r="AW457" s="158">
        <v>0.71710340941110173</v>
      </c>
      <c r="AX457" s="158">
        <v>0.71740287386907931</v>
      </c>
      <c r="AY457" s="158">
        <v>0.71765295887662994</v>
      </c>
      <c r="AZ457" s="158">
        <v>0.71772846575996185</v>
      </c>
      <c r="BA457" s="158">
        <v>0.71760246387112059</v>
      </c>
      <c r="BB457" s="158">
        <v>0.71763602251407133</v>
      </c>
      <c r="BC457" s="158">
        <v>0.71761350130734491</v>
      </c>
      <c r="BD457" s="158">
        <v>0.71776673763898746</v>
      </c>
      <c r="BE457" s="158">
        <v>0.71774768353528151</v>
      </c>
      <c r="BF457" s="158">
        <v>0.71791707798617965</v>
      </c>
      <c r="BG457" s="158">
        <v>0.71768879878357827</v>
      </c>
      <c r="BH457" s="158">
        <v>0.7178683385579937</v>
      </c>
      <c r="BI457" s="158">
        <v>0.71781534460338103</v>
      </c>
      <c r="BJ457" s="158">
        <v>0.71786580436540015</v>
      </c>
      <c r="BK457" s="158">
        <v>0.7178763061282124</v>
      </c>
      <c r="BL457" s="158">
        <v>0.71771009588268475</v>
      </c>
      <c r="BM457" s="158">
        <v>0.717741935483871</v>
      </c>
      <c r="BN457" s="158">
        <v>0.71787709497206709</v>
      </c>
      <c r="BO457" s="158">
        <v>0.71782178217821779</v>
      </c>
      <c r="BP457" s="158">
        <v>0.71796895553801632</v>
      </c>
      <c r="BQ457" s="158">
        <v>0.71770091556459814</v>
      </c>
    </row>
    <row r="458" spans="1:69" s="124" customFormat="1">
      <c r="A458" s="124">
        <f>$A$83</f>
        <v>66</v>
      </c>
      <c r="B458" s="114"/>
      <c r="C458" s="114"/>
      <c r="D458" s="114"/>
      <c r="E458" s="114"/>
      <c r="F458" s="114"/>
      <c r="G458" s="114"/>
      <c r="H458" s="114"/>
      <c r="I458" s="114"/>
      <c r="J458" s="114"/>
      <c r="K458" s="114"/>
      <c r="L458" s="114"/>
      <c r="M458" s="158">
        <v>0.58544984933275934</v>
      </c>
      <c r="N458" s="158">
        <v>0.5904640272456364</v>
      </c>
      <c r="O458" s="158">
        <v>0.59587020648967548</v>
      </c>
      <c r="P458" s="158">
        <v>0.60065067100447334</v>
      </c>
      <c r="Q458" s="158">
        <v>0.60507533703409988</v>
      </c>
      <c r="R458" s="158">
        <v>0.60919540229885061</v>
      </c>
      <c r="S458" s="158">
        <v>0.61328854050018666</v>
      </c>
      <c r="T458" s="158">
        <v>0.61710870377288007</v>
      </c>
      <c r="U458" s="158">
        <v>0.62029808374733852</v>
      </c>
      <c r="V458" s="158">
        <v>0.62360335195530725</v>
      </c>
      <c r="W458" s="158">
        <v>0.6265223274695535</v>
      </c>
      <c r="X458" s="158">
        <v>0.62949521610029691</v>
      </c>
      <c r="Y458" s="158">
        <v>0.63203176704169428</v>
      </c>
      <c r="Z458" s="158">
        <v>0.63430096763430099</v>
      </c>
      <c r="AA458" s="158">
        <v>0.63651994497936726</v>
      </c>
      <c r="AB458" s="158">
        <v>0.63869625520110962</v>
      </c>
      <c r="AC458" s="158">
        <v>0.64051603905160392</v>
      </c>
      <c r="AD458" s="158">
        <v>0.64234326824254884</v>
      </c>
      <c r="AE458" s="158">
        <v>0.64372469635627527</v>
      </c>
      <c r="AF458" s="158">
        <v>0.64544530985438542</v>
      </c>
      <c r="AG458" s="158">
        <v>0.64672835426305353</v>
      </c>
      <c r="AH458" s="158">
        <v>0.64805583250249255</v>
      </c>
      <c r="AI458" s="158">
        <v>0.64893617021276595</v>
      </c>
      <c r="AJ458" s="158">
        <v>0.64998237574903062</v>
      </c>
      <c r="AK458" s="158">
        <v>0.65084002921840756</v>
      </c>
      <c r="AL458" s="158">
        <v>0.65147553231228983</v>
      </c>
      <c r="AM458" s="158">
        <v>0.65246636771300448</v>
      </c>
      <c r="AN458" s="158">
        <v>0.65296803652968038</v>
      </c>
      <c r="AO458" s="158">
        <v>0.65346168085894119</v>
      </c>
      <c r="AP458" s="158">
        <v>0.65395787944807549</v>
      </c>
      <c r="AQ458" s="158">
        <v>0.65419901199717712</v>
      </c>
      <c r="AR458" s="158">
        <v>0.6546913149633764</v>
      </c>
      <c r="AS458" s="158">
        <v>0.65492957746478875</v>
      </c>
      <c r="AT458" s="158">
        <v>0.65513833992094861</v>
      </c>
      <c r="AU458" s="158">
        <v>0.65555195856264159</v>
      </c>
      <c r="AV458" s="158">
        <v>0.65581395348837213</v>
      </c>
      <c r="AW458" s="158">
        <v>0.65600947306098278</v>
      </c>
      <c r="AX458" s="158">
        <v>0.65594129268981094</v>
      </c>
      <c r="AY458" s="158">
        <v>0.656183368869936</v>
      </c>
      <c r="AZ458" s="158">
        <v>0.65620291310899048</v>
      </c>
      <c r="BA458" s="158">
        <v>0.65630975143403447</v>
      </c>
      <c r="BB458" s="158">
        <v>0.65638348362600851</v>
      </c>
      <c r="BC458" s="158">
        <v>0.6564114607797088</v>
      </c>
      <c r="BD458" s="158">
        <v>0.65627231611521064</v>
      </c>
      <c r="BE458" s="158">
        <v>0.65647950722577586</v>
      </c>
      <c r="BF458" s="158">
        <v>0.6565176022835395</v>
      </c>
      <c r="BG458" s="158">
        <v>0.65637351778656128</v>
      </c>
      <c r="BH458" s="158">
        <v>0.65651953323186196</v>
      </c>
      <c r="BI458" s="158">
        <v>0.65638075313807531</v>
      </c>
      <c r="BJ458" s="158">
        <v>0.65659984379067948</v>
      </c>
      <c r="BK458" s="158">
        <v>0.65641855447680686</v>
      </c>
      <c r="BL458" s="158">
        <v>0.65640011302627865</v>
      </c>
      <c r="BM458" s="158">
        <v>0.65660270880361171</v>
      </c>
      <c r="BN458" s="158">
        <v>0.65646731571627259</v>
      </c>
      <c r="BO458" s="158">
        <v>0.65632858340318523</v>
      </c>
      <c r="BP458" s="158">
        <v>0.65639614855570838</v>
      </c>
      <c r="BQ458" s="158">
        <v>0.65657894736842104</v>
      </c>
    </row>
    <row r="459" spans="1:69" s="124" customFormat="1">
      <c r="A459" s="124">
        <f>$A$84</f>
        <v>67</v>
      </c>
      <c r="B459" s="114"/>
      <c r="C459" s="114"/>
      <c r="D459" s="114"/>
      <c r="E459" s="114"/>
      <c r="F459" s="114"/>
      <c r="G459" s="114"/>
      <c r="H459" s="114"/>
      <c r="I459" s="114"/>
      <c r="J459" s="114"/>
      <c r="K459" s="114"/>
      <c r="L459" s="114"/>
      <c r="M459" s="158">
        <v>0.52162516382699864</v>
      </c>
      <c r="N459" s="158">
        <v>0.52729636048526862</v>
      </c>
      <c r="O459" s="158">
        <v>0.53279039862837552</v>
      </c>
      <c r="P459" s="158">
        <v>0.53777589134125636</v>
      </c>
      <c r="Q459" s="158">
        <v>0.54240065546907001</v>
      </c>
      <c r="R459" s="158">
        <v>0.54654414702357168</v>
      </c>
      <c r="S459" s="158">
        <v>0.5507526051717484</v>
      </c>
      <c r="T459" s="158">
        <v>0.55451127819548873</v>
      </c>
      <c r="U459" s="158">
        <v>0.55810455058292596</v>
      </c>
      <c r="V459" s="158">
        <v>0.56162915326902463</v>
      </c>
      <c r="W459" s="158">
        <v>0.56485061511423551</v>
      </c>
      <c r="X459" s="158">
        <v>0.56792645556690502</v>
      </c>
      <c r="Y459" s="158">
        <v>0.57038512616201864</v>
      </c>
      <c r="Z459" s="158">
        <v>0.57290279627163787</v>
      </c>
      <c r="AA459" s="158">
        <v>0.57516778523489931</v>
      </c>
      <c r="AB459" s="158">
        <v>0.5774550484094052</v>
      </c>
      <c r="AC459" s="158">
        <v>0.57929592192401536</v>
      </c>
      <c r="AD459" s="158">
        <v>0.58093903293622984</v>
      </c>
      <c r="AE459" s="158">
        <v>0.58278829604130811</v>
      </c>
      <c r="AF459" s="158">
        <v>0.58440677966101695</v>
      </c>
      <c r="AG459" s="158">
        <v>0.58571428571428574</v>
      </c>
      <c r="AH459" s="158">
        <v>0.58698539176626829</v>
      </c>
      <c r="AI459" s="158">
        <v>0.58792125458792122</v>
      </c>
      <c r="AJ459" s="158">
        <v>0.58924879393521712</v>
      </c>
      <c r="AK459" s="158">
        <v>0.59023354564755837</v>
      </c>
      <c r="AL459" s="158">
        <v>0.59090909090909094</v>
      </c>
      <c r="AM459" s="158">
        <v>0.59145427286356822</v>
      </c>
      <c r="AN459" s="158">
        <v>0.59242594675665539</v>
      </c>
      <c r="AO459" s="158">
        <v>0.59274809160305342</v>
      </c>
      <c r="AP459" s="158">
        <v>0.59339027107315256</v>
      </c>
      <c r="AQ459" s="158">
        <v>0.59395484340859428</v>
      </c>
      <c r="AR459" s="158">
        <v>0.59412597310686488</v>
      </c>
      <c r="AS459" s="158">
        <v>0.59426372857642529</v>
      </c>
      <c r="AT459" s="158">
        <v>0.59482178883658376</v>
      </c>
      <c r="AU459" s="158">
        <v>0.59511228533685601</v>
      </c>
      <c r="AV459" s="158">
        <v>0.59506813757300459</v>
      </c>
      <c r="AW459" s="158">
        <v>0.59527510102580039</v>
      </c>
      <c r="AX459" s="158">
        <v>0.59554896142433233</v>
      </c>
      <c r="AY459" s="158">
        <v>0.5954738330975955</v>
      </c>
      <c r="AZ459" s="158">
        <v>0.59577878706919585</v>
      </c>
      <c r="BA459" s="158">
        <v>0.59577145733702497</v>
      </c>
      <c r="BB459" s="158">
        <v>0.59592814371257485</v>
      </c>
      <c r="BC459" s="158">
        <v>0.59581550166428909</v>
      </c>
      <c r="BD459" s="158">
        <v>0.59590491880442453</v>
      </c>
      <c r="BE459" s="158">
        <v>0.59575482947770098</v>
      </c>
      <c r="BF459" s="158">
        <v>0.59601234274863513</v>
      </c>
      <c r="BG459" s="158">
        <v>0.5959018346437932</v>
      </c>
      <c r="BH459" s="158">
        <v>0.59589210591437758</v>
      </c>
      <c r="BI459" s="158">
        <v>0.59603658536585369</v>
      </c>
      <c r="BJ459" s="158">
        <v>0.59596753076721654</v>
      </c>
      <c r="BK459" s="158">
        <v>0.59593326381647549</v>
      </c>
      <c r="BL459" s="158">
        <v>0.59584233261339092</v>
      </c>
      <c r="BM459" s="158">
        <v>0.59603960396039601</v>
      </c>
      <c r="BN459" s="158">
        <v>0.59587687094041231</v>
      </c>
      <c r="BO459" s="158">
        <v>0.59593428014480643</v>
      </c>
      <c r="BP459" s="158">
        <v>0.59608391608391609</v>
      </c>
      <c r="BQ459" s="158">
        <v>0.5959790691269623</v>
      </c>
    </row>
    <row r="460" spans="1:69" s="124" customFormat="1">
      <c r="A460" s="124">
        <f>$A$85</f>
        <v>68</v>
      </c>
      <c r="B460" s="114"/>
      <c r="C460" s="114"/>
      <c r="D460" s="114"/>
      <c r="E460" s="114"/>
      <c r="F460" s="114"/>
      <c r="G460" s="114"/>
      <c r="H460" s="114"/>
      <c r="I460" s="114"/>
      <c r="J460" s="114"/>
      <c r="K460" s="114"/>
      <c r="L460" s="114"/>
      <c r="M460" s="158">
        <v>0.46109381947532235</v>
      </c>
      <c r="N460" s="158">
        <v>0.46740088105726874</v>
      </c>
      <c r="O460" s="158">
        <v>0.47313237221494103</v>
      </c>
      <c r="P460" s="158">
        <v>0.47859922178988329</v>
      </c>
      <c r="Q460" s="158">
        <v>0.48373287671232879</v>
      </c>
      <c r="R460" s="158">
        <v>0.48863166597767671</v>
      </c>
      <c r="S460" s="158">
        <v>0.49294639258363565</v>
      </c>
      <c r="T460" s="158">
        <v>0.49746983261969641</v>
      </c>
      <c r="U460" s="158">
        <v>0.50113722517058379</v>
      </c>
      <c r="V460" s="158">
        <v>0.50492797573919634</v>
      </c>
      <c r="W460" s="158">
        <v>0.50827933765298772</v>
      </c>
      <c r="X460" s="158">
        <v>0.51168555240793201</v>
      </c>
      <c r="Y460" s="158">
        <v>0.51474622770919065</v>
      </c>
      <c r="Z460" s="158">
        <v>0.51721832163156134</v>
      </c>
      <c r="AA460" s="158">
        <v>0.51994636272209183</v>
      </c>
      <c r="AB460" s="158">
        <v>0.52229729729729735</v>
      </c>
      <c r="AC460" s="158">
        <v>0.52453880960668287</v>
      </c>
      <c r="AD460" s="158">
        <v>0.52629733520336608</v>
      </c>
      <c r="AE460" s="158">
        <v>0.52802255904124074</v>
      </c>
      <c r="AF460" s="158">
        <v>0.52977839335180055</v>
      </c>
      <c r="AG460" s="158">
        <v>0.5313565098841172</v>
      </c>
      <c r="AH460" s="158">
        <v>0.53283173734610123</v>
      </c>
      <c r="AI460" s="158">
        <v>0.53386720053386716</v>
      </c>
      <c r="AJ460" s="158">
        <v>0.53487592219986591</v>
      </c>
      <c r="AK460" s="158">
        <v>0.53601108033240996</v>
      </c>
      <c r="AL460" s="158">
        <v>0.53714895129754714</v>
      </c>
      <c r="AM460" s="158">
        <v>0.53792341678939615</v>
      </c>
      <c r="AN460" s="158">
        <v>0.53857734286789616</v>
      </c>
      <c r="AO460" s="158">
        <v>0.53895370718855851</v>
      </c>
      <c r="AP460" s="158">
        <v>0.53946360153256701</v>
      </c>
      <c r="AQ460" s="158">
        <v>0.54006708907938872</v>
      </c>
      <c r="AR460" s="158">
        <v>0.54057017543859653</v>
      </c>
      <c r="AS460" s="158">
        <v>0.54083806818181823</v>
      </c>
      <c r="AT460" s="158">
        <v>0.54124254124254123</v>
      </c>
      <c r="AU460" s="158">
        <v>0.541497975708502</v>
      </c>
      <c r="AV460" s="158">
        <v>0.54174950298210733</v>
      </c>
      <c r="AW460" s="158">
        <v>0.5419921875</v>
      </c>
      <c r="AX460" s="158">
        <v>0.542251325226068</v>
      </c>
      <c r="AY460" s="158">
        <v>0.54226190476190472</v>
      </c>
      <c r="AZ460" s="158">
        <v>0.54228149829738936</v>
      </c>
      <c r="BA460" s="158">
        <v>0.5421912670774176</v>
      </c>
      <c r="BB460" s="158">
        <v>0.54240282685512364</v>
      </c>
      <c r="BC460" s="158">
        <v>0.54250720461095103</v>
      </c>
      <c r="BD460" s="158">
        <v>0.54231227651966629</v>
      </c>
      <c r="BE460" s="158">
        <v>0.5424728645587541</v>
      </c>
      <c r="BF460" s="158">
        <v>0.54243366005259386</v>
      </c>
      <c r="BG460" s="158">
        <v>0.54257849666983826</v>
      </c>
      <c r="BH460" s="158">
        <v>0.54263195605445425</v>
      </c>
      <c r="BI460" s="158">
        <v>0.54265873015873012</v>
      </c>
      <c r="BJ460" s="158">
        <v>0.54251527494908347</v>
      </c>
      <c r="BK460" s="158">
        <v>0.54249737670514164</v>
      </c>
      <c r="BL460" s="158">
        <v>0.54270044398015149</v>
      </c>
      <c r="BM460" s="158">
        <v>0.54260210981877199</v>
      </c>
      <c r="BN460" s="158">
        <v>0.54264664210824598</v>
      </c>
      <c r="BO460" s="158">
        <v>0.54257425742574261</v>
      </c>
      <c r="BP460" s="158">
        <v>0.54238706079196874</v>
      </c>
      <c r="BQ460" s="158">
        <v>0.54257703081232489</v>
      </c>
    </row>
    <row r="461" spans="1:69" s="124" customFormat="1">
      <c r="A461" s="124">
        <f>$A$86</f>
        <v>69</v>
      </c>
      <c r="B461" s="114"/>
      <c r="C461" s="114"/>
      <c r="D461" s="114"/>
      <c r="E461" s="114"/>
      <c r="F461" s="114"/>
      <c r="G461" s="114"/>
      <c r="H461" s="114"/>
      <c r="I461" s="114"/>
      <c r="J461" s="114"/>
      <c r="K461" s="114"/>
      <c r="L461" s="114"/>
      <c r="M461" s="158">
        <v>0.40976265114196148</v>
      </c>
      <c r="N461" s="158">
        <v>0.41599281221922729</v>
      </c>
      <c r="O461" s="158">
        <v>0.42145082331998218</v>
      </c>
      <c r="P461" s="158">
        <v>0.42693156732891835</v>
      </c>
      <c r="Q461" s="158">
        <v>0.43206640454346878</v>
      </c>
      <c r="R461" s="158">
        <v>0.436607529208135</v>
      </c>
      <c r="S461" s="158">
        <v>0.44133611691022967</v>
      </c>
      <c r="T461" s="158">
        <v>0.44525844525844527</v>
      </c>
      <c r="U461" s="158">
        <v>0.44911591355599212</v>
      </c>
      <c r="V461" s="158">
        <v>0.45273631840796019</v>
      </c>
      <c r="W461" s="158">
        <v>0.45600612088752868</v>
      </c>
      <c r="X461" s="158">
        <v>0.45913548855793679</v>
      </c>
      <c r="Y461" s="158">
        <v>0.46214285714285713</v>
      </c>
      <c r="Z461" s="158">
        <v>0.46473029045643155</v>
      </c>
      <c r="AA461" s="158">
        <v>0.4671385237613751</v>
      </c>
      <c r="AB461" s="158">
        <v>0.46959459459459457</v>
      </c>
      <c r="AC461" s="158">
        <v>0.47174948944860451</v>
      </c>
      <c r="AD461" s="158">
        <v>0.47353662811076058</v>
      </c>
      <c r="AE461" s="158">
        <v>0.47528248587570621</v>
      </c>
      <c r="AF461" s="158">
        <v>0.47693399574166073</v>
      </c>
      <c r="AG461" s="158">
        <v>0.478397212543554</v>
      </c>
      <c r="AH461" s="158">
        <v>0.47993138936535162</v>
      </c>
      <c r="AI461" s="158">
        <v>0.48107364074328973</v>
      </c>
      <c r="AJ461" s="158">
        <v>0.48204095334004698</v>
      </c>
      <c r="AK461" s="158">
        <v>0.48313090418353577</v>
      </c>
      <c r="AL461" s="158">
        <v>0.48398328690807801</v>
      </c>
      <c r="AM461" s="158">
        <v>0.48498927805575409</v>
      </c>
      <c r="AN461" s="158">
        <v>0.48556624722427832</v>
      </c>
      <c r="AO461" s="158">
        <v>0.48600605143721631</v>
      </c>
      <c r="AP461" s="158">
        <v>0.48676248108925868</v>
      </c>
      <c r="AQ461" s="158">
        <v>0.48691301000769821</v>
      </c>
      <c r="AR461" s="158">
        <v>0.48745788094346687</v>
      </c>
      <c r="AS461" s="158">
        <v>0.48770642201834863</v>
      </c>
      <c r="AT461" s="158">
        <v>0.48823109843081314</v>
      </c>
      <c r="AU461" s="158">
        <v>0.48837209302325579</v>
      </c>
      <c r="AV461" s="158">
        <v>0.48848238482384826</v>
      </c>
      <c r="AW461" s="158">
        <v>0.48885932823412037</v>
      </c>
      <c r="AX461" s="158">
        <v>0.48872917347272132</v>
      </c>
      <c r="AY461" s="158">
        <v>0.48904881101376718</v>
      </c>
      <c r="AZ461" s="158">
        <v>0.48910122424604358</v>
      </c>
      <c r="BA461" s="158">
        <v>0.48917995444191342</v>
      </c>
      <c r="BB461" s="158">
        <v>0.489247311827957</v>
      </c>
      <c r="BC461" s="158">
        <v>0.48923778171689036</v>
      </c>
      <c r="BD461" s="158">
        <v>0.48927969164056856</v>
      </c>
      <c r="BE461" s="158">
        <v>0.48923959827833574</v>
      </c>
      <c r="BF461" s="158">
        <v>0.48935163274964505</v>
      </c>
      <c r="BG461" s="158">
        <v>0.48933109566051308</v>
      </c>
      <c r="BH461" s="158">
        <v>0.4892652671755725</v>
      </c>
      <c r="BI461" s="158">
        <v>0.48946360153256707</v>
      </c>
      <c r="BJ461" s="158">
        <v>0.48930880159124812</v>
      </c>
      <c r="BK461" s="158">
        <v>0.48941056391936716</v>
      </c>
      <c r="BL461" s="158">
        <v>0.48935051275308966</v>
      </c>
      <c r="BM461" s="158">
        <v>0.48940068045014395</v>
      </c>
      <c r="BN461" s="158">
        <v>0.48956356736242884</v>
      </c>
      <c r="BO461" s="158">
        <v>0.4894946053378762</v>
      </c>
      <c r="BP461" s="158">
        <v>0.48937376027203172</v>
      </c>
      <c r="BQ461" s="158">
        <v>0.48952221290863368</v>
      </c>
    </row>
    <row r="462" spans="1:69" s="124" customFormat="1">
      <c r="A462" s="124">
        <f>$A$87</f>
        <v>70</v>
      </c>
      <c r="B462" s="114"/>
      <c r="C462" s="114"/>
      <c r="D462" s="114"/>
      <c r="E462" s="114"/>
      <c r="F462" s="114"/>
      <c r="G462" s="114"/>
      <c r="H462" s="114"/>
      <c r="I462" s="114"/>
      <c r="J462" s="114"/>
      <c r="K462" s="114"/>
      <c r="L462" s="114"/>
      <c r="M462" s="158">
        <v>0.36133694670280037</v>
      </c>
      <c r="N462" s="158">
        <v>0.36672710788757934</v>
      </c>
      <c r="O462" s="158">
        <v>0.37198726693951795</v>
      </c>
      <c r="P462" s="158">
        <v>0.37657657657657656</v>
      </c>
      <c r="Q462" s="158">
        <v>0.38114387846291331</v>
      </c>
      <c r="R462" s="158">
        <v>0.385499557913351</v>
      </c>
      <c r="S462" s="158">
        <v>0.38949671772428884</v>
      </c>
      <c r="T462" s="158">
        <v>0.39315878378378377</v>
      </c>
      <c r="U462" s="158">
        <v>0.39629629629629631</v>
      </c>
      <c r="V462" s="158">
        <v>0.3999205718824464</v>
      </c>
      <c r="W462" s="158">
        <v>0.40293890177880898</v>
      </c>
      <c r="X462" s="158">
        <v>0.40571870170015456</v>
      </c>
      <c r="Y462" s="158">
        <v>0.40829053558327222</v>
      </c>
      <c r="Z462" s="158">
        <v>0.4107464839523981</v>
      </c>
      <c r="AA462" s="158">
        <v>0.41291448516579404</v>
      </c>
      <c r="AB462" s="158">
        <v>0.41496598639455784</v>
      </c>
      <c r="AC462" s="158">
        <v>0.41683708248125428</v>
      </c>
      <c r="AD462" s="158">
        <v>0.41846893237212496</v>
      </c>
      <c r="AE462" s="158">
        <v>0.42028985507246375</v>
      </c>
      <c r="AF462" s="158">
        <v>0.42150231399074406</v>
      </c>
      <c r="AG462" s="158">
        <v>0.42274678111587982</v>
      </c>
      <c r="AH462" s="158">
        <v>0.4241573033707865</v>
      </c>
      <c r="AI462" s="158">
        <v>0.42501727712508641</v>
      </c>
      <c r="AJ462" s="158">
        <v>0.42619542619542622</v>
      </c>
      <c r="AK462" s="158">
        <v>0.42683338965866846</v>
      </c>
      <c r="AL462" s="158">
        <v>0.42784380305602715</v>
      </c>
      <c r="AM462" s="158">
        <v>0.42852137351086195</v>
      </c>
      <c r="AN462" s="158">
        <v>0.42934196332254587</v>
      </c>
      <c r="AO462" s="158">
        <v>0.42963514519731943</v>
      </c>
      <c r="AP462" s="158">
        <v>0.43020159756561432</v>
      </c>
      <c r="AQ462" s="158">
        <v>0.43041825095057035</v>
      </c>
      <c r="AR462" s="158">
        <v>0.43111455108359131</v>
      </c>
      <c r="AS462" s="158">
        <v>0.43115124153498874</v>
      </c>
      <c r="AT462" s="158">
        <v>0.43157506455182587</v>
      </c>
      <c r="AU462" s="158">
        <v>0.43189964157706096</v>
      </c>
      <c r="AV462" s="158">
        <v>0.43201133144475923</v>
      </c>
      <c r="AW462" s="158">
        <v>0.43211976862878532</v>
      </c>
      <c r="AX462" s="158">
        <v>0.43219772879091517</v>
      </c>
      <c r="AY462" s="158">
        <v>0.43241469816272965</v>
      </c>
      <c r="AZ462" s="158">
        <v>0.43243243243243246</v>
      </c>
      <c r="BA462" s="158">
        <v>0.432383808095952</v>
      </c>
      <c r="BB462" s="158">
        <v>0.43253287592910233</v>
      </c>
      <c r="BC462" s="158">
        <v>0.43254182406907715</v>
      </c>
      <c r="BD462" s="158">
        <v>0.43263853584138284</v>
      </c>
      <c r="BE462" s="158">
        <v>0.43254352030947774</v>
      </c>
      <c r="BF462" s="158">
        <v>0.43268538516918648</v>
      </c>
      <c r="BG462" s="158">
        <v>0.4326763239135597</v>
      </c>
      <c r="BH462" s="158">
        <v>0.43252345441424106</v>
      </c>
      <c r="BI462" s="158">
        <v>0.43263938741325675</v>
      </c>
      <c r="BJ462" s="158">
        <v>0.43262070622147492</v>
      </c>
      <c r="BK462" s="158">
        <v>0.43266832917705733</v>
      </c>
      <c r="BL462" s="158">
        <v>0.43270214943705221</v>
      </c>
      <c r="BM462" s="158">
        <v>0.432753164556962</v>
      </c>
      <c r="BN462" s="158">
        <v>0.43269483075308318</v>
      </c>
      <c r="BO462" s="158">
        <v>0.43260869565217391</v>
      </c>
      <c r="BP462" s="158">
        <v>0.43255549231644846</v>
      </c>
      <c r="BQ462" s="158">
        <v>0.43267045454545455</v>
      </c>
    </row>
    <row r="463" spans="1:69" s="124" customFormat="1">
      <c r="A463" s="124">
        <f>$A$88</f>
        <v>71</v>
      </c>
      <c r="B463" s="114"/>
      <c r="C463" s="114"/>
      <c r="D463" s="114"/>
      <c r="E463" s="114"/>
      <c r="F463" s="114"/>
      <c r="G463" s="114"/>
      <c r="H463" s="114"/>
      <c r="I463" s="114"/>
      <c r="J463" s="114"/>
      <c r="K463" s="114"/>
      <c r="L463" s="114"/>
      <c r="M463" s="158">
        <v>0.31788440567066523</v>
      </c>
      <c r="N463" s="158">
        <v>0.32295006871278059</v>
      </c>
      <c r="O463" s="158">
        <v>0.327816091954023</v>
      </c>
      <c r="P463" s="158">
        <v>0.33195020746887965</v>
      </c>
      <c r="Q463" s="158">
        <v>0.33607305936073062</v>
      </c>
      <c r="R463" s="158">
        <v>0.34012681159420288</v>
      </c>
      <c r="S463" s="158">
        <v>0.34363799283154123</v>
      </c>
      <c r="T463" s="158">
        <v>0.34722838137472284</v>
      </c>
      <c r="U463" s="158">
        <v>0.35014963659683623</v>
      </c>
      <c r="V463" s="158">
        <v>0.35333333333333333</v>
      </c>
      <c r="W463" s="158">
        <v>0.35610932475884244</v>
      </c>
      <c r="X463" s="158">
        <v>0.35862338678138445</v>
      </c>
      <c r="Y463" s="158">
        <v>0.36068776865963265</v>
      </c>
      <c r="Z463" s="158">
        <v>0.36299592139414166</v>
      </c>
      <c r="AA463" s="158">
        <v>0.36516034985422741</v>
      </c>
      <c r="AB463" s="158">
        <v>0.36706629055007051</v>
      </c>
      <c r="AC463" s="158">
        <v>0.36860185503263482</v>
      </c>
      <c r="AD463" s="158">
        <v>0.37026841018582246</v>
      </c>
      <c r="AE463" s="158">
        <v>0.37179487179487181</v>
      </c>
      <c r="AF463" s="158">
        <v>0.37303851640513552</v>
      </c>
      <c r="AG463" s="158">
        <v>0.37414721723518851</v>
      </c>
      <c r="AH463" s="158">
        <v>0.37554112554112556</v>
      </c>
      <c r="AI463" s="158">
        <v>0.37628318584070797</v>
      </c>
      <c r="AJ463" s="158">
        <v>0.37722048066875652</v>
      </c>
      <c r="AK463" s="158">
        <v>0.3782745371987426</v>
      </c>
      <c r="AL463" s="158">
        <v>0.37874659400544958</v>
      </c>
      <c r="AM463" s="158">
        <v>0.37940472117687307</v>
      </c>
      <c r="AN463" s="158">
        <v>0.38002822865208186</v>
      </c>
      <c r="AO463" s="158">
        <v>0.38052136133236786</v>
      </c>
      <c r="AP463" s="158">
        <v>0.38118440779610197</v>
      </c>
      <c r="AQ463" s="158">
        <v>0.38131699846860645</v>
      </c>
      <c r="AR463" s="158">
        <v>0.38155376961347109</v>
      </c>
      <c r="AS463" s="158">
        <v>0.3820093457943925</v>
      </c>
      <c r="AT463" s="158">
        <v>0.38228614685844059</v>
      </c>
      <c r="AU463" s="158">
        <v>0.38241839762611274</v>
      </c>
      <c r="AV463" s="158">
        <v>0.38270270270270268</v>
      </c>
      <c r="AW463" s="158">
        <v>0.38269846920612316</v>
      </c>
      <c r="AX463" s="158">
        <v>0.38282586383852207</v>
      </c>
      <c r="AY463" s="158">
        <v>0.38314304902619206</v>
      </c>
      <c r="AZ463" s="158">
        <v>0.38311902406857895</v>
      </c>
      <c r="BA463" s="158">
        <v>0.38301231449321121</v>
      </c>
      <c r="BB463" s="158">
        <v>0.38313253012048193</v>
      </c>
      <c r="BC463" s="158">
        <v>0.38300315819695663</v>
      </c>
      <c r="BD463" s="158">
        <v>0.38330170777988615</v>
      </c>
      <c r="BE463" s="158">
        <v>0.38320142966556037</v>
      </c>
      <c r="BF463" s="158">
        <v>0.38319572608062163</v>
      </c>
      <c r="BG463" s="158">
        <v>0.38313253012048193</v>
      </c>
      <c r="BH463" s="158">
        <v>0.38331346841477948</v>
      </c>
      <c r="BI463" s="158">
        <v>0.38324076310070032</v>
      </c>
      <c r="BJ463" s="158">
        <v>0.38337737208743694</v>
      </c>
      <c r="BK463" s="158">
        <v>0.38331726133076183</v>
      </c>
      <c r="BL463" s="158">
        <v>0.3833833833833834</v>
      </c>
      <c r="BM463" s="158">
        <v>0.38331193838254174</v>
      </c>
      <c r="BN463" s="158">
        <v>0.38333333333333336</v>
      </c>
      <c r="BO463" s="158">
        <v>0.38325875230323769</v>
      </c>
      <c r="BP463" s="158">
        <v>0.38321068411011172</v>
      </c>
      <c r="BQ463" s="158">
        <v>0.38327625570776258</v>
      </c>
    </row>
    <row r="464" spans="1:69" s="124" customFormat="1">
      <c r="A464" s="124">
        <f>$A$89</f>
        <v>72</v>
      </c>
      <c r="B464" s="114"/>
      <c r="C464" s="114"/>
      <c r="D464" s="114"/>
      <c r="E464" s="114"/>
      <c r="F464" s="114"/>
      <c r="G464" s="114"/>
      <c r="H464" s="114"/>
      <c r="I464" s="114"/>
      <c r="J464" s="114"/>
      <c r="K464" s="114"/>
      <c r="L464" s="114"/>
      <c r="M464" s="158">
        <v>0.2809384164222874</v>
      </c>
      <c r="N464" s="158">
        <v>0.28587257617728534</v>
      </c>
      <c r="O464" s="158">
        <v>0.29003724394785846</v>
      </c>
      <c r="P464" s="158">
        <v>0.29472209248014947</v>
      </c>
      <c r="Q464" s="158">
        <v>0.29836065573770493</v>
      </c>
      <c r="R464" s="158">
        <v>0.30241187384044527</v>
      </c>
      <c r="S464" s="158">
        <v>0.30574712643678159</v>
      </c>
      <c r="T464" s="158">
        <v>0.30923146884947705</v>
      </c>
      <c r="U464" s="158">
        <v>0.31219073324336483</v>
      </c>
      <c r="V464" s="158">
        <v>0.31526452732003468</v>
      </c>
      <c r="W464" s="158">
        <v>0.31798986486486486</v>
      </c>
      <c r="X464" s="158">
        <v>0.32043973941368076</v>
      </c>
      <c r="Y464" s="158">
        <v>0.32290015847860537</v>
      </c>
      <c r="Z464" s="158">
        <v>0.32489117530668776</v>
      </c>
      <c r="AA464" s="158">
        <v>0.32682926829268294</v>
      </c>
      <c r="AB464" s="158">
        <v>0.32853982300884954</v>
      </c>
      <c r="AC464" s="158">
        <v>0.3302425106990014</v>
      </c>
      <c r="AD464" s="158">
        <v>0.33205974296630775</v>
      </c>
      <c r="AE464" s="158">
        <v>0.3332173913043478</v>
      </c>
      <c r="AF464" s="158">
        <v>0.33473389355742295</v>
      </c>
      <c r="AG464" s="158">
        <v>0.33573487031700289</v>
      </c>
      <c r="AH464" s="158">
        <v>0.33696046427276027</v>
      </c>
      <c r="AI464" s="158">
        <v>0.33794610342316095</v>
      </c>
      <c r="AJ464" s="158">
        <v>0.3386923901393355</v>
      </c>
      <c r="AK464" s="158">
        <v>0.33954305799648504</v>
      </c>
      <c r="AL464" s="158">
        <v>0.34026065516026771</v>
      </c>
      <c r="AM464" s="158">
        <v>0.34065934065934067</v>
      </c>
      <c r="AN464" s="158">
        <v>0.3413793103448276</v>
      </c>
      <c r="AO464" s="158">
        <v>0.34187122020633226</v>
      </c>
      <c r="AP464" s="158">
        <v>0.3422108719445458</v>
      </c>
      <c r="AQ464" s="158">
        <v>0.34277085692714232</v>
      </c>
      <c r="AR464" s="158">
        <v>0.34323177786347858</v>
      </c>
      <c r="AS464" s="158">
        <v>0.34335260115606936</v>
      </c>
      <c r="AT464" s="158">
        <v>0.34339474715797724</v>
      </c>
      <c r="AU464" s="158">
        <v>0.3436190476190476</v>
      </c>
      <c r="AV464" s="158">
        <v>0.34378499440089588</v>
      </c>
      <c r="AW464" s="158">
        <v>0.3440899202320522</v>
      </c>
      <c r="AX464" s="158">
        <v>0.34419770773638969</v>
      </c>
      <c r="AY464" s="158">
        <v>0.34445973847212663</v>
      </c>
      <c r="AZ464" s="158">
        <v>0.34436191762322754</v>
      </c>
      <c r="BA464" s="158">
        <v>0.34449602122015915</v>
      </c>
      <c r="BB464" s="158">
        <v>0.34444444444444444</v>
      </c>
      <c r="BC464" s="158">
        <v>0.34433676559660814</v>
      </c>
      <c r="BD464" s="158">
        <v>0.34458874458874461</v>
      </c>
      <c r="BE464" s="158">
        <v>0.34459275401797873</v>
      </c>
      <c r="BF464" s="158">
        <v>0.34453565931246793</v>
      </c>
      <c r="BG464" s="158">
        <v>0.34447426201512565</v>
      </c>
      <c r="BH464" s="158">
        <v>0.34446865165819412</v>
      </c>
      <c r="BI464" s="158">
        <v>0.34458812260536398</v>
      </c>
      <c r="BJ464" s="158">
        <v>0.34465195246179964</v>
      </c>
      <c r="BK464" s="158">
        <v>0.34442836468885674</v>
      </c>
      <c r="BL464" s="158">
        <v>0.34462729912875123</v>
      </c>
      <c r="BM464" s="158">
        <v>0.34463702587289624</v>
      </c>
      <c r="BN464" s="158">
        <v>0.34458762886597938</v>
      </c>
      <c r="BO464" s="158">
        <v>0.34457127687815237</v>
      </c>
      <c r="BP464" s="158">
        <v>0.34442683571051241</v>
      </c>
      <c r="BQ464" s="158">
        <v>0.34454470877768661</v>
      </c>
    </row>
    <row r="465" spans="1:69" s="124" customFormat="1">
      <c r="A465" s="124">
        <f>$A$90</f>
        <v>73</v>
      </c>
      <c r="B465" s="114"/>
      <c r="C465" s="114"/>
      <c r="D465" s="114"/>
      <c r="E465" s="114"/>
      <c r="F465" s="114"/>
      <c r="G465" s="114"/>
      <c r="H465" s="114"/>
      <c r="I465" s="114"/>
      <c r="J465" s="114"/>
      <c r="K465" s="114"/>
      <c r="L465" s="114"/>
      <c r="M465" s="158">
        <v>0.24860161591050342</v>
      </c>
      <c r="N465" s="158">
        <v>0.25328554360812428</v>
      </c>
      <c r="O465" s="158">
        <v>0.25790067720090293</v>
      </c>
      <c r="P465" s="158">
        <v>0.26173541963015645</v>
      </c>
      <c r="Q465" s="158">
        <v>0.265810746552544</v>
      </c>
      <c r="R465" s="158">
        <v>0.26930409914204007</v>
      </c>
      <c r="S465" s="158">
        <v>0.27311320754716983</v>
      </c>
      <c r="T465" s="158">
        <v>0.27629733520336608</v>
      </c>
      <c r="U465" s="158">
        <v>0.27911275415896486</v>
      </c>
      <c r="V465" s="158">
        <v>0.28186386477843767</v>
      </c>
      <c r="W465" s="158">
        <v>0.28477112676056338</v>
      </c>
      <c r="X465" s="158">
        <v>0.28718388341191597</v>
      </c>
      <c r="Y465" s="158">
        <v>0.28913672036348614</v>
      </c>
      <c r="Z465" s="158">
        <v>0.29168340699075934</v>
      </c>
      <c r="AA465" s="158">
        <v>0.29362214199759323</v>
      </c>
      <c r="AB465" s="158">
        <v>0.29505703422053231</v>
      </c>
      <c r="AC465" s="158">
        <v>0.29686333084391336</v>
      </c>
      <c r="AD465" s="158">
        <v>0.29830263633080534</v>
      </c>
      <c r="AE465" s="158">
        <v>0.29992967651195501</v>
      </c>
      <c r="AF465" s="158">
        <v>0.30095036958817317</v>
      </c>
      <c r="AG465" s="158">
        <v>0.30205382436260625</v>
      </c>
      <c r="AH465" s="158">
        <v>0.30309653916211293</v>
      </c>
      <c r="AI465" s="158">
        <v>0.30425219941348974</v>
      </c>
      <c r="AJ465" s="158">
        <v>0.30511593669488407</v>
      </c>
      <c r="AK465" s="158">
        <v>0.30577617328519857</v>
      </c>
      <c r="AL465" s="158">
        <v>0.30670926517571884</v>
      </c>
      <c r="AM465" s="158">
        <v>0.30736392742796159</v>
      </c>
      <c r="AN465" s="158">
        <v>0.30779896013864816</v>
      </c>
      <c r="AO465" s="158">
        <v>0.30838844413505045</v>
      </c>
      <c r="AP465" s="158">
        <v>0.30857552924291354</v>
      </c>
      <c r="AQ465" s="158">
        <v>0.30905077262693159</v>
      </c>
      <c r="AR465" s="158">
        <v>0.30909783022459081</v>
      </c>
      <c r="AS465" s="158">
        <v>0.30936649825106877</v>
      </c>
      <c r="AT465" s="158">
        <v>0.30990291262135922</v>
      </c>
      <c r="AU465" s="158">
        <v>0.3100315955766193</v>
      </c>
      <c r="AV465" s="158">
        <v>0.31005372217958554</v>
      </c>
      <c r="AW465" s="158">
        <v>0.31015037593984962</v>
      </c>
      <c r="AX465" s="158">
        <v>0.31033223804308141</v>
      </c>
      <c r="AY465" s="158">
        <v>0.31038211968276858</v>
      </c>
      <c r="AZ465" s="158">
        <v>0.31059556786703602</v>
      </c>
      <c r="BA465" s="158">
        <v>0.31056744818212706</v>
      </c>
      <c r="BB465" s="158">
        <v>0.31064397731064397</v>
      </c>
      <c r="BC465" s="158">
        <v>0.31066411238825031</v>
      </c>
      <c r="BD465" s="158">
        <v>0.31069144075540667</v>
      </c>
      <c r="BE465" s="158">
        <v>0.31088534107402033</v>
      </c>
      <c r="BF465" s="158">
        <v>0.31087373322377432</v>
      </c>
      <c r="BG465" s="158">
        <v>0.31080732525148308</v>
      </c>
      <c r="BH465" s="158">
        <v>0.3106915154487494</v>
      </c>
      <c r="BI465" s="158">
        <v>0.31070559610705595</v>
      </c>
      <c r="BJ465" s="158">
        <v>0.31087584215591918</v>
      </c>
      <c r="BK465" s="158">
        <v>0.31067251461988304</v>
      </c>
      <c r="BL465" s="158">
        <v>0.31087957354010176</v>
      </c>
      <c r="BM465" s="158">
        <v>0.31072210065645517</v>
      </c>
      <c r="BN465" s="158">
        <v>0.31079717457114026</v>
      </c>
      <c r="BO465" s="158">
        <v>0.31081780538302278</v>
      </c>
      <c r="BP465" s="158">
        <v>0.31085043988269795</v>
      </c>
      <c r="BQ465" s="158">
        <v>0.31079289313179526</v>
      </c>
    </row>
    <row r="466" spans="1:69" s="124" customFormat="1">
      <c r="A466" s="124">
        <f>$A$91</f>
        <v>74</v>
      </c>
      <c r="B466" s="114"/>
      <c r="C466" s="114"/>
      <c r="D466" s="114"/>
      <c r="E466" s="114"/>
      <c r="F466" s="114"/>
      <c r="G466" s="114"/>
      <c r="H466" s="114"/>
      <c r="I466" s="114"/>
      <c r="J466" s="114"/>
      <c r="K466" s="114"/>
      <c r="L466" s="114"/>
      <c r="M466" s="158">
        <v>0.21895190236898779</v>
      </c>
      <c r="N466" s="158">
        <v>0.2233502538071066</v>
      </c>
      <c r="O466" s="158">
        <v>0.22804878048780489</v>
      </c>
      <c r="P466" s="158">
        <v>0.23200921128382268</v>
      </c>
      <c r="Q466" s="158">
        <v>0.23560716013546201</v>
      </c>
      <c r="R466" s="158">
        <v>0.2390882638215325</v>
      </c>
      <c r="S466" s="158">
        <v>0.24246841593780369</v>
      </c>
      <c r="T466" s="158">
        <v>0.24567307692307691</v>
      </c>
      <c r="U466" s="158">
        <v>0.24857142857142858</v>
      </c>
      <c r="V466" s="158">
        <v>0.25164628410159923</v>
      </c>
      <c r="W466" s="158">
        <v>0.254182156133829</v>
      </c>
      <c r="X466" s="158">
        <v>0.25649059982094896</v>
      </c>
      <c r="Y466" s="158">
        <v>0.25871080139372821</v>
      </c>
      <c r="Z466" s="158">
        <v>0.26059588753671842</v>
      </c>
      <c r="AA466" s="158">
        <v>0.262749898000816</v>
      </c>
      <c r="AB466" s="158">
        <v>0.26425081433224756</v>
      </c>
      <c r="AC466" s="158">
        <v>0.26581790123456789</v>
      </c>
      <c r="AD466" s="158">
        <v>0.2674242424242424</v>
      </c>
      <c r="AE466" s="158">
        <v>0.26876601977297693</v>
      </c>
      <c r="AF466" s="158">
        <v>0.27003918774492341</v>
      </c>
      <c r="AG466" s="158">
        <v>0.27094474153297682</v>
      </c>
      <c r="AH466" s="158">
        <v>0.27223816355810615</v>
      </c>
      <c r="AI466" s="158">
        <v>0.27286135693215341</v>
      </c>
      <c r="AJ466" s="158">
        <v>0.27373887240356082</v>
      </c>
      <c r="AK466" s="158">
        <v>0.27475800446760984</v>
      </c>
      <c r="AL466" s="158">
        <v>0.27528294998174518</v>
      </c>
      <c r="AM466" s="158">
        <v>0.27592393254395409</v>
      </c>
      <c r="AN466" s="158">
        <v>0.27641984184040258</v>
      </c>
      <c r="AO466" s="158">
        <v>0.27670753064798598</v>
      </c>
      <c r="AP466" s="158">
        <v>0.27732864674868191</v>
      </c>
      <c r="AQ466" s="158">
        <v>0.27753623188405796</v>
      </c>
      <c r="AR466" s="158">
        <v>0.27786032689450224</v>
      </c>
      <c r="AS466" s="158">
        <v>0.27814060699193238</v>
      </c>
      <c r="AT466" s="158">
        <v>0.27843137254901962</v>
      </c>
      <c r="AU466" s="158">
        <v>0.27849588719153939</v>
      </c>
      <c r="AV466" s="158">
        <v>0.27877339705296694</v>
      </c>
      <c r="AW466" s="158">
        <v>0.27891682785299804</v>
      </c>
      <c r="AX466" s="158">
        <v>0.2788935202728306</v>
      </c>
      <c r="AY466" s="158">
        <v>0.27924944812362029</v>
      </c>
      <c r="AZ466" s="158">
        <v>0.27933163821285872</v>
      </c>
      <c r="BA466" s="158">
        <v>0.27938611789326823</v>
      </c>
      <c r="BB466" s="158">
        <v>0.27926078028747431</v>
      </c>
      <c r="BC466" s="158">
        <v>0.27947598253275108</v>
      </c>
      <c r="BD466" s="158">
        <v>0.27933140469302475</v>
      </c>
      <c r="BE466" s="158">
        <v>0.27927651747394239</v>
      </c>
      <c r="BF466" s="158">
        <v>0.27949766355140188</v>
      </c>
      <c r="BG466" s="158">
        <v>0.2794158170294847</v>
      </c>
      <c r="BH466" s="158">
        <v>0.27944992215879605</v>
      </c>
      <c r="BI466" s="158">
        <v>0.27947705969412928</v>
      </c>
      <c r="BJ466" s="158">
        <v>0.27942255933447518</v>
      </c>
      <c r="BK466" s="158">
        <v>0.2794580208081297</v>
      </c>
      <c r="BL466" s="158">
        <v>0.27927486526212641</v>
      </c>
      <c r="BM466" s="158">
        <v>0.27941534713763705</v>
      </c>
      <c r="BN466" s="158">
        <v>0.27925726850720745</v>
      </c>
      <c r="BO466" s="158">
        <v>0.27941176470588236</v>
      </c>
      <c r="BP466" s="158">
        <v>0.27925117004680189</v>
      </c>
      <c r="BQ466" s="158">
        <v>0.27932512051419389</v>
      </c>
    </row>
    <row r="467" spans="1:69" s="124" customFormat="1">
      <c r="A467" s="124">
        <f>$A$92</f>
        <v>75</v>
      </c>
      <c r="B467" s="114"/>
      <c r="C467" s="114"/>
      <c r="D467" s="114"/>
      <c r="E467" s="114"/>
      <c r="F467" s="114"/>
      <c r="G467" s="114"/>
      <c r="H467" s="114"/>
      <c r="I467" s="114"/>
      <c r="J467" s="114"/>
      <c r="K467" s="114"/>
      <c r="L467" s="114"/>
      <c r="M467" s="158">
        <v>0.19279519679786525</v>
      </c>
      <c r="N467" s="158">
        <v>0.19705882352941176</v>
      </c>
      <c r="O467" s="158">
        <v>0.2014294996751137</v>
      </c>
      <c r="P467" s="158">
        <v>0.20524017467248909</v>
      </c>
      <c r="Q467" s="158">
        <v>0.20906949352179033</v>
      </c>
      <c r="R467" s="158">
        <v>0.21266073194856577</v>
      </c>
      <c r="S467" s="158">
        <v>0.2155599603567889</v>
      </c>
      <c r="T467" s="158">
        <v>0.21885856079404467</v>
      </c>
      <c r="U467" s="158">
        <v>0.22178606476938176</v>
      </c>
      <c r="V467" s="158">
        <v>0.22438076736279747</v>
      </c>
      <c r="W467" s="158">
        <v>0.2267497603068073</v>
      </c>
      <c r="X467" s="158">
        <v>0.22916666666666666</v>
      </c>
      <c r="Y467" s="158">
        <v>0.23108477666362809</v>
      </c>
      <c r="Z467" s="158">
        <v>0.23325942350332593</v>
      </c>
      <c r="AA467" s="158">
        <v>0.23484201537147736</v>
      </c>
      <c r="AB467" s="158">
        <v>0.23651452282157676</v>
      </c>
      <c r="AC467" s="158">
        <v>0.23789822093504345</v>
      </c>
      <c r="AD467" s="158">
        <v>0.23951391611132888</v>
      </c>
      <c r="AE467" s="158">
        <v>0.24086186994998077</v>
      </c>
      <c r="AF467" s="158">
        <v>0.24200743494423793</v>
      </c>
      <c r="AG467" s="158">
        <v>0.24295010845986983</v>
      </c>
      <c r="AH467" s="158">
        <v>0.24412296564195299</v>
      </c>
      <c r="AI467" s="158">
        <v>0.24509090909090908</v>
      </c>
      <c r="AJ467" s="158">
        <v>0.24598130841121496</v>
      </c>
      <c r="AK467" s="158">
        <v>0.24652386320931979</v>
      </c>
      <c r="AL467" s="158">
        <v>0.24698340874811464</v>
      </c>
      <c r="AM467" s="158">
        <v>0.24759793052475979</v>
      </c>
      <c r="AN467" s="158">
        <v>0.24809298946603706</v>
      </c>
      <c r="AO467" s="158">
        <v>0.24881775190978539</v>
      </c>
      <c r="AP467" s="158">
        <v>0.24902585901523203</v>
      </c>
      <c r="AQ467" s="158">
        <v>0.2495556345538571</v>
      </c>
      <c r="AR467" s="158">
        <v>0.24981684981684982</v>
      </c>
      <c r="AS467" s="158">
        <v>0.25</v>
      </c>
      <c r="AT467" s="158">
        <v>0.25029103608847497</v>
      </c>
      <c r="AU467" s="158">
        <v>0.2502970297029703</v>
      </c>
      <c r="AV467" s="158">
        <v>0.25069197311190194</v>
      </c>
      <c r="AW467" s="158">
        <v>0.25080385852090031</v>
      </c>
      <c r="AX467" s="158">
        <v>0.2506833268254588</v>
      </c>
      <c r="AY467" s="158">
        <v>0.25076452599388377</v>
      </c>
      <c r="AZ467" s="158">
        <v>0.250834879406308</v>
      </c>
      <c r="BA467" s="158">
        <v>0.25082387403881362</v>
      </c>
      <c r="BB467" s="158">
        <v>0.25105485232067509</v>
      </c>
      <c r="BC467" s="158">
        <v>0.25112107623318386</v>
      </c>
      <c r="BD467" s="158">
        <v>0.25109983079526227</v>
      </c>
      <c r="BE467" s="158">
        <v>0.25097150259067358</v>
      </c>
      <c r="BF467" s="158">
        <v>0.25108091414453365</v>
      </c>
      <c r="BG467" s="158">
        <v>0.25117647058823528</v>
      </c>
      <c r="BH467" s="158">
        <v>0.25110987791342954</v>
      </c>
      <c r="BI467" s="158">
        <v>0.25097936798119613</v>
      </c>
      <c r="BJ467" s="158">
        <v>0.25099304865938432</v>
      </c>
      <c r="BK467" s="158">
        <v>0.25116966264466878</v>
      </c>
      <c r="BL467" s="158">
        <v>0.25121713729308665</v>
      </c>
      <c r="BM467" s="158">
        <v>0.25110892065056678</v>
      </c>
      <c r="BN467" s="158">
        <v>0.25110240078392942</v>
      </c>
      <c r="BO467" s="158">
        <v>0.25110565110565108</v>
      </c>
      <c r="BP467" s="158">
        <v>0.2510833545755799</v>
      </c>
      <c r="BQ467" s="158">
        <v>0.25124183006535949</v>
      </c>
    </row>
    <row r="468" spans="1:69" s="124" customFormat="1">
      <c r="A468" s="124">
        <f>$A$93</f>
        <v>76</v>
      </c>
      <c r="B468" s="114"/>
      <c r="C468" s="114"/>
      <c r="D468" s="114"/>
      <c r="E468" s="114"/>
      <c r="F468" s="114"/>
      <c r="G468" s="114"/>
      <c r="H468" s="114"/>
      <c r="I468" s="114"/>
      <c r="J468" s="114"/>
      <c r="K468" s="114"/>
      <c r="L468" s="114"/>
      <c r="M468" s="158">
        <v>0.17110799438990182</v>
      </c>
      <c r="N468" s="158">
        <v>0.17534246575342466</v>
      </c>
      <c r="O468" s="158">
        <v>0.17962264150943397</v>
      </c>
      <c r="P468" s="158">
        <v>0.18333333333333332</v>
      </c>
      <c r="Q468" s="158">
        <v>0.18682021753039027</v>
      </c>
      <c r="R468" s="158">
        <v>0.19021739130434784</v>
      </c>
      <c r="S468" s="158">
        <v>0.19310694374049669</v>
      </c>
      <c r="T468" s="158">
        <v>0.19583967529173008</v>
      </c>
      <c r="U468" s="158">
        <v>0.19908583037074656</v>
      </c>
      <c r="V468" s="158">
        <v>0.20120421475163069</v>
      </c>
      <c r="W468" s="158">
        <v>0.20397022332506204</v>
      </c>
      <c r="X468" s="158">
        <v>0.20617042115572967</v>
      </c>
      <c r="Y468" s="158">
        <v>0.20782986950217497</v>
      </c>
      <c r="Z468" s="158">
        <v>0.20976744186046511</v>
      </c>
      <c r="AA468" s="158">
        <v>0.2115732368896926</v>
      </c>
      <c r="AB468" s="158">
        <v>0.21332172398781019</v>
      </c>
      <c r="AC468" s="158">
        <v>0.21470836855452241</v>
      </c>
      <c r="AD468" s="158">
        <v>0.21618204804045513</v>
      </c>
      <c r="AE468" s="158">
        <v>0.21747805267358339</v>
      </c>
      <c r="AF468" s="158">
        <v>0.21878669275929549</v>
      </c>
      <c r="AG468" s="158">
        <v>0.21957671957671956</v>
      </c>
      <c r="AH468" s="158">
        <v>0.22087467842704889</v>
      </c>
      <c r="AI468" s="158">
        <v>0.22152828802351213</v>
      </c>
      <c r="AJ468" s="158">
        <v>0.2223042836041359</v>
      </c>
      <c r="AK468" s="158">
        <v>0.22306525037936267</v>
      </c>
      <c r="AL468" s="158">
        <v>0.22349351639969489</v>
      </c>
      <c r="AM468" s="158">
        <v>0.22409177820267687</v>
      </c>
      <c r="AN468" s="158">
        <v>0.22480329711502436</v>
      </c>
      <c r="AO468" s="158">
        <v>0.22524843577475157</v>
      </c>
      <c r="AP468" s="158">
        <v>0.22549742078113486</v>
      </c>
      <c r="AQ468" s="158">
        <v>0.22604951560818085</v>
      </c>
      <c r="AR468" s="158">
        <v>0.22598056854983808</v>
      </c>
      <c r="AS468" s="158">
        <v>0.22646404744255003</v>
      </c>
      <c r="AT468" s="158">
        <v>0.22665148063781321</v>
      </c>
      <c r="AU468" s="158">
        <v>0.22684458398744112</v>
      </c>
      <c r="AV468" s="158">
        <v>0.22698158526821458</v>
      </c>
      <c r="AW468" s="158">
        <v>0.2270183852917666</v>
      </c>
      <c r="AX468" s="158">
        <v>0.22705117790414298</v>
      </c>
      <c r="AY468" s="158">
        <v>0.22712933753943218</v>
      </c>
      <c r="AZ468" s="158">
        <v>0.22741312741312741</v>
      </c>
      <c r="BA468" s="158">
        <v>0.22742600224803297</v>
      </c>
      <c r="BB468" s="158">
        <v>0.22735674676524953</v>
      </c>
      <c r="BC468" s="158">
        <v>0.22746628814762243</v>
      </c>
      <c r="BD468" s="158">
        <v>0.22755741127348644</v>
      </c>
      <c r="BE468" s="158">
        <v>0.22738135882553773</v>
      </c>
      <c r="BF468" s="158">
        <v>0.22762900065316785</v>
      </c>
      <c r="BG468" s="158">
        <v>0.22758405977584059</v>
      </c>
      <c r="BH468" s="158">
        <v>0.22739401126593536</v>
      </c>
      <c r="BI468" s="158">
        <v>0.22762863534675615</v>
      </c>
      <c r="BJ468" s="158">
        <v>0.22763157894736843</v>
      </c>
      <c r="BK468" s="158">
        <v>0.22755688922230558</v>
      </c>
      <c r="BL468" s="158">
        <v>0.22737416315397968</v>
      </c>
      <c r="BM468" s="158">
        <v>0.22745098039215686</v>
      </c>
      <c r="BN468" s="158">
        <v>0.2274869759364922</v>
      </c>
      <c r="BO468" s="158">
        <v>0.22762022194821208</v>
      </c>
      <c r="BP468" s="158">
        <v>0.22749752720079131</v>
      </c>
      <c r="BQ468" s="158">
        <v>0.22749422928956142</v>
      </c>
    </row>
    <row r="469" spans="1:69" s="124" customFormat="1">
      <c r="A469" s="124">
        <f>$A$94</f>
        <v>77</v>
      </c>
      <c r="B469" s="114"/>
      <c r="C469" s="114"/>
      <c r="D469" s="114"/>
      <c r="E469" s="114"/>
      <c r="F469" s="114"/>
      <c r="G469" s="114"/>
      <c r="H469" s="114"/>
      <c r="I469" s="114"/>
      <c r="J469" s="114"/>
      <c r="K469" s="114"/>
      <c r="L469" s="114"/>
      <c r="M469" s="158">
        <v>0.1513975155279503</v>
      </c>
      <c r="N469" s="158">
        <v>0.1554591467823572</v>
      </c>
      <c r="O469" s="158">
        <v>0.15949188426252647</v>
      </c>
      <c r="P469" s="158">
        <v>0.16317016317016317</v>
      </c>
      <c r="Q469" s="158">
        <v>0.16666666666666666</v>
      </c>
      <c r="R469" s="158">
        <v>0.17050691244239632</v>
      </c>
      <c r="S469" s="158">
        <v>0.17318435754189945</v>
      </c>
      <c r="T469" s="158">
        <v>0.17595002602811036</v>
      </c>
      <c r="U469" s="158">
        <v>0.17864583333333334</v>
      </c>
      <c r="V469" s="158">
        <v>0.18124999999999999</v>
      </c>
      <c r="W469" s="158">
        <v>0.18364197530864199</v>
      </c>
      <c r="X469" s="158">
        <v>0.18607015760040671</v>
      </c>
      <c r="Y469" s="158">
        <v>0.18806419257773319</v>
      </c>
      <c r="Z469" s="158">
        <v>0.18991097922848665</v>
      </c>
      <c r="AA469" s="158">
        <v>0.19172216936251191</v>
      </c>
      <c r="AB469" s="158">
        <v>0.19316081330868762</v>
      </c>
      <c r="AC469" s="158">
        <v>0.19475322365495776</v>
      </c>
      <c r="AD469" s="158">
        <v>0.19585849870578084</v>
      </c>
      <c r="AE469" s="158">
        <v>0.19733447979363714</v>
      </c>
      <c r="AF469" s="158">
        <v>0.19812855980471927</v>
      </c>
      <c r="AG469" s="158">
        <v>0.1994415636218588</v>
      </c>
      <c r="AH469" s="158">
        <v>0.20023103581055063</v>
      </c>
      <c r="AI469" s="158">
        <v>0.20134730538922155</v>
      </c>
      <c r="AJ469" s="158">
        <v>0.20194465220643232</v>
      </c>
      <c r="AK469" s="158">
        <v>0.2024793388429752</v>
      </c>
      <c r="AL469" s="158">
        <v>0.20331790123456789</v>
      </c>
      <c r="AM469" s="158">
        <v>0.20387596899224805</v>
      </c>
      <c r="AN469" s="158">
        <v>0.20435120435120435</v>
      </c>
      <c r="AO469" s="158">
        <v>0.20471841704718416</v>
      </c>
      <c r="AP469" s="158">
        <v>0.20515695067264575</v>
      </c>
      <c r="AQ469" s="158">
        <v>0.20523364485981307</v>
      </c>
      <c r="AR469" s="158">
        <v>0.20560407569141192</v>
      </c>
      <c r="AS469" s="158">
        <v>0.20576431959138999</v>
      </c>
      <c r="AT469" s="158">
        <v>0.2062359128474831</v>
      </c>
      <c r="AU469" s="158">
        <v>0.20615384615384616</v>
      </c>
      <c r="AV469" s="158">
        <v>0.20627980922098568</v>
      </c>
      <c r="AW469" s="158">
        <v>0.20672882042967167</v>
      </c>
      <c r="AX469" s="158">
        <v>0.20671521035598706</v>
      </c>
      <c r="AY469" s="158">
        <v>0.20665571076417419</v>
      </c>
      <c r="AZ469" s="158">
        <v>0.20702034303948944</v>
      </c>
      <c r="BA469" s="158">
        <v>0.2068696330991413</v>
      </c>
      <c r="BB469" s="158">
        <v>0.20673987126088603</v>
      </c>
      <c r="BC469" s="158">
        <v>0.20694807620470676</v>
      </c>
      <c r="BD469" s="158">
        <v>0.2068100358422939</v>
      </c>
      <c r="BE469" s="158">
        <v>0.20695713281799016</v>
      </c>
      <c r="BF469" s="158">
        <v>0.20716994139951742</v>
      </c>
      <c r="BG469" s="158">
        <v>0.20698747528015821</v>
      </c>
      <c r="BH469" s="158">
        <v>0.20703738611372918</v>
      </c>
      <c r="BI469" s="158">
        <v>0.20699970086748429</v>
      </c>
      <c r="BJ469" s="158">
        <v>0.20705218617771509</v>
      </c>
      <c r="BK469" s="158">
        <v>0.2070063694267516</v>
      </c>
      <c r="BL469" s="158">
        <v>0.20706179066834804</v>
      </c>
      <c r="BM469" s="158">
        <v>0.20699999999999999</v>
      </c>
      <c r="BN469" s="158">
        <v>0.20701581027667984</v>
      </c>
      <c r="BO469" s="158">
        <v>0.20699999999999999</v>
      </c>
      <c r="BP469" s="158">
        <v>0.20695652173913043</v>
      </c>
      <c r="BQ469" s="158">
        <v>0.20697384806973848</v>
      </c>
    </row>
    <row r="470" spans="1:69" s="124" customFormat="1">
      <c r="A470" s="124">
        <f>$A$95</f>
        <v>78</v>
      </c>
      <c r="B470" s="114"/>
      <c r="C470" s="114"/>
      <c r="D470" s="114"/>
      <c r="E470" s="114"/>
      <c r="F470" s="114"/>
      <c r="G470" s="114"/>
      <c r="H470" s="114"/>
      <c r="I470" s="114"/>
      <c r="J470" s="114"/>
      <c r="K470" s="114"/>
      <c r="L470" s="114"/>
      <c r="M470" s="158">
        <v>0.13459801264679314</v>
      </c>
      <c r="N470" s="158">
        <v>0.13906752411575563</v>
      </c>
      <c r="O470" s="158">
        <v>0.14210919970082272</v>
      </c>
      <c r="P470" s="158">
        <v>0.145985401459854</v>
      </c>
      <c r="Q470" s="158">
        <v>0.1492776886035313</v>
      </c>
      <c r="R470" s="158">
        <v>0.15226628895184136</v>
      </c>
      <c r="S470" s="158">
        <v>0.15546503733876443</v>
      </c>
      <c r="T470" s="158">
        <v>0.15866922584772872</v>
      </c>
      <c r="U470" s="158">
        <v>0.1609442060085837</v>
      </c>
      <c r="V470" s="158">
        <v>0.16353887399463807</v>
      </c>
      <c r="W470" s="158">
        <v>0.16559485530546625</v>
      </c>
      <c r="X470" s="158">
        <v>0.16754756871035942</v>
      </c>
      <c r="Y470" s="158">
        <v>0.16971279373368145</v>
      </c>
      <c r="Z470" s="158">
        <v>0.17138445702521873</v>
      </c>
      <c r="AA470" s="158">
        <v>0.17300862506341957</v>
      </c>
      <c r="AB470" s="158">
        <v>0.17454900048756705</v>
      </c>
      <c r="AC470" s="158">
        <v>0.17613636363636365</v>
      </c>
      <c r="AD470" s="158">
        <v>0.17751479289940827</v>
      </c>
      <c r="AE470" s="158">
        <v>0.17880794701986755</v>
      </c>
      <c r="AF470" s="158">
        <v>0.17985927880386984</v>
      </c>
      <c r="AG470" s="158">
        <v>0.18094841930116473</v>
      </c>
      <c r="AH470" s="158">
        <v>0.18174409127954361</v>
      </c>
      <c r="AI470" s="158">
        <v>0.18238993710691823</v>
      </c>
      <c r="AJ470" s="158">
        <v>0.18327605956471935</v>
      </c>
      <c r="AK470" s="158">
        <v>0.18382913806254766</v>
      </c>
      <c r="AL470" s="158">
        <v>0.18460360015319802</v>
      </c>
      <c r="AM470" s="158">
        <v>0.18514150943396226</v>
      </c>
      <c r="AN470" s="158">
        <v>0.18555073035925779</v>
      </c>
      <c r="AO470" s="158">
        <v>0.18584420719652037</v>
      </c>
      <c r="AP470" s="158">
        <v>0.18621757646147891</v>
      </c>
      <c r="AQ470" s="158">
        <v>0.18662105663245915</v>
      </c>
      <c r="AR470" s="158">
        <v>0.18662105663245915</v>
      </c>
      <c r="AS470" s="158">
        <v>0.18713017751479291</v>
      </c>
      <c r="AT470" s="158">
        <v>0.187175685693106</v>
      </c>
      <c r="AU470" s="158">
        <v>0.18726163234172388</v>
      </c>
      <c r="AV470" s="158">
        <v>0.18742678641155799</v>
      </c>
      <c r="AW470" s="158">
        <v>0.1875</v>
      </c>
      <c r="AX470" s="158">
        <v>0.18783394985614468</v>
      </c>
      <c r="AY470" s="158">
        <v>0.1877818778187782</v>
      </c>
      <c r="AZ470" s="158">
        <v>0.18776019983347211</v>
      </c>
      <c r="BA470" s="158">
        <v>0.18787878787878787</v>
      </c>
      <c r="BB470" s="158">
        <v>0.18814229249011857</v>
      </c>
      <c r="BC470" s="158">
        <v>0.18788343558282208</v>
      </c>
      <c r="BD470" s="158">
        <v>0.18790170132325143</v>
      </c>
      <c r="BE470" s="158">
        <v>0.18788538266231411</v>
      </c>
      <c r="BF470" s="158">
        <v>0.18805545680767863</v>
      </c>
      <c r="BG470" s="158">
        <v>0.18821889159986058</v>
      </c>
      <c r="BH470" s="158">
        <v>0.18793735421526159</v>
      </c>
      <c r="BI470" s="158">
        <v>0.1879961892664338</v>
      </c>
      <c r="BJ470" s="158">
        <v>0.18797219703838017</v>
      </c>
      <c r="BK470" s="158">
        <v>0.18803418803418803</v>
      </c>
      <c r="BL470" s="158">
        <v>0.18815331010452963</v>
      </c>
      <c r="BM470" s="158">
        <v>0.18813645621181263</v>
      </c>
      <c r="BN470" s="158">
        <v>0.18798889730002524</v>
      </c>
      <c r="BO470" s="158">
        <v>0.18798304662179008</v>
      </c>
      <c r="BP470" s="158">
        <v>0.18814627994955863</v>
      </c>
      <c r="BQ470" s="158">
        <v>0.18817339012778753</v>
      </c>
    </row>
    <row r="471" spans="1:69" s="124" customFormat="1">
      <c r="A471" s="124">
        <f>$A$96</f>
        <v>79</v>
      </c>
      <c r="B471" s="114"/>
      <c r="C471" s="114"/>
      <c r="D471" s="114"/>
      <c r="E471" s="114"/>
      <c r="F471" s="114"/>
      <c r="G471" s="114"/>
      <c r="H471" s="114"/>
      <c r="I471" s="114"/>
      <c r="J471" s="114"/>
      <c r="K471" s="114"/>
      <c r="L471" s="114"/>
      <c r="M471" s="158">
        <v>0.11988304093567251</v>
      </c>
      <c r="N471" s="158">
        <v>0.1231203007518797</v>
      </c>
      <c r="O471" s="158">
        <v>0.12698412698412698</v>
      </c>
      <c r="P471" s="158">
        <v>0.12975912975912976</v>
      </c>
      <c r="Q471" s="158">
        <v>0.13333333333333333</v>
      </c>
      <c r="R471" s="158">
        <v>0.13655287260616153</v>
      </c>
      <c r="S471" s="158">
        <v>0.13876651982378854</v>
      </c>
      <c r="T471" s="158">
        <v>0.14135021097046413</v>
      </c>
      <c r="U471" s="158">
        <v>0.14361350099272005</v>
      </c>
      <c r="V471" s="158">
        <v>0.14634146341463414</v>
      </c>
      <c r="W471" s="158">
        <v>0.14839424141749724</v>
      </c>
      <c r="X471" s="158">
        <v>0.15044247787610621</v>
      </c>
      <c r="Y471" s="158">
        <v>0.15212649945474374</v>
      </c>
      <c r="Z471" s="158">
        <v>0.15392895586652314</v>
      </c>
      <c r="AA471" s="158">
        <v>0.15527291997880233</v>
      </c>
      <c r="AB471" s="158">
        <v>0.1566579634464752</v>
      </c>
      <c r="AC471" s="158">
        <v>0.1579739217652959</v>
      </c>
      <c r="AD471" s="158">
        <v>0.15912408759124089</v>
      </c>
      <c r="AE471" s="158">
        <v>0.16035530621785882</v>
      </c>
      <c r="AF471" s="158">
        <v>0.16130493883099228</v>
      </c>
      <c r="AG471" s="158">
        <v>0.16230838593327321</v>
      </c>
      <c r="AH471" s="158">
        <v>0.16325660699062233</v>
      </c>
      <c r="AI471" s="158">
        <v>0.16402337228714525</v>
      </c>
      <c r="AJ471" s="158">
        <v>0.16465378421900162</v>
      </c>
      <c r="AK471" s="158">
        <v>0.16529894490035171</v>
      </c>
      <c r="AL471" s="158">
        <v>0.16575663026521062</v>
      </c>
      <c r="AM471" s="158">
        <v>0.16634050880626222</v>
      </c>
      <c r="AN471" s="158">
        <v>0.16666666666666666</v>
      </c>
      <c r="AO471" s="158">
        <v>0.16727126158806932</v>
      </c>
      <c r="AP471" s="158">
        <v>0.16747376916868442</v>
      </c>
      <c r="AQ471" s="158">
        <v>0.16785150078988942</v>
      </c>
      <c r="AR471" s="158">
        <v>0.16815187911662147</v>
      </c>
      <c r="AS471" s="158">
        <v>0.16808675445391169</v>
      </c>
      <c r="AT471" s="158">
        <v>0.16836158192090395</v>
      </c>
      <c r="AU471" s="158">
        <v>0.16861561674839684</v>
      </c>
      <c r="AV471" s="158">
        <v>0.16886645962732919</v>
      </c>
      <c r="AW471" s="158">
        <v>0.16878474980142971</v>
      </c>
      <c r="AX471" s="158">
        <v>0.16892168921689216</v>
      </c>
      <c r="AY471" s="158">
        <v>0.16875522138680032</v>
      </c>
      <c r="AZ471" s="158">
        <v>0.16916666666666666</v>
      </c>
      <c r="BA471" s="158">
        <v>0.16913319238900634</v>
      </c>
      <c r="BB471" s="158">
        <v>0.16899097621000819</v>
      </c>
      <c r="BC471" s="158">
        <v>0.16927396710790213</v>
      </c>
      <c r="BD471" s="158">
        <v>0.16919486581096849</v>
      </c>
      <c r="BE471" s="158">
        <v>0.16903027980068991</v>
      </c>
      <c r="BF471" s="158">
        <v>0.16911764705882354</v>
      </c>
      <c r="BG471" s="158">
        <v>0.16930835734870317</v>
      </c>
      <c r="BH471" s="158">
        <v>0.16913841807909605</v>
      </c>
      <c r="BI471" s="158">
        <v>0.1690853864326696</v>
      </c>
      <c r="BJ471" s="158">
        <v>0.16907746705239474</v>
      </c>
      <c r="BK471" s="158">
        <v>0.16916488222698073</v>
      </c>
      <c r="BL471" s="158">
        <v>0.16921302969155377</v>
      </c>
      <c r="BM471" s="158">
        <v>0.16915153158037408</v>
      </c>
      <c r="BN471" s="158">
        <v>0.16915550978372812</v>
      </c>
      <c r="BO471" s="158">
        <v>0.16913265306122449</v>
      </c>
      <c r="BP471" s="158">
        <v>0.1690602166792643</v>
      </c>
      <c r="BQ471" s="158">
        <v>0.16921508664627929</v>
      </c>
    </row>
    <row r="472" spans="1:69" s="124" customFormat="1">
      <c r="A472" s="124" t="str">
        <f>$A$268</f>
        <v>80 &amp; over</v>
      </c>
      <c r="B472" s="114"/>
      <c r="C472" s="114"/>
      <c r="D472" s="114"/>
      <c r="E472" s="114"/>
      <c r="F472" s="114"/>
      <c r="G472" s="114"/>
      <c r="H472" s="114"/>
      <c r="I472" s="114"/>
      <c r="J472" s="114"/>
      <c r="K472" s="114"/>
      <c r="L472" s="114"/>
      <c r="M472" s="158">
        <v>6.7482548203298756E-2</v>
      </c>
      <c r="N472" s="158">
        <v>6.9309311702460699E-2</v>
      </c>
      <c r="O472" s="158">
        <v>7.2152591615811917E-2</v>
      </c>
      <c r="P472" s="158">
        <v>7.5049717674888675E-2</v>
      </c>
      <c r="Q472" s="158">
        <v>7.7136059113527319E-2</v>
      </c>
      <c r="R472" s="158">
        <v>8.0083826196856445E-2</v>
      </c>
      <c r="S472" s="158">
        <v>8.0749478512034858E-2</v>
      </c>
      <c r="T472" s="158">
        <v>8.2339531406522448E-2</v>
      </c>
      <c r="U472" s="158">
        <v>8.4534417878398077E-2</v>
      </c>
      <c r="V472" s="158">
        <v>8.5164085351820198E-2</v>
      </c>
      <c r="W472" s="158">
        <v>8.8252065223430751E-2</v>
      </c>
      <c r="X472" s="158">
        <v>8.9621690863176867E-2</v>
      </c>
      <c r="Y472" s="158">
        <v>9.0361740736756818E-2</v>
      </c>
      <c r="Z472" s="158">
        <v>9.1175156602969085E-2</v>
      </c>
      <c r="AA472" s="158">
        <v>9.1344429434929292E-2</v>
      </c>
      <c r="AB472" s="158">
        <v>9.1645732871363794E-2</v>
      </c>
      <c r="AC472" s="158">
        <v>9.2033636417269832E-2</v>
      </c>
      <c r="AD472" s="158">
        <v>9.2240490322258312E-2</v>
      </c>
      <c r="AE472" s="158">
        <v>9.2983354554165523E-2</v>
      </c>
      <c r="AF472" s="158">
        <v>9.2933091051739872E-2</v>
      </c>
      <c r="AG472" s="158">
        <v>9.3368085624314923E-2</v>
      </c>
      <c r="AH472" s="158">
        <v>9.3968990785515114E-2</v>
      </c>
      <c r="AI472" s="158">
        <v>9.4175728283968252E-2</v>
      </c>
      <c r="AJ472" s="158">
        <v>9.438512317794015E-2</v>
      </c>
      <c r="AK472" s="158">
        <v>9.4897489428948489E-2</v>
      </c>
      <c r="AL472" s="158">
        <v>9.5281316681295497E-2</v>
      </c>
      <c r="AM472" s="158">
        <v>9.5397232991758119E-2</v>
      </c>
      <c r="AN472" s="158">
        <v>9.4865642369837855E-2</v>
      </c>
      <c r="AO472" s="158">
        <v>9.4805315142002675E-2</v>
      </c>
      <c r="AP472" s="158">
        <v>9.4541740982291456E-2</v>
      </c>
      <c r="AQ472" s="158">
        <v>9.4062560788015018E-2</v>
      </c>
      <c r="AR472" s="158">
        <v>9.3955916210846507E-2</v>
      </c>
      <c r="AS472" s="158">
        <v>9.3823546062599864E-2</v>
      </c>
      <c r="AT472" s="158">
        <v>9.3445691519821072E-2</v>
      </c>
      <c r="AU472" s="158">
        <v>9.3716063761386151E-2</v>
      </c>
      <c r="AV472" s="158">
        <v>9.3372072963305214E-2</v>
      </c>
      <c r="AW472" s="158">
        <v>9.3022715524987296E-2</v>
      </c>
      <c r="AX472" s="158">
        <v>9.2604342621482635E-2</v>
      </c>
      <c r="AY472" s="158">
        <v>9.2164293603412092E-2</v>
      </c>
      <c r="AZ472" s="158">
        <v>9.1947951848897383E-2</v>
      </c>
      <c r="BA472" s="158">
        <v>9.1373155125476696E-2</v>
      </c>
      <c r="BB472" s="158">
        <v>9.1328518233456807E-2</v>
      </c>
      <c r="BC472" s="158">
        <v>9.1059779890872203E-2</v>
      </c>
      <c r="BD472" s="158">
        <v>9.1367040353232537E-2</v>
      </c>
      <c r="BE472" s="158">
        <v>9.1421764649704237E-2</v>
      </c>
      <c r="BF472" s="158">
        <v>9.1735414192337203E-2</v>
      </c>
      <c r="BG472" s="158">
        <v>9.2029915828167538E-2</v>
      </c>
      <c r="BH472" s="158">
        <v>9.2171855501835723E-2</v>
      </c>
      <c r="BI472" s="158">
        <v>9.2471149678715281E-2</v>
      </c>
      <c r="BJ472" s="158">
        <v>9.27113977224686E-2</v>
      </c>
      <c r="BK472" s="158">
        <v>9.3169330513999879E-2</v>
      </c>
      <c r="BL472" s="158">
        <v>9.3499855043665883E-2</v>
      </c>
      <c r="BM472" s="158">
        <v>9.4221632905139435E-2</v>
      </c>
      <c r="BN472" s="158">
        <v>9.4643377811037502E-2</v>
      </c>
      <c r="BO472" s="158">
        <v>9.4877864377028803E-2</v>
      </c>
      <c r="BP472" s="158">
        <v>9.5120759624069323E-2</v>
      </c>
      <c r="BQ472" s="158">
        <v>9.4809264454967818E-2</v>
      </c>
    </row>
    <row r="473" spans="1:69" s="124" customFormat="1">
      <c r="A473" s="108" t="str">
        <f>$A$201</f>
        <v>Male total</v>
      </c>
      <c r="B473" s="114"/>
      <c r="C473" s="114"/>
      <c r="D473" s="114"/>
      <c r="E473" s="114"/>
      <c r="F473" s="114"/>
      <c r="G473" s="114"/>
      <c r="H473" s="114"/>
      <c r="I473" s="114"/>
      <c r="J473" s="114"/>
      <c r="K473" s="114"/>
      <c r="L473" s="114"/>
      <c r="M473" s="159">
        <v>0.73930511874923499</v>
      </c>
      <c r="N473" s="159">
        <v>0.74084289669483971</v>
      </c>
      <c r="O473" s="159">
        <v>0.74180250213803245</v>
      </c>
      <c r="P473" s="159">
        <v>0.7423676153873312</v>
      </c>
      <c r="Q473" s="159">
        <v>0.74222857256651265</v>
      </c>
      <c r="R473" s="159">
        <v>0.74127034131070402</v>
      </c>
      <c r="S473" s="159">
        <v>0.73979286558640245</v>
      </c>
      <c r="T473" s="159">
        <v>0.73828207643336607</v>
      </c>
      <c r="U473" s="159">
        <v>0.73671451658902942</v>
      </c>
      <c r="V473" s="159">
        <v>0.73530905295229498</v>
      </c>
      <c r="W473" s="159">
        <v>0.73401765398377916</v>
      </c>
      <c r="X473" s="159">
        <v>0.73270683618942323</v>
      </c>
      <c r="Y473" s="159">
        <v>0.73156540072834808</v>
      </c>
      <c r="Z473" s="159">
        <v>0.73040049202271984</v>
      </c>
      <c r="AA473" s="159">
        <v>0.72918889357085859</v>
      </c>
      <c r="AB473" s="159">
        <v>0.72785246083768473</v>
      </c>
      <c r="AC473" s="159">
        <v>0.72640167050665871</v>
      </c>
      <c r="AD473" s="159">
        <v>0.72486211007611789</v>
      </c>
      <c r="AE473" s="159">
        <v>0.72340517651948777</v>
      </c>
      <c r="AF473" s="159">
        <v>0.72192768187925804</v>
      </c>
      <c r="AG473" s="159">
        <v>0.7205438516582453</v>
      </c>
      <c r="AH473" s="159">
        <v>0.71941802091645657</v>
      </c>
      <c r="AI473" s="159">
        <v>0.71831847176441521</v>
      </c>
      <c r="AJ473" s="159">
        <v>0.71744831168831169</v>
      </c>
      <c r="AK473" s="159">
        <v>0.71680236922645413</v>
      </c>
      <c r="AL473" s="159">
        <v>0.71629329653545826</v>
      </c>
      <c r="AM473" s="159">
        <v>0.71600515600157766</v>
      </c>
      <c r="AN473" s="159">
        <v>0.71573280127306727</v>
      </c>
      <c r="AO473" s="159">
        <v>0.71558182555064664</v>
      </c>
      <c r="AP473" s="159">
        <v>0.71554419435626671</v>
      </c>
      <c r="AQ473" s="159">
        <v>0.71553224470054666</v>
      </c>
      <c r="AR473" s="159">
        <v>0.71545702527553967</v>
      </c>
      <c r="AS473" s="159">
        <v>0.71525733348490961</v>
      </c>
      <c r="AT473" s="159">
        <v>0.71502214873970549</v>
      </c>
      <c r="AU473" s="159">
        <v>0.71466147328564111</v>
      </c>
      <c r="AV473" s="159">
        <v>0.71402267437147526</v>
      </c>
      <c r="AW473" s="159">
        <v>0.71317942611301044</v>
      </c>
      <c r="AX473" s="159">
        <v>0.71206688277928987</v>
      </c>
      <c r="AY473" s="159">
        <v>0.71072745188302033</v>
      </c>
      <c r="AZ473" s="159">
        <v>0.70911727621420428</v>
      </c>
      <c r="BA473" s="159">
        <v>0.70720640938193635</v>
      </c>
      <c r="BB473" s="159">
        <v>0.70516970417574665</v>
      </c>
      <c r="BC473" s="159">
        <v>0.70287331220439075</v>
      </c>
      <c r="BD473" s="159">
        <v>0.70047036618713587</v>
      </c>
      <c r="BE473" s="159">
        <v>0.69791743702761466</v>
      </c>
      <c r="BF473" s="159">
        <v>0.69538095781365583</v>
      </c>
      <c r="BG473" s="159">
        <v>0.69276439886457286</v>
      </c>
      <c r="BH473" s="159">
        <v>0.69022499927090319</v>
      </c>
      <c r="BI473" s="159">
        <v>0.68766167096579922</v>
      </c>
      <c r="BJ473" s="159">
        <v>0.6852179501993183</v>
      </c>
      <c r="BK473" s="159">
        <v>0.68282848610517166</v>
      </c>
      <c r="BL473" s="159">
        <v>0.68052505454415391</v>
      </c>
      <c r="BM473" s="159">
        <v>0.67831015197525102</v>
      </c>
      <c r="BN473" s="159">
        <v>0.67612885394261746</v>
      </c>
      <c r="BO473" s="159">
        <v>0.67401541473394588</v>
      </c>
      <c r="BP473" s="159">
        <v>0.6720116310921006</v>
      </c>
      <c r="BQ473" s="159">
        <v>0.67005626405290009</v>
      </c>
    </row>
  </sheetData>
  <phoneticPr fontId="107" type="noConversion"/>
  <hyperlinks>
    <hyperlink ref="B3" r:id="rId1" xr:uid="{00000000-0004-0000-0300-000000000000}"/>
    <hyperlink ref="K3" r:id="rId2" xr:uid="{00000000-0004-0000-0300-000001000000}"/>
    <hyperlink ref="B4" r:id="rId3" xr:uid="{00000000-0004-0000-0300-000002000000}"/>
  </hyperlink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Q229"/>
  <sheetViews>
    <sheetView zoomScaleNormal="100" workbookViewId="0">
      <pane xSplit="1" ySplit="15" topLeftCell="B16" activePane="bottomRight" state="frozen"/>
      <selection pane="topRight" activeCell="B1" sqref="B1"/>
      <selection pane="bottomLeft" activeCell="A16" sqref="A16"/>
      <selection pane="bottomRight" activeCell="F209" sqref="F209"/>
    </sheetView>
  </sheetViews>
  <sheetFormatPr defaultRowHeight="12.75"/>
  <cols>
    <col min="1" max="1" width="40.7109375" style="105" customWidth="1"/>
    <col min="2" max="15" width="10.7109375" style="105" customWidth="1"/>
    <col min="16" max="16" width="10.7109375" style="184" customWidth="1"/>
    <col min="17" max="64" width="10.7109375" style="105" customWidth="1"/>
    <col min="65" max="69" width="10.7109375" style="184" customWidth="1"/>
    <col min="70" max="16384" width="9.140625" style="105"/>
  </cols>
  <sheetData>
    <row r="1" spans="1:69">
      <c r="A1" s="108" t="s">
        <v>1019</v>
      </c>
    </row>
    <row r="2" spans="1:69">
      <c r="A2" s="108" t="s">
        <v>4</v>
      </c>
      <c r="B2" s="109" t="s">
        <v>5</v>
      </c>
      <c r="C2" s="109" t="s">
        <v>6</v>
      </c>
      <c r="D2" s="109" t="s">
        <v>7</v>
      </c>
      <c r="E2" s="109" t="s">
        <v>8</v>
      </c>
      <c r="F2" s="109" t="s">
        <v>10</v>
      </c>
      <c r="G2" s="109" t="s">
        <v>9</v>
      </c>
      <c r="H2" s="109" t="s">
        <v>11</v>
      </c>
      <c r="I2" s="109" t="s">
        <v>12</v>
      </c>
      <c r="J2" s="109" t="s">
        <v>13</v>
      </c>
      <c r="K2" s="109" t="s">
        <v>14</v>
      </c>
      <c r="L2" s="109" t="s">
        <v>15</v>
      </c>
      <c r="M2" s="109" t="s">
        <v>16</v>
      </c>
      <c r="N2" s="109" t="s">
        <v>17</v>
      </c>
      <c r="O2" s="109" t="s">
        <v>18</v>
      </c>
      <c r="P2" s="192" t="s">
        <v>19</v>
      </c>
      <c r="Q2" s="109" t="s">
        <v>20</v>
      </c>
      <c r="R2" s="109" t="s">
        <v>21</v>
      </c>
      <c r="S2" s="109" t="s">
        <v>22</v>
      </c>
      <c r="T2" s="109" t="s">
        <v>23</v>
      </c>
      <c r="U2" s="109" t="s">
        <v>24</v>
      </c>
      <c r="V2" s="109" t="s">
        <v>25</v>
      </c>
      <c r="W2" s="109" t="s">
        <v>26</v>
      </c>
      <c r="X2" s="109" t="s">
        <v>27</v>
      </c>
      <c r="Y2" s="109" t="s">
        <v>28</v>
      </c>
      <c r="Z2" s="109" t="s">
        <v>29</v>
      </c>
      <c r="AA2" s="109" t="s">
        <v>30</v>
      </c>
      <c r="AB2" s="109" t="s">
        <v>31</v>
      </c>
      <c r="AC2" s="109" t="s">
        <v>32</v>
      </c>
      <c r="AD2" s="109" t="s">
        <v>33</v>
      </c>
      <c r="AE2" s="109" t="s">
        <v>34</v>
      </c>
      <c r="AF2" s="109" t="s">
        <v>35</v>
      </c>
      <c r="AG2" s="109" t="s">
        <v>36</v>
      </c>
      <c r="AH2" s="109" t="s">
        <v>37</v>
      </c>
      <c r="AI2" s="109" t="s">
        <v>38</v>
      </c>
      <c r="AJ2" s="109" t="s">
        <v>39</v>
      </c>
      <c r="AK2" s="109" t="s">
        <v>40</v>
      </c>
      <c r="AL2" s="109" t="s">
        <v>41</v>
      </c>
      <c r="AM2" s="109" t="s">
        <v>42</v>
      </c>
      <c r="AN2" s="109" t="s">
        <v>43</v>
      </c>
      <c r="AO2" s="109" t="s">
        <v>44</v>
      </c>
      <c r="AP2" s="109" t="s">
        <v>45</v>
      </c>
      <c r="AQ2" s="109" t="s">
        <v>46</v>
      </c>
      <c r="AR2" s="109" t="s">
        <v>47</v>
      </c>
      <c r="AS2" s="109" t="s">
        <v>48</v>
      </c>
      <c r="AT2" s="109" t="s">
        <v>49</v>
      </c>
      <c r="AU2" s="109" t="s">
        <v>50</v>
      </c>
      <c r="AV2" s="109" t="s">
        <v>51</v>
      </c>
      <c r="AW2" s="109" t="s">
        <v>52</v>
      </c>
      <c r="AX2" s="109" t="s">
        <v>53</v>
      </c>
      <c r="AY2" s="109" t="s">
        <v>54</v>
      </c>
      <c r="AZ2" s="109" t="s">
        <v>55</v>
      </c>
      <c r="BA2" s="109" t="s">
        <v>56</v>
      </c>
      <c r="BB2" s="109" t="s">
        <v>57</v>
      </c>
      <c r="BC2" s="109" t="s">
        <v>58</v>
      </c>
      <c r="BD2" s="109" t="s">
        <v>59</v>
      </c>
      <c r="BE2" s="109" t="s">
        <v>60</v>
      </c>
      <c r="BF2" s="109" t="s">
        <v>61</v>
      </c>
      <c r="BG2" s="109" t="s">
        <v>62</v>
      </c>
      <c r="BH2" s="109" t="s">
        <v>63</v>
      </c>
      <c r="BI2" s="109" t="s">
        <v>64</v>
      </c>
      <c r="BJ2" s="109" t="s">
        <v>65</v>
      </c>
      <c r="BK2" s="109" t="s">
        <v>66</v>
      </c>
      <c r="BL2" s="109" t="s">
        <v>67</v>
      </c>
      <c r="BM2" s="192" t="s">
        <v>1216</v>
      </c>
      <c r="BN2" s="192" t="s">
        <v>1215</v>
      </c>
      <c r="BO2" s="192" t="s">
        <v>1214</v>
      </c>
      <c r="BP2" s="192" t="s">
        <v>1213</v>
      </c>
      <c r="BQ2" s="192" t="s">
        <v>1212</v>
      </c>
    </row>
    <row r="3" spans="1:69">
      <c r="B3" s="108">
        <v>2006</v>
      </c>
      <c r="C3" s="108">
        <v>2007</v>
      </c>
      <c r="D3" s="108">
        <v>2008</v>
      </c>
      <c r="E3" s="108">
        <v>2009</v>
      </c>
      <c r="F3" s="108">
        <v>2010</v>
      </c>
      <c r="G3" s="108">
        <v>2011</v>
      </c>
      <c r="H3" s="108">
        <v>2012</v>
      </c>
      <c r="I3" s="108">
        <v>2013</v>
      </c>
      <c r="J3" s="108">
        <v>2014</v>
      </c>
      <c r="K3" s="108">
        <v>2015</v>
      </c>
      <c r="L3" s="108">
        <v>2016</v>
      </c>
      <c r="M3" s="108">
        <v>2017</v>
      </c>
      <c r="N3" s="108">
        <v>2018</v>
      </c>
      <c r="O3" s="108">
        <v>2019</v>
      </c>
      <c r="P3" s="191">
        <v>2020</v>
      </c>
      <c r="Q3" s="108">
        <v>2021</v>
      </c>
      <c r="R3" s="108">
        <v>2022</v>
      </c>
      <c r="S3" s="108">
        <v>2023</v>
      </c>
      <c r="T3" s="108">
        <v>2024</v>
      </c>
      <c r="U3" s="108">
        <v>2025</v>
      </c>
      <c r="V3" s="108">
        <v>2026</v>
      </c>
      <c r="W3" s="108">
        <v>2027</v>
      </c>
      <c r="X3" s="108">
        <v>2028</v>
      </c>
      <c r="Y3" s="108">
        <v>2029</v>
      </c>
      <c r="Z3" s="108">
        <v>2030</v>
      </c>
      <c r="AA3" s="108">
        <v>2031</v>
      </c>
      <c r="AB3" s="108">
        <v>2032</v>
      </c>
      <c r="AC3" s="108">
        <v>2033</v>
      </c>
      <c r="AD3" s="108">
        <v>2034</v>
      </c>
      <c r="AE3" s="108">
        <v>2035</v>
      </c>
      <c r="AF3" s="108">
        <v>2036</v>
      </c>
      <c r="AG3" s="108">
        <v>2037</v>
      </c>
      <c r="AH3" s="108">
        <v>2038</v>
      </c>
      <c r="AI3" s="108">
        <v>2039</v>
      </c>
      <c r="AJ3" s="108">
        <v>2040</v>
      </c>
      <c r="AK3" s="108">
        <v>2041</v>
      </c>
      <c r="AL3" s="108">
        <v>2042</v>
      </c>
      <c r="AM3" s="108">
        <v>2043</v>
      </c>
      <c r="AN3" s="108">
        <v>2044</v>
      </c>
      <c r="AO3" s="108">
        <v>2045</v>
      </c>
      <c r="AP3" s="108">
        <v>2046</v>
      </c>
      <c r="AQ3" s="108">
        <v>2047</v>
      </c>
      <c r="AR3" s="108">
        <v>2048</v>
      </c>
      <c r="AS3" s="108">
        <v>2049</v>
      </c>
      <c r="AT3" s="108">
        <v>2050</v>
      </c>
      <c r="AU3" s="108">
        <v>2051</v>
      </c>
      <c r="AV3" s="108">
        <v>2052</v>
      </c>
      <c r="AW3" s="108">
        <v>2053</v>
      </c>
      <c r="AX3" s="108">
        <v>2054</v>
      </c>
      <c r="AY3" s="108">
        <v>2055</v>
      </c>
      <c r="AZ3" s="108">
        <v>2056</v>
      </c>
      <c r="BA3" s="108">
        <v>2057</v>
      </c>
      <c r="BB3" s="108">
        <v>2058</v>
      </c>
      <c r="BC3" s="108">
        <v>2059</v>
      </c>
      <c r="BD3" s="108">
        <v>2060</v>
      </c>
      <c r="BE3" s="108">
        <v>2061</v>
      </c>
      <c r="BF3" s="108">
        <v>2062</v>
      </c>
      <c r="BG3" s="108">
        <v>2063</v>
      </c>
      <c r="BH3" s="108">
        <v>2064</v>
      </c>
      <c r="BI3" s="108">
        <v>2065</v>
      </c>
      <c r="BJ3" s="108">
        <v>2066</v>
      </c>
      <c r="BK3" s="108">
        <v>2067</v>
      </c>
      <c r="BL3" s="108">
        <v>2068</v>
      </c>
      <c r="BM3" s="191">
        <v>2069</v>
      </c>
      <c r="BN3" s="191">
        <v>2070</v>
      </c>
      <c r="BO3" s="191">
        <v>2071</v>
      </c>
      <c r="BP3" s="191">
        <v>2072</v>
      </c>
      <c r="BQ3" s="191">
        <v>2073</v>
      </c>
    </row>
    <row r="4" spans="1:69">
      <c r="A4" s="108" t="s">
        <v>68</v>
      </c>
      <c r="B4" s="112">
        <f t="shared" ref="B4:BM4" si="0">SUM(B$17:B$107,B$110:B$200)/1000000</f>
        <v>4.1864799999999978</v>
      </c>
      <c r="C4" s="112">
        <f t="shared" si="0"/>
        <v>4.2258099999999965</v>
      </c>
      <c r="D4" s="112">
        <f t="shared" si="0"/>
        <v>4.2619699999999998</v>
      </c>
      <c r="E4" s="112">
        <f t="shared" si="0"/>
        <v>4.3049299999999997</v>
      </c>
      <c r="F4" s="112">
        <f t="shared" si="0"/>
        <v>4.3531600000000008</v>
      </c>
      <c r="G4" s="112">
        <f t="shared" si="0"/>
        <v>4.3864799999999997</v>
      </c>
      <c r="H4" s="112">
        <f t="shared" si="0"/>
        <v>4.4105299999999978</v>
      </c>
      <c r="I4" s="112">
        <f t="shared" si="0"/>
        <v>4.4445400000000026</v>
      </c>
      <c r="J4" s="112">
        <f t="shared" si="0"/>
        <v>4.519029999999999</v>
      </c>
      <c r="K4" s="112">
        <f t="shared" si="0"/>
        <v>4.612000000000001</v>
      </c>
      <c r="L4" s="112">
        <f t="shared" si="0"/>
        <v>4.7166600000000019</v>
      </c>
      <c r="M4" s="112">
        <f t="shared" si="0"/>
        <v>4.8160600000000011</v>
      </c>
      <c r="N4" s="112">
        <f t="shared" si="0"/>
        <v>4.9029500000000015</v>
      </c>
      <c r="O4" s="112">
        <f t="shared" si="0"/>
        <v>4.9814499999999979</v>
      </c>
      <c r="P4" s="197">
        <f t="shared" si="0"/>
        <v>5.0958000000000006</v>
      </c>
      <c r="Q4" s="112">
        <f t="shared" si="0"/>
        <v>5.1295999999999999</v>
      </c>
      <c r="R4" s="112">
        <f t="shared" si="0"/>
        <v>5.1730999999999998</v>
      </c>
      <c r="S4" s="112">
        <f t="shared" si="0"/>
        <v>5.2261000000000015</v>
      </c>
      <c r="T4" s="112">
        <f t="shared" si="0"/>
        <v>5.2871000000000041</v>
      </c>
      <c r="U4" s="112">
        <f t="shared" si="0"/>
        <v>5.3560999999999988</v>
      </c>
      <c r="V4" s="112">
        <f t="shared" si="0"/>
        <v>5.4197200000000008</v>
      </c>
      <c r="W4" s="112">
        <f t="shared" si="0"/>
        <v>5.4807999999999995</v>
      </c>
      <c r="X4" s="112">
        <f t="shared" si="0"/>
        <v>5.539089999999999</v>
      </c>
      <c r="Y4" s="112">
        <f t="shared" si="0"/>
        <v>5.5945100000000032</v>
      </c>
      <c r="Z4" s="112">
        <f t="shared" si="0"/>
        <v>5.6471200000000019</v>
      </c>
      <c r="AA4" s="112">
        <f t="shared" si="0"/>
        <v>5.69693</v>
      </c>
      <c r="AB4" s="112">
        <f t="shared" si="0"/>
        <v>5.7437300000000011</v>
      </c>
      <c r="AC4" s="112">
        <f t="shared" si="0"/>
        <v>5.7876000000000047</v>
      </c>
      <c r="AD4" s="112">
        <f t="shared" si="0"/>
        <v>5.828720000000005</v>
      </c>
      <c r="AE4" s="112">
        <f t="shared" si="0"/>
        <v>5.8690200000000043</v>
      </c>
      <c r="AF4" s="112">
        <f t="shared" si="0"/>
        <v>5.9083800000000046</v>
      </c>
      <c r="AG4" s="112">
        <f t="shared" si="0"/>
        <v>5.9470500000000044</v>
      </c>
      <c r="AH4" s="112">
        <f t="shared" si="0"/>
        <v>5.9849500000000049</v>
      </c>
      <c r="AI4" s="112">
        <f t="shared" si="0"/>
        <v>6.0222200000000043</v>
      </c>
      <c r="AJ4" s="112">
        <f t="shared" si="0"/>
        <v>6.0588800000000047</v>
      </c>
      <c r="AK4" s="112">
        <f t="shared" si="0"/>
        <v>6.094790000000005</v>
      </c>
      <c r="AL4" s="112">
        <f t="shared" si="0"/>
        <v>6.1299800000000051</v>
      </c>
      <c r="AM4" s="112">
        <f t="shared" si="0"/>
        <v>6.1644400000000044</v>
      </c>
      <c r="AN4" s="112">
        <f t="shared" si="0"/>
        <v>6.1981300000000044</v>
      </c>
      <c r="AO4" s="112">
        <f t="shared" si="0"/>
        <v>6.2310200000000044</v>
      </c>
      <c r="AP4" s="112">
        <f t="shared" si="0"/>
        <v>6.2631300000000047</v>
      </c>
      <c r="AQ4" s="112">
        <f t="shared" si="0"/>
        <v>6.294230000000006</v>
      </c>
      <c r="AR4" s="112">
        <f t="shared" si="0"/>
        <v>6.3243600000000058</v>
      </c>
      <c r="AS4" s="112">
        <f t="shared" si="0"/>
        <v>6.3536900000000056</v>
      </c>
      <c r="AT4" s="112">
        <f t="shared" si="0"/>
        <v>6.3820500000000058</v>
      </c>
      <c r="AU4" s="112">
        <f t="shared" si="0"/>
        <v>6.4094800000000056</v>
      </c>
      <c r="AV4" s="112">
        <f t="shared" si="0"/>
        <v>6.4361200000000052</v>
      </c>
      <c r="AW4" s="112">
        <f t="shared" si="0"/>
        <v>6.4620400000000053</v>
      </c>
      <c r="AX4" s="112">
        <f t="shared" si="0"/>
        <v>6.4870700000000054</v>
      </c>
      <c r="AY4" s="112">
        <f t="shared" si="0"/>
        <v>6.5116600000000053</v>
      </c>
      <c r="AZ4" s="112">
        <f t="shared" si="0"/>
        <v>6.5355300000000058</v>
      </c>
      <c r="BA4" s="112">
        <f t="shared" si="0"/>
        <v>6.5591400000000055</v>
      </c>
      <c r="BB4" s="112">
        <f t="shared" si="0"/>
        <v>6.5822500000000055</v>
      </c>
      <c r="BC4" s="112">
        <f t="shared" si="0"/>
        <v>6.6052500000000052</v>
      </c>
      <c r="BD4" s="112">
        <f t="shared" si="0"/>
        <v>6.6278900000000052</v>
      </c>
      <c r="BE4" s="112">
        <f t="shared" si="0"/>
        <v>6.6505600000000058</v>
      </c>
      <c r="BF4" s="112">
        <f t="shared" si="0"/>
        <v>6.673100000000006</v>
      </c>
      <c r="BG4" s="112">
        <f t="shared" si="0"/>
        <v>6.6954300000000053</v>
      </c>
      <c r="BH4" s="112">
        <f t="shared" si="0"/>
        <v>6.7179000000000055</v>
      </c>
      <c r="BI4" s="112">
        <f t="shared" si="0"/>
        <v>6.740200000000006</v>
      </c>
      <c r="BJ4" s="112">
        <f t="shared" si="0"/>
        <v>6.7625700000000073</v>
      </c>
      <c r="BK4" s="112">
        <f t="shared" si="0"/>
        <v>6.7848800000000073</v>
      </c>
      <c r="BL4" s="112">
        <f t="shared" si="0"/>
        <v>6.8071100000000078</v>
      </c>
      <c r="BM4" s="197">
        <f t="shared" si="0"/>
        <v>6.8291400000000078</v>
      </c>
      <c r="BN4" s="197">
        <f t="shared" ref="BN4:BQ4" si="1">SUM(BN$17:BN$107,BN$110:BN$200)/1000000</f>
        <v>6.8509600000000077</v>
      </c>
      <c r="BO4" s="197">
        <f t="shared" si="1"/>
        <v>6.8724800000000075</v>
      </c>
      <c r="BP4" s="197">
        <f t="shared" si="1"/>
        <v>6.8936800000000078</v>
      </c>
      <c r="BQ4" s="197">
        <f t="shared" si="1"/>
        <v>6.9142600000000076</v>
      </c>
    </row>
    <row r="5" spans="1:69">
      <c r="A5" s="106" t="s">
        <v>69</v>
      </c>
      <c r="B5" s="110"/>
      <c r="C5" s="110">
        <f t="shared" ref="C5:BL5" si="2">C$4/B$4-1</f>
        <v>9.3945271445221579E-3</v>
      </c>
      <c r="D5" s="110">
        <f t="shared" si="2"/>
        <v>8.5569393796700588E-3</v>
      </c>
      <c r="E5" s="110">
        <f t="shared" si="2"/>
        <v>1.0079845705155188E-2</v>
      </c>
      <c r="F5" s="110">
        <f t="shared" si="2"/>
        <v>1.1203434202182505E-2</v>
      </c>
      <c r="G5" s="110">
        <f t="shared" si="2"/>
        <v>7.6542098153982163E-3</v>
      </c>
      <c r="H5" s="110">
        <f t="shared" si="2"/>
        <v>5.4827561051224993E-3</v>
      </c>
      <c r="I5" s="110">
        <f t="shared" si="2"/>
        <v>7.7110914107838546E-3</v>
      </c>
      <c r="J5" s="110">
        <f t="shared" si="2"/>
        <v>1.6759889662371519E-2</v>
      </c>
      <c r="K5" s="110">
        <f t="shared" si="2"/>
        <v>2.0572999072810294E-2</v>
      </c>
      <c r="L5" s="110">
        <f t="shared" si="2"/>
        <v>2.2692974848222303E-2</v>
      </c>
      <c r="M5" s="110">
        <f t="shared" si="2"/>
        <v>2.1074234733900576E-2</v>
      </c>
      <c r="N5" s="110">
        <f t="shared" si="2"/>
        <v>1.8041718749351121E-2</v>
      </c>
      <c r="O5" s="110">
        <f t="shared" si="2"/>
        <v>1.6010769026809646E-2</v>
      </c>
      <c r="P5" s="193">
        <f t="shared" si="2"/>
        <v>2.2955163657168542E-2</v>
      </c>
      <c r="Q5" s="110">
        <f t="shared" si="2"/>
        <v>6.6329133796458883E-3</v>
      </c>
      <c r="R5" s="110">
        <f t="shared" si="2"/>
        <v>8.4801933873985824E-3</v>
      </c>
      <c r="S5" s="110">
        <f t="shared" si="2"/>
        <v>1.0245307455877928E-2</v>
      </c>
      <c r="T5" s="110">
        <f t="shared" si="2"/>
        <v>1.1672183846463513E-2</v>
      </c>
      <c r="U5" s="110">
        <f t="shared" si="2"/>
        <v>1.3050632671974149E-2</v>
      </c>
      <c r="V5" s="110">
        <f t="shared" si="2"/>
        <v>1.1878045592875752E-2</v>
      </c>
      <c r="W5" s="110">
        <f t="shared" si="2"/>
        <v>1.1269954905419155E-2</v>
      </c>
      <c r="X5" s="110">
        <f t="shared" si="2"/>
        <v>1.0635308714056269E-2</v>
      </c>
      <c r="Y5" s="110">
        <f t="shared" si="2"/>
        <v>1.0005253570533057E-2</v>
      </c>
      <c r="Z5" s="110">
        <f t="shared" si="2"/>
        <v>9.4038620004250895E-3</v>
      </c>
      <c r="AA5" s="110">
        <f t="shared" si="2"/>
        <v>8.8204252787258408E-3</v>
      </c>
      <c r="AB5" s="110">
        <f t="shared" si="2"/>
        <v>8.2149508594981935E-3</v>
      </c>
      <c r="AC5" s="110">
        <f t="shared" si="2"/>
        <v>7.6378938425036846E-3</v>
      </c>
      <c r="AD5" s="110">
        <f t="shared" si="2"/>
        <v>7.1048448406938469E-3</v>
      </c>
      <c r="AE5" s="110">
        <f t="shared" si="2"/>
        <v>6.9140394460531773E-3</v>
      </c>
      <c r="AF5" s="110">
        <f t="shared" si="2"/>
        <v>6.7064007278898607E-3</v>
      </c>
      <c r="AG5" s="110">
        <f t="shared" si="2"/>
        <v>6.544941252932146E-3</v>
      </c>
      <c r="AH5" s="110">
        <f t="shared" si="2"/>
        <v>6.3729075760252663E-3</v>
      </c>
      <c r="AI5" s="110">
        <f t="shared" si="2"/>
        <v>6.2272867776671514E-3</v>
      </c>
      <c r="AJ5" s="110">
        <f t="shared" si="2"/>
        <v>6.0874561208326128E-3</v>
      </c>
      <c r="AK5" s="110">
        <f t="shared" si="2"/>
        <v>5.9268379634520585E-3</v>
      </c>
      <c r="AL5" s="110">
        <f t="shared" si="2"/>
        <v>5.7737838383273843E-3</v>
      </c>
      <c r="AM5" s="110">
        <f t="shared" si="2"/>
        <v>5.6215517832030049E-3</v>
      </c>
      <c r="AN5" s="110">
        <f t="shared" si="2"/>
        <v>5.4652166295721116E-3</v>
      </c>
      <c r="AO5" s="110">
        <f t="shared" si="2"/>
        <v>5.3064392002104555E-3</v>
      </c>
      <c r="AP5" s="110">
        <f t="shared" si="2"/>
        <v>5.1532493877406438E-3</v>
      </c>
      <c r="AQ5" s="110">
        <f t="shared" si="2"/>
        <v>4.9655683340439349E-3</v>
      </c>
      <c r="AR5" s="110">
        <f t="shared" si="2"/>
        <v>4.786923896966E-3</v>
      </c>
      <c r="AS5" s="110">
        <f t="shared" si="2"/>
        <v>4.6376234116969339E-3</v>
      </c>
      <c r="AT5" s="110">
        <f t="shared" si="2"/>
        <v>4.4635479540235945E-3</v>
      </c>
      <c r="AU5" s="110">
        <f t="shared" si="2"/>
        <v>4.2979920245063141E-3</v>
      </c>
      <c r="AV5" s="110">
        <f t="shared" si="2"/>
        <v>4.1563434163145452E-3</v>
      </c>
      <c r="AW5" s="110">
        <f t="shared" si="2"/>
        <v>4.0272710887927499E-3</v>
      </c>
      <c r="AX5" s="110">
        <f t="shared" si="2"/>
        <v>3.8733898273610734E-3</v>
      </c>
      <c r="AY5" s="110">
        <f t="shared" si="2"/>
        <v>3.7906173357153961E-3</v>
      </c>
      <c r="AZ5" s="110">
        <f t="shared" si="2"/>
        <v>3.6657319331783178E-3</v>
      </c>
      <c r="BA5" s="110">
        <f t="shared" si="2"/>
        <v>3.6125608787656027E-3</v>
      </c>
      <c r="BB5" s="110">
        <f t="shared" si="2"/>
        <v>3.5233277533335272E-3</v>
      </c>
      <c r="BC5" s="110">
        <f t="shared" si="2"/>
        <v>3.4942458885638406E-3</v>
      </c>
      <c r="BD5" s="110">
        <f t="shared" si="2"/>
        <v>3.4275765489573118E-3</v>
      </c>
      <c r="BE5" s="110">
        <f t="shared" si="2"/>
        <v>3.4203947259234813E-3</v>
      </c>
      <c r="BF5" s="110">
        <f t="shared" si="2"/>
        <v>3.389188278881905E-3</v>
      </c>
      <c r="BG5" s="110">
        <f t="shared" si="2"/>
        <v>3.3462708486309278E-3</v>
      </c>
      <c r="BH5" s="110">
        <f t="shared" si="2"/>
        <v>3.35602044976957E-3</v>
      </c>
      <c r="BI5" s="110">
        <f t="shared" si="2"/>
        <v>3.3194897214903207E-3</v>
      </c>
      <c r="BJ5" s="110">
        <f t="shared" si="2"/>
        <v>3.3188926144627207E-3</v>
      </c>
      <c r="BK5" s="110">
        <f t="shared" si="2"/>
        <v>3.2990416365374919E-3</v>
      </c>
      <c r="BL5" s="110">
        <f t="shared" si="2"/>
        <v>3.276402825105329E-3</v>
      </c>
      <c r="BM5" s="193">
        <f t="shared" ref="BM5" si="3">BM$4/BL$4-1</f>
        <v>3.2363220221209854E-3</v>
      </c>
      <c r="BN5" s="193">
        <f t="shared" ref="BN5" si="4">BN$4/BM$4-1</f>
        <v>3.1951314513980478E-3</v>
      </c>
      <c r="BO5" s="193">
        <f t="shared" ref="BO5" si="5">BO$4/BN$4-1</f>
        <v>3.1411656176651981E-3</v>
      </c>
      <c r="BP5" s="193">
        <f t="shared" ref="BP5" si="6">BP$4/BO$4-1</f>
        <v>3.0847670709845953E-3</v>
      </c>
      <c r="BQ5" s="193">
        <f t="shared" ref="BQ5" si="7">BQ$4/BP$4-1</f>
        <v>2.9853430968656003E-3</v>
      </c>
    </row>
    <row r="6" spans="1:69">
      <c r="A6" s="108" t="s">
        <v>1043</v>
      </c>
      <c r="B6" s="112">
        <f t="shared" ref="B6:AG6" si="8">SUM(B$32:B$107,B$125:B$200)/1000000</f>
        <v>3.2471799999999966</v>
      </c>
      <c r="C6" s="112">
        <f t="shared" si="8"/>
        <v>3.2853699999999986</v>
      </c>
      <c r="D6" s="112">
        <f t="shared" si="8"/>
        <v>3.3158300000000005</v>
      </c>
      <c r="E6" s="112">
        <f t="shared" si="8"/>
        <v>3.3498999999999994</v>
      </c>
      <c r="F6" s="112">
        <f t="shared" si="8"/>
        <v>3.3914499999999999</v>
      </c>
      <c r="G6" s="112">
        <f t="shared" si="8"/>
        <v>3.4221600000000012</v>
      </c>
      <c r="H6" s="112">
        <f t="shared" si="8"/>
        <v>3.4455800000000019</v>
      </c>
      <c r="I6" s="112">
        <f t="shared" si="8"/>
        <v>3.4771200000000007</v>
      </c>
      <c r="J6" s="112">
        <f t="shared" si="8"/>
        <v>3.5426199999999994</v>
      </c>
      <c r="K6" s="112">
        <f t="shared" si="8"/>
        <v>3.6283799999999995</v>
      </c>
      <c r="L6" s="112">
        <f t="shared" si="8"/>
        <v>3.7317200000000001</v>
      </c>
      <c r="M6" s="112">
        <f t="shared" si="8"/>
        <v>3.8184199999999997</v>
      </c>
      <c r="N6" s="112">
        <f t="shared" si="8"/>
        <v>3.9021200000000009</v>
      </c>
      <c r="O6" s="112">
        <f t="shared" si="8"/>
        <v>3.97031</v>
      </c>
      <c r="P6" s="197">
        <f t="shared" si="8"/>
        <v>4.0742199999999995</v>
      </c>
      <c r="Q6" s="112">
        <f t="shared" si="8"/>
        <v>4.113509999999998</v>
      </c>
      <c r="R6" s="112">
        <f t="shared" si="8"/>
        <v>4.1584199999999978</v>
      </c>
      <c r="S6" s="112">
        <f t="shared" si="8"/>
        <v>4.2111499999999999</v>
      </c>
      <c r="T6" s="112">
        <f t="shared" si="8"/>
        <v>4.2705500000000001</v>
      </c>
      <c r="U6" s="112">
        <f t="shared" si="8"/>
        <v>4.3366700000000007</v>
      </c>
      <c r="V6" s="112">
        <f t="shared" si="8"/>
        <v>4.402999469356315</v>
      </c>
      <c r="W6" s="112">
        <f t="shared" si="8"/>
        <v>4.4667865050430899</v>
      </c>
      <c r="X6" s="112">
        <f t="shared" si="8"/>
        <v>4.5277211070603256</v>
      </c>
      <c r="Y6" s="112">
        <f t="shared" si="8"/>
        <v>4.5847732754080246</v>
      </c>
      <c r="Z6" s="112">
        <f t="shared" si="8"/>
        <v>4.639263010086184</v>
      </c>
      <c r="AA6" s="112">
        <f t="shared" si="8"/>
        <v>4.6906703110947978</v>
      </c>
      <c r="AB6" s="112">
        <f t="shared" si="8"/>
        <v>4.7394051784338771</v>
      </c>
      <c r="AC6" s="112">
        <f t="shared" si="8"/>
        <v>4.7840576121034202</v>
      </c>
      <c r="AD6" s="112">
        <f t="shared" si="8"/>
        <v>4.8257276121034201</v>
      </c>
      <c r="AE6" s="112">
        <f t="shared" si="8"/>
        <v>4.8659376121034201</v>
      </c>
      <c r="AF6" s="112">
        <f t="shared" si="8"/>
        <v>4.9042176121034204</v>
      </c>
      <c r="AG6" s="112">
        <f t="shared" si="8"/>
        <v>4.9414776121034212</v>
      </c>
      <c r="AH6" s="112">
        <f t="shared" ref="AH6:BQ6" si="9">SUM(AH$32:AH$107,AH$125:AH$200)/1000000</f>
        <v>4.9775776121034214</v>
      </c>
      <c r="AI6" s="112">
        <f t="shared" si="9"/>
        <v>5.0124776121034209</v>
      </c>
      <c r="AJ6" s="112">
        <f t="shared" si="9"/>
        <v>5.0466976121034213</v>
      </c>
      <c r="AK6" s="112">
        <f t="shared" si="9"/>
        <v>5.0800576121034213</v>
      </c>
      <c r="AL6" s="112">
        <f t="shared" si="9"/>
        <v>5.1125776121034212</v>
      </c>
      <c r="AM6" s="112">
        <f t="shared" si="9"/>
        <v>5.1442376121034217</v>
      </c>
      <c r="AN6" s="112">
        <f t="shared" si="9"/>
        <v>5.1749976121034216</v>
      </c>
      <c r="AO6" s="112">
        <f t="shared" si="9"/>
        <v>5.2049876121034213</v>
      </c>
      <c r="AP6" s="112">
        <f t="shared" si="9"/>
        <v>5.2342476121034212</v>
      </c>
      <c r="AQ6" s="112">
        <f t="shared" si="9"/>
        <v>5.2625876121034212</v>
      </c>
      <c r="AR6" s="112">
        <f t="shared" si="9"/>
        <v>5.2902276121034211</v>
      </c>
      <c r="AS6" s="112">
        <f t="shared" si="9"/>
        <v>5.3173476121034211</v>
      </c>
      <c r="AT6" s="112">
        <f t="shared" si="9"/>
        <v>5.3438476121034215</v>
      </c>
      <c r="AU6" s="112">
        <f t="shared" si="9"/>
        <v>5.3698776121034211</v>
      </c>
      <c r="AV6" s="112">
        <f t="shared" si="9"/>
        <v>5.3955476121034209</v>
      </c>
      <c r="AW6" s="112">
        <f t="shared" si="9"/>
        <v>5.4209976121034229</v>
      </c>
      <c r="AX6" s="112">
        <f t="shared" si="9"/>
        <v>5.4461076121034235</v>
      </c>
      <c r="AY6" s="112">
        <f t="shared" si="9"/>
        <v>5.4711976121034231</v>
      </c>
      <c r="AZ6" s="112">
        <f t="shared" si="9"/>
        <v>5.4960376121034233</v>
      </c>
      <c r="BA6" s="112">
        <f t="shared" si="9"/>
        <v>5.5208976121034228</v>
      </c>
      <c r="BB6" s="112">
        <f t="shared" si="9"/>
        <v>5.5455176121034233</v>
      </c>
      <c r="BC6" s="112">
        <f t="shared" si="9"/>
        <v>5.5701676121034227</v>
      </c>
      <c r="BD6" s="112">
        <f t="shared" si="9"/>
        <v>5.594487612103423</v>
      </c>
      <c r="BE6" s="112">
        <f t="shared" si="9"/>
        <v>5.6187976121034229</v>
      </c>
      <c r="BF6" s="112">
        <f t="shared" si="9"/>
        <v>5.6428276121034235</v>
      </c>
      <c r="BG6" s="112">
        <f t="shared" si="9"/>
        <v>5.6664776121034235</v>
      </c>
      <c r="BH6" s="112">
        <f t="shared" si="9"/>
        <v>5.6899776121034229</v>
      </c>
      <c r="BI6" s="112">
        <f t="shared" si="9"/>
        <v>5.713037612103423</v>
      </c>
      <c r="BJ6" s="112">
        <f t="shared" si="9"/>
        <v>5.7358276121034235</v>
      </c>
      <c r="BK6" s="112">
        <f t="shared" si="9"/>
        <v>5.7581776121034229</v>
      </c>
      <c r="BL6" s="112">
        <f t="shared" si="9"/>
        <v>5.7801976121034233</v>
      </c>
      <c r="BM6" s="197">
        <f t="shared" si="9"/>
        <v>5.8016876121034233</v>
      </c>
      <c r="BN6" s="197">
        <f t="shared" si="9"/>
        <v>5.8226676121034231</v>
      </c>
      <c r="BO6" s="197">
        <f t="shared" si="9"/>
        <v>5.843127612103423</v>
      </c>
      <c r="BP6" s="197">
        <f t="shared" si="9"/>
        <v>5.8630376121034233</v>
      </c>
      <c r="BQ6" s="197">
        <f t="shared" si="9"/>
        <v>5.8822176121034229</v>
      </c>
    </row>
    <row r="7" spans="1:69">
      <c r="A7" s="108" t="s">
        <v>1021</v>
      </c>
      <c r="B7" s="112">
        <f>SUM(B$17:B$31,B$110:B$124)/1000000</f>
        <v>0.9392999999999998</v>
      </c>
      <c r="C7" s="112">
        <f t="shared" ref="C7:BN7" si="10">SUM(C$17:C$31,C$110:C$124)/1000000</f>
        <v>0.94044000000000016</v>
      </c>
      <c r="D7" s="112">
        <f t="shared" si="10"/>
        <v>0.94613999999999976</v>
      </c>
      <c r="E7" s="112">
        <f t="shared" si="10"/>
        <v>0.95503000000000082</v>
      </c>
      <c r="F7" s="112">
        <f t="shared" si="10"/>
        <v>0.96170999999999984</v>
      </c>
      <c r="G7" s="112">
        <f t="shared" si="10"/>
        <v>0.96431999999999995</v>
      </c>
      <c r="H7" s="112">
        <f t="shared" si="10"/>
        <v>0.96494999999999942</v>
      </c>
      <c r="I7" s="112">
        <f t="shared" si="10"/>
        <v>0.96742000000000028</v>
      </c>
      <c r="J7" s="112">
        <f t="shared" si="10"/>
        <v>0.97640999999999989</v>
      </c>
      <c r="K7" s="112">
        <f t="shared" si="10"/>
        <v>0.98362000000000016</v>
      </c>
      <c r="L7" s="112">
        <f t="shared" si="10"/>
        <v>0.98494000000000048</v>
      </c>
      <c r="M7" s="112">
        <f t="shared" si="10"/>
        <v>0.99763999999999986</v>
      </c>
      <c r="N7" s="112">
        <f t="shared" si="10"/>
        <v>1.0008299999999997</v>
      </c>
      <c r="O7" s="112">
        <f t="shared" si="10"/>
        <v>1.0111399999999995</v>
      </c>
      <c r="P7" s="197">
        <f t="shared" si="10"/>
        <v>1.0215800000000008</v>
      </c>
      <c r="Q7" s="112">
        <f t="shared" si="10"/>
        <v>1.0160899999999999</v>
      </c>
      <c r="R7" s="112">
        <f t="shared" si="10"/>
        <v>1.0146800000000002</v>
      </c>
      <c r="S7" s="112">
        <f t="shared" si="10"/>
        <v>1.0149500000000009</v>
      </c>
      <c r="T7" s="112">
        <f t="shared" si="10"/>
        <v>1.0165500000000003</v>
      </c>
      <c r="U7" s="112">
        <f t="shared" si="10"/>
        <v>1.0194300000000007</v>
      </c>
      <c r="V7" s="112">
        <f t="shared" si="10"/>
        <v>1.0167205306436855</v>
      </c>
      <c r="W7" s="112">
        <f t="shared" si="10"/>
        <v>1.0140134949569095</v>
      </c>
      <c r="X7" s="112">
        <f t="shared" si="10"/>
        <v>1.0113688929396731</v>
      </c>
      <c r="Y7" s="112">
        <f t="shared" si="10"/>
        <v>1.0097367245919759</v>
      </c>
      <c r="Z7" s="112">
        <f t="shared" si="10"/>
        <v>1.0078569899138183</v>
      </c>
      <c r="AA7" s="112">
        <f t="shared" si="10"/>
        <v>1.0062596889052002</v>
      </c>
      <c r="AB7" s="112">
        <f t="shared" si="10"/>
        <v>1.0043248215661214</v>
      </c>
      <c r="AC7" s="112">
        <f t="shared" si="10"/>
        <v>1.0035423878965821</v>
      </c>
      <c r="AD7" s="112">
        <f t="shared" si="10"/>
        <v>1.0029923878965821</v>
      </c>
      <c r="AE7" s="112">
        <f t="shared" si="10"/>
        <v>1.003082387896582</v>
      </c>
      <c r="AF7" s="112">
        <f t="shared" si="10"/>
        <v>1.004162387896582</v>
      </c>
      <c r="AG7" s="112">
        <f t="shared" si="10"/>
        <v>1.0055723878965819</v>
      </c>
      <c r="AH7" s="112">
        <f t="shared" si="10"/>
        <v>1.0073723878965819</v>
      </c>
      <c r="AI7" s="112">
        <f t="shared" si="10"/>
        <v>1.0097423878965819</v>
      </c>
      <c r="AJ7" s="112">
        <f t="shared" si="10"/>
        <v>1.0121823878965819</v>
      </c>
      <c r="AK7" s="112">
        <f t="shared" si="10"/>
        <v>1.0147323878965819</v>
      </c>
      <c r="AL7" s="112">
        <f t="shared" si="10"/>
        <v>1.0174023878965819</v>
      </c>
      <c r="AM7" s="112">
        <f t="shared" si="10"/>
        <v>1.0202023878965818</v>
      </c>
      <c r="AN7" s="112">
        <f t="shared" si="10"/>
        <v>1.0231323878965819</v>
      </c>
      <c r="AO7" s="112">
        <f t="shared" si="10"/>
        <v>1.0260323878965818</v>
      </c>
      <c r="AP7" s="112">
        <f t="shared" si="10"/>
        <v>1.0288823878965818</v>
      </c>
      <c r="AQ7" s="112">
        <f t="shared" si="10"/>
        <v>1.0316423878965819</v>
      </c>
      <c r="AR7" s="112">
        <f t="shared" si="10"/>
        <v>1.0341323878965818</v>
      </c>
      <c r="AS7" s="112">
        <f t="shared" si="10"/>
        <v>1.0363423878965818</v>
      </c>
      <c r="AT7" s="112">
        <f t="shared" si="10"/>
        <v>1.0382023878965818</v>
      </c>
      <c r="AU7" s="112">
        <f t="shared" si="10"/>
        <v>1.0396023878965819</v>
      </c>
      <c r="AV7" s="112">
        <f t="shared" si="10"/>
        <v>1.0405723878965818</v>
      </c>
      <c r="AW7" s="112">
        <f t="shared" si="10"/>
        <v>1.041042387896582</v>
      </c>
      <c r="AX7" s="112">
        <f t="shared" si="10"/>
        <v>1.0409623878965819</v>
      </c>
      <c r="AY7" s="112">
        <f t="shared" si="10"/>
        <v>1.040462387896582</v>
      </c>
      <c r="AZ7" s="112">
        <f t="shared" si="10"/>
        <v>1.0394923878965818</v>
      </c>
      <c r="BA7" s="112">
        <f t="shared" si="10"/>
        <v>1.0382423878965819</v>
      </c>
      <c r="BB7" s="112">
        <f t="shared" si="10"/>
        <v>1.036732387896582</v>
      </c>
      <c r="BC7" s="112">
        <f t="shared" si="10"/>
        <v>1.0350823878965818</v>
      </c>
      <c r="BD7" s="112">
        <f t="shared" si="10"/>
        <v>1.0334023878965819</v>
      </c>
      <c r="BE7" s="112">
        <f t="shared" si="10"/>
        <v>1.0317623878965818</v>
      </c>
      <c r="BF7" s="112">
        <f t="shared" si="10"/>
        <v>1.0302723878965818</v>
      </c>
      <c r="BG7" s="112">
        <f t="shared" si="10"/>
        <v>1.0289523878965818</v>
      </c>
      <c r="BH7" s="112">
        <f t="shared" si="10"/>
        <v>1.027922387896582</v>
      </c>
      <c r="BI7" s="112">
        <f t="shared" si="10"/>
        <v>1.0271623878965819</v>
      </c>
      <c r="BJ7" s="112">
        <f t="shared" si="10"/>
        <v>1.026742387896582</v>
      </c>
      <c r="BK7" s="112">
        <f t="shared" si="10"/>
        <v>1.026702387896582</v>
      </c>
      <c r="BL7" s="112">
        <f t="shared" si="10"/>
        <v>1.026912387896582</v>
      </c>
      <c r="BM7" s="197">
        <f t="shared" si="10"/>
        <v>1.027452387896582</v>
      </c>
      <c r="BN7" s="197">
        <f t="shared" si="10"/>
        <v>1.0282923878965819</v>
      </c>
      <c r="BO7" s="197">
        <f t="shared" ref="BO7:BQ7" si="11">SUM(BO$17:BO$31,BO$110:BO$124)/1000000</f>
        <v>1.029352387896582</v>
      </c>
      <c r="BP7" s="197">
        <f t="shared" si="11"/>
        <v>1.0306423878965818</v>
      </c>
      <c r="BQ7" s="197">
        <f t="shared" si="11"/>
        <v>1.0320423878965819</v>
      </c>
    </row>
    <row r="8" spans="1:69" s="124" customFormat="1">
      <c r="A8" s="108"/>
      <c r="B8" s="198"/>
      <c r="C8" s="198"/>
      <c r="D8" s="198"/>
      <c r="E8" s="198"/>
      <c r="F8" s="198"/>
      <c r="G8" s="198"/>
      <c r="H8" s="198"/>
      <c r="I8" s="198"/>
      <c r="J8" s="198"/>
      <c r="K8" s="198"/>
      <c r="L8" s="198"/>
      <c r="M8" s="198"/>
      <c r="N8" s="198"/>
      <c r="O8" s="198"/>
      <c r="P8" s="198"/>
      <c r="Q8" s="198"/>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97"/>
      <c r="BN8" s="197"/>
      <c r="BO8" s="197"/>
      <c r="BP8" s="197"/>
      <c r="BQ8" s="197"/>
    </row>
    <row r="9" spans="1:69">
      <c r="A9" s="108" t="s">
        <v>1022</v>
      </c>
      <c r="B9" s="198"/>
      <c r="C9" s="198"/>
      <c r="D9" s="198"/>
      <c r="E9" s="198"/>
      <c r="F9" s="198"/>
      <c r="G9" s="198"/>
      <c r="H9" s="198"/>
      <c r="I9" s="198"/>
      <c r="J9" s="198"/>
      <c r="K9" s="198"/>
      <c r="L9" s="198"/>
      <c r="M9" s="198"/>
      <c r="N9" s="198"/>
      <c r="O9" s="198"/>
      <c r="P9" s="198"/>
      <c r="Q9" s="162">
        <f>'Economic Forecasts'!S$17</f>
        <v>8.1</v>
      </c>
      <c r="R9" s="128">
        <f>'Economic Forecasts'!T$17</f>
        <v>17.5</v>
      </c>
      <c r="S9" s="128">
        <f>'Economic Forecasts'!U$17</f>
        <v>27</v>
      </c>
      <c r="T9" s="128">
        <f>'Economic Forecasts'!V$17</f>
        <v>35</v>
      </c>
      <c r="U9" s="162">
        <f>'Economic Forecasts'!W$17</f>
        <v>43</v>
      </c>
      <c r="V9" s="116">
        <f>MAX(U$9-2,25)</f>
        <v>41</v>
      </c>
      <c r="W9" s="154">
        <f t="shared" ref="W9:BL9" si="12">MAX(V$9-2,25)</f>
        <v>39</v>
      </c>
      <c r="X9" s="154">
        <f t="shared" si="12"/>
        <v>37</v>
      </c>
      <c r="Y9" s="154">
        <f t="shared" si="12"/>
        <v>35</v>
      </c>
      <c r="Z9" s="154">
        <f t="shared" si="12"/>
        <v>33</v>
      </c>
      <c r="AA9" s="154">
        <f t="shared" si="12"/>
        <v>31</v>
      </c>
      <c r="AB9" s="154">
        <f t="shared" si="12"/>
        <v>29</v>
      </c>
      <c r="AC9" s="154">
        <f t="shared" si="12"/>
        <v>27</v>
      </c>
      <c r="AD9" s="154">
        <f t="shared" si="12"/>
        <v>25</v>
      </c>
      <c r="AE9" s="154">
        <f t="shared" si="12"/>
        <v>25</v>
      </c>
      <c r="AF9" s="154">
        <f t="shared" si="12"/>
        <v>25</v>
      </c>
      <c r="AG9" s="154">
        <f t="shared" si="12"/>
        <v>25</v>
      </c>
      <c r="AH9" s="154">
        <f t="shared" si="12"/>
        <v>25</v>
      </c>
      <c r="AI9" s="154">
        <f t="shared" si="12"/>
        <v>25</v>
      </c>
      <c r="AJ9" s="154">
        <f t="shared" si="12"/>
        <v>25</v>
      </c>
      <c r="AK9" s="154">
        <f t="shared" si="12"/>
        <v>25</v>
      </c>
      <c r="AL9" s="154">
        <f t="shared" si="12"/>
        <v>25</v>
      </c>
      <c r="AM9" s="154">
        <f t="shared" si="12"/>
        <v>25</v>
      </c>
      <c r="AN9" s="154">
        <f t="shared" si="12"/>
        <v>25</v>
      </c>
      <c r="AO9" s="154">
        <f t="shared" si="12"/>
        <v>25</v>
      </c>
      <c r="AP9" s="154">
        <f t="shared" si="12"/>
        <v>25</v>
      </c>
      <c r="AQ9" s="154">
        <f t="shared" si="12"/>
        <v>25</v>
      </c>
      <c r="AR9" s="154">
        <f t="shared" si="12"/>
        <v>25</v>
      </c>
      <c r="AS9" s="154">
        <f t="shared" si="12"/>
        <v>25</v>
      </c>
      <c r="AT9" s="154">
        <f t="shared" si="12"/>
        <v>25</v>
      </c>
      <c r="AU9" s="154">
        <f t="shared" si="12"/>
        <v>25</v>
      </c>
      <c r="AV9" s="154">
        <f t="shared" si="12"/>
        <v>25</v>
      </c>
      <c r="AW9" s="154">
        <f t="shared" si="12"/>
        <v>25</v>
      </c>
      <c r="AX9" s="154">
        <f t="shared" si="12"/>
        <v>25</v>
      </c>
      <c r="AY9" s="154">
        <f t="shared" si="12"/>
        <v>25</v>
      </c>
      <c r="AZ9" s="154">
        <f t="shared" si="12"/>
        <v>25</v>
      </c>
      <c r="BA9" s="154">
        <f t="shared" si="12"/>
        <v>25</v>
      </c>
      <c r="BB9" s="154">
        <f t="shared" si="12"/>
        <v>25</v>
      </c>
      <c r="BC9" s="154">
        <f t="shared" si="12"/>
        <v>25</v>
      </c>
      <c r="BD9" s="154">
        <f t="shared" si="12"/>
        <v>25</v>
      </c>
      <c r="BE9" s="154">
        <f t="shared" si="12"/>
        <v>25</v>
      </c>
      <c r="BF9" s="154">
        <f t="shared" si="12"/>
        <v>25</v>
      </c>
      <c r="BG9" s="154">
        <f t="shared" si="12"/>
        <v>25</v>
      </c>
      <c r="BH9" s="154">
        <f t="shared" si="12"/>
        <v>25</v>
      </c>
      <c r="BI9" s="154">
        <f t="shared" si="12"/>
        <v>25</v>
      </c>
      <c r="BJ9" s="154">
        <f t="shared" si="12"/>
        <v>25</v>
      </c>
      <c r="BK9" s="154">
        <f t="shared" si="12"/>
        <v>25</v>
      </c>
      <c r="BL9" s="154">
        <f t="shared" si="12"/>
        <v>25</v>
      </c>
      <c r="BM9" s="154">
        <f t="shared" ref="BM9:BQ9" si="13">MAX(BL$9-2,25)</f>
        <v>25</v>
      </c>
      <c r="BN9" s="154">
        <f t="shared" si="13"/>
        <v>25</v>
      </c>
      <c r="BO9" s="154">
        <f t="shared" si="13"/>
        <v>25</v>
      </c>
      <c r="BP9" s="154">
        <f t="shared" si="13"/>
        <v>25</v>
      </c>
      <c r="BQ9" s="154">
        <f t="shared" si="13"/>
        <v>25</v>
      </c>
    </row>
    <row r="10" spans="1:69">
      <c r="A10" s="108" t="s">
        <v>1042</v>
      </c>
      <c r="B10" s="110"/>
      <c r="C10" s="110"/>
      <c r="D10" s="110"/>
      <c r="E10" s="110"/>
      <c r="F10" s="110"/>
      <c r="G10" s="110"/>
      <c r="H10" s="110"/>
      <c r="I10" s="110"/>
      <c r="J10" s="110"/>
      <c r="K10" s="110"/>
      <c r="L10" s="110"/>
      <c r="M10" s="193"/>
      <c r="N10" s="193"/>
      <c r="O10" s="193"/>
      <c r="P10" s="193"/>
      <c r="Q10" s="116">
        <v>10</v>
      </c>
      <c r="R10" s="116">
        <v>20</v>
      </c>
      <c r="S10" s="154">
        <v>25</v>
      </c>
      <c r="T10" s="154">
        <v>25</v>
      </c>
      <c r="U10" s="154">
        <v>25</v>
      </c>
      <c r="V10" s="116">
        <v>25</v>
      </c>
      <c r="W10" s="154">
        <v>25</v>
      </c>
      <c r="X10" s="154">
        <v>25</v>
      </c>
      <c r="Y10" s="154">
        <v>25</v>
      </c>
      <c r="Z10" s="154">
        <v>25</v>
      </c>
      <c r="AA10" s="154">
        <v>25</v>
      </c>
      <c r="AB10" s="154">
        <v>25</v>
      </c>
      <c r="AC10" s="154">
        <v>25</v>
      </c>
      <c r="AD10" s="154">
        <v>25</v>
      </c>
      <c r="AE10" s="154">
        <v>25</v>
      </c>
      <c r="AF10" s="154">
        <v>25</v>
      </c>
      <c r="AG10" s="154">
        <v>25</v>
      </c>
      <c r="AH10" s="154">
        <v>25</v>
      </c>
      <c r="AI10" s="154">
        <v>25</v>
      </c>
      <c r="AJ10" s="154">
        <v>25</v>
      </c>
      <c r="AK10" s="154">
        <v>25</v>
      </c>
      <c r="AL10" s="154">
        <v>25</v>
      </c>
      <c r="AM10" s="154">
        <v>25</v>
      </c>
      <c r="AN10" s="154">
        <v>25</v>
      </c>
      <c r="AO10" s="154">
        <v>25</v>
      </c>
      <c r="AP10" s="154">
        <v>25</v>
      </c>
      <c r="AQ10" s="154">
        <v>25</v>
      </c>
      <c r="AR10" s="154">
        <v>25</v>
      </c>
      <c r="AS10" s="154">
        <v>25</v>
      </c>
      <c r="AT10" s="154">
        <v>25</v>
      </c>
      <c r="AU10" s="154">
        <v>25</v>
      </c>
      <c r="AV10" s="154">
        <v>25</v>
      </c>
      <c r="AW10" s="154">
        <v>25</v>
      </c>
      <c r="AX10" s="154">
        <v>25</v>
      </c>
      <c r="AY10" s="154">
        <v>25</v>
      </c>
      <c r="AZ10" s="154">
        <v>25</v>
      </c>
      <c r="BA10" s="154">
        <v>25</v>
      </c>
      <c r="BB10" s="154">
        <v>25</v>
      </c>
      <c r="BC10" s="154">
        <v>25</v>
      </c>
      <c r="BD10" s="154">
        <v>25</v>
      </c>
      <c r="BE10" s="154">
        <v>25</v>
      </c>
      <c r="BF10" s="154">
        <v>25</v>
      </c>
      <c r="BG10" s="154">
        <v>25</v>
      </c>
      <c r="BH10" s="154">
        <v>25</v>
      </c>
      <c r="BI10" s="154">
        <v>25</v>
      </c>
      <c r="BJ10" s="154">
        <v>25</v>
      </c>
      <c r="BK10" s="154">
        <v>25</v>
      </c>
      <c r="BL10" s="154">
        <v>25</v>
      </c>
      <c r="BM10" s="154">
        <v>25</v>
      </c>
      <c r="BN10" s="154">
        <v>25</v>
      </c>
      <c r="BO10" s="154">
        <v>25</v>
      </c>
      <c r="BP10" s="154">
        <v>25</v>
      </c>
      <c r="BQ10" s="154">
        <v>25</v>
      </c>
    </row>
    <row r="11" spans="1:69">
      <c r="A11" s="108" t="s">
        <v>1023</v>
      </c>
      <c r="B11" s="110"/>
      <c r="C11" s="110"/>
      <c r="D11" s="110"/>
      <c r="E11" s="110"/>
      <c r="F11" s="110"/>
      <c r="G11" s="110"/>
      <c r="H11" s="110"/>
      <c r="I11" s="110"/>
      <c r="J11" s="110"/>
      <c r="K11" s="110"/>
      <c r="L11" s="110"/>
      <c r="M11" s="115"/>
      <c r="N11" s="115"/>
      <c r="O11" s="115"/>
      <c r="P11" s="201"/>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201"/>
      <c r="BN11" s="201"/>
      <c r="BO11" s="201"/>
      <c r="BP11" s="201"/>
      <c r="BQ11" s="201"/>
    </row>
    <row r="12" spans="1:69">
      <c r="A12" s="108" t="s">
        <v>1024</v>
      </c>
      <c r="B12" s="117" t="s">
        <v>1025</v>
      </c>
      <c r="C12" s="117" t="s">
        <v>1026</v>
      </c>
      <c r="D12" s="117" t="s">
        <v>1027</v>
      </c>
      <c r="E12" s="117" t="s">
        <v>1028</v>
      </c>
      <c r="F12" s="117" t="s">
        <v>1029</v>
      </c>
      <c r="G12" s="117" t="s">
        <v>1030</v>
      </c>
      <c r="H12" s="117" t="s">
        <v>1031</v>
      </c>
      <c r="I12" s="117" t="s">
        <v>1032</v>
      </c>
      <c r="J12" s="117" t="s">
        <v>1033</v>
      </c>
      <c r="K12" s="117" t="s">
        <v>1034</v>
      </c>
      <c r="L12" s="117" t="s">
        <v>1035</v>
      </c>
      <c r="M12" s="117" t="s">
        <v>1036</v>
      </c>
      <c r="N12" s="117" t="s">
        <v>1037</v>
      </c>
      <c r="O12" s="117" t="s">
        <v>1038</v>
      </c>
      <c r="P12" s="155" t="s">
        <v>1039</v>
      </c>
      <c r="Q12" s="117" t="s">
        <v>1040</v>
      </c>
      <c r="R12" s="117" t="s">
        <v>1041</v>
      </c>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201"/>
      <c r="BN12" s="201"/>
      <c r="BO12" s="201"/>
      <c r="BP12" s="201"/>
      <c r="BQ12" s="201"/>
    </row>
    <row r="13" spans="1:69">
      <c r="A13" s="108" t="s">
        <v>1010</v>
      </c>
      <c r="B13" s="198">
        <v>3.0945648914115043E-2</v>
      </c>
      <c r="C13" s="198">
        <v>3.2893493368116561E-2</v>
      </c>
      <c r="D13" s="198">
        <v>3.4054856321808637E-2</v>
      </c>
      <c r="E13" s="198">
        <v>6.5081479515959481E-2</v>
      </c>
      <c r="F13" s="198">
        <v>5.4945457854832114E-3</v>
      </c>
      <c r="G13" s="198">
        <v>0.11045108575680232</v>
      </c>
      <c r="H13" s="198">
        <v>8.9118556312394945E-2</v>
      </c>
      <c r="I13" s="198">
        <v>5.0034151602544603E-2</v>
      </c>
      <c r="J13" s="198">
        <v>3.1607882042833539E-2</v>
      </c>
      <c r="K13" s="198">
        <v>7.3016949019821193E-3</v>
      </c>
      <c r="L13" s="198">
        <v>-7.9925038259201064E-4</v>
      </c>
      <c r="M13" s="198">
        <v>5.8373581009390878E-3</v>
      </c>
      <c r="N13" s="198">
        <v>1.0830032784858851E-2</v>
      </c>
      <c r="O13" s="198">
        <v>6.4762069464203813E-3</v>
      </c>
      <c r="P13" s="198">
        <v>2.6512616329791893E-3</v>
      </c>
      <c r="Q13" s="198">
        <v>1.8258196594216789E-3</v>
      </c>
      <c r="R13" s="199">
        <f>SUM($B$13:$Q$13)</f>
        <v>0.48380482326406771</v>
      </c>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201"/>
      <c r="BN13" s="201"/>
      <c r="BO13" s="201"/>
      <c r="BP13" s="201"/>
      <c r="BQ13" s="201"/>
    </row>
    <row r="14" spans="1:69">
      <c r="A14" s="108" t="s">
        <v>1009</v>
      </c>
      <c r="B14" s="198">
        <v>3.5345333750488872E-2</v>
      </c>
      <c r="C14" s="198">
        <v>3.6888617931716508E-2</v>
      </c>
      <c r="D14" s="198">
        <v>3.8655214944048576E-2</v>
      </c>
      <c r="E14" s="198">
        <v>8.4304608614324469E-2</v>
      </c>
      <c r="F14" s="198">
        <v>2.0769939340896545E-2</v>
      </c>
      <c r="G14" s="198">
        <v>7.129653807413508E-2</v>
      </c>
      <c r="H14" s="198">
        <v>8.1741946516246389E-2</v>
      </c>
      <c r="I14" s="198">
        <v>5.5955649735573508E-2</v>
      </c>
      <c r="J14" s="198">
        <v>3.9625903580044655E-2</v>
      </c>
      <c r="K14" s="198">
        <v>1.8511567436531283E-2</v>
      </c>
      <c r="L14" s="198">
        <v>3.9410962766669201E-3</v>
      </c>
      <c r="M14" s="198">
        <v>4.9469988699007506E-3</v>
      </c>
      <c r="N14" s="198">
        <v>1.1139505048293533E-2</v>
      </c>
      <c r="O14" s="198">
        <v>6.9270543415774367E-3</v>
      </c>
      <c r="P14" s="198">
        <v>3.5937924089346584E-3</v>
      </c>
      <c r="Q14" s="198">
        <v>2.5514098665531887E-3</v>
      </c>
      <c r="R14" s="199">
        <f>SUM($B$14:$Q$14)</f>
        <v>0.5161951767359324</v>
      </c>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201"/>
      <c r="BN14" s="201"/>
      <c r="BO14" s="201"/>
      <c r="BP14" s="201"/>
      <c r="BQ14" s="201"/>
    </row>
    <row r="15" spans="1:69" ht="14.25">
      <c r="A15" s="108" t="s">
        <v>918</v>
      </c>
      <c r="B15" s="104"/>
      <c r="C15" s="104"/>
      <c r="D15" s="104"/>
      <c r="E15" s="104"/>
      <c r="F15" s="104"/>
      <c r="G15" s="104"/>
      <c r="H15" s="104"/>
      <c r="I15" s="104"/>
      <c r="J15" s="104"/>
      <c r="K15" s="104"/>
      <c r="L15" s="104"/>
      <c r="M15" s="104"/>
      <c r="N15" s="104"/>
      <c r="O15" s="104"/>
      <c r="P15" s="171"/>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10"/>
      <c r="AZ15" s="110"/>
      <c r="BA15" s="110"/>
      <c r="BB15" s="110"/>
      <c r="BC15" s="110"/>
      <c r="BD15" s="110"/>
      <c r="BE15" s="110"/>
      <c r="BF15" s="110"/>
      <c r="BG15" s="110"/>
      <c r="BH15" s="110"/>
      <c r="BI15" s="110"/>
      <c r="BJ15" s="110"/>
      <c r="BK15" s="110"/>
      <c r="BL15" s="110"/>
      <c r="BM15" s="193"/>
      <c r="BN15" s="193"/>
      <c r="BO15" s="193"/>
      <c r="BP15" s="193"/>
      <c r="BQ15" s="193"/>
    </row>
    <row r="16" spans="1:69" ht="14.25">
      <c r="A16" s="108" t="s">
        <v>1014</v>
      </c>
      <c r="B16" s="104"/>
      <c r="C16" s="104"/>
      <c r="D16" s="104"/>
      <c r="E16" s="104"/>
      <c r="F16" s="104"/>
      <c r="G16" s="104"/>
      <c r="H16" s="104"/>
      <c r="I16" s="104"/>
      <c r="J16" s="104"/>
      <c r="K16" s="104"/>
      <c r="L16" s="104"/>
      <c r="M16" s="104"/>
      <c r="N16" s="104"/>
      <c r="O16" s="104"/>
      <c r="P16" s="171"/>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row>
    <row r="17" spans="1:69">
      <c r="A17" s="105">
        <v>0</v>
      </c>
      <c r="B17" s="118">
        <f>'Statistics NZ'!B$17*('Economic Forecasts'!D$10-'Economic Forecasts'!D$9)*1000000/SUM('Statistics NZ'!B$17:B$31,'Statistics NZ'!B$110:B$124)</f>
        <v>30569.466740214557</v>
      </c>
      <c r="C17" s="118">
        <f>'Statistics NZ'!C$17*('Economic Forecasts'!E$10-'Economic Forecasts'!E$9)*1000000/SUM('Statistics NZ'!C$17:C$31,'Statistics NZ'!C$110:C$124)</f>
        <v>31896.669134971398</v>
      </c>
      <c r="D17" s="118">
        <f>'Statistics NZ'!D$17*('Economic Forecasts'!F$10-'Economic Forecasts'!F$9)*1000000/SUM('Statistics NZ'!D$17:D$31,'Statistics NZ'!D$110:D$124)</f>
        <v>33133.019620104737</v>
      </c>
      <c r="E17" s="118">
        <f>'Statistics NZ'!E$17*('Economic Forecasts'!G$10-'Economic Forecasts'!G$9)*1000000/SUM('Statistics NZ'!E$17:E$31,'Statistics NZ'!E$110:E$124)</f>
        <v>32672.971392427564</v>
      </c>
      <c r="F17" s="118">
        <f>'Statistics NZ'!F$17*('Economic Forecasts'!H$10-'Economic Forecasts'!H$9)*1000000/SUM('Statistics NZ'!F$17:F$31,'Statistics NZ'!F$110:F$124)</f>
        <v>33368.734005770035</v>
      </c>
      <c r="G17" s="118">
        <f>'Statistics NZ'!G$17*('Economic Forecasts'!I$10-'Economic Forecasts'!I$9)*1000000/SUM('Statistics NZ'!G$17:G$31,'Statistics NZ'!G$110:G$124)</f>
        <v>32475.425107882857</v>
      </c>
      <c r="H17" s="118">
        <f>'Statistics NZ'!H$17*('Economic Forecasts'!J$10-'Economic Forecasts'!J$9)*1000000/SUM('Statistics NZ'!H$17:H$31,'Statistics NZ'!H$110:H$124)</f>
        <v>31690.909090909077</v>
      </c>
      <c r="I17" s="118">
        <f>'Statistics NZ'!I$17*('Economic Forecasts'!K$10-'Economic Forecasts'!K$9)*1000000/SUM('Statistics NZ'!I$17:I$31,'Statistics NZ'!I$110:I$124)</f>
        <v>31264.786584359426</v>
      </c>
      <c r="J17" s="203">
        <f>'Statistics NZ'!J$17*('Economic Forecasts'!L$10-'Economic Forecasts'!L$9)*1000000/SUM('Statistics NZ'!J$17:J$31,'Statistics NZ'!J$110:J$124)</f>
        <v>30406.379461641402</v>
      </c>
      <c r="K17" s="203">
        <f>'Statistics NZ'!K$17*('Economic Forecasts'!M$10-'Economic Forecasts'!M$9)*1000000/SUM('Statistics NZ'!K$17:K$31,'Statistics NZ'!K$110:K$124)</f>
        <v>30617.351785558374</v>
      </c>
      <c r="L17" s="203">
        <f>'Statistics NZ'!L$17*('Economic Forecasts'!N$10-'Economic Forecasts'!N$9)*1000000/SUM('Statistics NZ'!L$17:L$31,'Statistics NZ'!L$110:L$124)</f>
        <v>30665.205956462036</v>
      </c>
      <c r="M17" s="203">
        <f>'Statistics NZ'!M$17*('Economic Forecasts'!O$10-'Economic Forecasts'!O$9)*1000000/SUM('Statistics NZ'!M$17:M$31,'Statistics NZ'!M$110:M$124)</f>
        <v>31360.941452740572</v>
      </c>
      <c r="N17" s="203">
        <f>'Statistics NZ'!N$17*('Economic Forecasts'!P$10-'Economic Forecasts'!P$9)*1000000/SUM('Statistics NZ'!N$17:N$31,'Statistics NZ'!N$110:N$124)</f>
        <v>30665.599543567136</v>
      </c>
      <c r="O17" s="203">
        <f>'Statistics NZ'!O$17*('Economic Forecasts'!Q$10-'Economic Forecasts'!Q$9)*1000000/SUM('Statistics NZ'!O$17:O$31,'Statistics NZ'!O$110:O$124)</f>
        <v>30565.929939437039</v>
      </c>
      <c r="P17" s="203">
        <f>'Statistics NZ'!P$17*('Economic Forecasts'!R$10-'Economic Forecasts'!R$9)*1000000/SUM('Statistics NZ'!P$17:P$31,'Statistics NZ'!P$110:P$124)</f>
        <v>30789.83203011877</v>
      </c>
      <c r="Q17" s="121">
        <f>SUM('Statistics NZ'!Q$17,$B$13/5*(Q$9-Q$10)*1000)*('Economic Forecasts'!S$10-'Economic Forecasts'!S$9)*1000000/SUM('Statistics NZ'!Q$17:Q$31,'Statistics NZ'!Q$110:Q$124,SUM($B$13:$D$14)*(Q$9-Q$10)*1000)</f>
        <v>30103.948942653504</v>
      </c>
      <c r="R17" s="205">
        <f>SUM('Statistics NZ'!R$17,$B$13/5*(R$9-R$10)*1000)*('Economic Forecasts'!T$10-'Economic Forecasts'!T$9)*1000000/SUM('Statistics NZ'!R$17:R$31,'Statistics NZ'!R$110:R$124,SUM($B$13:$D$14)*(R$9-R$10)*1000)</f>
        <v>30192.609075709563</v>
      </c>
      <c r="S17" s="205">
        <f>SUM('Statistics NZ'!S$17,$B$13/5*(S$9-S$10)*1000)*('Economic Forecasts'!U$10-'Economic Forecasts'!U$9)*1000000/SUM('Statistics NZ'!S$17:S$31,'Statistics NZ'!S$110:S$124,SUM($B$13:$D$14)*(S$9-S$10)*1000)</f>
        <v>30386.835926180225</v>
      </c>
      <c r="T17" s="205">
        <f>SUM('Statistics NZ'!T$17,$B$13/5*(T$9-T$10)*1000)*('Economic Forecasts'!V$10-'Economic Forecasts'!V$9)*1000000/SUM('Statistics NZ'!T$17:T$31,'Statistics NZ'!T$110:T$124,SUM($B$13:$D$14)*(T$9-T$10)*1000)</f>
        <v>30526.999908139525</v>
      </c>
      <c r="U17" s="205">
        <f>SUM('Statistics NZ'!U$17,$B$13/5*(U$9-U$10)*1000)*('Economic Forecasts'!W$10-'Economic Forecasts'!W$9)*1000000/SUM('Statistics NZ'!U$17:U$31,'Statistics NZ'!U$110:U$124,SUM($B$13:$D$14)*(U$9-U$10)*1000)</f>
        <v>30941.328842513001</v>
      </c>
      <c r="V17" s="111">
        <f>SUM(U$17,'Statistics NZ'!V$17-'Statistics NZ'!U$17,$B$13/5*(V$9-V$10)*1000)</f>
        <v>31120.354919038171</v>
      </c>
      <c r="W17" s="111">
        <f>SUM(V$17,'Statistics NZ'!W$17-'Statistics NZ'!V$17,$B$13/5*(W$9-W$10)*1000)</f>
        <v>31257.002735997692</v>
      </c>
      <c r="X17" s="111">
        <f>SUM(W$17,'Statistics NZ'!X$17-'Statistics NZ'!W$17,$B$13/5*(X$9-X$10)*1000)</f>
        <v>31371.272293391568</v>
      </c>
      <c r="Y17" s="111">
        <f>SUM(X$17,'Statistics NZ'!Y$17-'Statistics NZ'!X$17,$B$13/5*(Y$9-Y$10)*1000)</f>
        <v>31453.1635912198</v>
      </c>
      <c r="Z17" s="111">
        <f>SUM(Y$17,'Statistics NZ'!Z$17-'Statistics NZ'!Y$17,$B$13/5*(Z$9-Z$10)*1000)</f>
        <v>31522.676629482383</v>
      </c>
      <c r="AA17" s="111">
        <f>SUM(Z$17,'Statistics NZ'!AA$17-'Statistics NZ'!Z$17,$B$13/5*(AA$9-AA$10)*1000)</f>
        <v>31589.811408179321</v>
      </c>
      <c r="AB17" s="111">
        <f>SUM(AA$17,'Statistics NZ'!AB$17-'Statistics NZ'!AA$17,$B$13/5*(AB$9-AB$10)*1000)</f>
        <v>31644.567927310614</v>
      </c>
      <c r="AC17" s="111">
        <f>SUM(AB$17,'Statistics NZ'!AC$17-'Statistics NZ'!AB$17,$B$13/5*(AC$9-AC$10)*1000)</f>
        <v>31696.946186876259</v>
      </c>
      <c r="AD17" s="111">
        <f>SUM(AC$17,'Statistics NZ'!AD$17-'Statistics NZ'!AC$17,$B$13/5*(AD$9-AD$10)*1000)</f>
        <v>31766.946186876259</v>
      </c>
      <c r="AE17" s="111">
        <f>SUM(AD$17,'Statistics NZ'!AE$17-'Statistics NZ'!AD$17,$B$13/5*(AE$9-AE$10)*1000)</f>
        <v>31846.946186876259</v>
      </c>
      <c r="AF17" s="111">
        <f>SUM(AE$17,'Statistics NZ'!AF$17-'Statistics NZ'!AE$17,$B$13/5*(AF$9-AF$10)*1000)</f>
        <v>31956.946186876259</v>
      </c>
      <c r="AG17" s="111">
        <f>SUM(AF$17,'Statistics NZ'!AG$17-'Statistics NZ'!AF$17,$B$13/5*(AG$9-AG$10)*1000)</f>
        <v>32086.946186876259</v>
      </c>
      <c r="AH17" s="111">
        <f>SUM(AG$17,'Statistics NZ'!AH$17-'Statistics NZ'!AG$17,$B$13/5*(AH$9-AH$10)*1000)</f>
        <v>32236.946186876259</v>
      </c>
      <c r="AI17" s="111">
        <f>SUM(AH$17,'Statistics NZ'!AI$17-'Statistics NZ'!AH$17,$B$13/5*(AI$9-AI$10)*1000)</f>
        <v>32396.946186876259</v>
      </c>
      <c r="AJ17" s="111">
        <f>SUM(AI$17,'Statistics NZ'!AJ$17-'Statistics NZ'!AI$17,$B$13/5*(AJ$9-AJ$10)*1000)</f>
        <v>32556.946186876259</v>
      </c>
      <c r="AK17" s="111">
        <f>SUM(AJ$17,'Statistics NZ'!AK$17-'Statistics NZ'!AJ$17,$B$13/5*(AK$9-AK$10)*1000)</f>
        <v>32696.946186876259</v>
      </c>
      <c r="AL17" s="111">
        <f>SUM(AK$17,'Statistics NZ'!AL$17-'Statistics NZ'!AK$17,$B$13/5*(AL$9-AL$10)*1000)</f>
        <v>32816.946186876259</v>
      </c>
      <c r="AM17" s="111">
        <f>SUM(AL$17,'Statistics NZ'!AM$17-'Statistics NZ'!AL$17,$B$13/5*(AM$9-AM$10)*1000)</f>
        <v>32906.946186876259</v>
      </c>
      <c r="AN17" s="111">
        <f>SUM(AM$17,'Statistics NZ'!AN$17-'Statistics NZ'!AM$17,$B$13/5*(AN$9-AN$10)*1000)</f>
        <v>32976.946186876259</v>
      </c>
      <c r="AO17" s="111">
        <f>SUM(AN$17,'Statistics NZ'!AO$17-'Statistics NZ'!AN$17,$B$13/5*(AO$9-AO$10)*1000)</f>
        <v>33006.946186876259</v>
      </c>
      <c r="AP17" s="111">
        <f>SUM(AO$17,'Statistics NZ'!AP$17-'Statistics NZ'!AO$17,$B$13/5*(AP$9-AP$10)*1000)</f>
        <v>32996.946186876259</v>
      </c>
      <c r="AQ17" s="111">
        <f>SUM(AP$17,'Statistics NZ'!AQ$17-'Statistics NZ'!AP$17,$B$13/5*(AQ$9-AQ$10)*1000)</f>
        <v>32966.946186876259</v>
      </c>
      <c r="AR17" s="111">
        <f>SUM(AQ$17,'Statistics NZ'!AR$17-'Statistics NZ'!AQ$17,$B$13/5*(AR$9-AR$10)*1000)</f>
        <v>32916.946186876259</v>
      </c>
      <c r="AS17" s="111">
        <f>SUM(AR$17,'Statistics NZ'!AS$17-'Statistics NZ'!AR$17,$B$13/5*(AS$9-AS$10)*1000)</f>
        <v>32836.946186876259</v>
      </c>
      <c r="AT17" s="111">
        <f>SUM(AS$17,'Statistics NZ'!AT$17-'Statistics NZ'!AS$17,$B$13/5*(AT$9-AT$10)*1000)</f>
        <v>32746.946186876259</v>
      </c>
      <c r="AU17" s="111">
        <f>SUM(AT$17,'Statistics NZ'!AU$17-'Statistics NZ'!AT$17,$B$13/5*(AU$9-AU$10)*1000)</f>
        <v>32636.946186876259</v>
      </c>
      <c r="AV17" s="111">
        <f>SUM(AU$17,'Statistics NZ'!AV$17-'Statistics NZ'!AU$17,$B$13/5*(AV$9-AV$10)*1000)</f>
        <v>32536.946186876259</v>
      </c>
      <c r="AW17" s="111">
        <f>SUM(AV$17,'Statistics NZ'!AW$17-'Statistics NZ'!AV$17,$B$13/5*(AW$9-AW$10)*1000)</f>
        <v>32446.946186876259</v>
      </c>
      <c r="AX17" s="111">
        <f>SUM(AW$17,'Statistics NZ'!AX$17-'Statistics NZ'!AW$17,$B$13/5*(AX$9-AX$10)*1000)</f>
        <v>32356.946186876259</v>
      </c>
      <c r="AY17" s="111">
        <f>SUM(AX$17,'Statistics NZ'!AY$17-'Statistics NZ'!AX$17,$B$13/5*(AY$9-AY$10)*1000)</f>
        <v>32286.946186876259</v>
      </c>
      <c r="AZ17" s="111">
        <f>SUM(AY$17,'Statistics NZ'!AZ$17-'Statistics NZ'!AY$17,$B$13/5*(AZ$9-AZ$10)*1000)</f>
        <v>32226.946186876259</v>
      </c>
      <c r="BA17" s="111">
        <f>SUM(AZ$17,'Statistics NZ'!BA$17-'Statistics NZ'!AZ$17,$B$13/5*(BA$9-BA$10)*1000)</f>
        <v>32196.946186876259</v>
      </c>
      <c r="BB17" s="111">
        <f>SUM(BA$17,'Statistics NZ'!BB$17-'Statistics NZ'!BA$17,$B$13/5*(BB$9-BB$10)*1000)</f>
        <v>32166.946186876259</v>
      </c>
      <c r="BC17" s="111">
        <f>SUM(BB$17,'Statistics NZ'!BC$17-'Statistics NZ'!BB$17,$B$13/5*(BC$9-BC$10)*1000)</f>
        <v>32166.946186876259</v>
      </c>
      <c r="BD17" s="111">
        <f>SUM(BC$17,'Statistics NZ'!BD$17-'Statistics NZ'!BC$17,$B$13/5*(BD$9-BD$10)*1000)</f>
        <v>32176.946186876259</v>
      </c>
      <c r="BE17" s="111">
        <f>SUM(BD$17,'Statistics NZ'!BE$17-'Statistics NZ'!BD$17,$B$13/5*(BE$9-BE$10)*1000)</f>
        <v>32196.946186876259</v>
      </c>
      <c r="BF17" s="111">
        <f>SUM(BE$17,'Statistics NZ'!BF$17-'Statistics NZ'!BE$17,$B$13/5*(BF$9-BF$10)*1000)</f>
        <v>32226.946186876259</v>
      </c>
      <c r="BG17" s="111">
        <f>SUM(BF$17,'Statistics NZ'!BG$17-'Statistics NZ'!BF$17,$B$13/5*(BG$9-BG$10)*1000)</f>
        <v>32266.946186876259</v>
      </c>
      <c r="BH17" s="111">
        <f>SUM(BG$17,'Statistics NZ'!BH$17-'Statistics NZ'!BG$17,$B$13/5*(BH$9-BH$10)*1000)</f>
        <v>32316.946186876259</v>
      </c>
      <c r="BI17" s="111">
        <f>SUM(BH$17,'Statistics NZ'!BI$17-'Statistics NZ'!BH$17,$B$13/5*(BI$9-BI$10)*1000)</f>
        <v>32366.946186876259</v>
      </c>
      <c r="BJ17" s="111">
        <f>SUM(BI$17,'Statistics NZ'!BJ$17-'Statistics NZ'!BI$17,$B$13/5*(BJ$9-BJ$10)*1000)</f>
        <v>32426.946186876259</v>
      </c>
      <c r="BK17" s="111">
        <f>SUM(BJ$17,'Statistics NZ'!BK$17-'Statistics NZ'!BJ$17,$B$13/5*(BK$9-BK$10)*1000)</f>
        <v>32496.946186876259</v>
      </c>
      <c r="BL17" s="111">
        <f>SUM(BK$17,'Statistics NZ'!BL$17-'Statistics NZ'!BK$17,$B$13/5*(BL$9-BL$10)*1000)</f>
        <v>32556.946186876259</v>
      </c>
      <c r="BM17" s="195">
        <f>SUM(BL$17,'Statistics NZ'!BM$17-'Statistics NZ'!BL$17,$B$13/5*(BM$9-BM$10)*1000)</f>
        <v>32616.946186876259</v>
      </c>
      <c r="BN17" s="195">
        <f>SUM(BM$17,'Statistics NZ'!BN$17-'Statistics NZ'!BM$17,$B$13/5*(BN$9-BN$10)*1000)</f>
        <v>32686.946186876259</v>
      </c>
      <c r="BO17" s="195">
        <f>SUM(BN$17,'Statistics NZ'!BO$17-'Statistics NZ'!BN$17,$B$13/5*(BO$9-BO$10)*1000)</f>
        <v>32746.946186876259</v>
      </c>
      <c r="BP17" s="195">
        <f>SUM(BO$17,'Statistics NZ'!BP$17-'Statistics NZ'!BO$17,$B$13/5*(BP$9-BP$10)*1000)</f>
        <v>32806.946186876259</v>
      </c>
      <c r="BQ17" s="195">
        <f>SUM(BP$17,'Statistics NZ'!BQ$17-'Statistics NZ'!BP$17,$B$13/5*(BQ$9-BQ$10)*1000)</f>
        <v>32856.946186876259</v>
      </c>
    </row>
    <row r="18" spans="1:69">
      <c r="A18" s="105">
        <v>1</v>
      </c>
      <c r="B18" s="118">
        <f>'Statistics NZ'!B$18*('Economic Forecasts'!D$10-'Economic Forecasts'!D$9)*1000000/SUM('Statistics NZ'!B$17:B$31,'Statistics NZ'!B$110:B$124)</f>
        <v>29596.657698326027</v>
      </c>
      <c r="C18" s="118">
        <f>'Statistics NZ'!C$18*('Economic Forecasts'!E$10-'Economic Forecasts'!E$9)*1000000/SUM('Statistics NZ'!C$17:C$31,'Statistics NZ'!C$110:C$124)</f>
        <v>30440.585661393474</v>
      </c>
      <c r="D18" s="118">
        <f>'Statistics NZ'!D$18*('Economic Forecasts'!F$10-'Economic Forecasts'!F$9)*1000000/SUM('Statistics NZ'!D$17:D$31,'Statistics NZ'!D$110:D$124)</f>
        <v>31812.347600808469</v>
      </c>
      <c r="E18" s="118">
        <f>'Statistics NZ'!E$18*('Economic Forecasts'!G$10-'Economic Forecasts'!G$9)*1000000/SUM('Statistics NZ'!E$17:E$31,'Statistics NZ'!E$110:E$124)</f>
        <v>33128.676150739069</v>
      </c>
      <c r="F18" s="118">
        <f>'Statistics NZ'!F$18*('Economic Forecasts'!H$10-'Economic Forecasts'!H$9)*1000000/SUM('Statistics NZ'!F$17:F$31,'Statistics NZ'!F$110:F$124)</f>
        <v>32638.031801264122</v>
      </c>
      <c r="G18" s="118">
        <f>'Statistics NZ'!G$18*('Economic Forecasts'!I$10-'Economic Forecasts'!I$9)*1000000/SUM('Statistics NZ'!G$17:G$31,'Statistics NZ'!G$110:G$124)</f>
        <v>33311.929373785286</v>
      </c>
      <c r="H18" s="118">
        <f>'Statistics NZ'!H$18*('Economic Forecasts'!J$10-'Economic Forecasts'!J$9)*1000000/SUM('Statistics NZ'!H$17:H$31,'Statistics NZ'!H$110:H$124)</f>
        <v>32496.969696969682</v>
      </c>
      <c r="I18" s="118">
        <f>'Statistics NZ'!I$18*('Economic Forecasts'!K$10-'Economic Forecasts'!K$9)*1000000/SUM('Statistics NZ'!I$17:I$31,'Statistics NZ'!I$110:I$124)</f>
        <v>31882.204909825159</v>
      </c>
      <c r="J18" s="203">
        <f>'Statistics NZ'!J$18*('Economic Forecasts'!L$10-'Economic Forecasts'!L$9)*1000000/SUM('Statistics NZ'!J$17:J$31,'Statistics NZ'!J$110:J$124)</f>
        <v>31605.926661255293</v>
      </c>
      <c r="K18" s="203">
        <f>'Statistics NZ'!K$18*('Economic Forecasts'!M$10-'Economic Forecasts'!M$9)*1000000/SUM('Statistics NZ'!K$17:K$31,'Statistics NZ'!K$110:K$124)</f>
        <v>30799.853531825731</v>
      </c>
      <c r="L18" s="203">
        <f>'Statistics NZ'!L$18*('Economic Forecasts'!N$10-'Economic Forecasts'!N$9)*1000000/SUM('Statistics NZ'!L$17:L$31,'Statistics NZ'!L$110:L$124)</f>
        <v>30782.370689189054</v>
      </c>
      <c r="M18" s="203">
        <f>'Statistics NZ'!M$18*('Economic Forecasts'!O$10-'Economic Forecasts'!O$9)*1000000/SUM('Statistics NZ'!M$17:M$31,'Statistics NZ'!M$110:M$124)</f>
        <v>30924.337514009716</v>
      </c>
      <c r="N18" s="203">
        <f>'Statistics NZ'!N$18*('Economic Forecasts'!P$10-'Economic Forecasts'!P$9)*1000000/SUM('Statistics NZ'!N$17:N$31,'Statistics NZ'!N$110:N$124)</f>
        <v>31321.208913119266</v>
      </c>
      <c r="O18" s="203">
        <f>'Statistics NZ'!O$18*('Economic Forecasts'!Q$10-'Economic Forecasts'!Q$9)*1000000/SUM('Statistics NZ'!O$17:O$31,'Statistics NZ'!O$110:O$124)</f>
        <v>30830.341098082688</v>
      </c>
      <c r="P18" s="203">
        <f>'Statistics NZ'!P$18*('Economic Forecasts'!R$10-'Economic Forecasts'!R$9)*1000000/SUM('Statistics NZ'!P$17:P$31,'Statistics NZ'!P$110:P$124)</f>
        <v>30726.434984071853</v>
      </c>
      <c r="Q18" s="121">
        <f>SUM('Statistics NZ'!Q$18,$B$13/5*(Q$9-Q$10)*1000)*('Economic Forecasts'!S$10-'Economic Forecasts'!S$9)*1000000/SUM('Statistics NZ'!Q$17:Q$31,'Statistics NZ'!Q$110:Q$124,SUM($B$13:$D$14)*(Q$9-Q$10)*1000)</f>
        <v>30745.616929075615</v>
      </c>
      <c r="R18" s="205">
        <f>SUM('Statistics NZ'!R$18,$B$13/5*(R$9-R$10)*1000)*('Economic Forecasts'!T$10-'Economic Forecasts'!T$9)*1000000/SUM('Statistics NZ'!R$17:R$31,'Statistics NZ'!R$110:R$124,SUM($B$13:$D$14)*(R$9-R$10)*1000)</f>
        <v>30266.28930834389</v>
      </c>
      <c r="S18" s="205">
        <f>SUM('Statistics NZ'!S$18,$B$13/5*(S$9-S$10)*1000)*('Economic Forecasts'!U$10-'Economic Forecasts'!U$9)*1000000/SUM('Statistics NZ'!S$17:S$31,'Statistics NZ'!S$110:S$124,SUM($B$13:$D$14)*(S$9-S$10)*1000)</f>
        <v>30460.686720571699</v>
      </c>
      <c r="T18" s="205">
        <f>SUM('Statistics NZ'!T$18,$B$13/5*(T$9-T$10)*1000)*('Economic Forecasts'!V$10-'Economic Forecasts'!V$9)*1000000/SUM('Statistics NZ'!T$17:T$31,'Statistics NZ'!T$110:T$124,SUM($B$13:$D$14)*(T$9-T$10)*1000)</f>
        <v>30611.850481973623</v>
      </c>
      <c r="U18" s="205">
        <f>SUM('Statistics NZ'!U$18,$B$13/5*(U$9-U$10)*1000)*('Economic Forecasts'!W$10-'Economic Forecasts'!W$9)*1000000/SUM('Statistics NZ'!U$17:U$31,'Statistics NZ'!U$110:U$124,SUM($B$13:$D$14)*(U$9-U$10)*1000)</f>
        <v>30834.418588666307</v>
      </c>
      <c r="V18" s="111">
        <f>SUM(U$18,'Statistics NZ'!V$18-'Statistics NZ'!U$18,$B$13/5*(V$9-V$10)*1000)</f>
        <v>31043.444665191477</v>
      </c>
      <c r="W18" s="111">
        <f>SUM(V$18,'Statistics NZ'!W$18-'Statistics NZ'!V$18,$B$13/5*(W$9-W$10)*1000)</f>
        <v>31210.092482150998</v>
      </c>
      <c r="X18" s="111">
        <f>SUM(W$18,'Statistics NZ'!X$18-'Statistics NZ'!W$18,$B$13/5*(X$9-X$10)*1000)</f>
        <v>31334.362039544874</v>
      </c>
      <c r="Y18" s="111">
        <f>SUM(X$18,'Statistics NZ'!Y$18-'Statistics NZ'!X$18,$B$13/5*(Y$9-Y$10)*1000)</f>
        <v>31426.253337373106</v>
      </c>
      <c r="Z18" s="111">
        <f>SUM(Y$18,'Statistics NZ'!Z$18-'Statistics NZ'!Y$18,$B$13/5*(Z$9-Z$10)*1000)</f>
        <v>31505.766375635689</v>
      </c>
      <c r="AA18" s="111">
        <f>SUM(Z$18,'Statistics NZ'!AA$18-'Statistics NZ'!Z$18,$B$13/5*(AA$9-AA$10)*1000)</f>
        <v>31562.901154332627</v>
      </c>
      <c r="AB18" s="111">
        <f>SUM(AA$18,'Statistics NZ'!AB$18-'Statistics NZ'!AA$18,$B$13/5*(AB$9-AB$10)*1000)</f>
        <v>31617.65767346392</v>
      </c>
      <c r="AC18" s="111">
        <f>SUM(AB$18,'Statistics NZ'!AC$18-'Statistics NZ'!AB$18,$B$13/5*(AC$9-AC$10)*1000)</f>
        <v>31660.035933029565</v>
      </c>
      <c r="AD18" s="111">
        <f>SUM(AC$18,'Statistics NZ'!AD$18-'Statistics NZ'!AC$18,$B$13/5*(AD$9-AD$10)*1000)</f>
        <v>31700.035933029565</v>
      </c>
      <c r="AE18" s="111">
        <f>SUM(AD$18,'Statistics NZ'!AE$18-'Statistics NZ'!AD$18,$B$13/5*(AE$9-AE$10)*1000)</f>
        <v>31770.035933029565</v>
      </c>
      <c r="AF18" s="111">
        <f>SUM(AE$18,'Statistics NZ'!AF$18-'Statistics NZ'!AE$18,$B$13/5*(AF$9-AF$10)*1000)</f>
        <v>31850.035933029565</v>
      </c>
      <c r="AG18" s="111">
        <f>SUM(AF$18,'Statistics NZ'!AG$18-'Statistics NZ'!AF$18,$B$13/5*(AG$9-AG$10)*1000)</f>
        <v>31960.035933029565</v>
      </c>
      <c r="AH18" s="111">
        <f>SUM(AG$18,'Statistics NZ'!AH$18-'Statistics NZ'!AG$18,$B$13/5*(AH$9-AH$10)*1000)</f>
        <v>32090.035933029565</v>
      </c>
      <c r="AI18" s="111">
        <f>SUM(AH$18,'Statistics NZ'!AI$18-'Statistics NZ'!AH$18,$B$13/5*(AI$9-AI$10)*1000)</f>
        <v>32240.035933029565</v>
      </c>
      <c r="AJ18" s="111">
        <f>SUM(AI$18,'Statistics NZ'!AJ$18-'Statistics NZ'!AI$18,$B$13/5*(AJ$9-AJ$10)*1000)</f>
        <v>32400.035933029565</v>
      </c>
      <c r="AK18" s="111">
        <f>SUM(AJ$18,'Statistics NZ'!AK$18-'Statistics NZ'!AJ$18,$B$13/5*(AK$9-AK$10)*1000)</f>
        <v>32560.035933029565</v>
      </c>
      <c r="AL18" s="111">
        <f>SUM(AK$18,'Statistics NZ'!AL$18-'Statistics NZ'!AK$18,$B$13/5*(AL$9-AL$10)*1000)</f>
        <v>32700.035933029565</v>
      </c>
      <c r="AM18" s="111">
        <f>SUM(AL$18,'Statistics NZ'!AM$18-'Statistics NZ'!AL$18,$B$13/5*(AM$9-AM$10)*1000)</f>
        <v>32820.035933029561</v>
      </c>
      <c r="AN18" s="111">
        <f>SUM(AM$18,'Statistics NZ'!AN$18-'Statistics NZ'!AM$18,$B$13/5*(AN$9-AN$10)*1000)</f>
        <v>32920.035933029561</v>
      </c>
      <c r="AO18" s="111">
        <f>SUM(AN$18,'Statistics NZ'!AO$18-'Statistics NZ'!AN$18,$B$13/5*(AO$9-AO$10)*1000)</f>
        <v>32980.035933029561</v>
      </c>
      <c r="AP18" s="111">
        <f>SUM(AO$18,'Statistics NZ'!AP$18-'Statistics NZ'!AO$18,$B$13/5*(AP$9-AP$10)*1000)</f>
        <v>33010.035933029561</v>
      </c>
      <c r="AQ18" s="111">
        <f>SUM(AP$18,'Statistics NZ'!AQ$18-'Statistics NZ'!AP$18,$B$13/5*(AQ$9-AQ$10)*1000)</f>
        <v>33010.035933029561</v>
      </c>
      <c r="AR18" s="111">
        <f>SUM(AQ$18,'Statistics NZ'!AR$18-'Statistics NZ'!AQ$18,$B$13/5*(AR$9-AR$10)*1000)</f>
        <v>32980.035933029561</v>
      </c>
      <c r="AS18" s="111">
        <f>SUM(AR$18,'Statistics NZ'!AS$18-'Statistics NZ'!AR$18,$B$13/5*(AS$9-AS$10)*1000)</f>
        <v>32920.035933029561</v>
      </c>
      <c r="AT18" s="111">
        <f>SUM(AS$18,'Statistics NZ'!AT$18-'Statistics NZ'!AS$18,$B$13/5*(AT$9-AT$10)*1000)</f>
        <v>32840.035933029561</v>
      </c>
      <c r="AU18" s="111">
        <f>SUM(AT$18,'Statistics NZ'!AU$18-'Statistics NZ'!AT$18,$B$13/5*(AU$9-AU$10)*1000)</f>
        <v>32750.035933029561</v>
      </c>
      <c r="AV18" s="111">
        <f>SUM(AU$18,'Statistics NZ'!AV$18-'Statistics NZ'!AU$18,$B$13/5*(AV$9-AV$10)*1000)</f>
        <v>32650.035933029561</v>
      </c>
      <c r="AW18" s="111">
        <f>SUM(AV$18,'Statistics NZ'!AW$18-'Statistics NZ'!AV$18,$B$13/5*(AW$9-AW$10)*1000)</f>
        <v>32550.035933029561</v>
      </c>
      <c r="AX18" s="111">
        <f>SUM(AW$18,'Statistics NZ'!AX$18-'Statistics NZ'!AW$18,$B$13/5*(AX$9-AX$10)*1000)</f>
        <v>32450.035933029561</v>
      </c>
      <c r="AY18" s="111">
        <f>SUM(AX$18,'Statistics NZ'!AY$18-'Statistics NZ'!AX$18,$B$13/5*(AY$9-AY$10)*1000)</f>
        <v>32370.035933029561</v>
      </c>
      <c r="AZ18" s="111">
        <f>SUM(AY$18,'Statistics NZ'!AZ$18-'Statistics NZ'!AY$18,$B$13/5*(AZ$9-AZ$10)*1000)</f>
        <v>32290.035933029561</v>
      </c>
      <c r="BA18" s="111">
        <f>SUM(AZ$18,'Statistics NZ'!BA$18-'Statistics NZ'!AZ$18,$B$13/5*(BA$9-BA$10)*1000)</f>
        <v>32240.035933029561</v>
      </c>
      <c r="BB18" s="111">
        <f>SUM(BA$18,'Statistics NZ'!BB$18-'Statistics NZ'!BA$18,$B$13/5*(BB$9-BB$10)*1000)</f>
        <v>32200.035933029561</v>
      </c>
      <c r="BC18" s="111">
        <f>SUM(BB$18,'Statistics NZ'!BC$18-'Statistics NZ'!BB$18,$B$13/5*(BC$9-BC$10)*1000)</f>
        <v>32180.035933029561</v>
      </c>
      <c r="BD18" s="111">
        <f>SUM(BC$18,'Statistics NZ'!BD$18-'Statistics NZ'!BC$18,$B$13/5*(BD$9-BD$10)*1000)</f>
        <v>32170.035933029561</v>
      </c>
      <c r="BE18" s="111">
        <f>SUM(BD$18,'Statistics NZ'!BE$18-'Statistics NZ'!BD$18,$B$13/5*(BE$9-BE$10)*1000)</f>
        <v>32180.035933029561</v>
      </c>
      <c r="BF18" s="111">
        <f>SUM(BE$18,'Statistics NZ'!BF$18-'Statistics NZ'!BE$18,$B$13/5*(BF$9-BF$10)*1000)</f>
        <v>32200.035933029561</v>
      </c>
      <c r="BG18" s="111">
        <f>SUM(BF$18,'Statistics NZ'!BG$18-'Statistics NZ'!BF$18,$B$13/5*(BG$9-BG$10)*1000)</f>
        <v>32240.035933029561</v>
      </c>
      <c r="BH18" s="111">
        <f>SUM(BG$18,'Statistics NZ'!BH$18-'Statistics NZ'!BG$18,$B$13/5*(BH$9-BH$10)*1000)</f>
        <v>32280.035933029561</v>
      </c>
      <c r="BI18" s="111">
        <f>SUM(BH$18,'Statistics NZ'!BI$18-'Statistics NZ'!BH$18,$B$13/5*(BI$9-BI$10)*1000)</f>
        <v>32330.035933029561</v>
      </c>
      <c r="BJ18" s="111">
        <f>SUM(BI$18,'Statistics NZ'!BJ$18-'Statistics NZ'!BI$18,$B$13/5*(BJ$9-BJ$10)*1000)</f>
        <v>32380.035933029561</v>
      </c>
      <c r="BK18" s="111">
        <f>SUM(BJ$18,'Statistics NZ'!BK$18-'Statistics NZ'!BJ$18,$B$13/5*(BK$9-BK$10)*1000)</f>
        <v>32440.035933029561</v>
      </c>
      <c r="BL18" s="111">
        <f>SUM(BK$18,'Statistics NZ'!BL$18-'Statistics NZ'!BK$18,$B$13/5*(BL$9-BL$10)*1000)</f>
        <v>32500.035933029561</v>
      </c>
      <c r="BM18" s="195">
        <f>SUM(BL$18,'Statistics NZ'!BM$18-'Statistics NZ'!BL$18,$B$13/5*(BM$9-BM$10)*1000)</f>
        <v>32570.035933029561</v>
      </c>
      <c r="BN18" s="195">
        <f>SUM(BM$18,'Statistics NZ'!BN$18-'Statistics NZ'!BM$18,$B$13/5*(BN$9-BN$10)*1000)</f>
        <v>32630.035933029561</v>
      </c>
      <c r="BO18" s="195">
        <f>SUM(BN$18,'Statistics NZ'!BO$18-'Statistics NZ'!BN$18,$B$13/5*(BO$9-BO$10)*1000)</f>
        <v>32690.035933029561</v>
      </c>
      <c r="BP18" s="195">
        <f>SUM(BO$18,'Statistics NZ'!BP$18-'Statistics NZ'!BO$18,$B$13/5*(BP$9-BP$10)*1000)</f>
        <v>32760.035933029561</v>
      </c>
      <c r="BQ18" s="195">
        <f>SUM(BP$18,'Statistics NZ'!BQ$18-'Statistics NZ'!BP$18,$B$13/5*(BQ$9-BQ$10)*1000)</f>
        <v>32810.035933029561</v>
      </c>
    </row>
    <row r="19" spans="1:69">
      <c r="A19" s="105">
        <v>2</v>
      </c>
      <c r="B19" s="118">
        <f>'Statistics NZ'!B$19*('Economic Forecasts'!D$10-'Economic Forecasts'!D$9)*1000000/SUM('Statistics NZ'!B$17:B$31,'Statistics NZ'!B$110:B$124)</f>
        <v>29797.563913498663</v>
      </c>
      <c r="C19" s="118">
        <f>'Statistics NZ'!C$19*('Economic Forecasts'!E$10-'Economic Forecasts'!E$9)*1000000/SUM('Statistics NZ'!C$17:C$31,'Statistics NZ'!C$110:C$124)</f>
        <v>29649.235947492431</v>
      </c>
      <c r="D19" s="118">
        <f>'Statistics NZ'!D$19*('Economic Forecasts'!F$10-'Economic Forecasts'!F$9)*1000000/SUM('Statistics NZ'!D$17:D$31,'Statistics NZ'!D$110:D$124)</f>
        <v>30502.240957666574</v>
      </c>
      <c r="E19" s="118">
        <f>'Statistics NZ'!E$19*('Economic Forecasts'!G$10-'Economic Forecasts'!G$9)*1000000/SUM('Statistics NZ'!E$17:E$31,'Statistics NZ'!E$110:E$124)</f>
        <v>32026.506502729841</v>
      </c>
      <c r="F19" s="118">
        <f>'Statistics NZ'!F$19*('Economic Forecasts'!H$10-'Economic Forecasts'!H$9)*1000000/SUM('Statistics NZ'!F$17:F$31,'Statistics NZ'!F$110:F$124)</f>
        <v>33188.705926399016</v>
      </c>
      <c r="G19" s="118">
        <f>'Statistics NZ'!G$19*('Economic Forecasts'!I$10-'Economic Forecasts'!I$9)*1000000/SUM('Statistics NZ'!G$17:G$31,'Statistics NZ'!G$110:G$124)</f>
        <v>32581.311723819868</v>
      </c>
      <c r="H19" s="118">
        <f>'Statistics NZ'!H$19*('Economic Forecasts'!J$10-'Economic Forecasts'!J$9)*1000000/SUM('Statistics NZ'!H$17:H$31,'Statistics NZ'!H$110:H$124)</f>
        <v>33207.575757575738</v>
      </c>
      <c r="I19" s="118">
        <f>'Statistics NZ'!I$19*('Economic Forecasts'!K$10-'Economic Forecasts'!K$9)*1000000/SUM('Statistics NZ'!I$17:I$31,'Statistics NZ'!I$110:I$124)</f>
        <v>32552.848953003449</v>
      </c>
      <c r="J19" s="203">
        <f>'Statistics NZ'!J$19*('Economic Forecasts'!L$10-'Economic Forecasts'!L$9)*1000000/SUM('Statistics NZ'!J$17:J$31,'Statistics NZ'!J$110:J$124)</f>
        <v>32291.382203891801</v>
      </c>
      <c r="K19" s="203">
        <f>'Statistics NZ'!K$19*('Economic Forecasts'!M$10-'Economic Forecasts'!M$9)*1000000/SUM('Statistics NZ'!K$17:K$31,'Statistics NZ'!K$110:K$124)</f>
        <v>32098.836549375712</v>
      </c>
      <c r="L19" s="203">
        <f>'Statistics NZ'!L$19*('Economic Forecasts'!N$10-'Economic Forecasts'!N$9)*1000000/SUM('Statistics NZ'!L$17:L$31,'Statistics NZ'!L$110:L$124)</f>
        <v>30963.44345794899</v>
      </c>
      <c r="M19" s="203">
        <f>'Statistics NZ'!M$19*('Economic Forecasts'!O$10-'Economic Forecasts'!O$9)*1000000/SUM('Statistics NZ'!M$17:M$31,'Statistics NZ'!M$110:M$124)</f>
        <v>31382.239205849393</v>
      </c>
      <c r="N19" s="203">
        <f>'Statistics NZ'!N$19*('Economic Forecasts'!P$10-'Economic Forecasts'!P$9)*1000000/SUM('Statistics NZ'!N$17:N$31,'Statistics NZ'!N$110:N$124)</f>
        <v>31162.593743066329</v>
      </c>
      <c r="O19" s="203">
        <f>'Statistics NZ'!O$19*('Economic Forecasts'!Q$10-'Economic Forecasts'!Q$9)*1000000/SUM('Statistics NZ'!O$17:O$31,'Statistics NZ'!O$110:O$124)</f>
        <v>31761.068376515374</v>
      </c>
      <c r="P19" s="203">
        <f>'Statistics NZ'!P$19*('Economic Forecasts'!R$10-'Economic Forecasts'!R$9)*1000000/SUM('Statistics NZ'!P$17:P$31,'Statistics NZ'!P$110:P$124)</f>
        <v>31318.140747176403</v>
      </c>
      <c r="Q19" s="121">
        <f>SUM('Statistics NZ'!Q$19,$B$13/5*(Q$9-Q$10)*1000)*('Economic Forecasts'!S$10-'Economic Forecasts'!S$9)*1000000/SUM('Statistics NZ'!Q$17:Q$31,'Statistics NZ'!Q$110:Q$124,SUM($B$13:$D$14)*(Q$9-Q$10)*1000)</f>
        <v>30735.097781757217</v>
      </c>
      <c r="R19" s="205">
        <f>SUM('Statistics NZ'!R$19,$B$13/5*(R$9-R$10)*1000)*('Economic Forecasts'!T$10-'Economic Forecasts'!T$9)*1000000/SUM('Statistics NZ'!R$17:R$31,'Statistics NZ'!R$110:R$124,SUM($B$13:$D$14)*(R$9-R$10)*1000)</f>
        <v>30971.514392129586</v>
      </c>
      <c r="S19" s="205">
        <f>SUM('Statistics NZ'!S$19,$B$13/5*(S$9-S$10)*1000)*('Economic Forecasts'!U$10-'Economic Forecasts'!U$9)*1000000/SUM('Statistics NZ'!S$17:S$31,'Statistics NZ'!S$110:S$124,SUM($B$13:$D$14)*(S$9-S$10)*1000)</f>
        <v>30597.83819587015</v>
      </c>
      <c r="T19" s="205">
        <f>SUM('Statistics NZ'!T$19,$B$13/5*(T$9-T$10)*1000)*('Economic Forecasts'!V$10-'Economic Forecasts'!V$9)*1000000/SUM('Statistics NZ'!T$17:T$31,'Statistics NZ'!T$110:T$124,SUM($B$13:$D$14)*(T$9-T$10)*1000)</f>
        <v>30781.551629641803</v>
      </c>
      <c r="U19" s="205">
        <f>SUM('Statistics NZ'!U$19,$B$13/5*(U$9-U$10)*1000)*('Economic Forecasts'!W$10-'Economic Forecasts'!W$9)*1000000/SUM('Statistics NZ'!U$17:U$31,'Statistics NZ'!U$110:U$124,SUM($B$13:$D$14)*(U$9-U$10)*1000)</f>
        <v>31016.166020205688</v>
      </c>
      <c r="V19" s="111">
        <f>SUM(U$19,'Statistics NZ'!V$19-'Statistics NZ'!U$19,$B$13/5*(V$9-V$10)*1000)</f>
        <v>31045.192096730858</v>
      </c>
      <c r="W19" s="111">
        <f>SUM(V$19,'Statistics NZ'!W$19-'Statistics NZ'!V$19,$B$13/5*(W$9-W$10)*1000)</f>
        <v>31241.839913690379</v>
      </c>
      <c r="X19" s="111">
        <f>SUM(W$19,'Statistics NZ'!X$19-'Statistics NZ'!W$19,$B$13/5*(X$9-X$10)*1000)</f>
        <v>31396.109471084255</v>
      </c>
      <c r="Y19" s="111">
        <f>SUM(X$19,'Statistics NZ'!Y$19-'Statistics NZ'!X$19,$B$13/5*(Y$9-Y$10)*1000)</f>
        <v>31508.000768912487</v>
      </c>
      <c r="Z19" s="111">
        <f>SUM(Y$19,'Statistics NZ'!Z$19-'Statistics NZ'!Y$19,$B$13/5*(Z$9-Z$10)*1000)</f>
        <v>31597.51380717507</v>
      </c>
      <c r="AA19" s="111">
        <f>SUM(Z$19,'Statistics NZ'!AA$19-'Statistics NZ'!Z$19,$B$13/5*(AA$9-AA$10)*1000)</f>
        <v>31654.648585872008</v>
      </c>
      <c r="AB19" s="111">
        <f>SUM(AA$19,'Statistics NZ'!AB$19-'Statistics NZ'!AA$19,$B$13/5*(AB$9-AB$10)*1000)</f>
        <v>31699.405105003301</v>
      </c>
      <c r="AC19" s="111">
        <f>SUM(AB$19,'Statistics NZ'!AC$19-'Statistics NZ'!AB$19,$B$13/5*(AC$9-AC$10)*1000)</f>
        <v>31741.783364568946</v>
      </c>
      <c r="AD19" s="111">
        <f>SUM(AC$19,'Statistics NZ'!AD$19-'Statistics NZ'!AC$19,$B$13/5*(AD$9-AD$10)*1000)</f>
        <v>31771.783364568946</v>
      </c>
      <c r="AE19" s="111">
        <f>SUM(AD$19,'Statistics NZ'!AE$19-'Statistics NZ'!AD$19,$B$13/5*(AE$9-AE$10)*1000)</f>
        <v>31821.783364568946</v>
      </c>
      <c r="AF19" s="111">
        <f>SUM(AE$19,'Statistics NZ'!AF$19-'Statistics NZ'!AE$19,$B$13/5*(AF$9-AF$10)*1000)</f>
        <v>31881.783364568946</v>
      </c>
      <c r="AG19" s="111">
        <f>SUM(AF$19,'Statistics NZ'!AG$19-'Statistics NZ'!AF$19,$B$13/5*(AG$9-AG$10)*1000)</f>
        <v>31961.783364568946</v>
      </c>
      <c r="AH19" s="111">
        <f>SUM(AG$19,'Statistics NZ'!AH$19-'Statistics NZ'!AG$19,$B$13/5*(AH$9-AH$10)*1000)</f>
        <v>32071.783364568946</v>
      </c>
      <c r="AI19" s="111">
        <f>SUM(AH$19,'Statistics NZ'!AI$19-'Statistics NZ'!AH$19,$B$13/5*(AI$9-AI$10)*1000)</f>
        <v>32211.783364568946</v>
      </c>
      <c r="AJ19" s="111">
        <f>SUM(AI$19,'Statistics NZ'!AJ$19-'Statistics NZ'!AI$19,$B$13/5*(AJ$9-AJ$10)*1000)</f>
        <v>32351.783364568946</v>
      </c>
      <c r="AK19" s="111">
        <f>SUM(AJ$19,'Statistics NZ'!AK$19-'Statistics NZ'!AJ$19,$B$13/5*(AK$9-AK$10)*1000)</f>
        <v>32511.783364568946</v>
      </c>
      <c r="AL19" s="111">
        <f>SUM(AK$19,'Statistics NZ'!AL$19-'Statistics NZ'!AK$19,$B$13/5*(AL$9-AL$10)*1000)</f>
        <v>32671.783364568946</v>
      </c>
      <c r="AM19" s="111">
        <f>SUM(AL$19,'Statistics NZ'!AM$19-'Statistics NZ'!AL$19,$B$13/5*(AM$9-AM$10)*1000)</f>
        <v>32811.783364568946</v>
      </c>
      <c r="AN19" s="111">
        <f>SUM(AM$19,'Statistics NZ'!AN$19-'Statistics NZ'!AM$19,$B$13/5*(AN$9-AN$10)*1000)</f>
        <v>32941.783364568946</v>
      </c>
      <c r="AO19" s="111">
        <f>SUM(AN$19,'Statistics NZ'!AO$19-'Statistics NZ'!AN$19,$B$13/5*(AO$9-AO$10)*1000)</f>
        <v>33031.783364568946</v>
      </c>
      <c r="AP19" s="111">
        <f>SUM(AO$19,'Statistics NZ'!AP$19-'Statistics NZ'!AO$19,$B$13/5*(AP$9-AP$10)*1000)</f>
        <v>33091.783364568946</v>
      </c>
      <c r="AQ19" s="111">
        <f>SUM(AP$19,'Statistics NZ'!AQ$19-'Statistics NZ'!AP$19,$B$13/5*(AQ$9-AQ$10)*1000)</f>
        <v>33121.783364568946</v>
      </c>
      <c r="AR19" s="111">
        <f>SUM(AQ$19,'Statistics NZ'!AR$19-'Statistics NZ'!AQ$19,$B$13/5*(AR$9-AR$10)*1000)</f>
        <v>33121.783364568946</v>
      </c>
      <c r="AS19" s="111">
        <f>SUM(AR$19,'Statistics NZ'!AS$19-'Statistics NZ'!AR$19,$B$13/5*(AS$9-AS$10)*1000)</f>
        <v>33091.783364568946</v>
      </c>
      <c r="AT19" s="111">
        <f>SUM(AS$19,'Statistics NZ'!AT$19-'Statistics NZ'!AS$19,$B$13/5*(AT$9-AT$10)*1000)</f>
        <v>33031.783364568946</v>
      </c>
      <c r="AU19" s="111">
        <f>SUM(AT$19,'Statistics NZ'!AU$19-'Statistics NZ'!AT$19,$B$13/5*(AU$9-AU$10)*1000)</f>
        <v>32961.783364568946</v>
      </c>
      <c r="AV19" s="111">
        <f>SUM(AU$19,'Statistics NZ'!AV$19-'Statistics NZ'!AU$19,$B$13/5*(AV$9-AV$10)*1000)</f>
        <v>32861.783364568946</v>
      </c>
      <c r="AW19" s="111">
        <f>SUM(AV$19,'Statistics NZ'!AW$19-'Statistics NZ'!AV$19,$B$13/5*(AW$9-AW$10)*1000)</f>
        <v>32761.783364568946</v>
      </c>
      <c r="AX19" s="111">
        <f>SUM(AW$19,'Statistics NZ'!AX$19-'Statistics NZ'!AW$19,$B$13/5*(AX$9-AX$10)*1000)</f>
        <v>32661.783364568946</v>
      </c>
      <c r="AY19" s="111">
        <f>SUM(AX$19,'Statistics NZ'!AY$19-'Statistics NZ'!AX$19,$B$13/5*(AY$9-AY$10)*1000)</f>
        <v>32571.783364568946</v>
      </c>
      <c r="AZ19" s="111">
        <f>SUM(AY$19,'Statistics NZ'!AZ$19-'Statistics NZ'!AY$19,$B$13/5*(AZ$9-AZ$10)*1000)</f>
        <v>32481.783364568946</v>
      </c>
      <c r="BA19" s="111">
        <f>SUM(AZ$19,'Statistics NZ'!BA$19-'Statistics NZ'!AZ$19,$B$13/5*(BA$9-BA$10)*1000)</f>
        <v>32411.783364568946</v>
      </c>
      <c r="BB19" s="111">
        <f>SUM(BA$19,'Statistics NZ'!BB$19-'Statistics NZ'!BA$19,$B$13/5*(BB$9-BB$10)*1000)</f>
        <v>32351.783364568946</v>
      </c>
      <c r="BC19" s="111">
        <f>SUM(BB$19,'Statistics NZ'!BC$19-'Statistics NZ'!BB$19,$B$13/5*(BC$9-BC$10)*1000)</f>
        <v>32321.783364568946</v>
      </c>
      <c r="BD19" s="111">
        <f>SUM(BC$19,'Statistics NZ'!BD$19-'Statistics NZ'!BC$19,$B$13/5*(BD$9-BD$10)*1000)</f>
        <v>32291.783364568946</v>
      </c>
      <c r="BE19" s="111">
        <f>SUM(BD$19,'Statistics NZ'!BE$19-'Statistics NZ'!BD$19,$B$13/5*(BE$9-BE$10)*1000)</f>
        <v>32291.783364568946</v>
      </c>
      <c r="BF19" s="111">
        <f>SUM(BE$19,'Statistics NZ'!BF$19-'Statistics NZ'!BE$19,$B$13/5*(BF$9-BF$10)*1000)</f>
        <v>32301.783364568946</v>
      </c>
      <c r="BG19" s="111">
        <f>SUM(BF$19,'Statistics NZ'!BG$19-'Statistics NZ'!BF$19,$B$13/5*(BG$9-BG$10)*1000)</f>
        <v>32321.783364568946</v>
      </c>
      <c r="BH19" s="111">
        <f>SUM(BG$19,'Statistics NZ'!BH$19-'Statistics NZ'!BG$19,$B$13/5*(BH$9-BH$10)*1000)</f>
        <v>32351.783364568946</v>
      </c>
      <c r="BI19" s="111">
        <f>SUM(BH$19,'Statistics NZ'!BI$19-'Statistics NZ'!BH$19,$B$13/5*(BI$9-BI$10)*1000)</f>
        <v>32391.783364568946</v>
      </c>
      <c r="BJ19" s="111">
        <f>SUM(BI$19,'Statistics NZ'!BJ$19-'Statistics NZ'!BI$19,$B$13/5*(BJ$9-BJ$10)*1000)</f>
        <v>32441.783364568946</v>
      </c>
      <c r="BK19" s="111">
        <f>SUM(BJ$19,'Statistics NZ'!BK$19-'Statistics NZ'!BJ$19,$B$13/5*(BK$9-BK$10)*1000)</f>
        <v>32501.783364568946</v>
      </c>
      <c r="BL19" s="111">
        <f>SUM(BK$19,'Statistics NZ'!BL$19-'Statistics NZ'!BK$19,$B$13/5*(BL$9-BL$10)*1000)</f>
        <v>32561.783364568946</v>
      </c>
      <c r="BM19" s="195">
        <f>SUM(BL$19,'Statistics NZ'!BM$19-'Statistics NZ'!BL$19,$B$13/5*(BM$9-BM$10)*1000)</f>
        <v>32621.783364568946</v>
      </c>
      <c r="BN19" s="195">
        <f>SUM(BM$19,'Statistics NZ'!BN$19-'Statistics NZ'!BM$19,$B$13/5*(BN$9-BN$10)*1000)</f>
        <v>32681.783364568946</v>
      </c>
      <c r="BO19" s="195">
        <f>SUM(BN$19,'Statistics NZ'!BO$19-'Statistics NZ'!BN$19,$B$13/5*(BO$9-BO$10)*1000)</f>
        <v>32751.783364568946</v>
      </c>
      <c r="BP19" s="195">
        <f>SUM(BO$19,'Statistics NZ'!BP$19-'Statistics NZ'!BO$19,$B$13/5*(BP$9-BP$10)*1000)</f>
        <v>32811.783364568946</v>
      </c>
      <c r="BQ19" s="195">
        <f>SUM(BP$19,'Statistics NZ'!BQ$19-'Statistics NZ'!BP$19,$B$13/5*(BQ$9-BQ$10)*1000)</f>
        <v>32871.783364568946</v>
      </c>
    </row>
    <row r="20" spans="1:69">
      <c r="A20" s="105">
        <v>3</v>
      </c>
      <c r="B20" s="118">
        <f>'Statistics NZ'!B$20*('Economic Forecasts'!D$10-'Economic Forecasts'!D$9)*1000000/SUM('Statistics NZ'!B$17:B$31,'Statistics NZ'!B$110:B$124)</f>
        <v>28877.624928234509</v>
      </c>
      <c r="C20" s="118">
        <f>'Statistics NZ'!C$20*('Economic Forecasts'!E$10-'Economic Forecasts'!E$9)*1000000/SUM('Statistics NZ'!C$17:C$31,'Statistics NZ'!C$110:C$124)</f>
        <v>29818.057219791321</v>
      </c>
      <c r="D20" s="118">
        <f>'Statistics NZ'!D$20*('Economic Forecasts'!F$10-'Economic Forecasts'!F$9)*1000000/SUM('Statistics NZ'!D$17:D$31,'Statistics NZ'!D$110:D$124)</f>
        <v>29678.141617625701</v>
      </c>
      <c r="E20" s="118">
        <f>'Statistics NZ'!E$20*('Economic Forecasts'!G$10-'Economic Forecasts'!G$9)*1000000/SUM('Statistics NZ'!E$17:E$31,'Statistics NZ'!E$110:E$124)</f>
        <v>30638.196657641285</v>
      </c>
      <c r="F20" s="118">
        <f>'Statistics NZ'!F$20*('Economic Forecasts'!H$10-'Economic Forecasts'!H$9)*1000000/SUM('Statistics NZ'!F$17:F$31,'Statistics NZ'!F$110:F$124)</f>
        <v>32066.177902085587</v>
      </c>
      <c r="G20" s="118">
        <f>'Statistics NZ'!G$20*('Economic Forecasts'!I$10-'Economic Forecasts'!I$9)*1000000/SUM('Statistics NZ'!G$17:G$31,'Statistics NZ'!G$110:G$124)</f>
        <v>33131.922126692356</v>
      </c>
      <c r="H20" s="118">
        <f>'Statistics NZ'!H$20*('Economic Forecasts'!J$10-'Economic Forecasts'!J$9)*1000000/SUM('Statistics NZ'!H$17:H$31,'Statistics NZ'!H$110:H$124)</f>
        <v>32528.787878787865</v>
      </c>
      <c r="I20" s="118">
        <f>'Statistics NZ'!I$20*('Economic Forecasts'!K$10-'Economic Forecasts'!K$9)*1000000/SUM('Statistics NZ'!I$17:I$31,'Statistics NZ'!I$110:I$124)</f>
        <v>33340.589575149381</v>
      </c>
      <c r="J20" s="203">
        <f>'Statistics NZ'!J$20*('Economic Forecasts'!L$10-'Economic Forecasts'!L$9)*1000000/SUM('Statistics NZ'!J$17:J$31,'Statistics NZ'!J$110:J$124)</f>
        <v>32923.286532259837</v>
      </c>
      <c r="K20" s="203">
        <f>'Statistics NZ'!K$20*('Economic Forecasts'!M$10-'Economic Forecasts'!M$9)*1000000/SUM('Statistics NZ'!K$17:K$31,'Statistics NZ'!K$110:K$124)</f>
        <v>32678.547978695544</v>
      </c>
      <c r="L20" s="203">
        <f>'Statistics NZ'!L$20*('Economic Forecasts'!N$10-'Economic Forecasts'!N$9)*1000000/SUM('Statistics NZ'!L$17:L$31,'Statistics NZ'!L$110:L$124)</f>
        <v>32454.630965383756</v>
      </c>
      <c r="M20" s="203">
        <f>'Statistics NZ'!M$20*('Economic Forecasts'!O$10-'Economic Forecasts'!O$9)*1000000/SUM('Statistics NZ'!M$17:M$31,'Statistics NZ'!M$110:M$124)</f>
        <v>31531.323477611149</v>
      </c>
      <c r="N20" s="203">
        <f>'Statistics NZ'!N$20*('Economic Forecasts'!P$10-'Economic Forecasts'!P$9)*1000000/SUM('Statistics NZ'!N$17:N$31,'Statistics NZ'!N$110:N$124)</f>
        <v>31754.757044597285</v>
      </c>
      <c r="O20" s="203">
        <f>'Statistics NZ'!O$20*('Economic Forecasts'!Q$10-'Economic Forecasts'!Q$9)*1000000/SUM('Statistics NZ'!O$17:O$31,'Statistics NZ'!O$110:O$124)</f>
        <v>31697.609698440418</v>
      </c>
      <c r="P20" s="203">
        <f>'Statistics NZ'!P$20*('Economic Forecasts'!R$10-'Economic Forecasts'!R$9)*1000000/SUM('Statistics NZ'!P$17:P$31,'Statistics NZ'!P$110:P$124)</f>
        <v>32343.059658268208</v>
      </c>
      <c r="Q20" s="121">
        <f>SUM('Statistics NZ'!Q$20,$B$13/5*(Q$9-Q$10)*1000)*('Economic Forecasts'!S$10-'Economic Forecasts'!S$9)*1000000/SUM('Statistics NZ'!Q$17:Q$31,'Statistics NZ'!Q$110:Q$124,SUM($B$13:$D$14)*(Q$9-Q$10)*1000)</f>
        <v>31334.689178905748</v>
      </c>
      <c r="R20" s="205">
        <f>SUM('Statistics NZ'!R$20,$B$13/5*(R$9-R$10)*1000)*('Economic Forecasts'!T$10-'Economic Forecasts'!T$9)*1000000/SUM('Statistics NZ'!R$17:R$31,'Statistics NZ'!R$110:R$124,SUM($B$13:$D$14)*(R$9-R$10)*1000)</f>
        <v>30971.514392129586</v>
      </c>
      <c r="S20" s="205">
        <f>SUM('Statistics NZ'!S$20,$B$13/5*(S$9-S$10)*1000)*('Economic Forecasts'!U$10-'Economic Forecasts'!U$9)*1000000/SUM('Statistics NZ'!S$17:S$31,'Statistics NZ'!S$110:S$124,SUM($B$13:$D$14)*(S$9-S$10)*1000)</f>
        <v>31315.245912815888</v>
      </c>
      <c r="T20" s="205">
        <f>SUM('Statistics NZ'!T$20,$B$13/5*(T$9-T$10)*1000)*('Economic Forecasts'!V$10-'Economic Forecasts'!V$9)*1000000/SUM('Statistics NZ'!T$17:T$31,'Statistics NZ'!T$110:T$124,SUM($B$13:$D$14)*(T$9-T$10)*1000)</f>
        <v>30940.646455580722</v>
      </c>
      <c r="U20" s="205">
        <f>SUM('Statistics NZ'!U$20,$B$13/5*(U$9-U$10)*1000)*('Economic Forecasts'!W$10-'Economic Forecasts'!W$9)*1000000/SUM('Statistics NZ'!U$17:U$31,'Statistics NZ'!U$110:U$124,SUM($B$13:$D$14)*(U$9-U$10)*1000)</f>
        <v>31197.913451745069</v>
      </c>
      <c r="V20" s="111">
        <f>SUM(U$20,'Statistics NZ'!V$20-'Statistics NZ'!U$20,$B$13/5*(V$9-V$10)*1000)</f>
        <v>31236.939528270239</v>
      </c>
      <c r="W20" s="111">
        <f>SUM(V$20,'Statistics NZ'!W$20-'Statistics NZ'!V$20,$B$13/5*(W$9-W$10)*1000)</f>
        <v>31253.58734522976</v>
      </c>
      <c r="X20" s="111">
        <f>SUM(W$20,'Statistics NZ'!X$20-'Statistics NZ'!W$20,$B$13/5*(X$9-X$10)*1000)</f>
        <v>31447.856902623636</v>
      </c>
      <c r="Y20" s="111">
        <f>SUM(X$20,'Statistics NZ'!Y$20-'Statistics NZ'!X$20,$B$13/5*(Y$9-Y$10)*1000)</f>
        <v>31579.748200451868</v>
      </c>
      <c r="Z20" s="111">
        <f>SUM(Y$20,'Statistics NZ'!Z$20-'Statistics NZ'!Y$20,$B$13/5*(Z$9-Z$10)*1000)</f>
        <v>31689.261238714451</v>
      </c>
      <c r="AA20" s="111">
        <f>SUM(Z$20,'Statistics NZ'!AA$20-'Statistics NZ'!Z$20,$B$13/5*(AA$9-AA$10)*1000)</f>
        <v>31756.396017411389</v>
      </c>
      <c r="AB20" s="111">
        <f>SUM(AA$20,'Statistics NZ'!AB$20-'Statistics NZ'!AA$20,$B$13/5*(AB$9-AB$10)*1000)</f>
        <v>31811.152536542682</v>
      </c>
      <c r="AC20" s="111">
        <f>SUM(AB$20,'Statistics NZ'!AC$20-'Statistics NZ'!AB$20,$B$13/5*(AC$9-AC$10)*1000)</f>
        <v>31843.530796108327</v>
      </c>
      <c r="AD20" s="111">
        <f>SUM(AC$20,'Statistics NZ'!AD$20-'Statistics NZ'!AC$20,$B$13/5*(AD$9-AD$10)*1000)</f>
        <v>31863.530796108327</v>
      </c>
      <c r="AE20" s="111">
        <f>SUM(AD$20,'Statistics NZ'!AE$20-'Statistics NZ'!AD$20,$B$13/5*(AE$9-AE$10)*1000)</f>
        <v>31903.530796108327</v>
      </c>
      <c r="AF20" s="111">
        <f>SUM(AE$20,'Statistics NZ'!AF$20-'Statistics NZ'!AE$20,$B$13/5*(AF$9-AF$10)*1000)</f>
        <v>31943.530796108327</v>
      </c>
      <c r="AG20" s="111">
        <f>SUM(AF$20,'Statistics NZ'!AG$20-'Statistics NZ'!AF$20,$B$13/5*(AG$9-AG$10)*1000)</f>
        <v>32003.530796108327</v>
      </c>
      <c r="AH20" s="111">
        <f>SUM(AG$20,'Statistics NZ'!AH$20-'Statistics NZ'!AG$20,$B$13/5*(AH$9-AH$10)*1000)</f>
        <v>32093.530796108327</v>
      </c>
      <c r="AI20" s="111">
        <f>SUM(AH$20,'Statistics NZ'!AI$20-'Statistics NZ'!AH$20,$B$13/5*(AI$9-AI$10)*1000)</f>
        <v>32203.530796108327</v>
      </c>
      <c r="AJ20" s="111">
        <f>SUM(AI$20,'Statistics NZ'!AJ$20-'Statistics NZ'!AI$20,$B$13/5*(AJ$9-AJ$10)*1000)</f>
        <v>32333.530796108327</v>
      </c>
      <c r="AK20" s="111">
        <f>SUM(AJ$20,'Statistics NZ'!AK$20-'Statistics NZ'!AJ$20,$B$13/5*(AK$9-AK$10)*1000)</f>
        <v>32483.530796108327</v>
      </c>
      <c r="AL20" s="111">
        <f>SUM(AK$20,'Statistics NZ'!AL$20-'Statistics NZ'!AK$20,$B$13/5*(AL$9-AL$10)*1000)</f>
        <v>32643.530796108327</v>
      </c>
      <c r="AM20" s="111">
        <f>SUM(AL$20,'Statistics NZ'!AM$20-'Statistics NZ'!AL$20,$B$13/5*(AM$9-AM$10)*1000)</f>
        <v>32803.530796108331</v>
      </c>
      <c r="AN20" s="111">
        <f>SUM(AM$20,'Statistics NZ'!AN$20-'Statistics NZ'!AM$20,$B$13/5*(AN$9-AN$10)*1000)</f>
        <v>32943.530796108331</v>
      </c>
      <c r="AO20" s="111">
        <f>SUM(AN$20,'Statistics NZ'!AO$20-'Statistics NZ'!AN$20,$B$13/5*(AO$9-AO$10)*1000)</f>
        <v>33063.530796108331</v>
      </c>
      <c r="AP20" s="111">
        <f>SUM(AO$20,'Statistics NZ'!AP$20-'Statistics NZ'!AO$20,$B$13/5*(AP$9-AP$10)*1000)</f>
        <v>33163.530796108331</v>
      </c>
      <c r="AQ20" s="111">
        <f>SUM(AP$20,'Statistics NZ'!AQ$20-'Statistics NZ'!AP$20,$B$13/5*(AQ$9-AQ$10)*1000)</f>
        <v>33223.530796108331</v>
      </c>
      <c r="AR20" s="111">
        <f>SUM(AQ$20,'Statistics NZ'!AR$20-'Statistics NZ'!AQ$20,$B$13/5*(AR$9-AR$10)*1000)</f>
        <v>33253.530796108331</v>
      </c>
      <c r="AS20" s="111">
        <f>SUM(AR$20,'Statistics NZ'!AS$20-'Statistics NZ'!AR$20,$B$13/5*(AS$9-AS$10)*1000)</f>
        <v>33253.530796108331</v>
      </c>
      <c r="AT20" s="111">
        <f>SUM(AS$20,'Statistics NZ'!AT$20-'Statistics NZ'!AS$20,$B$13/5*(AT$9-AT$10)*1000)</f>
        <v>33223.530796108331</v>
      </c>
      <c r="AU20" s="111">
        <f>SUM(AT$20,'Statistics NZ'!AU$20-'Statistics NZ'!AT$20,$B$13/5*(AU$9-AU$10)*1000)</f>
        <v>33163.530796108331</v>
      </c>
      <c r="AV20" s="111">
        <f>SUM(AU$20,'Statistics NZ'!AV$20-'Statistics NZ'!AU$20,$B$13/5*(AV$9-AV$10)*1000)</f>
        <v>33083.530796108331</v>
      </c>
      <c r="AW20" s="111">
        <f>SUM(AV$20,'Statistics NZ'!AW$20-'Statistics NZ'!AV$20,$B$13/5*(AW$9-AW$10)*1000)</f>
        <v>32993.530796108331</v>
      </c>
      <c r="AX20" s="111">
        <f>SUM(AW$20,'Statistics NZ'!AX$20-'Statistics NZ'!AW$20,$B$13/5*(AX$9-AX$10)*1000)</f>
        <v>32893.530796108331</v>
      </c>
      <c r="AY20" s="111">
        <f>SUM(AX$20,'Statistics NZ'!AY$20-'Statistics NZ'!AX$20,$B$13/5*(AY$9-AY$10)*1000)</f>
        <v>32793.530796108331</v>
      </c>
      <c r="AZ20" s="111">
        <f>SUM(AY$20,'Statistics NZ'!AZ$20-'Statistics NZ'!AY$20,$B$13/5*(AZ$9-AZ$10)*1000)</f>
        <v>32693.530796108331</v>
      </c>
      <c r="BA20" s="111">
        <f>SUM(AZ$20,'Statistics NZ'!BA$20-'Statistics NZ'!AZ$20,$B$13/5*(BA$9-BA$10)*1000)</f>
        <v>32613.530796108331</v>
      </c>
      <c r="BB20" s="111">
        <f>SUM(BA$20,'Statistics NZ'!BB$20-'Statistics NZ'!BA$20,$B$13/5*(BB$9-BB$10)*1000)</f>
        <v>32543.530796108331</v>
      </c>
      <c r="BC20" s="111">
        <f>SUM(BB$20,'Statistics NZ'!BC$20-'Statistics NZ'!BB$20,$B$13/5*(BC$9-BC$10)*1000)</f>
        <v>32483.530796108331</v>
      </c>
      <c r="BD20" s="111">
        <f>SUM(BC$20,'Statistics NZ'!BD$20-'Statistics NZ'!BC$20,$B$13/5*(BD$9-BD$10)*1000)</f>
        <v>32443.530796108331</v>
      </c>
      <c r="BE20" s="111">
        <f>SUM(BD$20,'Statistics NZ'!BE$20-'Statistics NZ'!BD$20,$B$13/5*(BE$9-BE$10)*1000)</f>
        <v>32423.530796108331</v>
      </c>
      <c r="BF20" s="111">
        <f>SUM(BE$20,'Statistics NZ'!BF$20-'Statistics NZ'!BE$20,$B$13/5*(BF$9-BF$10)*1000)</f>
        <v>32423.530796108331</v>
      </c>
      <c r="BG20" s="111">
        <f>SUM(BF$20,'Statistics NZ'!BG$20-'Statistics NZ'!BF$20,$B$13/5*(BG$9-BG$10)*1000)</f>
        <v>32433.530796108331</v>
      </c>
      <c r="BH20" s="111">
        <f>SUM(BG$20,'Statistics NZ'!BH$20-'Statistics NZ'!BG$20,$B$13/5*(BH$9-BH$10)*1000)</f>
        <v>32453.530796108331</v>
      </c>
      <c r="BI20" s="111">
        <f>SUM(BH$20,'Statistics NZ'!BI$20-'Statistics NZ'!BH$20,$B$13/5*(BI$9-BI$10)*1000)</f>
        <v>32483.530796108331</v>
      </c>
      <c r="BJ20" s="111">
        <f>SUM(BI$20,'Statistics NZ'!BJ$20-'Statistics NZ'!BI$20,$B$13/5*(BJ$9-BJ$10)*1000)</f>
        <v>32523.530796108331</v>
      </c>
      <c r="BK20" s="111">
        <f>SUM(BJ$20,'Statistics NZ'!BK$20-'Statistics NZ'!BJ$20,$B$13/5*(BK$9-BK$10)*1000)</f>
        <v>32573.530796108331</v>
      </c>
      <c r="BL20" s="111">
        <f>SUM(BK$20,'Statistics NZ'!BL$20-'Statistics NZ'!BK$20,$B$13/5*(BL$9-BL$10)*1000)</f>
        <v>32623.530796108331</v>
      </c>
      <c r="BM20" s="195">
        <f>SUM(BL$20,'Statistics NZ'!BM$20-'Statistics NZ'!BL$20,$B$13/5*(BM$9-BM$10)*1000)</f>
        <v>32683.530796108331</v>
      </c>
      <c r="BN20" s="195">
        <f>SUM(BM$20,'Statistics NZ'!BN$20-'Statistics NZ'!BM$20,$B$13/5*(BN$9-BN$10)*1000)</f>
        <v>32753.530796108331</v>
      </c>
      <c r="BO20" s="195">
        <f>SUM(BN$20,'Statistics NZ'!BO$20-'Statistics NZ'!BN$20,$B$13/5*(BO$9-BO$10)*1000)</f>
        <v>32813.530796108331</v>
      </c>
      <c r="BP20" s="195">
        <f>SUM(BO$20,'Statistics NZ'!BP$20-'Statistics NZ'!BO$20,$B$13/5*(BP$9-BP$10)*1000)</f>
        <v>32873.530796108331</v>
      </c>
      <c r="BQ20" s="195">
        <f>SUM(BP$20,'Statistics NZ'!BQ$20-'Statistics NZ'!BP$20,$B$13/5*(BQ$9-BQ$10)*1000)</f>
        <v>32943.530796108331</v>
      </c>
    </row>
    <row r="21" spans="1:69">
      <c r="A21" s="105">
        <v>4</v>
      </c>
      <c r="B21" s="118">
        <f>'Statistics NZ'!B$21*('Economic Forecasts'!D$10-'Economic Forecasts'!D$9)*1000000/SUM('Statistics NZ'!B$17:B$31,'Statistics NZ'!B$110:B$124)</f>
        <v>28972.791030158387</v>
      </c>
      <c r="C21" s="118">
        <f>'Statistics NZ'!C$21*('Economic Forecasts'!E$10-'Economic Forecasts'!E$9)*1000000/SUM('Statistics NZ'!C$17:C$31,'Statistics NZ'!C$110:C$124)</f>
        <v>28973.950858296874</v>
      </c>
      <c r="D21" s="118">
        <f>'Statistics NZ'!D$21*('Economic Forecasts'!F$10-'Economic Forecasts'!F$9)*1000000/SUM('Statistics NZ'!D$17:D$31,'Statistics NZ'!D$110:D$124)</f>
        <v>29910.579893021844</v>
      </c>
      <c r="E21" s="118">
        <f>'Statistics NZ'!E$21*('Economic Forecasts'!G$10-'Economic Forecasts'!G$9)*1000000/SUM('Statistics NZ'!E$17:E$31,'Statistics NZ'!E$110:E$124)</f>
        <v>29875.156132096432</v>
      </c>
      <c r="F21" s="118">
        <f>'Statistics NZ'!F$21*('Economic Forecasts'!H$10-'Economic Forecasts'!H$9)*1000000/SUM('Statistics NZ'!F$17:F$31,'Statistics NZ'!F$110:F$124)</f>
        <v>30742.442024357482</v>
      </c>
      <c r="G21" s="118">
        <f>'Statistics NZ'!G$21*('Economic Forecasts'!I$10-'Economic Forecasts'!I$9)*1000000/SUM('Statistics NZ'!G$17:G$31,'Statistics NZ'!G$110:G$124)</f>
        <v>32030.701320947388</v>
      </c>
      <c r="H21" s="118">
        <f>'Statistics NZ'!H$21*('Economic Forecasts'!J$10-'Economic Forecasts'!J$9)*1000000/SUM('Statistics NZ'!H$17:H$31,'Statistics NZ'!H$110:H$124)</f>
        <v>33027.272727272713</v>
      </c>
      <c r="I21" s="118">
        <f>'Statistics NZ'!I$21*('Economic Forecasts'!K$10-'Economic Forecasts'!K$9)*1000000/SUM('Statistics NZ'!I$17:I$31,'Statistics NZ'!I$110:I$124)</f>
        <v>32520.913522375911</v>
      </c>
      <c r="J21" s="203">
        <f>'Statistics NZ'!J$21*('Economic Forecasts'!L$10-'Economic Forecasts'!L$9)*1000000/SUM('Statistics NZ'!J$17:J$31,'Statistics NZ'!J$110:J$124)</f>
        <v>33694.424017725905</v>
      </c>
      <c r="K21" s="203">
        <f>'Statistics NZ'!K$21*('Economic Forecasts'!M$10-'Economic Forecasts'!M$9)*1000000/SUM('Statistics NZ'!K$17:K$31,'Statistics NZ'!K$110:K$124)</f>
        <v>33322.67178905091</v>
      </c>
      <c r="L21" s="203">
        <f>'Statistics NZ'!L$21*('Economic Forecasts'!N$10-'Economic Forecasts'!N$9)*1000000/SUM('Statistics NZ'!L$17:L$31,'Statistics NZ'!L$110:L$124)</f>
        <v>32891.335878275364</v>
      </c>
      <c r="M21" s="203">
        <f>'Statistics NZ'!M$21*('Economic Forecasts'!O$10-'Economic Forecasts'!O$9)*1000000/SUM('Statistics NZ'!M$17:M$31,'Statistics NZ'!M$110:M$124)</f>
        <v>32990.219565565458</v>
      </c>
      <c r="N21" s="203">
        <f>'Statistics NZ'!N$21*('Economic Forecasts'!P$10-'Economic Forecasts'!P$9)*1000000/SUM('Statistics NZ'!N$17:N$31,'Statistics NZ'!N$110:N$124)</f>
        <v>31828.777457288648</v>
      </c>
      <c r="O21" s="203">
        <f>'Statistics NZ'!O$21*('Economic Forecasts'!Q$10-'Economic Forecasts'!Q$9)*1000000/SUM('Statistics NZ'!O$17:O$31,'Statistics NZ'!O$110:O$124)</f>
        <v>32279.314247460847</v>
      </c>
      <c r="P21" s="203">
        <f>'Statistics NZ'!P$21*('Economic Forecasts'!R$10-'Economic Forecasts'!R$9)*1000000/SUM('Statistics NZ'!P$17:P$31,'Statistics NZ'!P$110:P$124)</f>
        <v>32237.397914856683</v>
      </c>
      <c r="Q21" s="121">
        <f>SUM('Statistics NZ'!Q$21,$B$13/5*(Q$9-Q$10)*1000)*('Economic Forecasts'!S$10-'Economic Forecasts'!S$9)*1000000/SUM('Statistics NZ'!Q$17:Q$31,'Statistics NZ'!Q$110:Q$124,SUM($B$13:$D$14)*(Q$9-Q$10)*1000)</f>
        <v>32344.527321471691</v>
      </c>
      <c r="R21" s="205">
        <f>SUM('Statistics NZ'!R$21,$B$13/5*(R$9-R$10)*1000)*('Economic Forecasts'!T$10-'Economic Forecasts'!T$9)*1000000/SUM('Statistics NZ'!R$17:R$31,'Statistics NZ'!R$110:R$124,SUM($B$13:$D$14)*(R$9-R$10)*1000)</f>
        <v>31560.9562532042</v>
      </c>
      <c r="S21" s="205">
        <f>SUM('Statistics NZ'!S$21,$B$13/5*(S$9-S$10)*1000)*('Economic Forecasts'!U$10-'Economic Forecasts'!U$9)*1000000/SUM('Statistics NZ'!S$17:S$31,'Statistics NZ'!S$110:S$124,SUM($B$13:$D$14)*(S$9-S$10)*1000)</f>
        <v>31304.695799331388</v>
      </c>
      <c r="T21" s="205">
        <f>SUM('Statistics NZ'!T$21,$B$13/5*(T$9-T$10)*1000)*('Economic Forecasts'!V$10-'Economic Forecasts'!V$9)*1000000/SUM('Statistics NZ'!T$17:T$31,'Statistics NZ'!T$110:T$124,SUM($B$13:$D$14)*(T$9-T$10)*1000)</f>
        <v>31683.088976629024</v>
      </c>
      <c r="U21" s="205">
        <f>SUM('Statistics NZ'!U$21,$B$13/5*(U$9-U$10)*1000)*('Economic Forecasts'!W$10-'Economic Forecasts'!W$9)*1000000/SUM('Statistics NZ'!U$17:U$31,'Statistics NZ'!U$110:U$124,SUM($B$13:$D$14)*(U$9-U$10)*1000)</f>
        <v>31390.351908669119</v>
      </c>
      <c r="V21" s="111">
        <f>SUM(U$21,'Statistics NZ'!V$21-'Statistics NZ'!U$21,$B$13/5*(V$9-V$10)*1000)</f>
        <v>31449.377985194289</v>
      </c>
      <c r="W21" s="111">
        <f>SUM(V$21,'Statistics NZ'!W$21-'Statistics NZ'!V$21,$B$13/5*(W$9-W$10)*1000)</f>
        <v>31476.02580215381</v>
      </c>
      <c r="X21" s="111">
        <f>SUM(W$21,'Statistics NZ'!X$21-'Statistics NZ'!W$21,$B$13/5*(X$9-X$10)*1000)</f>
        <v>31480.295359547687</v>
      </c>
      <c r="Y21" s="111">
        <f>SUM(X$21,'Statistics NZ'!Y$21-'Statistics NZ'!X$21,$B$13/5*(Y$9-Y$10)*1000)</f>
        <v>31652.186657375918</v>
      </c>
      <c r="Z21" s="111">
        <f>SUM(Y$21,'Statistics NZ'!Z$21-'Statistics NZ'!Y$21,$B$13/5*(Z$9-Z$10)*1000)</f>
        <v>31781.699695638501</v>
      </c>
      <c r="AA21" s="111">
        <f>SUM(Z$21,'Statistics NZ'!AA$21-'Statistics NZ'!Z$21,$B$13/5*(AA$9-AA$10)*1000)</f>
        <v>31878.834474335439</v>
      </c>
      <c r="AB21" s="111">
        <f>SUM(AA$21,'Statistics NZ'!AB$21-'Statistics NZ'!AA$21,$B$13/5*(AB$9-AB$10)*1000)</f>
        <v>31933.590993466732</v>
      </c>
      <c r="AC21" s="111">
        <f>SUM(AB$21,'Statistics NZ'!AC$21-'Statistics NZ'!AB$21,$B$13/5*(AC$9-AC$10)*1000)</f>
        <v>31965.969253032377</v>
      </c>
      <c r="AD21" s="111">
        <f>SUM(AC$21,'Statistics NZ'!AD$21-'Statistics NZ'!AC$21,$B$13/5*(AD$9-AD$10)*1000)</f>
        <v>31995.969253032377</v>
      </c>
      <c r="AE21" s="111">
        <f>SUM(AD$21,'Statistics NZ'!AE$21-'Statistics NZ'!AD$21,$B$13/5*(AE$9-AE$10)*1000)</f>
        <v>32015.969253032377</v>
      </c>
      <c r="AF21" s="111">
        <f>SUM(AE$21,'Statistics NZ'!AF$21-'Statistics NZ'!AE$21,$B$13/5*(AF$9-AF$10)*1000)</f>
        <v>32055.969253032377</v>
      </c>
      <c r="AG21" s="111">
        <f>SUM(AF$21,'Statistics NZ'!AG$21-'Statistics NZ'!AF$21,$B$13/5*(AG$9-AG$10)*1000)</f>
        <v>32095.969253032377</v>
      </c>
      <c r="AH21" s="111">
        <f>SUM(AG$21,'Statistics NZ'!AH$21-'Statistics NZ'!AG$21,$B$13/5*(AH$9-AH$10)*1000)</f>
        <v>32155.969253032377</v>
      </c>
      <c r="AI21" s="111">
        <f>SUM(AH$21,'Statistics NZ'!AI$21-'Statistics NZ'!AH$21,$B$13/5*(AI$9-AI$10)*1000)</f>
        <v>32245.969253032377</v>
      </c>
      <c r="AJ21" s="111">
        <f>SUM(AI$21,'Statistics NZ'!AJ$21-'Statistics NZ'!AI$21,$B$13/5*(AJ$9-AJ$10)*1000)</f>
        <v>32355.969253032377</v>
      </c>
      <c r="AK21" s="111">
        <f>SUM(AJ$21,'Statistics NZ'!AK$21-'Statistics NZ'!AJ$21,$B$13/5*(AK$9-AK$10)*1000)</f>
        <v>32485.969253032377</v>
      </c>
      <c r="AL21" s="111">
        <f>SUM(AK$21,'Statistics NZ'!AL$21-'Statistics NZ'!AK$21,$B$13/5*(AL$9-AL$10)*1000)</f>
        <v>32635.969253032377</v>
      </c>
      <c r="AM21" s="111">
        <f>SUM(AL$21,'Statistics NZ'!AM$21-'Statistics NZ'!AL$21,$B$13/5*(AM$9-AM$10)*1000)</f>
        <v>32795.969253032381</v>
      </c>
      <c r="AN21" s="111">
        <f>SUM(AM$21,'Statistics NZ'!AN$21-'Statistics NZ'!AM$21,$B$13/5*(AN$9-AN$10)*1000)</f>
        <v>32955.969253032381</v>
      </c>
      <c r="AO21" s="111">
        <f>SUM(AN$21,'Statistics NZ'!AO$21-'Statistics NZ'!AN$21,$B$13/5*(AO$9-AO$10)*1000)</f>
        <v>33095.969253032381</v>
      </c>
      <c r="AP21" s="111">
        <f>SUM(AO$21,'Statistics NZ'!AP$21-'Statistics NZ'!AO$21,$B$13/5*(AP$9-AP$10)*1000)</f>
        <v>33215.969253032381</v>
      </c>
      <c r="AQ21" s="111">
        <f>SUM(AP$21,'Statistics NZ'!AQ$21-'Statistics NZ'!AP$21,$B$13/5*(AQ$9-AQ$10)*1000)</f>
        <v>33315.969253032381</v>
      </c>
      <c r="AR21" s="111">
        <f>SUM(AQ$21,'Statistics NZ'!AR$21-'Statistics NZ'!AQ$21,$B$13/5*(AR$9-AR$10)*1000)</f>
        <v>33375.969253032381</v>
      </c>
      <c r="AS21" s="111">
        <f>SUM(AR$21,'Statistics NZ'!AS$21-'Statistics NZ'!AR$21,$B$13/5*(AS$9-AS$10)*1000)</f>
        <v>33405.969253032381</v>
      </c>
      <c r="AT21" s="111">
        <f>SUM(AS$21,'Statistics NZ'!AT$21-'Statistics NZ'!AS$21,$B$13/5*(AT$9-AT$10)*1000)</f>
        <v>33405.969253032381</v>
      </c>
      <c r="AU21" s="111">
        <f>SUM(AT$21,'Statistics NZ'!AU$21-'Statistics NZ'!AT$21,$B$13/5*(AU$9-AU$10)*1000)</f>
        <v>33375.969253032381</v>
      </c>
      <c r="AV21" s="111">
        <f>SUM(AU$21,'Statistics NZ'!AV$21-'Statistics NZ'!AU$21,$B$13/5*(AV$9-AV$10)*1000)</f>
        <v>33315.969253032381</v>
      </c>
      <c r="AW21" s="111">
        <f>SUM(AV$21,'Statistics NZ'!AW$21-'Statistics NZ'!AV$21,$B$13/5*(AW$9-AW$10)*1000)</f>
        <v>33235.969253032381</v>
      </c>
      <c r="AX21" s="111">
        <f>SUM(AW$21,'Statistics NZ'!AX$21-'Statistics NZ'!AW$21,$B$13/5*(AX$9-AX$10)*1000)</f>
        <v>33145.969253032381</v>
      </c>
      <c r="AY21" s="111">
        <f>SUM(AX$21,'Statistics NZ'!AY$21-'Statistics NZ'!AX$21,$B$13/5*(AY$9-AY$10)*1000)</f>
        <v>33045.969253032381</v>
      </c>
      <c r="AZ21" s="111">
        <f>SUM(AY$21,'Statistics NZ'!AZ$21-'Statistics NZ'!AY$21,$B$13/5*(AZ$9-AZ$10)*1000)</f>
        <v>32945.969253032381</v>
      </c>
      <c r="BA21" s="111">
        <f>SUM(AZ$21,'Statistics NZ'!BA$21-'Statistics NZ'!AZ$21,$B$13/5*(BA$9-BA$10)*1000)</f>
        <v>32845.969253032381</v>
      </c>
      <c r="BB21" s="111">
        <f>SUM(BA$21,'Statistics NZ'!BB$21-'Statistics NZ'!BA$21,$B$13/5*(BB$9-BB$10)*1000)</f>
        <v>32765.969253032381</v>
      </c>
      <c r="BC21" s="111">
        <f>SUM(BB$21,'Statistics NZ'!BC$21-'Statistics NZ'!BB$21,$B$13/5*(BC$9-BC$10)*1000)</f>
        <v>32695.969253032381</v>
      </c>
      <c r="BD21" s="111">
        <f>SUM(BC$21,'Statistics NZ'!BD$21-'Statistics NZ'!BC$21,$B$13/5*(BD$9-BD$10)*1000)</f>
        <v>32635.969253032381</v>
      </c>
      <c r="BE21" s="111">
        <f>SUM(BD$21,'Statistics NZ'!BE$21-'Statistics NZ'!BD$21,$B$13/5*(BE$9-BE$10)*1000)</f>
        <v>32595.969253032381</v>
      </c>
      <c r="BF21" s="111">
        <f>SUM(BE$21,'Statistics NZ'!BF$21-'Statistics NZ'!BE$21,$B$13/5*(BF$9-BF$10)*1000)</f>
        <v>32575.969253032381</v>
      </c>
      <c r="BG21" s="111">
        <f>SUM(BF$21,'Statistics NZ'!BG$21-'Statistics NZ'!BF$21,$B$13/5*(BG$9-BG$10)*1000)</f>
        <v>32575.969253032381</v>
      </c>
      <c r="BH21" s="111">
        <f>SUM(BG$21,'Statistics NZ'!BH$21-'Statistics NZ'!BG$21,$B$13/5*(BH$9-BH$10)*1000)</f>
        <v>32585.969253032381</v>
      </c>
      <c r="BI21" s="111">
        <f>SUM(BH$21,'Statistics NZ'!BI$21-'Statistics NZ'!BH$21,$B$13/5*(BI$9-BI$10)*1000)</f>
        <v>32605.969253032381</v>
      </c>
      <c r="BJ21" s="111">
        <f>SUM(BI$21,'Statistics NZ'!BJ$21-'Statistics NZ'!BI$21,$B$13/5*(BJ$9-BJ$10)*1000)</f>
        <v>32635.969253032381</v>
      </c>
      <c r="BK21" s="111">
        <f>SUM(BJ$21,'Statistics NZ'!BK$21-'Statistics NZ'!BJ$21,$B$13/5*(BK$9-BK$10)*1000)</f>
        <v>32675.969253032381</v>
      </c>
      <c r="BL21" s="111">
        <f>SUM(BK$21,'Statistics NZ'!BL$21-'Statistics NZ'!BK$21,$B$13/5*(BL$9-BL$10)*1000)</f>
        <v>32725.969253032381</v>
      </c>
      <c r="BM21" s="195">
        <f>SUM(BL$21,'Statistics NZ'!BM$21-'Statistics NZ'!BL$21,$B$13/5*(BM$9-BM$10)*1000)</f>
        <v>32775.969253032381</v>
      </c>
      <c r="BN21" s="195">
        <f>SUM(BM$21,'Statistics NZ'!BN$21-'Statistics NZ'!BM$21,$B$13/5*(BN$9-BN$10)*1000)</f>
        <v>32835.969253032381</v>
      </c>
      <c r="BO21" s="195">
        <f>SUM(BN$21,'Statistics NZ'!BO$21-'Statistics NZ'!BN$21,$B$13/5*(BO$9-BO$10)*1000)</f>
        <v>32905.969253032381</v>
      </c>
      <c r="BP21" s="195">
        <f>SUM(BO$21,'Statistics NZ'!BP$21-'Statistics NZ'!BO$21,$B$13/5*(BP$9-BP$10)*1000)</f>
        <v>32965.969253032381</v>
      </c>
      <c r="BQ21" s="195">
        <f>SUM(BP$21,'Statistics NZ'!BQ$21-'Statistics NZ'!BP$21,$B$13/5*(BQ$9-BQ$10)*1000)</f>
        <v>33025.969253032381</v>
      </c>
    </row>
    <row r="22" spans="1:69">
      <c r="A22" s="105">
        <v>5</v>
      </c>
      <c r="B22" s="118">
        <f>'Statistics NZ'!B$22*('Economic Forecasts'!D$10-'Economic Forecasts'!D$9)*1000000/SUM('Statistics NZ'!B$17:B$31,'Statistics NZ'!B$110:B$124)</f>
        <v>29998.470128671292</v>
      </c>
      <c r="C22" s="118">
        <f>'Statistics NZ'!C$22*('Economic Forecasts'!E$10-'Economic Forecasts'!E$9)*1000000/SUM('Statistics NZ'!C$17:C$31,'Statistics NZ'!C$110:C$124)</f>
        <v>29174.426119151805</v>
      </c>
      <c r="D22" s="118">
        <f>'Statistics NZ'!D$22*('Economic Forecasts'!F$10-'Economic Forecasts'!F$9)*1000000/SUM('Statistics NZ'!D$17:D$31,'Statistics NZ'!D$110:D$124)</f>
        <v>29171.003562215934</v>
      </c>
      <c r="E22" s="118">
        <f>'Statistics NZ'!E$22*('Economic Forecasts'!G$10-'Economic Forecasts'!G$9)*1000000/SUM('Statistics NZ'!E$17:E$31,'Statistics NZ'!E$110:E$124)</f>
        <v>30108.307403790692</v>
      </c>
      <c r="F22" s="118">
        <f>'Statistics NZ'!F$22*('Economic Forecasts'!H$10-'Economic Forecasts'!H$9)*1000000/SUM('Statistics NZ'!F$17:F$31,'Statistics NZ'!F$110:F$124)</f>
        <v>29990.560045807921</v>
      </c>
      <c r="G22" s="118">
        <f>'Statistics NZ'!G$22*('Economic Forecasts'!I$10-'Economic Forecasts'!I$9)*1000000/SUM('Statistics NZ'!G$17:G$31,'Statistics NZ'!G$110:G$124)</f>
        <v>30760.061929703195</v>
      </c>
      <c r="H22" s="118">
        <f>'Statistics NZ'!H$22*('Economic Forecasts'!J$10-'Economic Forecasts'!J$9)*1000000/SUM('Statistics NZ'!H$17:H$31,'Statistics NZ'!H$110:H$124)</f>
        <v>31945.454545454533</v>
      </c>
      <c r="I22" s="118">
        <f>'Statistics NZ'!I$22*('Economic Forecasts'!K$10-'Economic Forecasts'!K$9)*1000000/SUM('Statistics NZ'!I$17:I$31,'Statistics NZ'!I$110:I$124)</f>
        <v>33095.751273671587</v>
      </c>
      <c r="J22" s="203">
        <f>'Statistics NZ'!J$22*('Economic Forecasts'!L$10-'Economic Forecasts'!L$9)*1000000/SUM('Statistics NZ'!J$17:J$31,'Statistics NZ'!J$110:J$124)</f>
        <v>32880.445560845052</v>
      </c>
      <c r="K22" s="203">
        <f>'Statistics NZ'!K$22*('Economic Forecasts'!M$10-'Economic Forecasts'!M$9)*1000000/SUM('Statistics NZ'!K$17:K$31,'Statistics NZ'!K$110:K$124)</f>
        <v>34063.414170959579</v>
      </c>
      <c r="L22" s="203">
        <f>'Statistics NZ'!L$22*('Economic Forecasts'!N$10-'Economic Forecasts'!N$9)*1000000/SUM('Statistics NZ'!L$17:L$31,'Statistics NZ'!L$110:L$124)</f>
        <v>33445.205523893987</v>
      </c>
      <c r="M22" s="203">
        <f>'Statistics NZ'!M$22*('Economic Forecasts'!O$10-'Economic Forecasts'!O$9)*1000000/SUM('Statistics NZ'!M$17:M$31,'Statistics NZ'!M$110:M$124)</f>
        <v>33437.472380850726</v>
      </c>
      <c r="N22" s="203">
        <f>'Statistics NZ'!N$22*('Economic Forecasts'!P$10-'Economic Forecasts'!P$9)*1000000/SUM('Statistics NZ'!N$17:N$31,'Statistics NZ'!N$110:N$124)</f>
        <v>33277.462677105446</v>
      </c>
      <c r="O22" s="203">
        <f>'Statistics NZ'!O$22*('Economic Forecasts'!Q$10-'Economic Forecasts'!Q$9)*1000000/SUM('Statistics NZ'!O$17:O$31,'Statistics NZ'!O$110:O$124)</f>
        <v>32353.349371881624</v>
      </c>
      <c r="P22" s="203">
        <f>'Statistics NZ'!P$22*('Economic Forecasts'!R$10-'Economic Forecasts'!R$9)*1000000/SUM('Statistics NZ'!P$17:P$31,'Statistics NZ'!P$110:P$124)</f>
        <v>32765.706631914312</v>
      </c>
      <c r="Q22" s="121">
        <f>SUM('Statistics NZ'!Q$22,$C$13/5*(Q$9-Q$10)*1000)*('Economic Forecasts'!S$10-'Economic Forecasts'!S$9)*1000000/SUM('Statistics NZ'!Q$17:Q$31,'Statistics NZ'!Q$110:Q$124,SUM($B$13:$D$14)*(Q$9-Q$10)*1000)</f>
        <v>32228.038093784271</v>
      </c>
      <c r="R22" s="205">
        <f>SUM('Statistics NZ'!R$22,$C$13/5*(R$9-R$10)*1000)*('Economic Forecasts'!T$10-'Economic Forecasts'!T$9)*1000000/SUM('Statistics NZ'!R$17:R$31,'Statistics NZ'!R$110:R$124,SUM($B$13:$D$14)*(R$9-R$10)*1000)</f>
        <v>32559.877141580731</v>
      </c>
      <c r="S22" s="205">
        <f>SUM('Statistics NZ'!S$22,$C$13/5*(S$9-S$10)*1000)*('Economic Forecasts'!U$10-'Economic Forecasts'!U$9)*1000000/SUM('Statistics NZ'!S$17:S$31,'Statistics NZ'!S$110:S$124,SUM($B$13:$D$14)*(S$9-S$10)*1000)</f>
        <v>31896.324153664773</v>
      </c>
      <c r="T22" s="205">
        <f>SUM('Statistics NZ'!T$22,$C$13/5*(T$9-T$10)*1000)*('Economic Forecasts'!V$10-'Economic Forecasts'!V$9)*1000000/SUM('Statistics NZ'!T$17:T$31,'Statistics NZ'!T$110:T$124,SUM($B$13:$D$14)*(T$9-T$10)*1000)</f>
        <v>31666.008226162037</v>
      </c>
      <c r="U22" s="205">
        <f>SUM('Statistics NZ'!U$22,$C$13/5*(U$9-U$10)*1000)*('Economic Forecasts'!W$10-'Economic Forecasts'!W$9)*1000000/SUM('Statistics NZ'!U$17:U$31,'Statistics NZ'!U$110:U$124,SUM($B$13:$D$14)*(U$9-U$10)*1000)</f>
        <v>32135.52946383243</v>
      </c>
      <c r="V22" s="111">
        <f>SUM(U$22,'Statistics NZ'!V$22-'Statistics NZ'!U$22,$C$13/5*(V$9-V$10)*1000)</f>
        <v>31670.788642610405</v>
      </c>
      <c r="W22" s="111">
        <f>SUM(V$22,'Statistics NZ'!W$22-'Statistics NZ'!V$22,$C$13/5*(W$9-W$10)*1000)</f>
        <v>31732.890424041132</v>
      </c>
      <c r="X22" s="111">
        <f>SUM(W$22,'Statistics NZ'!X$22-'Statistics NZ'!W$22,$C$13/5*(X$9-X$10)*1000)</f>
        <v>31751.834808124611</v>
      </c>
      <c r="Y22" s="111">
        <f>SUM(X$22,'Statistics NZ'!Y$22-'Statistics NZ'!X$22,$C$13/5*(Y$9-Y$10)*1000)</f>
        <v>31747.621794860843</v>
      </c>
      <c r="Z22" s="111">
        <f>SUM(Y$22,'Statistics NZ'!Z$22-'Statistics NZ'!Y$22,$C$13/5*(Z$9-Z$10)*1000)</f>
        <v>31910.25138424983</v>
      </c>
      <c r="AA22" s="111">
        <f>SUM(Z$22,'Statistics NZ'!AA$22-'Statistics NZ'!Z$22,$C$13/5*(AA$9-AA$10)*1000)</f>
        <v>32029.72357629157</v>
      </c>
      <c r="AB22" s="111">
        <f>SUM(AA$22,'Statistics NZ'!AB$22-'Statistics NZ'!AA$22,$C$13/5*(AB$9-AB$10)*1000)</f>
        <v>32106.038370986062</v>
      </c>
      <c r="AC22" s="111">
        <f>SUM(AB$22,'Statistics NZ'!AC$22-'Statistics NZ'!AB$22,$C$13/5*(AC$9-AC$10)*1000)</f>
        <v>32159.195768333309</v>
      </c>
      <c r="AD22" s="111">
        <f>SUM(AC$22,'Statistics NZ'!AD$22-'Statistics NZ'!AC$22,$C$13/5*(AD$9-AD$10)*1000)</f>
        <v>32179.195768333309</v>
      </c>
      <c r="AE22" s="111">
        <f>SUM(AD$22,'Statistics NZ'!AE$22-'Statistics NZ'!AD$22,$C$13/5*(AE$9-AE$10)*1000)</f>
        <v>32199.195768333309</v>
      </c>
      <c r="AF22" s="111">
        <f>SUM(AE$22,'Statistics NZ'!AF$22-'Statistics NZ'!AE$22,$C$13/5*(AF$9-AF$10)*1000)</f>
        <v>32229.195768333309</v>
      </c>
      <c r="AG22" s="111">
        <f>SUM(AF$22,'Statistics NZ'!AG$22-'Statistics NZ'!AF$22,$C$13/5*(AG$9-AG$10)*1000)</f>
        <v>32259.195768333309</v>
      </c>
      <c r="AH22" s="111">
        <f>SUM(AG$22,'Statistics NZ'!AH$22-'Statistics NZ'!AG$22,$C$13/5*(AH$9-AH$10)*1000)</f>
        <v>32309.195768333309</v>
      </c>
      <c r="AI22" s="111">
        <f>SUM(AH$22,'Statistics NZ'!AI$22-'Statistics NZ'!AH$22,$C$13/5*(AI$9-AI$10)*1000)</f>
        <v>32369.195768333309</v>
      </c>
      <c r="AJ22" s="111">
        <f>SUM(AI$22,'Statistics NZ'!AJ$22-'Statistics NZ'!AI$22,$C$13/5*(AJ$9-AJ$10)*1000)</f>
        <v>32459.195768333309</v>
      </c>
      <c r="AK22" s="111">
        <f>SUM(AJ$22,'Statistics NZ'!AK$22-'Statistics NZ'!AJ$22,$C$13/5*(AK$9-AK$10)*1000)</f>
        <v>32569.195768333309</v>
      </c>
      <c r="AL22" s="111">
        <f>SUM(AK$22,'Statistics NZ'!AL$22-'Statistics NZ'!AK$22,$C$13/5*(AL$9-AL$10)*1000)</f>
        <v>32699.195768333309</v>
      </c>
      <c r="AM22" s="111">
        <f>SUM(AL$22,'Statistics NZ'!AM$22-'Statistics NZ'!AL$22,$C$13/5*(AM$9-AM$10)*1000)</f>
        <v>32849.195768333309</v>
      </c>
      <c r="AN22" s="111">
        <f>SUM(AM$22,'Statistics NZ'!AN$22-'Statistics NZ'!AM$22,$C$13/5*(AN$9-AN$10)*1000)</f>
        <v>33009.195768333309</v>
      </c>
      <c r="AO22" s="111">
        <f>SUM(AN$22,'Statistics NZ'!AO$22-'Statistics NZ'!AN$22,$C$13/5*(AO$9-AO$10)*1000)</f>
        <v>33169.195768333309</v>
      </c>
      <c r="AP22" s="111">
        <f>SUM(AO$22,'Statistics NZ'!AP$22-'Statistics NZ'!AO$22,$C$13/5*(AP$9-AP$10)*1000)</f>
        <v>33309.195768333309</v>
      </c>
      <c r="AQ22" s="111">
        <f>SUM(AP$22,'Statistics NZ'!AQ$22-'Statistics NZ'!AP$22,$C$13/5*(AQ$9-AQ$10)*1000)</f>
        <v>33429.195768333309</v>
      </c>
      <c r="AR22" s="111">
        <f>SUM(AQ$22,'Statistics NZ'!AR$22-'Statistics NZ'!AQ$22,$C$13/5*(AR$9-AR$10)*1000)</f>
        <v>33519.195768333309</v>
      </c>
      <c r="AS22" s="111">
        <f>SUM(AR$22,'Statistics NZ'!AS$22-'Statistics NZ'!AR$22,$C$13/5*(AS$9-AS$10)*1000)</f>
        <v>33589.195768333309</v>
      </c>
      <c r="AT22" s="111">
        <f>SUM(AS$22,'Statistics NZ'!AT$22-'Statistics NZ'!AS$22,$C$13/5*(AT$9-AT$10)*1000)</f>
        <v>33619.195768333309</v>
      </c>
      <c r="AU22" s="111">
        <f>SUM(AT$22,'Statistics NZ'!AU$22-'Statistics NZ'!AT$22,$C$13/5*(AU$9-AU$10)*1000)</f>
        <v>33619.195768333309</v>
      </c>
      <c r="AV22" s="111">
        <f>SUM(AU$22,'Statistics NZ'!AV$22-'Statistics NZ'!AU$22,$C$13/5*(AV$9-AV$10)*1000)</f>
        <v>33589.195768333309</v>
      </c>
      <c r="AW22" s="111">
        <f>SUM(AV$22,'Statistics NZ'!AW$22-'Statistics NZ'!AV$22,$C$13/5*(AW$9-AW$10)*1000)</f>
        <v>33529.195768333309</v>
      </c>
      <c r="AX22" s="111">
        <f>SUM(AW$22,'Statistics NZ'!AX$22-'Statistics NZ'!AW$22,$C$13/5*(AX$9-AX$10)*1000)</f>
        <v>33449.195768333309</v>
      </c>
      <c r="AY22" s="111">
        <f>SUM(AX$22,'Statistics NZ'!AY$22-'Statistics NZ'!AX$22,$C$13/5*(AY$9-AY$10)*1000)</f>
        <v>33359.195768333309</v>
      </c>
      <c r="AZ22" s="111">
        <f>SUM(AY$22,'Statistics NZ'!AZ$22-'Statistics NZ'!AY$22,$C$13/5*(AZ$9-AZ$10)*1000)</f>
        <v>33259.195768333309</v>
      </c>
      <c r="BA22" s="111">
        <f>SUM(AZ$22,'Statistics NZ'!BA$22-'Statistics NZ'!AZ$22,$C$13/5*(BA$9-BA$10)*1000)</f>
        <v>33159.195768333309</v>
      </c>
      <c r="BB22" s="111">
        <f>SUM(BA$22,'Statistics NZ'!BB$22-'Statistics NZ'!BA$22,$C$13/5*(BB$9-BB$10)*1000)</f>
        <v>33059.195768333309</v>
      </c>
      <c r="BC22" s="111">
        <f>SUM(BB$22,'Statistics NZ'!BC$22-'Statistics NZ'!BB$22,$C$13/5*(BC$9-BC$10)*1000)</f>
        <v>32979.195768333309</v>
      </c>
      <c r="BD22" s="111">
        <f>SUM(BC$22,'Statistics NZ'!BD$22-'Statistics NZ'!BC$22,$C$13/5*(BD$9-BD$10)*1000)</f>
        <v>32899.195768333309</v>
      </c>
      <c r="BE22" s="111">
        <f>SUM(BD$22,'Statistics NZ'!BE$22-'Statistics NZ'!BD$22,$C$13/5*(BE$9-BE$10)*1000)</f>
        <v>32849.195768333309</v>
      </c>
      <c r="BF22" s="111">
        <f>SUM(BE$22,'Statistics NZ'!BF$22-'Statistics NZ'!BE$22,$C$13/5*(BF$9-BF$10)*1000)</f>
        <v>32809.195768333309</v>
      </c>
      <c r="BG22" s="111">
        <f>SUM(BF$22,'Statistics NZ'!BG$22-'Statistics NZ'!BF$22,$C$13/5*(BG$9-BG$10)*1000)</f>
        <v>32789.195768333309</v>
      </c>
      <c r="BH22" s="111">
        <f>SUM(BG$22,'Statistics NZ'!BH$22-'Statistics NZ'!BG$22,$C$13/5*(BH$9-BH$10)*1000)</f>
        <v>32789.195768333309</v>
      </c>
      <c r="BI22" s="111">
        <f>SUM(BH$22,'Statistics NZ'!BI$22-'Statistics NZ'!BH$22,$C$13/5*(BI$9-BI$10)*1000)</f>
        <v>32789.195768333309</v>
      </c>
      <c r="BJ22" s="111">
        <f>SUM(BI$22,'Statistics NZ'!BJ$22-'Statistics NZ'!BI$22,$C$13/5*(BJ$9-BJ$10)*1000)</f>
        <v>32819.195768333309</v>
      </c>
      <c r="BK22" s="111">
        <f>SUM(BJ$22,'Statistics NZ'!BK$22-'Statistics NZ'!BJ$22,$C$13/5*(BK$9-BK$10)*1000)</f>
        <v>32849.195768333309</v>
      </c>
      <c r="BL22" s="111">
        <f>SUM(BK$22,'Statistics NZ'!BL$22-'Statistics NZ'!BK$22,$C$13/5*(BL$9-BL$10)*1000)</f>
        <v>32889.195768333309</v>
      </c>
      <c r="BM22" s="195">
        <f>SUM(BL$22,'Statistics NZ'!BM$22-'Statistics NZ'!BL$22,$C$13/5*(BM$9-BM$10)*1000)</f>
        <v>32939.195768333309</v>
      </c>
      <c r="BN22" s="195">
        <f>SUM(BM$22,'Statistics NZ'!BN$22-'Statistics NZ'!BM$22,$C$13/5*(BN$9-BN$10)*1000)</f>
        <v>32989.195768333309</v>
      </c>
      <c r="BO22" s="195">
        <f>SUM(BN$22,'Statistics NZ'!BO$22-'Statistics NZ'!BN$22,$C$13/5*(BO$9-BO$10)*1000)</f>
        <v>33049.195768333309</v>
      </c>
      <c r="BP22" s="195">
        <f>SUM(BO$22,'Statistics NZ'!BP$22-'Statistics NZ'!BO$22,$C$13/5*(BP$9-BP$10)*1000)</f>
        <v>33119.195768333309</v>
      </c>
      <c r="BQ22" s="195">
        <f>SUM(BP$22,'Statistics NZ'!BQ$22-'Statistics NZ'!BP$22,$C$13/5*(BQ$9-BQ$10)*1000)</f>
        <v>33179.195768333309</v>
      </c>
    </row>
    <row r="23" spans="1:69">
      <c r="A23" s="105">
        <v>6</v>
      </c>
      <c r="B23" s="118">
        <f>'Statistics NZ'!B$23*('Economic Forecasts'!D$10-'Economic Forecasts'!D$9)*1000000/SUM('Statistics NZ'!B$17:B$31,'Statistics NZ'!B$110:B$124)</f>
        <v>30569.466740214557</v>
      </c>
      <c r="C23" s="118">
        <f>'Statistics NZ'!C$23*('Economic Forecasts'!E$10-'Economic Forecasts'!E$9)*1000000/SUM('Statistics NZ'!C$17:C$31,'Statistics NZ'!C$110:C$124)</f>
        <v>30197.905082463822</v>
      </c>
      <c r="D23" s="118">
        <f>'Statistics NZ'!D$23*('Economic Forecasts'!F$10-'Economic Forecasts'!F$9)*1000000/SUM('Statistics NZ'!D$17:D$31,'Statistics NZ'!D$110:D$124)</f>
        <v>29435.137966075188</v>
      </c>
      <c r="E23" s="118">
        <f>'Statistics NZ'!E$23*('Economic Forecasts'!G$10-'Economic Forecasts'!G$9)*1000000/SUM('Statistics NZ'!E$17:E$31,'Statistics NZ'!E$110:E$124)</f>
        <v>29430.049158861933</v>
      </c>
      <c r="F23" s="118">
        <f>'Statistics NZ'!F$23*('Economic Forecasts'!H$10-'Economic Forecasts'!H$9)*1000000/SUM('Statistics NZ'!F$17:F$31,'Statistics NZ'!F$110:F$124)</f>
        <v>30234.127447309886</v>
      </c>
      <c r="G23" s="118">
        <f>'Statistics NZ'!G$23*('Economic Forecasts'!I$10-'Economic Forecasts'!I$9)*1000000/SUM('Statistics NZ'!G$17:G$31,'Statistics NZ'!G$110:G$124)</f>
        <v>29955.323648581871</v>
      </c>
      <c r="H23" s="118">
        <f>'Statistics NZ'!H$23*('Economic Forecasts'!J$10-'Economic Forecasts'!J$9)*1000000/SUM('Statistics NZ'!H$17:H$31,'Statistics NZ'!H$110:H$124)</f>
        <v>30651.515151515134</v>
      </c>
      <c r="I23" s="118">
        <f>'Statistics NZ'!I$23*('Economic Forecasts'!K$10-'Economic Forecasts'!K$9)*1000000/SUM('Statistics NZ'!I$17:I$31,'Statistics NZ'!I$110:I$124)</f>
        <v>31988.656345250281</v>
      </c>
      <c r="J23" s="203">
        <f>'Statistics NZ'!J$23*('Economic Forecasts'!L$10-'Economic Forecasts'!L$9)*1000000/SUM('Statistics NZ'!J$17:J$31,'Statistics NZ'!J$110:J$124)</f>
        <v>33394.537217822435</v>
      </c>
      <c r="K23" s="203">
        <f>'Statistics NZ'!K$23*('Economic Forecasts'!M$10-'Economic Forecasts'!M$9)*1000000/SUM('Statistics NZ'!K$17:K$31,'Statistics NZ'!K$110:K$124)</f>
        <v>33140.17004278356</v>
      </c>
      <c r="L23" s="203">
        <f>'Statistics NZ'!L$23*('Economic Forecasts'!N$10-'Economic Forecasts'!N$9)*1000000/SUM('Statistics NZ'!L$17:L$31,'Statistics NZ'!L$110:L$124)</f>
        <v>34073.634544884357</v>
      </c>
      <c r="M23" s="203">
        <f>'Statistics NZ'!M$23*('Economic Forecasts'!O$10-'Economic Forecasts'!O$9)*1000000/SUM('Statistics NZ'!M$17:M$31,'Statistics NZ'!M$110:M$124)</f>
        <v>33810.183060255113</v>
      </c>
      <c r="N23" s="203">
        <f>'Statistics NZ'!N$23*('Economic Forecasts'!P$10-'Economic Forecasts'!P$9)*1000000/SUM('Statistics NZ'!N$17:N$31,'Statistics NZ'!N$110:N$124)</f>
        <v>33658.139085232484</v>
      </c>
      <c r="O23" s="203">
        <f>'Statistics NZ'!O$23*('Economic Forecasts'!Q$10-'Economic Forecasts'!Q$9)*1000000/SUM('Statistics NZ'!O$17:O$31,'Statistics NZ'!O$110:O$124)</f>
        <v>33728.287396838998</v>
      </c>
      <c r="P23" s="203">
        <f>'Statistics NZ'!P$23*('Economic Forecasts'!R$10-'Economic Forecasts'!R$9)*1000000/SUM('Statistics NZ'!P$17:P$31,'Statistics NZ'!P$110:P$124)</f>
        <v>32860.802200984683</v>
      </c>
      <c r="Q23" s="121">
        <f>SUM('Statistics NZ'!Q$23,$C$13/5*(Q$9-Q$10)*1000)*('Economic Forecasts'!S$10-'Economic Forecasts'!S$9)*1000000/SUM('Statistics NZ'!Q$17:Q$31,'Statistics NZ'!Q$110:Q$124,SUM($B$13:$D$14)*(Q$9-Q$10)*1000)</f>
        <v>32753.995459704034</v>
      </c>
      <c r="R23" s="205">
        <f>SUM('Statistics NZ'!R$23,$C$13/5*(R$9-R$10)*1000)*('Economic Forecasts'!T$10-'Economic Forecasts'!T$9)*1000000/SUM('Statistics NZ'!R$17:R$31,'Statistics NZ'!R$110:R$124,SUM($B$13:$D$14)*(R$9-R$10)*1000)</f>
        <v>32444.093918869647</v>
      </c>
      <c r="S23" s="205">
        <f>SUM('Statistics NZ'!S$23,$C$13/5*(S$9-S$10)*1000)*('Economic Forecasts'!U$10-'Economic Forecasts'!U$9)*1000000/SUM('Statistics NZ'!S$17:S$31,'Statistics NZ'!S$110:S$124,SUM($B$13:$D$14)*(S$9-S$10)*1000)</f>
        <v>32888.03482120741</v>
      </c>
      <c r="T23" s="205">
        <f>SUM('Statistics NZ'!T$23,$C$13/5*(T$9-T$10)*1000)*('Economic Forecasts'!V$10-'Economic Forecasts'!V$9)*1000000/SUM('Statistics NZ'!T$17:T$31,'Statistics NZ'!T$110:T$124,SUM($B$13:$D$14)*(T$9-T$10)*1000)</f>
        <v>32238.749599542149</v>
      </c>
      <c r="U23" s="205">
        <f>SUM('Statistics NZ'!U$23,$C$13/5*(U$9-U$10)*1000)*('Economic Forecasts'!W$10-'Economic Forecasts'!W$9)*1000000/SUM('Statistics NZ'!U$17:U$31,'Statistics NZ'!U$110:U$124,SUM($B$13:$D$14)*(U$9-U$10)*1000)</f>
        <v>32103.456387678423</v>
      </c>
      <c r="V23" s="111">
        <f>SUM(U$23,'Statistics NZ'!V$23-'Statistics NZ'!U$23,$C$13/5*(V$9-V$10)*1000)</f>
        <v>32358.715566456398</v>
      </c>
      <c r="W23" s="111">
        <f>SUM(V$23,'Statistics NZ'!W$23-'Statistics NZ'!V$23,$C$13/5*(W$9-W$10)*1000)</f>
        <v>31880.817347887125</v>
      </c>
      <c r="X23" s="111">
        <f>SUM(W$23,'Statistics NZ'!X$23-'Statistics NZ'!W$23,$C$13/5*(X$9-X$10)*1000)</f>
        <v>31929.761731970604</v>
      </c>
      <c r="Y23" s="111">
        <f>SUM(X$23,'Statistics NZ'!Y$23-'Statistics NZ'!X$23,$C$13/5*(Y$9-Y$10)*1000)</f>
        <v>31935.548718706836</v>
      </c>
      <c r="Z23" s="111">
        <f>SUM(Y$23,'Statistics NZ'!Z$23-'Statistics NZ'!Y$23,$C$13/5*(Z$9-Z$10)*1000)</f>
        <v>31918.178308095823</v>
      </c>
      <c r="AA23" s="111">
        <f>SUM(Z$23,'Statistics NZ'!AA$23-'Statistics NZ'!Z$23,$C$13/5*(AA$9-AA$10)*1000)</f>
        <v>32067.650500137563</v>
      </c>
      <c r="AB23" s="111">
        <f>SUM(AA$23,'Statistics NZ'!AB$23-'Statistics NZ'!AA$23,$C$13/5*(AB$9-AB$10)*1000)</f>
        <v>32173.965294832054</v>
      </c>
      <c r="AC23" s="111">
        <f>SUM(AB$23,'Statistics NZ'!AC$23-'Statistics NZ'!AB$23,$C$13/5*(AC$9-AC$10)*1000)</f>
        <v>32237.122692179302</v>
      </c>
      <c r="AD23" s="111">
        <f>SUM(AC$23,'Statistics NZ'!AD$23-'Statistics NZ'!AC$23,$C$13/5*(AD$9-AD$10)*1000)</f>
        <v>32277.122692179302</v>
      </c>
      <c r="AE23" s="111">
        <f>SUM(AD$23,'Statistics NZ'!AE$23-'Statistics NZ'!AD$23,$C$13/5*(AE$9-AE$10)*1000)</f>
        <v>32297.122692179302</v>
      </c>
      <c r="AF23" s="111">
        <f>SUM(AE$23,'Statistics NZ'!AF$23-'Statistics NZ'!AE$23,$C$13/5*(AF$9-AF$10)*1000)</f>
        <v>32317.122692179302</v>
      </c>
      <c r="AG23" s="111">
        <f>SUM(AF$23,'Statistics NZ'!AG$23-'Statistics NZ'!AF$23,$C$13/5*(AG$9-AG$10)*1000)</f>
        <v>32347.122692179302</v>
      </c>
      <c r="AH23" s="111">
        <f>SUM(AG$23,'Statistics NZ'!AH$23-'Statistics NZ'!AG$23,$C$13/5*(AH$9-AH$10)*1000)</f>
        <v>32377.122692179302</v>
      </c>
      <c r="AI23" s="111">
        <f>SUM(AH$23,'Statistics NZ'!AI$23-'Statistics NZ'!AH$23,$C$13/5*(AI$9-AI$10)*1000)</f>
        <v>32427.122692179302</v>
      </c>
      <c r="AJ23" s="111">
        <f>SUM(AI$23,'Statistics NZ'!AJ$23-'Statistics NZ'!AI$23,$C$13/5*(AJ$9-AJ$10)*1000)</f>
        <v>32487.122692179302</v>
      </c>
      <c r="AK23" s="111">
        <f>SUM(AJ$23,'Statistics NZ'!AK$23-'Statistics NZ'!AJ$23,$C$13/5*(AK$9-AK$10)*1000)</f>
        <v>32577.122692179302</v>
      </c>
      <c r="AL23" s="111">
        <f>SUM(AK$23,'Statistics NZ'!AL$23-'Statistics NZ'!AK$23,$C$13/5*(AL$9-AL$10)*1000)</f>
        <v>32687.122692179302</v>
      </c>
      <c r="AM23" s="111">
        <f>SUM(AL$23,'Statistics NZ'!AM$23-'Statistics NZ'!AL$23,$C$13/5*(AM$9-AM$10)*1000)</f>
        <v>32817.122692179299</v>
      </c>
      <c r="AN23" s="111">
        <f>SUM(AM$23,'Statistics NZ'!AN$23-'Statistics NZ'!AM$23,$C$13/5*(AN$9-AN$10)*1000)</f>
        <v>32967.122692179299</v>
      </c>
      <c r="AO23" s="111">
        <f>SUM(AN$23,'Statistics NZ'!AO$23-'Statistics NZ'!AN$23,$C$13/5*(AO$9-AO$10)*1000)</f>
        <v>33127.122692179299</v>
      </c>
      <c r="AP23" s="111">
        <f>SUM(AO$23,'Statistics NZ'!AP$23-'Statistics NZ'!AO$23,$C$13/5*(AP$9-AP$10)*1000)</f>
        <v>33287.122692179299</v>
      </c>
      <c r="AQ23" s="111">
        <f>SUM(AP$23,'Statistics NZ'!AQ$23-'Statistics NZ'!AP$23,$C$13/5*(AQ$9-AQ$10)*1000)</f>
        <v>33427.122692179299</v>
      </c>
      <c r="AR23" s="111">
        <f>SUM(AQ$23,'Statistics NZ'!AR$23-'Statistics NZ'!AQ$23,$C$13/5*(AR$9-AR$10)*1000)</f>
        <v>33547.122692179299</v>
      </c>
      <c r="AS23" s="111">
        <f>SUM(AR$23,'Statistics NZ'!AS$23-'Statistics NZ'!AR$23,$C$13/5*(AS$9-AS$10)*1000)</f>
        <v>33637.122692179299</v>
      </c>
      <c r="AT23" s="111">
        <f>SUM(AS$23,'Statistics NZ'!AT$23-'Statistics NZ'!AS$23,$C$13/5*(AT$9-AT$10)*1000)</f>
        <v>33707.122692179299</v>
      </c>
      <c r="AU23" s="111">
        <f>SUM(AT$23,'Statistics NZ'!AU$23-'Statistics NZ'!AT$23,$C$13/5*(AU$9-AU$10)*1000)</f>
        <v>33737.122692179299</v>
      </c>
      <c r="AV23" s="111">
        <f>SUM(AU$23,'Statistics NZ'!AV$23-'Statistics NZ'!AU$23,$C$13/5*(AV$9-AV$10)*1000)</f>
        <v>33737.122692179299</v>
      </c>
      <c r="AW23" s="111">
        <f>SUM(AV$23,'Statistics NZ'!AW$23-'Statistics NZ'!AV$23,$C$13/5*(AW$9-AW$10)*1000)</f>
        <v>33707.122692179299</v>
      </c>
      <c r="AX23" s="111">
        <f>SUM(AW$23,'Statistics NZ'!AX$23-'Statistics NZ'!AW$23,$C$13/5*(AX$9-AX$10)*1000)</f>
        <v>33647.122692179299</v>
      </c>
      <c r="AY23" s="111">
        <f>SUM(AX$23,'Statistics NZ'!AY$23-'Statistics NZ'!AX$23,$C$13/5*(AY$9-AY$10)*1000)</f>
        <v>33567.122692179299</v>
      </c>
      <c r="AZ23" s="111">
        <f>SUM(AY$23,'Statistics NZ'!AZ$23-'Statistics NZ'!AY$23,$C$13/5*(AZ$9-AZ$10)*1000)</f>
        <v>33477.122692179299</v>
      </c>
      <c r="BA23" s="111">
        <f>SUM(AZ$23,'Statistics NZ'!BA$23-'Statistics NZ'!AZ$23,$C$13/5*(BA$9-BA$10)*1000)</f>
        <v>33377.122692179299</v>
      </c>
      <c r="BB23" s="111">
        <f>SUM(BA$23,'Statistics NZ'!BB$23-'Statistics NZ'!BA$23,$C$13/5*(BB$9-BB$10)*1000)</f>
        <v>33277.122692179299</v>
      </c>
      <c r="BC23" s="111">
        <f>SUM(BB$23,'Statistics NZ'!BC$23-'Statistics NZ'!BB$23,$C$13/5*(BC$9-BC$10)*1000)</f>
        <v>33177.122692179299</v>
      </c>
      <c r="BD23" s="111">
        <f>SUM(BC$23,'Statistics NZ'!BD$23-'Statistics NZ'!BC$23,$C$13/5*(BD$9-BD$10)*1000)</f>
        <v>33097.122692179299</v>
      </c>
      <c r="BE23" s="111">
        <f>SUM(BD$23,'Statistics NZ'!BE$23-'Statistics NZ'!BD$23,$C$13/5*(BE$9-BE$10)*1000)</f>
        <v>33027.122692179299</v>
      </c>
      <c r="BF23" s="111">
        <f>SUM(BE$23,'Statistics NZ'!BF$23-'Statistics NZ'!BE$23,$C$13/5*(BF$9-BF$10)*1000)</f>
        <v>32967.122692179299</v>
      </c>
      <c r="BG23" s="111">
        <f>SUM(BF$23,'Statistics NZ'!BG$23-'Statistics NZ'!BF$23,$C$13/5*(BG$9-BG$10)*1000)</f>
        <v>32927.122692179299</v>
      </c>
      <c r="BH23" s="111">
        <f>SUM(BG$23,'Statistics NZ'!BH$23-'Statistics NZ'!BG$23,$C$13/5*(BH$9-BH$10)*1000)</f>
        <v>32907.122692179299</v>
      </c>
      <c r="BI23" s="111">
        <f>SUM(BH$23,'Statistics NZ'!BI$23-'Statistics NZ'!BH$23,$C$13/5*(BI$9-BI$10)*1000)</f>
        <v>32907.122692179299</v>
      </c>
      <c r="BJ23" s="111">
        <f>SUM(BI$23,'Statistics NZ'!BJ$23-'Statistics NZ'!BI$23,$C$13/5*(BJ$9-BJ$10)*1000)</f>
        <v>32917.122692179299</v>
      </c>
      <c r="BK23" s="111">
        <f>SUM(BJ$23,'Statistics NZ'!BK$23-'Statistics NZ'!BJ$23,$C$13/5*(BK$9-BK$10)*1000)</f>
        <v>32937.122692179299</v>
      </c>
      <c r="BL23" s="111">
        <f>SUM(BK$23,'Statistics NZ'!BL$23-'Statistics NZ'!BK$23,$C$13/5*(BL$9-BL$10)*1000)</f>
        <v>32967.122692179299</v>
      </c>
      <c r="BM23" s="195">
        <f>SUM(BL$23,'Statistics NZ'!BM$23-'Statistics NZ'!BL$23,$C$13/5*(BM$9-BM$10)*1000)</f>
        <v>33007.122692179299</v>
      </c>
      <c r="BN23" s="195">
        <f>SUM(BM$23,'Statistics NZ'!BN$23-'Statistics NZ'!BM$23,$C$13/5*(BN$9-BN$10)*1000)</f>
        <v>33057.122692179299</v>
      </c>
      <c r="BO23" s="195">
        <f>SUM(BN$23,'Statistics NZ'!BO$23-'Statistics NZ'!BN$23,$C$13/5*(BO$9-BO$10)*1000)</f>
        <v>33107.122692179299</v>
      </c>
      <c r="BP23" s="195">
        <f>SUM(BO$23,'Statistics NZ'!BP$23-'Statistics NZ'!BO$23,$C$13/5*(BP$9-BP$10)*1000)</f>
        <v>33167.122692179299</v>
      </c>
      <c r="BQ23" s="195">
        <f>SUM(BP$23,'Statistics NZ'!BQ$23-'Statistics NZ'!BP$23,$C$13/5*(BQ$9-BQ$10)*1000)</f>
        <v>33237.122692179299</v>
      </c>
    </row>
    <row r="24" spans="1:69">
      <c r="A24" s="105">
        <v>7</v>
      </c>
      <c r="B24" s="118">
        <f>'Statistics NZ'!B$24*('Economic Forecasts'!D$10-'Economic Forecasts'!D$9)*1000000/SUM('Statistics NZ'!B$17:B$31,'Statistics NZ'!B$110:B$124)</f>
        <v>29586.083687001152</v>
      </c>
      <c r="C24" s="118">
        <f>'Statistics NZ'!C$24*('Economic Forecasts'!E$10-'Economic Forecasts'!E$9)*1000000/SUM('Statistics NZ'!C$17:C$31,'Statistics NZ'!C$110:C$124)</f>
        <v>30767.676876472571</v>
      </c>
      <c r="D24" s="118">
        <f>'Statistics NZ'!D$24*('Economic Forecasts'!F$10-'Economic Forecasts'!F$9)*1000000/SUM('Statistics NZ'!D$17:D$31,'Statistics NZ'!D$110:D$124)</f>
        <v>30386.021819968504</v>
      </c>
      <c r="E24" s="118">
        <f>'Statistics NZ'!E$24*('Economic Forecasts'!G$10-'Economic Forecasts'!G$9)*1000000/SUM('Statistics NZ'!E$17:E$31,'Statistics NZ'!E$110:E$124)</f>
        <v>29663.200430556193</v>
      </c>
      <c r="F24" s="118">
        <f>'Statistics NZ'!F$24*('Economic Forecasts'!H$10-'Economic Forecasts'!H$9)*1000000/SUM('Statistics NZ'!F$17:F$31,'Statistics NZ'!F$110:F$124)</f>
        <v>29492.835355782147</v>
      </c>
      <c r="G24" s="118">
        <f>'Statistics NZ'!G$24*('Economic Forecasts'!I$10-'Economic Forecasts'!I$9)*1000000/SUM('Statistics NZ'!G$17:G$31,'Statistics NZ'!G$110:G$124)</f>
        <v>30283.572157986622</v>
      </c>
      <c r="H24" s="118">
        <f>'Statistics NZ'!H$24*('Economic Forecasts'!J$10-'Economic Forecasts'!J$9)*1000000/SUM('Statistics NZ'!H$17:H$31,'Statistics NZ'!H$110:H$124)</f>
        <v>29909.090909090894</v>
      </c>
      <c r="I24" s="118">
        <f>'Statistics NZ'!I$24*('Economic Forecasts'!K$10-'Economic Forecasts'!K$9)*1000000/SUM('Statistics NZ'!I$17:I$31,'Statistics NZ'!I$110:I$124)</f>
        <v>30647.368258893701</v>
      </c>
      <c r="J24" s="203">
        <f>'Statistics NZ'!J$24*('Economic Forecasts'!L$10-'Economic Forecasts'!L$9)*1000000/SUM('Statistics NZ'!J$17:J$31,'Statistics NZ'!J$110:J$124)</f>
        <v>32291.382203891801</v>
      </c>
      <c r="K24" s="203">
        <f>'Statistics NZ'!K$24*('Economic Forecasts'!M$10-'Economic Forecasts'!M$9)*1000000/SUM('Statistics NZ'!K$17:K$31,'Statistics NZ'!K$110:K$124)</f>
        <v>33612.527503710822</v>
      </c>
      <c r="L24" s="203">
        <f>'Statistics NZ'!L$24*('Economic Forecasts'!N$10-'Economic Forecasts'!N$9)*1000000/SUM('Statistics NZ'!L$17:L$31,'Statistics NZ'!L$110:L$124)</f>
        <v>33104.362665051762</v>
      </c>
      <c r="M24" s="203">
        <f>'Statistics NZ'!M$24*('Economic Forecasts'!O$10-'Economic Forecasts'!O$9)*1000000/SUM('Statistics NZ'!M$17:M$31,'Statistics NZ'!M$110:M$124)</f>
        <v>34363.924641084486</v>
      </c>
      <c r="N24" s="203">
        <f>'Statistics NZ'!N$24*('Economic Forecasts'!P$10-'Economic Forecasts'!P$9)*1000000/SUM('Statistics NZ'!N$17:N$31,'Statistics NZ'!N$110:N$124)</f>
        <v>33890.774667976788</v>
      </c>
      <c r="O24" s="203">
        <f>'Statistics NZ'!O$24*('Economic Forecasts'!Q$10-'Economic Forecasts'!Q$9)*1000000/SUM('Statistics NZ'!O$17:O$31,'Statistics NZ'!O$110:O$124)</f>
        <v>34035.004340867956</v>
      </c>
      <c r="P24" s="203">
        <f>'Statistics NZ'!P$24*('Economic Forecasts'!R$10-'Economic Forecasts'!R$9)*1000000/SUM('Statistics NZ'!P$17:P$31,'Statistics NZ'!P$110:P$124)</f>
        <v>34213.272516652221</v>
      </c>
      <c r="Q24" s="121">
        <f>SUM('Statistics NZ'!Q$24,$C$13/5*(Q$9-Q$10)*1000)*('Economic Forecasts'!S$10-'Economic Forecasts'!S$9)*1000000/SUM('Statistics NZ'!Q$17:Q$31,'Statistics NZ'!Q$110:Q$124,SUM($B$13:$D$14)*(Q$9-Q$10)*1000)</f>
        <v>32848.667785569589</v>
      </c>
      <c r="R24" s="205">
        <f>SUM('Statistics NZ'!R$24,$C$13/5*(R$9-R$10)*1000)*('Economic Forecasts'!T$10-'Economic Forecasts'!T$9)*1000000/SUM('Statistics NZ'!R$17:R$31,'Statistics NZ'!R$110:R$124,SUM($B$13:$D$14)*(R$9-R$10)*1000)</f>
        <v>32970.381294829123</v>
      </c>
      <c r="S24" s="205">
        <f>SUM('Statistics NZ'!S$24,$C$13/5*(S$9-S$10)*1000)*('Economic Forecasts'!U$10-'Economic Forecasts'!U$9)*1000000/SUM('Statistics NZ'!S$17:S$31,'Statistics NZ'!S$110:S$124,SUM($B$13:$D$14)*(S$9-S$10)*1000)</f>
        <v>32761.433459393458</v>
      </c>
      <c r="T24" s="205">
        <f>SUM('Statistics NZ'!T$24,$C$13/5*(T$9-T$10)*1000)*('Economic Forecasts'!V$10-'Economic Forecasts'!V$9)*1000000/SUM('Statistics NZ'!T$17:T$31,'Statistics NZ'!T$110:T$124,SUM($B$13:$D$14)*(T$9-T$10)*1000)</f>
        <v>33246.350163821982</v>
      </c>
      <c r="U24" s="205">
        <f>SUM('Statistics NZ'!U$24,$C$13/5*(U$9-U$10)*1000)*('Economic Forecasts'!W$10-'Economic Forecasts'!W$9)*1000000/SUM('Statistics NZ'!U$17:U$31,'Statistics NZ'!U$110:U$124,SUM($B$13:$D$14)*(U$9-U$10)*1000)</f>
        <v>32691.462783835243</v>
      </c>
      <c r="V24" s="111">
        <f>SUM(U$24,'Statistics NZ'!V$24-'Statistics NZ'!U$24,$C$13/5*(V$9-V$10)*1000)</f>
        <v>32366.721962613217</v>
      </c>
      <c r="W24" s="111">
        <f>SUM(V$24,'Statistics NZ'!W$24-'Statistics NZ'!V$24,$C$13/5*(W$9-W$10)*1000)</f>
        <v>32608.823744043944</v>
      </c>
      <c r="X24" s="111">
        <f>SUM(W$24,'Statistics NZ'!X$24-'Statistics NZ'!W$24,$C$13/5*(X$9-X$10)*1000)</f>
        <v>32127.768128127424</v>
      </c>
      <c r="Y24" s="111">
        <f>SUM(X$24,'Statistics NZ'!Y$24-'Statistics NZ'!X$24,$C$13/5*(Y$9-Y$10)*1000)</f>
        <v>32153.555114863655</v>
      </c>
      <c r="Z24" s="111">
        <f>SUM(Y$24,'Statistics NZ'!Z$24-'Statistics NZ'!Y$24,$C$13/5*(Z$9-Z$10)*1000)</f>
        <v>32146.184704252642</v>
      </c>
      <c r="AA24" s="111">
        <f>SUM(Z$24,'Statistics NZ'!AA$24-'Statistics NZ'!Z$24,$C$13/5*(AA$9-AA$10)*1000)</f>
        <v>32115.656896294382</v>
      </c>
      <c r="AB24" s="111">
        <f>SUM(AA$24,'Statistics NZ'!AB$24-'Statistics NZ'!AA$24,$C$13/5*(AB$9-AB$10)*1000)</f>
        <v>32261.971690988874</v>
      </c>
      <c r="AC24" s="111">
        <f>SUM(AB$24,'Statistics NZ'!AC$24-'Statistics NZ'!AB$24,$C$13/5*(AC$9-AC$10)*1000)</f>
        <v>32345.129088336122</v>
      </c>
      <c r="AD24" s="111">
        <f>SUM(AC$24,'Statistics NZ'!AD$24-'Statistics NZ'!AC$24,$C$13/5*(AD$9-AD$10)*1000)</f>
        <v>32405.129088336122</v>
      </c>
      <c r="AE24" s="111">
        <f>SUM(AD$24,'Statistics NZ'!AE$24-'Statistics NZ'!AD$24,$C$13/5*(AE$9-AE$10)*1000)</f>
        <v>32435.129088336122</v>
      </c>
      <c r="AF24" s="111">
        <f>SUM(AE$24,'Statistics NZ'!AF$24-'Statistics NZ'!AE$24,$C$13/5*(AF$9-AF$10)*1000)</f>
        <v>32465.129088336122</v>
      </c>
      <c r="AG24" s="111">
        <f>SUM(AF$24,'Statistics NZ'!AG$24-'Statistics NZ'!AF$24,$C$13/5*(AG$9-AG$10)*1000)</f>
        <v>32485.129088336122</v>
      </c>
      <c r="AH24" s="111">
        <f>SUM(AG$24,'Statistics NZ'!AH$24-'Statistics NZ'!AG$24,$C$13/5*(AH$9-AH$10)*1000)</f>
        <v>32515.129088336122</v>
      </c>
      <c r="AI24" s="111">
        <f>SUM(AH$24,'Statistics NZ'!AI$24-'Statistics NZ'!AH$24,$C$13/5*(AI$9-AI$10)*1000)</f>
        <v>32545.129088336122</v>
      </c>
      <c r="AJ24" s="111">
        <f>SUM(AI$24,'Statistics NZ'!AJ$24-'Statistics NZ'!AI$24,$C$13/5*(AJ$9-AJ$10)*1000)</f>
        <v>32585.129088336122</v>
      </c>
      <c r="AK24" s="111">
        <f>SUM(AJ$24,'Statistics NZ'!AK$24-'Statistics NZ'!AJ$24,$C$13/5*(AK$9-AK$10)*1000)</f>
        <v>32655.129088336122</v>
      </c>
      <c r="AL24" s="111">
        <f>SUM(AK$24,'Statistics NZ'!AL$24-'Statistics NZ'!AK$24,$C$13/5*(AL$9-AL$10)*1000)</f>
        <v>32735.129088336122</v>
      </c>
      <c r="AM24" s="111">
        <f>SUM(AL$24,'Statistics NZ'!AM$24-'Statistics NZ'!AL$24,$C$13/5*(AM$9-AM$10)*1000)</f>
        <v>32845.129088336122</v>
      </c>
      <c r="AN24" s="111">
        <f>SUM(AM$24,'Statistics NZ'!AN$24-'Statistics NZ'!AM$24,$C$13/5*(AN$9-AN$10)*1000)</f>
        <v>32985.129088336122</v>
      </c>
      <c r="AO24" s="111">
        <f>SUM(AN$24,'Statistics NZ'!AO$24-'Statistics NZ'!AN$24,$C$13/5*(AO$9-AO$10)*1000)</f>
        <v>33125.129088336122</v>
      </c>
      <c r="AP24" s="111">
        <f>SUM(AO$24,'Statistics NZ'!AP$24-'Statistics NZ'!AO$24,$C$13/5*(AP$9-AP$10)*1000)</f>
        <v>33285.129088336122</v>
      </c>
      <c r="AQ24" s="111">
        <f>SUM(AP$24,'Statistics NZ'!AQ$24-'Statistics NZ'!AP$24,$C$13/5*(AQ$9-AQ$10)*1000)</f>
        <v>33445.129088336122</v>
      </c>
      <c r="AR24" s="111">
        <f>SUM(AQ$24,'Statistics NZ'!AR$24-'Statistics NZ'!AQ$24,$C$13/5*(AR$9-AR$10)*1000)</f>
        <v>33585.129088336122</v>
      </c>
      <c r="AS24" s="111">
        <f>SUM(AR$24,'Statistics NZ'!AS$24-'Statistics NZ'!AR$24,$C$13/5*(AS$9-AS$10)*1000)</f>
        <v>33715.129088336122</v>
      </c>
      <c r="AT24" s="111">
        <f>SUM(AS$24,'Statistics NZ'!AT$24-'Statistics NZ'!AS$24,$C$13/5*(AT$9-AT$10)*1000)</f>
        <v>33805.129088336122</v>
      </c>
      <c r="AU24" s="111">
        <f>SUM(AT$24,'Statistics NZ'!AU$24-'Statistics NZ'!AT$24,$C$13/5*(AU$9-AU$10)*1000)</f>
        <v>33865.129088336122</v>
      </c>
      <c r="AV24" s="111">
        <f>SUM(AU$24,'Statistics NZ'!AV$24-'Statistics NZ'!AU$24,$C$13/5*(AV$9-AV$10)*1000)</f>
        <v>33895.129088336122</v>
      </c>
      <c r="AW24" s="111">
        <f>SUM(AV$24,'Statistics NZ'!AW$24-'Statistics NZ'!AV$24,$C$13/5*(AW$9-AW$10)*1000)</f>
        <v>33895.129088336122</v>
      </c>
      <c r="AX24" s="111">
        <f>SUM(AW$24,'Statistics NZ'!AX$24-'Statistics NZ'!AW$24,$C$13/5*(AX$9-AX$10)*1000)</f>
        <v>33865.129088336122</v>
      </c>
      <c r="AY24" s="111">
        <f>SUM(AX$24,'Statistics NZ'!AY$24-'Statistics NZ'!AX$24,$C$13/5*(AY$9-AY$10)*1000)</f>
        <v>33805.129088336122</v>
      </c>
      <c r="AZ24" s="111">
        <f>SUM(AY$24,'Statistics NZ'!AZ$24-'Statistics NZ'!AY$24,$C$13/5*(AZ$9-AZ$10)*1000)</f>
        <v>33735.129088336122</v>
      </c>
      <c r="BA24" s="111">
        <f>SUM(AZ$24,'Statistics NZ'!BA$24-'Statistics NZ'!AZ$24,$C$13/5*(BA$9-BA$10)*1000)</f>
        <v>33635.129088336122</v>
      </c>
      <c r="BB24" s="111">
        <f>SUM(BA$24,'Statistics NZ'!BB$24-'Statistics NZ'!BA$24,$C$13/5*(BB$9-BB$10)*1000)</f>
        <v>33535.129088336122</v>
      </c>
      <c r="BC24" s="111">
        <f>SUM(BB$24,'Statistics NZ'!BC$24-'Statistics NZ'!BB$24,$C$13/5*(BC$9-BC$10)*1000)</f>
        <v>33435.129088336122</v>
      </c>
      <c r="BD24" s="111">
        <f>SUM(BC$24,'Statistics NZ'!BD$24-'Statistics NZ'!BC$24,$C$13/5*(BD$9-BD$10)*1000)</f>
        <v>33345.129088336122</v>
      </c>
      <c r="BE24" s="111">
        <f>SUM(BD$24,'Statistics NZ'!BE$24-'Statistics NZ'!BD$24,$C$13/5*(BE$9-BE$10)*1000)</f>
        <v>33255.129088336122</v>
      </c>
      <c r="BF24" s="111">
        <f>SUM(BE$24,'Statistics NZ'!BF$24-'Statistics NZ'!BE$24,$C$13/5*(BF$9-BF$10)*1000)</f>
        <v>33185.129088336122</v>
      </c>
      <c r="BG24" s="111">
        <f>SUM(BF$24,'Statistics NZ'!BG$24-'Statistics NZ'!BF$24,$C$13/5*(BG$9-BG$10)*1000)</f>
        <v>33135.129088336122</v>
      </c>
      <c r="BH24" s="111">
        <f>SUM(BG$24,'Statistics NZ'!BH$24-'Statistics NZ'!BG$24,$C$13/5*(BH$9-BH$10)*1000)</f>
        <v>33095.129088336122</v>
      </c>
      <c r="BI24" s="111">
        <f>SUM(BH$24,'Statistics NZ'!BI$24-'Statistics NZ'!BH$24,$C$13/5*(BI$9-BI$10)*1000)</f>
        <v>33075.129088336122</v>
      </c>
      <c r="BJ24" s="111">
        <f>SUM(BI$24,'Statistics NZ'!BJ$24-'Statistics NZ'!BI$24,$C$13/5*(BJ$9-BJ$10)*1000)</f>
        <v>33065.129088336122</v>
      </c>
      <c r="BK24" s="111">
        <f>SUM(BJ$24,'Statistics NZ'!BK$24-'Statistics NZ'!BJ$24,$C$13/5*(BK$9-BK$10)*1000)</f>
        <v>33075.129088336122</v>
      </c>
      <c r="BL24" s="111">
        <f>SUM(BK$24,'Statistics NZ'!BL$24-'Statistics NZ'!BK$24,$C$13/5*(BL$9-BL$10)*1000)</f>
        <v>33095.129088336122</v>
      </c>
      <c r="BM24" s="195">
        <f>SUM(BL$24,'Statistics NZ'!BM$24-'Statistics NZ'!BL$24,$C$13/5*(BM$9-BM$10)*1000)</f>
        <v>33125.129088336122</v>
      </c>
      <c r="BN24" s="195">
        <f>SUM(BM$24,'Statistics NZ'!BN$24-'Statistics NZ'!BM$24,$C$13/5*(BN$9-BN$10)*1000)</f>
        <v>33175.129088336122</v>
      </c>
      <c r="BO24" s="195">
        <f>SUM(BN$24,'Statistics NZ'!BO$24-'Statistics NZ'!BN$24,$C$13/5*(BO$9-BO$10)*1000)</f>
        <v>33215.129088336122</v>
      </c>
      <c r="BP24" s="195">
        <f>SUM(BO$24,'Statistics NZ'!BP$24-'Statistics NZ'!BO$24,$C$13/5*(BP$9-BP$10)*1000)</f>
        <v>33275.129088336122</v>
      </c>
      <c r="BQ24" s="195">
        <f>SUM(BP$24,'Statistics NZ'!BQ$24-'Statistics NZ'!BP$24,$C$13/5*(BQ$9-BQ$10)*1000)</f>
        <v>33335.129088336122</v>
      </c>
    </row>
    <row r="25" spans="1:69">
      <c r="A25" s="105">
        <v>8</v>
      </c>
      <c r="B25" s="118">
        <f>'Statistics NZ'!B$25*('Economic Forecasts'!D$10-'Economic Forecasts'!D$9)*1000000/SUM('Statistics NZ'!B$17:B$31,'Statistics NZ'!B$110:B$124)</f>
        <v>30262.820411793175</v>
      </c>
      <c r="C25" s="118">
        <f>'Statistics NZ'!C$25*('Economic Forecasts'!E$10-'Economic Forecasts'!E$9)*1000000/SUM('Statistics NZ'!C$17:C$31,'Statistics NZ'!C$110:C$124)</f>
        <v>29786.403231235279</v>
      </c>
      <c r="D25" s="118">
        <f>'Statistics NZ'!D$25*('Economic Forecasts'!F$10-'Economic Forecasts'!F$9)*1000000/SUM('Statistics NZ'!D$17:D$31,'Statistics NZ'!D$110:D$124)</f>
        <v>30998.813636921968</v>
      </c>
      <c r="E25" s="118">
        <f>'Statistics NZ'!E$25*('Economic Forecasts'!G$10-'Economic Forecasts'!G$9)*1000000/SUM('Statistics NZ'!E$17:E$31,'Statistics NZ'!E$110:E$124)</f>
        <v>30680.587797949334</v>
      </c>
      <c r="F25" s="118">
        <f>'Statistics NZ'!F$25*('Economic Forecasts'!H$10-'Economic Forecasts'!H$9)*1000000/SUM('Statistics NZ'!F$17:F$31,'Statistics NZ'!F$110:F$124)</f>
        <v>29778.762305371423</v>
      </c>
      <c r="G25" s="118">
        <f>'Statistics NZ'!G$25*('Economic Forecasts'!I$10-'Economic Forecasts'!I$9)*1000000/SUM('Statistics NZ'!G$17:G$31,'Statistics NZ'!G$110:G$124)</f>
        <v>29552.954508021208</v>
      </c>
      <c r="H25" s="118">
        <f>'Statistics NZ'!H$25*('Economic Forecasts'!J$10-'Economic Forecasts'!J$9)*1000000/SUM('Statistics NZ'!H$17:H$31,'Statistics NZ'!H$110:H$124)</f>
        <v>30216.66666666665</v>
      </c>
      <c r="I25" s="118">
        <f>'Statistics NZ'!I$25*('Economic Forecasts'!K$10-'Economic Forecasts'!K$9)*1000000/SUM('Statistics NZ'!I$17:I$31,'Statistics NZ'!I$110:I$124)</f>
        <v>29955.43392863038</v>
      </c>
      <c r="J25" s="203">
        <f>'Statistics NZ'!J$25*('Economic Forecasts'!L$10-'Economic Forecasts'!L$9)*1000000/SUM('Statistics NZ'!J$17:J$31,'Statistics NZ'!J$110:J$124)</f>
        <v>30963.312090033563</v>
      </c>
      <c r="K25" s="203">
        <f>'Statistics NZ'!K$25*('Economic Forecasts'!M$10-'Economic Forecasts'!M$9)*1000000/SUM('Statistics NZ'!K$17:K$31,'Statistics NZ'!K$110:K$124)</f>
        <v>32549.723216624468</v>
      </c>
      <c r="L25" s="203">
        <f>'Statistics NZ'!L$25*('Economic Forecasts'!N$10-'Economic Forecasts'!N$9)*1000000/SUM('Statistics NZ'!L$17:L$31,'Statistics NZ'!L$110:L$124)</f>
        <v>33615.626953315106</v>
      </c>
      <c r="M25" s="203">
        <f>'Statistics NZ'!M$25*('Economic Forecasts'!O$10-'Economic Forecasts'!O$9)*1000000/SUM('Statistics NZ'!M$17:M$31,'Statistics NZ'!M$110:M$124)</f>
        <v>33416.174627741901</v>
      </c>
      <c r="N25" s="203">
        <f>'Statistics NZ'!N$25*('Economic Forecasts'!P$10-'Economic Forecasts'!P$9)*1000000/SUM('Statistics NZ'!N$17:N$31,'Statistics NZ'!N$110:N$124)</f>
        <v>34366.620178135585</v>
      </c>
      <c r="O25" s="203">
        <f>'Statistics NZ'!O$25*('Economic Forecasts'!Q$10-'Economic Forecasts'!Q$9)*1000000/SUM('Statistics NZ'!O$17:O$31,'Statistics NZ'!O$110:O$124)</f>
        <v>34331.144838551081</v>
      </c>
      <c r="P25" s="203">
        <f>'Statistics NZ'!P$25*('Economic Forecasts'!R$10-'Economic Forecasts'!R$9)*1000000/SUM('Statistics NZ'!P$17:P$31,'Statistics NZ'!P$110:P$124)</f>
        <v>34487.993049522185</v>
      </c>
      <c r="Q25" s="121">
        <f>SUM('Statistics NZ'!Q$25,$C$13/5*(Q$9-Q$10)*1000)*('Economic Forecasts'!S$10-'Economic Forecasts'!S$9)*1000000/SUM('Statistics NZ'!Q$17:Q$31,'Statistics NZ'!Q$110:Q$124,SUM($B$13:$D$14)*(Q$9-Q$10)*1000)</f>
        <v>34184.599495005779</v>
      </c>
      <c r="R25" s="205">
        <f>SUM('Statistics NZ'!R$25,$C$13/5*(R$9-R$10)*1000)*('Economic Forecasts'!T$10-'Economic Forecasts'!T$9)*1000000/SUM('Statistics NZ'!R$17:R$31,'Statistics NZ'!R$110:R$124,SUM($B$13:$D$14)*(R$9-R$10)*1000)</f>
        <v>33054.587274982638</v>
      </c>
      <c r="S25" s="205">
        <f>SUM('Statistics NZ'!S$25,$C$13/5*(S$9-S$10)*1000)*('Economic Forecasts'!U$10-'Economic Forecasts'!U$9)*1000000/SUM('Statistics NZ'!S$17:S$31,'Statistics NZ'!S$110:S$124,SUM($B$13:$D$14)*(S$9-S$10)*1000)</f>
        <v>33288.939133618267</v>
      </c>
      <c r="T25" s="205">
        <f>SUM('Statistics NZ'!T$25,$C$13/5*(T$9-T$10)*1000)*('Economic Forecasts'!V$10-'Economic Forecasts'!V$9)*1000000/SUM('Statistics NZ'!T$17:T$31,'Statistics NZ'!T$110:T$124,SUM($B$13:$D$14)*(T$9-T$10)*1000)</f>
        <v>33129.680624800108</v>
      </c>
      <c r="U25" s="205">
        <f>SUM('Statistics NZ'!U$25,$C$13/5*(U$9-U$10)*1000)*('Economic Forecasts'!W$10-'Economic Forecasts'!W$9)*1000000/SUM('Statistics NZ'!U$17:U$31,'Statistics NZ'!U$110:U$124,SUM($B$13:$D$14)*(U$9-U$10)*1000)</f>
        <v>33707.110195378846</v>
      </c>
      <c r="V25" s="111">
        <f>SUM(U$25,'Statistics NZ'!V$25-'Statistics NZ'!U$25,$C$13/5*(V$9-V$10)*1000)</f>
        <v>32982.36937415682</v>
      </c>
      <c r="W25" s="111">
        <f>SUM(V$25,'Statistics NZ'!W$25-'Statistics NZ'!V$25,$C$13/5*(W$9-W$10)*1000)</f>
        <v>32654.471155587547</v>
      </c>
      <c r="X25" s="111">
        <f>SUM(W$25,'Statistics NZ'!X$25-'Statistics NZ'!W$25,$C$13/5*(X$9-X$10)*1000)</f>
        <v>32883.415539671027</v>
      </c>
      <c r="Y25" s="111">
        <f>SUM(X$25,'Statistics NZ'!Y$25-'Statistics NZ'!X$25,$C$13/5*(Y$9-Y$10)*1000)</f>
        <v>32379.202526407258</v>
      </c>
      <c r="Z25" s="111">
        <f>SUM(Y$25,'Statistics NZ'!Z$25-'Statistics NZ'!Y$25,$C$13/5*(Z$9-Z$10)*1000)</f>
        <v>32391.832115796245</v>
      </c>
      <c r="AA25" s="111">
        <f>SUM(Z$25,'Statistics NZ'!AA$25-'Statistics NZ'!Z$25,$C$13/5*(AA$9-AA$10)*1000)</f>
        <v>32381.304307837985</v>
      </c>
      <c r="AB25" s="111">
        <f>SUM(AA$25,'Statistics NZ'!AB$25-'Statistics NZ'!AA$25,$C$13/5*(AB$9-AB$10)*1000)</f>
        <v>32327.619102532477</v>
      </c>
      <c r="AC25" s="111">
        <f>SUM(AB$25,'Statistics NZ'!AC$25-'Statistics NZ'!AB$25,$C$13/5*(AC$9-AC$10)*1000)</f>
        <v>32460.776499879725</v>
      </c>
      <c r="AD25" s="111">
        <f>SUM(AC$25,'Statistics NZ'!AD$25-'Statistics NZ'!AC$25,$C$13/5*(AD$9-AD$10)*1000)</f>
        <v>32540.776499879725</v>
      </c>
      <c r="AE25" s="111">
        <f>SUM(AD$25,'Statistics NZ'!AE$25-'Statistics NZ'!AD$25,$C$13/5*(AE$9-AE$10)*1000)</f>
        <v>32590.776499879725</v>
      </c>
      <c r="AF25" s="111">
        <f>SUM(AE$25,'Statistics NZ'!AF$25-'Statistics NZ'!AE$25,$C$13/5*(AF$9-AF$10)*1000)</f>
        <v>32630.776499879725</v>
      </c>
      <c r="AG25" s="111">
        <f>SUM(AF$25,'Statistics NZ'!AG$25-'Statistics NZ'!AF$25,$C$13/5*(AG$9-AG$10)*1000)</f>
        <v>32650.776499879725</v>
      </c>
      <c r="AH25" s="111">
        <f>SUM(AG$25,'Statistics NZ'!AH$25-'Statistics NZ'!AG$25,$C$13/5*(AH$9-AH$10)*1000)</f>
        <v>32670.776499879725</v>
      </c>
      <c r="AI25" s="111">
        <f>SUM(AH$25,'Statistics NZ'!AI$25-'Statistics NZ'!AH$25,$C$13/5*(AI$9-AI$10)*1000)</f>
        <v>32700.776499879725</v>
      </c>
      <c r="AJ25" s="111">
        <f>SUM(AI$25,'Statistics NZ'!AJ$25-'Statistics NZ'!AI$25,$C$13/5*(AJ$9-AJ$10)*1000)</f>
        <v>32730.776499879725</v>
      </c>
      <c r="AK25" s="111">
        <f>SUM(AJ$25,'Statistics NZ'!AK$25-'Statistics NZ'!AJ$25,$C$13/5*(AK$9-AK$10)*1000)</f>
        <v>32780.776499879721</v>
      </c>
      <c r="AL25" s="111">
        <f>SUM(AK$25,'Statistics NZ'!AL$25-'Statistics NZ'!AK$25,$C$13/5*(AL$9-AL$10)*1000)</f>
        <v>32840.776499879721</v>
      </c>
      <c r="AM25" s="111">
        <f>SUM(AL$25,'Statistics NZ'!AM$25-'Statistics NZ'!AL$25,$C$13/5*(AM$9-AM$10)*1000)</f>
        <v>32930.776499879721</v>
      </c>
      <c r="AN25" s="111">
        <f>SUM(AM$25,'Statistics NZ'!AN$25-'Statistics NZ'!AM$25,$C$13/5*(AN$9-AN$10)*1000)</f>
        <v>33040.776499879721</v>
      </c>
      <c r="AO25" s="111">
        <f>SUM(AN$25,'Statistics NZ'!AO$25-'Statistics NZ'!AN$25,$C$13/5*(AO$9-AO$10)*1000)</f>
        <v>33170.776499879721</v>
      </c>
      <c r="AP25" s="111">
        <f>SUM(AO$25,'Statistics NZ'!AP$25-'Statistics NZ'!AO$25,$C$13/5*(AP$9-AP$10)*1000)</f>
        <v>33320.776499879721</v>
      </c>
      <c r="AQ25" s="111">
        <f>SUM(AP$25,'Statistics NZ'!AQ$25-'Statistics NZ'!AP$25,$C$13/5*(AQ$9-AQ$10)*1000)</f>
        <v>33480.776499879721</v>
      </c>
      <c r="AR25" s="111">
        <f>SUM(AQ$25,'Statistics NZ'!AR$25-'Statistics NZ'!AQ$25,$C$13/5*(AR$9-AR$10)*1000)</f>
        <v>33640.776499879721</v>
      </c>
      <c r="AS25" s="111">
        <f>SUM(AR$25,'Statistics NZ'!AS$25-'Statistics NZ'!AR$25,$C$13/5*(AS$9-AS$10)*1000)</f>
        <v>33780.776499879721</v>
      </c>
      <c r="AT25" s="111">
        <f>SUM(AS$25,'Statistics NZ'!AT$25-'Statistics NZ'!AS$25,$C$13/5*(AT$9-AT$10)*1000)</f>
        <v>33900.776499879721</v>
      </c>
      <c r="AU25" s="111">
        <f>SUM(AT$25,'Statistics NZ'!AU$25-'Statistics NZ'!AT$25,$C$13/5*(AU$9-AU$10)*1000)</f>
        <v>33990.776499879721</v>
      </c>
      <c r="AV25" s="111">
        <f>SUM(AU$25,'Statistics NZ'!AV$25-'Statistics NZ'!AU$25,$C$13/5*(AV$9-AV$10)*1000)</f>
        <v>34060.776499879721</v>
      </c>
      <c r="AW25" s="111">
        <f>SUM(AV$25,'Statistics NZ'!AW$25-'Statistics NZ'!AV$25,$C$13/5*(AW$9-AW$10)*1000)</f>
        <v>34090.776499879721</v>
      </c>
      <c r="AX25" s="111">
        <f>SUM(AW$25,'Statistics NZ'!AX$25-'Statistics NZ'!AW$25,$C$13/5*(AX$9-AX$10)*1000)</f>
        <v>34090.776499879721</v>
      </c>
      <c r="AY25" s="111">
        <f>SUM(AX$25,'Statistics NZ'!AY$25-'Statistics NZ'!AX$25,$C$13/5*(AY$9-AY$10)*1000)</f>
        <v>34060.776499879721</v>
      </c>
      <c r="AZ25" s="111">
        <f>SUM(AY$25,'Statistics NZ'!AZ$25-'Statistics NZ'!AY$25,$C$13/5*(AZ$9-AZ$10)*1000)</f>
        <v>34000.776499879721</v>
      </c>
      <c r="BA25" s="111">
        <f>SUM(AZ$25,'Statistics NZ'!BA$25-'Statistics NZ'!AZ$25,$C$13/5*(BA$9-BA$10)*1000)</f>
        <v>33920.776499879721</v>
      </c>
      <c r="BB25" s="111">
        <f>SUM(BA$25,'Statistics NZ'!BB$25-'Statistics NZ'!BA$25,$C$13/5*(BB$9-BB$10)*1000)</f>
        <v>33830.776499879721</v>
      </c>
      <c r="BC25" s="111">
        <f>SUM(BB$25,'Statistics NZ'!BC$25-'Statistics NZ'!BB$25,$C$13/5*(BC$9-BC$10)*1000)</f>
        <v>33730.776499879721</v>
      </c>
      <c r="BD25" s="111">
        <f>SUM(BC$25,'Statistics NZ'!BD$25-'Statistics NZ'!BC$25,$C$13/5*(BD$9-BD$10)*1000)</f>
        <v>33630.776499879721</v>
      </c>
      <c r="BE25" s="111">
        <f>SUM(BD$25,'Statistics NZ'!BE$25-'Statistics NZ'!BD$25,$C$13/5*(BE$9-BE$10)*1000)</f>
        <v>33530.776499879721</v>
      </c>
      <c r="BF25" s="111">
        <f>SUM(BE$25,'Statistics NZ'!BF$25-'Statistics NZ'!BE$25,$C$13/5*(BF$9-BF$10)*1000)</f>
        <v>33450.776499879721</v>
      </c>
      <c r="BG25" s="111">
        <f>SUM(BF$25,'Statistics NZ'!BG$25-'Statistics NZ'!BF$25,$C$13/5*(BG$9-BG$10)*1000)</f>
        <v>33380.776499879721</v>
      </c>
      <c r="BH25" s="111">
        <f>SUM(BG$25,'Statistics NZ'!BH$25-'Statistics NZ'!BG$25,$C$13/5*(BH$9-BH$10)*1000)</f>
        <v>33320.776499879721</v>
      </c>
      <c r="BI25" s="111">
        <f>SUM(BH$25,'Statistics NZ'!BI$25-'Statistics NZ'!BH$25,$C$13/5*(BI$9-BI$10)*1000)</f>
        <v>33280.776499879721</v>
      </c>
      <c r="BJ25" s="111">
        <f>SUM(BI$25,'Statistics NZ'!BJ$25-'Statistics NZ'!BI$25,$C$13/5*(BJ$9-BJ$10)*1000)</f>
        <v>33260.776499879721</v>
      </c>
      <c r="BK25" s="111">
        <f>SUM(BJ$25,'Statistics NZ'!BK$25-'Statistics NZ'!BJ$25,$C$13/5*(BK$9-BK$10)*1000)</f>
        <v>33260.776499879721</v>
      </c>
      <c r="BL25" s="111">
        <f>SUM(BK$25,'Statistics NZ'!BL$25-'Statistics NZ'!BK$25,$C$13/5*(BL$9-BL$10)*1000)</f>
        <v>33270.776499879721</v>
      </c>
      <c r="BM25" s="195">
        <f>SUM(BL$25,'Statistics NZ'!BM$25-'Statistics NZ'!BL$25,$C$13/5*(BM$9-BM$10)*1000)</f>
        <v>33290.776499879721</v>
      </c>
      <c r="BN25" s="195">
        <f>SUM(BM$25,'Statistics NZ'!BN$25-'Statistics NZ'!BM$25,$C$13/5*(BN$9-BN$10)*1000)</f>
        <v>33320.776499879721</v>
      </c>
      <c r="BO25" s="195">
        <f>SUM(BN$25,'Statistics NZ'!BO$25-'Statistics NZ'!BN$25,$C$13/5*(BO$9-BO$10)*1000)</f>
        <v>33360.776499879721</v>
      </c>
      <c r="BP25" s="195">
        <f>SUM(BO$25,'Statistics NZ'!BP$25-'Statistics NZ'!BO$25,$C$13/5*(BP$9-BP$10)*1000)</f>
        <v>33410.776499879721</v>
      </c>
      <c r="BQ25" s="195">
        <f>SUM(BP$25,'Statistics NZ'!BQ$25-'Statistics NZ'!BP$25,$C$13/5*(BQ$9-BQ$10)*1000)</f>
        <v>33460.776499879721</v>
      </c>
    </row>
    <row r="26" spans="1:69">
      <c r="A26" s="105">
        <v>9</v>
      </c>
      <c r="B26" s="118">
        <f>'Statistics NZ'!B$26*('Economic Forecasts'!D$10-'Economic Forecasts'!D$9)*1000000/SUM('Statistics NZ'!B$17:B$31,'Statistics NZ'!B$110:B$124)</f>
        <v>30421.4305816663</v>
      </c>
      <c r="C26" s="118">
        <f>'Statistics NZ'!C$26*('Economic Forecasts'!E$10-'Economic Forecasts'!E$9)*1000000/SUM('Statistics NZ'!C$17:C$31,'Statistics NZ'!C$110:C$124)</f>
        <v>30503.893638505557</v>
      </c>
      <c r="D26" s="118">
        <f>'Statistics NZ'!D$26*('Economic Forecasts'!F$10-'Economic Forecasts'!F$9)*1000000/SUM('Statistics NZ'!D$17:D$31,'Statistics NZ'!D$110:D$124)</f>
        <v>29995.102902256807</v>
      </c>
      <c r="E26" s="118">
        <f>'Statistics NZ'!E$26*('Economic Forecasts'!G$10-'Economic Forecasts'!G$9)*1000000/SUM('Statistics NZ'!E$17:E$31,'Statistics NZ'!E$110:E$124)</f>
        <v>31316.454902570047</v>
      </c>
      <c r="F26" s="118">
        <f>'Statistics NZ'!F$26*('Economic Forecasts'!H$10-'Economic Forecasts'!H$9)*1000000/SUM('Statistics NZ'!F$17:F$31,'Statistics NZ'!F$110:F$124)</f>
        <v>30869.520668619381</v>
      </c>
      <c r="G26" s="118">
        <f>'Statistics NZ'!G$26*('Economic Forecasts'!I$10-'Economic Forecasts'!I$9)*1000000/SUM('Statistics NZ'!G$17:G$31,'Statistics NZ'!G$110:G$124)</f>
        <v>29870.614355832258</v>
      </c>
      <c r="H26" s="118">
        <f>'Statistics NZ'!H$26*('Economic Forecasts'!J$10-'Economic Forecasts'!J$9)*1000000/SUM('Statistics NZ'!H$17:H$31,'Statistics NZ'!H$110:H$124)</f>
        <v>29537.878787878777</v>
      </c>
      <c r="I26" s="118">
        <f>'Statistics NZ'!I$26*('Economic Forecasts'!K$10-'Economic Forecasts'!K$9)*1000000/SUM('Statistics NZ'!I$17:I$31,'Statistics NZ'!I$110:I$124)</f>
        <v>30264.143091363247</v>
      </c>
      <c r="J26" s="203">
        <f>'Statistics NZ'!J$26*('Economic Forecasts'!L$10-'Economic Forecasts'!L$9)*1000000/SUM('Statistics NZ'!J$17:J$31,'Statistics NZ'!J$110:J$124)</f>
        <v>30299.277033104448</v>
      </c>
      <c r="K26" s="203">
        <f>'Statistics NZ'!K$26*('Economic Forecasts'!M$10-'Economic Forecasts'!M$9)*1000000/SUM('Statistics NZ'!K$17:K$31,'Statistics NZ'!K$110:K$124)</f>
        <v>31261.47559591374</v>
      </c>
      <c r="L26" s="203">
        <f>'Statistics NZ'!L$26*('Economic Forecasts'!N$10-'Economic Forecasts'!N$9)*1000000/SUM('Statistics NZ'!L$17:L$31,'Statistics NZ'!L$110:L$124)</f>
        <v>32582.44703744959</v>
      </c>
      <c r="M26" s="203">
        <f>'Statistics NZ'!M$26*('Economic Forecasts'!O$10-'Economic Forecasts'!O$9)*1000000/SUM('Statistics NZ'!M$17:M$31,'Statistics NZ'!M$110:M$124)</f>
        <v>33969.916208571281</v>
      </c>
      <c r="N26" s="203">
        <f>'Statistics NZ'!N$26*('Economic Forecasts'!P$10-'Economic Forecasts'!P$9)*1000000/SUM('Statistics NZ'!N$17:N$31,'Statistics NZ'!N$110:N$124)</f>
        <v>33457.226536498769</v>
      </c>
      <c r="O26" s="203">
        <f>'Statistics NZ'!O$26*('Economic Forecasts'!Q$10-'Economic Forecasts'!Q$9)*1000000/SUM('Statistics NZ'!O$17:O$31,'Statistics NZ'!O$110:O$124)</f>
        <v>34711.896907000817</v>
      </c>
      <c r="P26" s="203">
        <f>'Statistics NZ'!P$26*('Economic Forecasts'!R$10-'Economic Forecasts'!R$9)*1000000/SUM('Statistics NZ'!P$17:P$31,'Statistics NZ'!P$110:P$124)</f>
        <v>34794.412105415613</v>
      </c>
      <c r="Q26" s="121">
        <f>SUM('Statistics NZ'!Q$26,$C$13/5*(Q$9-Q$10)*1000)*('Economic Forecasts'!S$10-'Economic Forecasts'!S$9)*1000000/SUM('Statistics NZ'!Q$17:Q$31,'Statistics NZ'!Q$110:Q$124,SUM($B$13:$D$14)*(Q$9-Q$10)*1000)</f>
        <v>34458.097325284063</v>
      </c>
      <c r="R26" s="205">
        <f>SUM('Statistics NZ'!R$26,$C$13/5*(R$9-R$10)*1000)*('Economic Forecasts'!T$10-'Economic Forecasts'!T$9)*1000000/SUM('Statistics NZ'!R$17:R$31,'Statistics NZ'!R$110:R$124,SUM($B$13:$D$14)*(R$9-R$10)*1000)</f>
        <v>34391.357209919712</v>
      </c>
      <c r="S26" s="205">
        <f>SUM('Statistics NZ'!S$26,$C$13/5*(S$9-S$10)*1000)*('Economic Forecasts'!U$10-'Economic Forecasts'!U$9)*1000000/SUM('Statistics NZ'!S$17:S$31,'Statistics NZ'!S$110:S$124,SUM($B$13:$D$14)*(S$9-S$10)*1000)</f>
        <v>33373.340041494237</v>
      </c>
      <c r="T26" s="205">
        <f>SUM('Statistics NZ'!T$26,$C$13/5*(T$9-T$10)*1000)*('Economic Forecasts'!V$10-'Economic Forecasts'!V$9)*1000000/SUM('Statistics NZ'!T$17:T$31,'Statistics NZ'!T$110:T$124,SUM($B$13:$D$14)*(T$9-T$10)*1000)</f>
        <v>33670.60303299244</v>
      </c>
      <c r="U26" s="205">
        <f>SUM('Statistics NZ'!U$26,$C$13/5*(U$9-U$10)*1000)*('Economic Forecasts'!W$10-'Economic Forecasts'!W$9)*1000000/SUM('Statistics NZ'!U$17:U$31,'Statistics NZ'!U$110:U$124,SUM($B$13:$D$14)*(U$9-U$10)*1000)</f>
        <v>33600.199941532148</v>
      </c>
      <c r="V26" s="111">
        <f>SUM(U$26,'Statistics NZ'!V$26-'Statistics NZ'!U$26,$C$13/5*(V$9-V$10)*1000)</f>
        <v>33935.459120310123</v>
      </c>
      <c r="W26" s="111">
        <f>SUM(V$26,'Statistics NZ'!W$26-'Statistics NZ'!V$26,$C$13/5*(W$9-W$10)*1000)</f>
        <v>33207.56090174085</v>
      </c>
      <c r="X26" s="111">
        <f>SUM(W$26,'Statistics NZ'!X$26-'Statistics NZ'!W$26,$C$13/5*(X$9-X$10)*1000)</f>
        <v>32866.505285824329</v>
      </c>
      <c r="Y26" s="111">
        <f>SUM(X$26,'Statistics NZ'!Y$26-'Statistics NZ'!X$26,$C$13/5*(Y$9-Y$10)*1000)</f>
        <v>33072.29227256056</v>
      </c>
      <c r="Z26" s="111">
        <f>SUM(Y$26,'Statistics NZ'!Z$26-'Statistics NZ'!Y$26,$C$13/5*(Z$9-Z$10)*1000)</f>
        <v>32564.921861949548</v>
      </c>
      <c r="AA26" s="111">
        <f>SUM(Z$26,'Statistics NZ'!AA$26-'Statistics NZ'!Z$26,$C$13/5*(AA$9-AA$10)*1000)</f>
        <v>32564.394053991287</v>
      </c>
      <c r="AB26" s="111">
        <f>SUM(AA$26,'Statistics NZ'!AB$26-'Statistics NZ'!AA$26,$C$13/5*(AB$9-AB$10)*1000)</f>
        <v>32540.708848685779</v>
      </c>
      <c r="AC26" s="111">
        <f>SUM(AB$26,'Statistics NZ'!AC$26-'Statistics NZ'!AB$26,$C$13/5*(AC$9-AC$10)*1000)</f>
        <v>32473.866246033027</v>
      </c>
      <c r="AD26" s="111">
        <f>SUM(AC$26,'Statistics NZ'!AD$26-'Statistics NZ'!AC$26,$C$13/5*(AD$9-AD$10)*1000)</f>
        <v>32593.866246033027</v>
      </c>
      <c r="AE26" s="111">
        <f>SUM(AD$26,'Statistics NZ'!AE$26-'Statistics NZ'!AD$26,$C$13/5*(AE$9-AE$10)*1000)</f>
        <v>32673.866246033027</v>
      </c>
      <c r="AF26" s="111">
        <f>SUM(AE$26,'Statistics NZ'!AF$26-'Statistics NZ'!AE$26,$C$13/5*(AF$9-AF$10)*1000)</f>
        <v>32723.866246033027</v>
      </c>
      <c r="AG26" s="111">
        <f>SUM(AF$26,'Statistics NZ'!AG$26-'Statistics NZ'!AF$26,$C$13/5*(AG$9-AG$10)*1000)</f>
        <v>32763.866246033027</v>
      </c>
      <c r="AH26" s="111">
        <f>SUM(AG$26,'Statistics NZ'!AH$26-'Statistics NZ'!AG$26,$C$13/5*(AH$9-AH$10)*1000)</f>
        <v>32783.866246033023</v>
      </c>
      <c r="AI26" s="111">
        <f>SUM(AH$26,'Statistics NZ'!AI$26-'Statistics NZ'!AH$26,$C$13/5*(AI$9-AI$10)*1000)</f>
        <v>32803.866246033023</v>
      </c>
      <c r="AJ26" s="111">
        <f>SUM(AI$26,'Statistics NZ'!AJ$26-'Statistics NZ'!AI$26,$C$13/5*(AJ$9-AJ$10)*1000)</f>
        <v>32833.866246033023</v>
      </c>
      <c r="AK26" s="111">
        <f>SUM(AJ$26,'Statistics NZ'!AK$26-'Statistics NZ'!AJ$26,$C$13/5*(AK$9-AK$10)*1000)</f>
        <v>32863.866246033023</v>
      </c>
      <c r="AL26" s="111">
        <f>SUM(AK$26,'Statistics NZ'!AL$26-'Statistics NZ'!AK$26,$C$13/5*(AL$9-AL$10)*1000)</f>
        <v>32913.866246033023</v>
      </c>
      <c r="AM26" s="111">
        <f>SUM(AL$26,'Statistics NZ'!AM$26-'Statistics NZ'!AL$26,$C$13/5*(AM$9-AM$10)*1000)</f>
        <v>32973.866246033023</v>
      </c>
      <c r="AN26" s="111">
        <f>SUM(AM$26,'Statistics NZ'!AN$26-'Statistics NZ'!AM$26,$C$13/5*(AN$9-AN$10)*1000)</f>
        <v>33063.866246033023</v>
      </c>
      <c r="AO26" s="111">
        <f>SUM(AN$26,'Statistics NZ'!AO$26-'Statistics NZ'!AN$26,$C$13/5*(AO$9-AO$10)*1000)</f>
        <v>33173.866246033023</v>
      </c>
      <c r="AP26" s="111">
        <f>SUM(AO$26,'Statistics NZ'!AP$26-'Statistics NZ'!AO$26,$C$13/5*(AP$9-AP$10)*1000)</f>
        <v>33303.866246033023</v>
      </c>
      <c r="AQ26" s="111">
        <f>SUM(AP$26,'Statistics NZ'!AQ$26-'Statistics NZ'!AP$26,$C$13/5*(AQ$9-AQ$10)*1000)</f>
        <v>33453.866246033023</v>
      </c>
      <c r="AR26" s="111">
        <f>SUM(AQ$26,'Statistics NZ'!AR$26-'Statistics NZ'!AQ$26,$C$13/5*(AR$9-AR$10)*1000)</f>
        <v>33613.866246033023</v>
      </c>
      <c r="AS26" s="111">
        <f>SUM(AR$26,'Statistics NZ'!AS$26-'Statistics NZ'!AR$26,$C$13/5*(AS$9-AS$10)*1000)</f>
        <v>33773.866246033023</v>
      </c>
      <c r="AT26" s="111">
        <f>SUM(AS$26,'Statistics NZ'!AT$26-'Statistics NZ'!AS$26,$C$13/5*(AT$9-AT$10)*1000)</f>
        <v>33913.866246033023</v>
      </c>
      <c r="AU26" s="111">
        <f>SUM(AT$26,'Statistics NZ'!AU$26-'Statistics NZ'!AT$26,$C$13/5*(AU$9-AU$10)*1000)</f>
        <v>34033.866246033023</v>
      </c>
      <c r="AV26" s="111">
        <f>SUM(AU$26,'Statistics NZ'!AV$26-'Statistics NZ'!AU$26,$C$13/5*(AV$9-AV$10)*1000)</f>
        <v>34123.866246033023</v>
      </c>
      <c r="AW26" s="111">
        <f>SUM(AV$26,'Statistics NZ'!AW$26-'Statistics NZ'!AV$26,$C$13/5*(AW$9-AW$10)*1000)</f>
        <v>34193.866246033023</v>
      </c>
      <c r="AX26" s="111">
        <f>SUM(AW$26,'Statistics NZ'!AX$26-'Statistics NZ'!AW$26,$C$13/5*(AX$9-AX$10)*1000)</f>
        <v>34223.866246033023</v>
      </c>
      <c r="AY26" s="111">
        <f>SUM(AX$26,'Statistics NZ'!AY$26-'Statistics NZ'!AX$26,$C$13/5*(AY$9-AY$10)*1000)</f>
        <v>34223.866246033023</v>
      </c>
      <c r="AZ26" s="111">
        <f>SUM(AY$26,'Statistics NZ'!AZ$26-'Statistics NZ'!AY$26,$C$13/5*(AZ$9-AZ$10)*1000)</f>
        <v>34193.866246033023</v>
      </c>
      <c r="BA26" s="111">
        <f>SUM(AZ$26,'Statistics NZ'!BA$26-'Statistics NZ'!AZ$26,$C$13/5*(BA$9-BA$10)*1000)</f>
        <v>34133.866246033023</v>
      </c>
      <c r="BB26" s="111">
        <f>SUM(BA$26,'Statistics NZ'!BB$26-'Statistics NZ'!BA$26,$C$13/5*(BB$9-BB$10)*1000)</f>
        <v>34053.866246033023</v>
      </c>
      <c r="BC26" s="111">
        <f>SUM(BB$26,'Statistics NZ'!BC$26-'Statistics NZ'!BB$26,$C$13/5*(BC$9-BC$10)*1000)</f>
        <v>33963.866246033023</v>
      </c>
      <c r="BD26" s="111">
        <f>SUM(BC$26,'Statistics NZ'!BD$26-'Statistics NZ'!BC$26,$C$13/5*(BD$9-BD$10)*1000)</f>
        <v>33863.866246033023</v>
      </c>
      <c r="BE26" s="111">
        <f>SUM(BD$26,'Statistics NZ'!BE$26-'Statistics NZ'!BD$26,$C$13/5*(BE$9-BE$10)*1000)</f>
        <v>33763.866246033023</v>
      </c>
      <c r="BF26" s="111">
        <f>SUM(BE$26,'Statistics NZ'!BF$26-'Statistics NZ'!BE$26,$C$13/5*(BF$9-BF$10)*1000)</f>
        <v>33663.866246033023</v>
      </c>
      <c r="BG26" s="111">
        <f>SUM(BF$26,'Statistics NZ'!BG$26-'Statistics NZ'!BF$26,$C$13/5*(BG$9-BG$10)*1000)</f>
        <v>33583.866246033023</v>
      </c>
      <c r="BH26" s="111">
        <f>SUM(BG$26,'Statistics NZ'!BH$26-'Statistics NZ'!BG$26,$C$13/5*(BH$9-BH$10)*1000)</f>
        <v>33513.866246033023</v>
      </c>
      <c r="BI26" s="111">
        <f>SUM(BH$26,'Statistics NZ'!BI$26-'Statistics NZ'!BH$26,$C$13/5*(BI$9-BI$10)*1000)</f>
        <v>33453.866246033023</v>
      </c>
      <c r="BJ26" s="111">
        <f>SUM(BI$26,'Statistics NZ'!BJ$26-'Statistics NZ'!BI$26,$C$13/5*(BJ$9-BJ$10)*1000)</f>
        <v>33413.866246033023</v>
      </c>
      <c r="BK26" s="111">
        <f>SUM(BJ$26,'Statistics NZ'!BK$26-'Statistics NZ'!BJ$26,$C$13/5*(BK$9-BK$10)*1000)</f>
        <v>33393.866246033023</v>
      </c>
      <c r="BL26" s="111">
        <f>SUM(BK$26,'Statistics NZ'!BL$26-'Statistics NZ'!BK$26,$C$13/5*(BL$9-BL$10)*1000)</f>
        <v>33393.866246033023</v>
      </c>
      <c r="BM26" s="195">
        <f>SUM(BL$26,'Statistics NZ'!BM$26-'Statistics NZ'!BL$26,$C$13/5*(BM$9-BM$10)*1000)</f>
        <v>33403.866246033023</v>
      </c>
      <c r="BN26" s="195">
        <f>SUM(BM$26,'Statistics NZ'!BN$26-'Statistics NZ'!BM$26,$C$13/5*(BN$9-BN$10)*1000)</f>
        <v>33423.866246033023</v>
      </c>
      <c r="BO26" s="195">
        <f>SUM(BN$26,'Statistics NZ'!BO$26-'Statistics NZ'!BN$26,$C$13/5*(BO$9-BO$10)*1000)</f>
        <v>33453.866246033023</v>
      </c>
      <c r="BP26" s="195">
        <f>SUM(BO$26,'Statistics NZ'!BP$26-'Statistics NZ'!BO$26,$C$13/5*(BP$9-BP$10)*1000)</f>
        <v>33493.866246033023</v>
      </c>
      <c r="BQ26" s="195">
        <f>SUM(BP$26,'Statistics NZ'!BQ$26-'Statistics NZ'!BP$26,$C$13/5*(BQ$9-BQ$10)*1000)</f>
        <v>33543.866246033023</v>
      </c>
    </row>
    <row r="27" spans="1:69">
      <c r="A27" s="105">
        <v>10</v>
      </c>
      <c r="B27" s="118">
        <f>'Statistics NZ'!B$27*('Economic Forecasts'!D$10-'Economic Forecasts'!D$9)*1000000/SUM('Statistics NZ'!B$17:B$31,'Statistics NZ'!B$110:B$124)</f>
        <v>30928.983125260318</v>
      </c>
      <c r="C27" s="118">
        <f>'Statistics NZ'!C$27*('Economic Forecasts'!E$10-'Economic Forecasts'!E$9)*1000000/SUM('Statistics NZ'!C$17:C$31,'Statistics NZ'!C$110:C$124)</f>
        <v>30588.304274655005</v>
      </c>
      <c r="D27" s="118">
        <f>'Statistics NZ'!D$27*('Economic Forecasts'!F$10-'Economic Forecasts'!F$9)*1000000/SUM('Statistics NZ'!D$17:D$31,'Statistics NZ'!D$110:D$124)</f>
        <v>30734.679233062714</v>
      </c>
      <c r="E27" s="118">
        <f>'Statistics NZ'!E$27*('Economic Forecasts'!G$10-'Economic Forecasts'!G$9)*1000000/SUM('Statistics NZ'!E$17:E$31,'Statistics NZ'!E$110:E$124)</f>
        <v>30256.676394868857</v>
      </c>
      <c r="F27" s="118">
        <f>'Statistics NZ'!F$27*('Economic Forecasts'!H$10-'Economic Forecasts'!H$9)*1000000/SUM('Statistics NZ'!F$17:F$31,'Statistics NZ'!F$110:F$124)</f>
        <v>31526.093663972515</v>
      </c>
      <c r="G27" s="118">
        <f>'Statistics NZ'!G$27*('Economic Forecasts'!I$10-'Economic Forecasts'!I$9)*1000000/SUM('Statistics NZ'!G$17:G$31,'Statistics NZ'!G$110:G$124)</f>
        <v>31035.367131139436</v>
      </c>
      <c r="H27" s="118">
        <f>'Statistics NZ'!H$27*('Economic Forecasts'!J$10-'Economic Forecasts'!J$9)*1000000/SUM('Statistics NZ'!H$17:H$31,'Statistics NZ'!H$110:H$124)</f>
        <v>29919.696969696954</v>
      </c>
      <c r="I27" s="118">
        <f>'Statistics NZ'!I$27*('Economic Forecasts'!K$10-'Economic Forecasts'!K$9)*1000000/SUM('Statistics NZ'!I$17:I$31,'Statistics NZ'!I$110:I$124)</f>
        <v>29699.950483610079</v>
      </c>
      <c r="J27" s="203">
        <f>'Statistics NZ'!J$27*('Economic Forecasts'!L$10-'Economic Forecasts'!L$9)*1000000/SUM('Statistics NZ'!J$17:J$31,'Statistics NZ'!J$110:J$124)</f>
        <v>30577.743347300529</v>
      </c>
      <c r="K27" s="203">
        <f>'Statistics NZ'!K$27*('Economic Forecasts'!M$10-'Economic Forecasts'!M$9)*1000000/SUM('Statistics NZ'!K$17:K$31,'Statistics NZ'!K$110:K$124)</f>
        <v>30628.08718239763</v>
      </c>
      <c r="L27" s="203">
        <f>'Statistics NZ'!L$27*('Economic Forecasts'!N$10-'Economic Forecasts'!N$9)*1000000/SUM('Statistics NZ'!L$17:L$31,'Statistics NZ'!L$110:L$124)</f>
        <v>31346.891674146496</v>
      </c>
      <c r="M27" s="203">
        <f>'Statistics NZ'!M$27*('Economic Forecasts'!O$10-'Economic Forecasts'!O$9)*1000000/SUM('Statistics NZ'!M$17:M$31,'Statistics NZ'!M$110:M$124)</f>
        <v>32958.272935902227</v>
      </c>
      <c r="N27" s="203">
        <f>'Statistics NZ'!N$27*('Economic Forecasts'!P$10-'Economic Forecasts'!P$9)*1000000/SUM('Statistics NZ'!N$17:N$31,'Statistics NZ'!N$110:N$124)</f>
        <v>33975.369425338351</v>
      </c>
      <c r="O27" s="203">
        <f>'Statistics NZ'!O$27*('Economic Forecasts'!Q$10-'Economic Forecasts'!Q$9)*1000000/SUM('Statistics NZ'!O$17:O$31,'Statistics NZ'!O$110:O$124)</f>
        <v>33781.169628568132</v>
      </c>
      <c r="P27" s="203">
        <f>'Statistics NZ'!P$27*('Economic Forecasts'!R$10-'Economic Forecasts'!R$9)*1000000/SUM('Statistics NZ'!P$17:P$31,'Statistics NZ'!P$110:P$124)</f>
        <v>35100.831161309048</v>
      </c>
      <c r="Q27" s="121">
        <f>SUM('Statistics NZ'!Q$27,$D$13/5*(Q$9-Q$10)*1000)*('Economic Forecasts'!S$10-'Economic Forecasts'!S$9)*1000000/SUM('Statistics NZ'!Q$17:Q$31,'Statistics NZ'!Q$110:Q$124,SUM($B$13:$D$14)*(Q$9-Q$10)*1000)</f>
        <v>34762.688368693533</v>
      </c>
      <c r="R27" s="205">
        <f>SUM('Statistics NZ'!R$27,$D$13/5*(R$9-R$10)*1000)*('Economic Forecasts'!T$10-'Economic Forecasts'!T$9)*1000000/SUM('Statistics NZ'!R$17:R$31,'Statistics NZ'!R$110:R$124,SUM($B$13:$D$14)*(R$9-R$10)*1000)</f>
        <v>34664.415434757204</v>
      </c>
      <c r="S27" s="205">
        <f>SUM('Statistics NZ'!S$27,$D$13/5*(S$9-S$10)*1000)*('Economic Forecasts'!U$10-'Economic Forecasts'!U$9)*1000000/SUM('Statistics NZ'!S$17:S$31,'Statistics NZ'!S$110:S$124,SUM($B$13:$D$14)*(S$9-S$10)*1000)</f>
        <v>34724.244667948056</v>
      </c>
      <c r="T27" s="205">
        <f>SUM('Statistics NZ'!T$27,$D$13/5*(T$9-T$10)*1000)*('Economic Forecasts'!V$10-'Economic Forecasts'!V$9)*1000000/SUM('Statistics NZ'!T$17:T$31,'Statistics NZ'!T$110:T$124,SUM($B$13:$D$14)*(T$9-T$10)*1000)</f>
        <v>33779.12980811132</v>
      </c>
      <c r="U27" s="205">
        <f>SUM('Statistics NZ'!U$27,$D$13/5*(U$9-U$10)*1000)*('Economic Forecasts'!W$10-'Economic Forecasts'!W$9)*1000000/SUM('Statistics NZ'!U$17:U$31,'Statistics NZ'!U$110:U$124,SUM($B$13:$D$14)*(U$9-U$10)*1000)</f>
        <v>34160.603079429711</v>
      </c>
      <c r="V27" s="111">
        <f>SUM(U$27,'Statistics NZ'!V$27-'Statistics NZ'!U$27,$D$13/5*(V$9-V$10)*1000)</f>
        <v>33899.5786196595</v>
      </c>
      <c r="W27" s="111">
        <f>SUM(V$27,'Statistics NZ'!W$27-'Statistics NZ'!V$27,$D$13/5*(W$9-W$10)*1000)</f>
        <v>34234.932217360561</v>
      </c>
      <c r="X27" s="111">
        <f>SUM(W$27,'Statistics NZ'!X$27-'Statistics NZ'!W$27,$D$13/5*(X$9-X$10)*1000)</f>
        <v>33496.663872532903</v>
      </c>
      <c r="Y27" s="111">
        <f>SUM(X$27,'Statistics NZ'!Y$27-'Statistics NZ'!X$27,$D$13/5*(Y$9-Y$10)*1000)</f>
        <v>33134.773585176517</v>
      </c>
      <c r="Z27" s="111">
        <f>SUM(Y$27,'Statistics NZ'!Z$27-'Statistics NZ'!Y$27,$D$13/5*(Z$9-Z$10)*1000)</f>
        <v>33339.261355291412</v>
      </c>
      <c r="AA27" s="111">
        <f>SUM(Z$27,'Statistics NZ'!AA$27-'Statistics NZ'!Z$27,$D$13/5*(AA$9-AA$10)*1000)</f>
        <v>32810.127182877579</v>
      </c>
      <c r="AB27" s="111">
        <f>SUM(AA$27,'Statistics NZ'!AB$27-'Statistics NZ'!AA$27,$D$13/5*(AB$9-AB$10)*1000)</f>
        <v>32807.371067935026</v>
      </c>
      <c r="AC27" s="111">
        <f>SUM(AB$27,'Statistics NZ'!AC$27-'Statistics NZ'!AB$27,$D$13/5*(AC$9-AC$10)*1000)</f>
        <v>32760.99301046375</v>
      </c>
      <c r="AD27" s="111">
        <f>SUM(AC$27,'Statistics NZ'!AD$27-'Statistics NZ'!AC$27,$D$13/5*(AD$9-AD$10)*1000)</f>
        <v>32690.99301046375</v>
      </c>
      <c r="AE27" s="111">
        <f>SUM(AD$27,'Statistics NZ'!AE$27-'Statistics NZ'!AD$27,$D$13/5*(AE$9-AE$10)*1000)</f>
        <v>32800.993010463746</v>
      </c>
      <c r="AF27" s="111">
        <f>SUM(AE$27,'Statistics NZ'!AF$27-'Statistics NZ'!AE$27,$D$13/5*(AF$9-AF$10)*1000)</f>
        <v>32880.993010463746</v>
      </c>
      <c r="AG27" s="111">
        <f>SUM(AF$27,'Statistics NZ'!AG$27-'Statistics NZ'!AF$27,$D$13/5*(AG$9-AG$10)*1000)</f>
        <v>32940.993010463746</v>
      </c>
      <c r="AH27" s="111">
        <f>SUM(AG$27,'Statistics NZ'!AH$27-'Statistics NZ'!AG$27,$D$13/5*(AH$9-AH$10)*1000)</f>
        <v>32970.993010463746</v>
      </c>
      <c r="AI27" s="111">
        <f>SUM(AH$27,'Statistics NZ'!AI$27-'Statistics NZ'!AH$27,$D$13/5*(AI$9-AI$10)*1000)</f>
        <v>33000.993010463746</v>
      </c>
      <c r="AJ27" s="111">
        <f>SUM(AI$27,'Statistics NZ'!AJ$27-'Statistics NZ'!AI$27,$D$13/5*(AJ$9-AJ$10)*1000)</f>
        <v>33020.993010463746</v>
      </c>
      <c r="AK27" s="111">
        <f>SUM(AJ$27,'Statistics NZ'!AK$27-'Statistics NZ'!AJ$27,$D$13/5*(AK$9-AK$10)*1000)</f>
        <v>33040.993010463746</v>
      </c>
      <c r="AL27" s="111">
        <f>SUM(AK$27,'Statistics NZ'!AL$27-'Statistics NZ'!AK$27,$D$13/5*(AL$9-AL$10)*1000)</f>
        <v>33080.993010463746</v>
      </c>
      <c r="AM27" s="111">
        <f>SUM(AL$27,'Statistics NZ'!AM$27-'Statistics NZ'!AL$27,$D$13/5*(AM$9-AM$10)*1000)</f>
        <v>33120.993010463746</v>
      </c>
      <c r="AN27" s="111">
        <f>SUM(AM$27,'Statistics NZ'!AN$27-'Statistics NZ'!AM$27,$D$13/5*(AN$9-AN$10)*1000)</f>
        <v>33190.993010463746</v>
      </c>
      <c r="AO27" s="111">
        <f>SUM(AN$27,'Statistics NZ'!AO$27-'Statistics NZ'!AN$27,$D$13/5*(AO$9-AO$10)*1000)</f>
        <v>33270.993010463746</v>
      </c>
      <c r="AP27" s="111">
        <f>SUM(AO$27,'Statistics NZ'!AP$27-'Statistics NZ'!AO$27,$D$13/5*(AP$9-AP$10)*1000)</f>
        <v>33380.993010463746</v>
      </c>
      <c r="AQ27" s="111">
        <f>SUM(AP$27,'Statistics NZ'!AQ$27-'Statistics NZ'!AP$27,$D$13/5*(AQ$9-AQ$10)*1000)</f>
        <v>33510.993010463746</v>
      </c>
      <c r="AR27" s="111">
        <f>SUM(AQ$27,'Statistics NZ'!AR$27-'Statistics NZ'!AQ$27,$D$13/5*(AR$9-AR$10)*1000)</f>
        <v>33660.993010463746</v>
      </c>
      <c r="AS27" s="111">
        <f>SUM(AR$27,'Statistics NZ'!AS$27-'Statistics NZ'!AR$27,$D$13/5*(AS$9-AS$10)*1000)</f>
        <v>33820.993010463746</v>
      </c>
      <c r="AT27" s="111">
        <f>SUM(AS$27,'Statistics NZ'!AT$27-'Statistics NZ'!AS$27,$D$13/5*(AT$9-AT$10)*1000)</f>
        <v>33980.993010463746</v>
      </c>
      <c r="AU27" s="111">
        <f>SUM(AT$27,'Statistics NZ'!AU$27-'Statistics NZ'!AT$27,$D$13/5*(AU$9-AU$10)*1000)</f>
        <v>34120.993010463746</v>
      </c>
      <c r="AV27" s="111">
        <f>SUM(AU$27,'Statistics NZ'!AV$27-'Statistics NZ'!AU$27,$D$13/5*(AV$9-AV$10)*1000)</f>
        <v>34250.993010463746</v>
      </c>
      <c r="AW27" s="111">
        <f>SUM(AV$27,'Statistics NZ'!AW$27-'Statistics NZ'!AV$27,$D$13/5*(AW$9-AW$10)*1000)</f>
        <v>34340.993010463746</v>
      </c>
      <c r="AX27" s="111">
        <f>SUM(AW$27,'Statistics NZ'!AX$27-'Statistics NZ'!AW$27,$D$13/5*(AX$9-AX$10)*1000)</f>
        <v>34400.993010463746</v>
      </c>
      <c r="AY27" s="111">
        <f>SUM(AX$27,'Statistics NZ'!AY$27-'Statistics NZ'!AX$27,$D$13/5*(AY$9-AY$10)*1000)</f>
        <v>34430.993010463746</v>
      </c>
      <c r="AZ27" s="111">
        <f>SUM(AY$27,'Statistics NZ'!AZ$27-'Statistics NZ'!AY$27,$D$13/5*(AZ$9-AZ$10)*1000)</f>
        <v>34430.993010463746</v>
      </c>
      <c r="BA27" s="111">
        <f>SUM(AZ$27,'Statistics NZ'!BA$27-'Statistics NZ'!AZ$27,$D$13/5*(BA$9-BA$10)*1000)</f>
        <v>34400.993010463746</v>
      </c>
      <c r="BB27" s="111">
        <f>SUM(BA$27,'Statistics NZ'!BB$27-'Statistics NZ'!BA$27,$D$13/5*(BB$9-BB$10)*1000)</f>
        <v>34340.993010463746</v>
      </c>
      <c r="BC27" s="111">
        <f>SUM(BB$27,'Statistics NZ'!BC$27-'Statistics NZ'!BB$27,$D$13/5*(BC$9-BC$10)*1000)</f>
        <v>34270.993010463746</v>
      </c>
      <c r="BD27" s="111">
        <f>SUM(BC$27,'Statistics NZ'!BD$27-'Statistics NZ'!BC$27,$D$13/5*(BD$9-BD$10)*1000)</f>
        <v>34180.993010463746</v>
      </c>
      <c r="BE27" s="111">
        <f>SUM(BD$27,'Statistics NZ'!BE$27-'Statistics NZ'!BD$27,$D$13/5*(BE$9-BE$10)*1000)</f>
        <v>34080.993010463746</v>
      </c>
      <c r="BF27" s="111">
        <f>SUM(BE$27,'Statistics NZ'!BF$27-'Statistics NZ'!BE$27,$D$13/5*(BF$9-BF$10)*1000)</f>
        <v>33980.993010463746</v>
      </c>
      <c r="BG27" s="111">
        <f>SUM(BF$27,'Statistics NZ'!BG$27-'Statistics NZ'!BF$27,$D$13/5*(BG$9-BG$10)*1000)</f>
        <v>33880.993010463746</v>
      </c>
      <c r="BH27" s="111">
        <f>SUM(BG$27,'Statistics NZ'!BH$27-'Statistics NZ'!BG$27,$D$13/5*(BH$9-BH$10)*1000)</f>
        <v>33790.993010463746</v>
      </c>
      <c r="BI27" s="111">
        <f>SUM(BH$27,'Statistics NZ'!BI$27-'Statistics NZ'!BH$27,$D$13/5*(BI$9-BI$10)*1000)</f>
        <v>33720.993010463746</v>
      </c>
      <c r="BJ27" s="111">
        <f>SUM(BI$27,'Statistics NZ'!BJ$27-'Statistics NZ'!BI$27,$D$13/5*(BJ$9-BJ$10)*1000)</f>
        <v>33670.993010463746</v>
      </c>
      <c r="BK27" s="111">
        <f>SUM(BJ$27,'Statistics NZ'!BK$27-'Statistics NZ'!BJ$27,$D$13/5*(BK$9-BK$10)*1000)</f>
        <v>33630.993010463746</v>
      </c>
      <c r="BL27" s="111">
        <f>SUM(BK$27,'Statistics NZ'!BL$27-'Statistics NZ'!BK$27,$D$13/5*(BL$9-BL$10)*1000)</f>
        <v>33610.993010463746</v>
      </c>
      <c r="BM27" s="195">
        <f>SUM(BL$27,'Statistics NZ'!BM$27-'Statistics NZ'!BL$27,$D$13/5*(BM$9-BM$10)*1000)</f>
        <v>33600.993010463746</v>
      </c>
      <c r="BN27" s="195">
        <f>SUM(BM$27,'Statistics NZ'!BN$27-'Statistics NZ'!BM$27,$D$13/5*(BN$9-BN$10)*1000)</f>
        <v>33610.993010463746</v>
      </c>
      <c r="BO27" s="195">
        <f>SUM(BN$27,'Statistics NZ'!BO$27-'Statistics NZ'!BN$27,$D$13/5*(BO$9-BO$10)*1000)</f>
        <v>33630.993010463746</v>
      </c>
      <c r="BP27" s="195">
        <f>SUM(BO$27,'Statistics NZ'!BP$27-'Statistics NZ'!BO$27,$D$13/5*(BP$9-BP$10)*1000)</f>
        <v>33670.993010463746</v>
      </c>
      <c r="BQ27" s="195">
        <f>SUM(BP$27,'Statistics NZ'!BQ$27-'Statistics NZ'!BP$27,$D$13/5*(BQ$9-BQ$10)*1000)</f>
        <v>33710.993010463746</v>
      </c>
    </row>
    <row r="28" spans="1:69">
      <c r="A28" s="105">
        <v>11</v>
      </c>
      <c r="B28" s="118">
        <f>'Statistics NZ'!B$28*('Economic Forecasts'!D$10-'Economic Forecasts'!D$9)*1000000/SUM('Statistics NZ'!B$17:B$31,'Statistics NZ'!B$110:B$124)</f>
        <v>31690.31194065134</v>
      </c>
      <c r="C28" s="118">
        <f>'Statistics NZ'!C$28*('Economic Forecasts'!E$10-'Economic Forecasts'!E$9)*1000000/SUM('Statistics NZ'!C$17:C$31,'Statistics NZ'!C$110:C$124)</f>
        <v>31052.562773476948</v>
      </c>
      <c r="D28" s="118">
        <f>'Statistics NZ'!D$28*('Economic Forecasts'!F$10-'Economic Forecasts'!F$9)*1000000/SUM('Statistics NZ'!D$17:D$31,'Statistics NZ'!D$110:D$124)</f>
        <v>30829.767618452046</v>
      </c>
      <c r="E28" s="118">
        <f>'Statistics NZ'!E$28*('Economic Forecasts'!G$10-'Economic Forecasts'!G$9)*1000000/SUM('Statistics NZ'!E$17:E$31,'Statistics NZ'!E$110:E$124)</f>
        <v>31019.716920413714</v>
      </c>
      <c r="F28" s="118">
        <f>'Statistics NZ'!F$28*('Economic Forecasts'!H$10-'Economic Forecasts'!H$9)*1000000/SUM('Statistics NZ'!F$17:F$31,'Statistics NZ'!F$110:F$124)</f>
        <v>30392.97575263726</v>
      </c>
      <c r="G28" s="118">
        <f>'Statistics NZ'!G$28*('Economic Forecasts'!I$10-'Economic Forecasts'!I$9)*1000000/SUM('Statistics NZ'!G$17:G$31,'Statistics NZ'!G$110:G$124)</f>
        <v>31638.920841980427</v>
      </c>
      <c r="H28" s="118">
        <f>'Statistics NZ'!H$28*('Economic Forecasts'!J$10-'Economic Forecasts'!J$9)*1000000/SUM('Statistics NZ'!H$17:H$31,'Statistics NZ'!H$110:H$124)</f>
        <v>31160.606060606046</v>
      </c>
      <c r="I28" s="118">
        <f>'Statistics NZ'!I$28*('Economic Forecasts'!K$10-'Economic Forecasts'!K$9)*1000000/SUM('Statistics NZ'!I$17:I$31,'Statistics NZ'!I$110:I$124)</f>
        <v>30104.465938225556</v>
      </c>
      <c r="J28" s="203">
        <f>'Statistics NZ'!J$28*('Economic Forecasts'!L$10-'Economic Forecasts'!L$9)*1000000/SUM('Statistics NZ'!J$17:J$31,'Statistics NZ'!J$110:J$124)</f>
        <v>30042.231204615757</v>
      </c>
      <c r="K28" s="203">
        <f>'Statistics NZ'!K$28*('Economic Forecasts'!M$10-'Economic Forecasts'!M$9)*1000000/SUM('Statistics NZ'!K$17:K$31,'Statistics NZ'!K$110:K$124)</f>
        <v>30853.530516022009</v>
      </c>
      <c r="L28" s="203">
        <f>'Statistics NZ'!L$28*('Economic Forecasts'!N$10-'Economic Forecasts'!N$9)*1000000/SUM('Statistics NZ'!L$17:L$31,'Statistics NZ'!L$110:L$124)</f>
        <v>30718.462653156137</v>
      </c>
      <c r="M28" s="203">
        <f>'Statistics NZ'!M$28*('Economic Forecasts'!O$10-'Economic Forecasts'!O$9)*1000000/SUM('Statistics NZ'!M$17:M$31,'Statistics NZ'!M$110:M$124)</f>
        <v>31680.407749372898</v>
      </c>
      <c r="N28" s="203">
        <f>'Statistics NZ'!N$28*('Economic Forecasts'!P$10-'Economic Forecasts'!P$9)*1000000/SUM('Statistics NZ'!N$17:N$31,'Statistics NZ'!N$110:N$124)</f>
        <v>33076.550128371724</v>
      </c>
      <c r="O28" s="203">
        <f>'Statistics NZ'!O$28*('Economic Forecasts'!Q$10-'Economic Forecasts'!Q$9)*1000000/SUM('Statistics NZ'!O$17:O$31,'Statistics NZ'!O$110:O$124)</f>
        <v>34341.721284896907</v>
      </c>
      <c r="P28" s="203">
        <f>'Statistics NZ'!P$28*('Economic Forecasts'!R$10-'Economic Forecasts'!R$9)*1000000/SUM('Statistics NZ'!P$17:P$31,'Statistics NZ'!P$110:P$124)</f>
        <v>34244.971039675685</v>
      </c>
      <c r="Q28" s="121">
        <f>SUM('Statistics NZ'!Q$28,$D$13/5*(Q$9-Q$10)*1000)*('Economic Forecasts'!S$10-'Economic Forecasts'!S$9)*1000000/SUM('Statistics NZ'!Q$17:Q$31,'Statistics NZ'!Q$110:Q$124,SUM($B$13:$D$14)*(Q$9-Q$10)*1000)</f>
        <v>35067.743640926994</v>
      </c>
      <c r="R28" s="205">
        <f>SUM('Statistics NZ'!R$28,$D$13/5*(R$9-R$10)*1000)*('Economic Forecasts'!T$10-'Economic Forecasts'!T$9)*1000000/SUM('Statistics NZ'!R$17:R$31,'Statistics NZ'!R$110:R$124,SUM($B$13:$D$14)*(R$9-R$10)*1000)</f>
        <v>34959.136365294515</v>
      </c>
      <c r="S28" s="205">
        <f>SUM('Statistics NZ'!S$28,$D$13/5*(S$9-S$10)*1000)*('Economic Forecasts'!U$10-'Economic Forecasts'!U$9)*1000000/SUM('Statistics NZ'!S$17:S$31,'Statistics NZ'!S$110:S$124,SUM($B$13:$D$14)*(S$9-S$10)*1000)</f>
        <v>34998.547618544959</v>
      </c>
      <c r="T28" s="205">
        <f>SUM('Statistics NZ'!T$28,$D$13/5*(T$9-T$10)*1000)*('Economic Forecasts'!V$10-'Economic Forecasts'!V$9)*1000000/SUM('Statistics NZ'!T$17:T$31,'Statistics NZ'!T$110:T$124,SUM($B$13:$D$14)*(T$9-T$10)*1000)</f>
        <v>35136.738989456775</v>
      </c>
      <c r="U28" s="205">
        <f>SUM('Statistics NZ'!U$28,$D$13/5*(U$9-U$10)*1000)*('Economic Forecasts'!W$10-'Economic Forecasts'!W$9)*1000000/SUM('Statistics NZ'!U$17:U$31,'Statistics NZ'!U$110:U$124,SUM($B$13:$D$14)*(U$9-U$10)*1000)</f>
        <v>34278.204358661074</v>
      </c>
      <c r="V28" s="111">
        <f>SUM(U$28,'Statistics NZ'!V$28-'Statistics NZ'!U$28,$D$13/5*(V$9-V$10)*1000)</f>
        <v>34447.179898890863</v>
      </c>
      <c r="W28" s="111">
        <f>SUM(V$28,'Statistics NZ'!W$28-'Statistics NZ'!V$28,$D$13/5*(W$9-W$10)*1000)</f>
        <v>34172.533496591925</v>
      </c>
      <c r="X28" s="111">
        <f>SUM(W$28,'Statistics NZ'!X$28-'Statistics NZ'!W$28,$D$13/5*(X$9-X$10)*1000)</f>
        <v>34484.265151764266</v>
      </c>
      <c r="Y28" s="111">
        <f>SUM(X$28,'Statistics NZ'!Y$28-'Statistics NZ'!X$28,$D$13/5*(Y$9-Y$10)*1000)</f>
        <v>33732.374864407881</v>
      </c>
      <c r="Z28" s="111">
        <f>SUM(Y$28,'Statistics NZ'!Z$28-'Statistics NZ'!Y$28,$D$13/5*(Z$9-Z$10)*1000)</f>
        <v>33366.862634522775</v>
      </c>
      <c r="AA28" s="111">
        <f>SUM(Z$28,'Statistics NZ'!AA$28-'Statistics NZ'!Z$28,$D$13/5*(AA$9-AA$10)*1000)</f>
        <v>33547.728462108942</v>
      </c>
      <c r="AB28" s="111">
        <f>SUM(AA$28,'Statistics NZ'!AB$28-'Statistics NZ'!AA$28,$D$13/5*(AB$9-AB$10)*1000)</f>
        <v>33014.972347166389</v>
      </c>
      <c r="AC28" s="111">
        <f>SUM(AB$28,'Statistics NZ'!AC$28-'Statistics NZ'!AB$28,$D$13/5*(AC$9-AC$10)*1000)</f>
        <v>32988.594289695109</v>
      </c>
      <c r="AD28" s="111">
        <f>SUM(AC$28,'Statistics NZ'!AD$28-'Statistics NZ'!AC$28,$D$13/5*(AD$9-AD$10)*1000)</f>
        <v>32938.594289695109</v>
      </c>
      <c r="AE28" s="111">
        <f>SUM(AD$28,'Statistics NZ'!AE$28-'Statistics NZ'!AD$28,$D$13/5*(AE$9-AE$10)*1000)</f>
        <v>32858.594289695109</v>
      </c>
      <c r="AF28" s="111">
        <f>SUM(AE$28,'Statistics NZ'!AF$28-'Statistics NZ'!AE$28,$D$13/5*(AF$9-AF$10)*1000)</f>
        <v>32978.594289695109</v>
      </c>
      <c r="AG28" s="111">
        <f>SUM(AF$28,'Statistics NZ'!AG$28-'Statistics NZ'!AF$28,$D$13/5*(AG$9-AG$10)*1000)</f>
        <v>33058.594289695109</v>
      </c>
      <c r="AH28" s="111">
        <f>SUM(AG$28,'Statistics NZ'!AH$28-'Statistics NZ'!AG$28,$D$13/5*(AH$9-AH$10)*1000)</f>
        <v>33108.594289695109</v>
      </c>
      <c r="AI28" s="111">
        <f>SUM(AH$28,'Statistics NZ'!AI$28-'Statistics NZ'!AH$28,$D$13/5*(AI$9-AI$10)*1000)</f>
        <v>33148.594289695109</v>
      </c>
      <c r="AJ28" s="111">
        <f>SUM(AI$28,'Statistics NZ'!AJ$28-'Statistics NZ'!AI$28,$D$13/5*(AJ$9-AJ$10)*1000)</f>
        <v>33168.594289695109</v>
      </c>
      <c r="AK28" s="111">
        <f>SUM(AJ$28,'Statistics NZ'!AK$28-'Statistics NZ'!AJ$28,$D$13/5*(AK$9-AK$10)*1000)</f>
        <v>33188.594289695109</v>
      </c>
      <c r="AL28" s="111">
        <f>SUM(AK$28,'Statistics NZ'!AL$28-'Statistics NZ'!AK$28,$D$13/5*(AL$9-AL$10)*1000)</f>
        <v>33218.594289695109</v>
      </c>
      <c r="AM28" s="111">
        <f>SUM(AL$28,'Statistics NZ'!AM$28-'Statistics NZ'!AL$28,$D$13/5*(AM$9-AM$10)*1000)</f>
        <v>33248.594289695109</v>
      </c>
      <c r="AN28" s="111">
        <f>SUM(AM$28,'Statistics NZ'!AN$28-'Statistics NZ'!AM$28,$D$13/5*(AN$9-AN$10)*1000)</f>
        <v>33298.594289695109</v>
      </c>
      <c r="AO28" s="111">
        <f>SUM(AN$28,'Statistics NZ'!AO$28-'Statistics NZ'!AN$28,$D$13/5*(AO$9-AO$10)*1000)</f>
        <v>33358.594289695109</v>
      </c>
      <c r="AP28" s="111">
        <f>SUM(AO$28,'Statistics NZ'!AP$28-'Statistics NZ'!AO$28,$D$13/5*(AP$9-AP$10)*1000)</f>
        <v>33448.594289695109</v>
      </c>
      <c r="AQ28" s="111">
        <f>SUM(AP$28,'Statistics NZ'!AQ$28-'Statistics NZ'!AP$28,$D$13/5*(AQ$9-AQ$10)*1000)</f>
        <v>33558.594289695109</v>
      </c>
      <c r="AR28" s="111">
        <f>SUM(AQ$28,'Statistics NZ'!AR$28-'Statistics NZ'!AQ$28,$D$13/5*(AR$9-AR$10)*1000)</f>
        <v>33688.594289695109</v>
      </c>
      <c r="AS28" s="111">
        <f>SUM(AR$28,'Statistics NZ'!AS$28-'Statistics NZ'!AR$28,$D$13/5*(AS$9-AS$10)*1000)</f>
        <v>33838.594289695109</v>
      </c>
      <c r="AT28" s="111">
        <f>SUM(AS$28,'Statistics NZ'!AT$28-'Statistics NZ'!AS$28,$D$13/5*(AT$9-AT$10)*1000)</f>
        <v>33998.594289695109</v>
      </c>
      <c r="AU28" s="111">
        <f>SUM(AT$28,'Statistics NZ'!AU$28-'Statistics NZ'!AT$28,$D$13/5*(AU$9-AU$10)*1000)</f>
        <v>34158.594289695109</v>
      </c>
      <c r="AV28" s="111">
        <f>SUM(AU$28,'Statistics NZ'!AV$28-'Statistics NZ'!AU$28,$D$13/5*(AV$9-AV$10)*1000)</f>
        <v>34298.594289695109</v>
      </c>
      <c r="AW28" s="111">
        <f>SUM(AV$28,'Statistics NZ'!AW$28-'Statistics NZ'!AV$28,$D$13/5*(AW$9-AW$10)*1000)</f>
        <v>34418.594289695109</v>
      </c>
      <c r="AX28" s="111">
        <f>SUM(AW$28,'Statistics NZ'!AX$28-'Statistics NZ'!AW$28,$D$13/5*(AX$9-AX$10)*1000)</f>
        <v>34518.594289695109</v>
      </c>
      <c r="AY28" s="111">
        <f>SUM(AX$28,'Statistics NZ'!AY$28-'Statistics NZ'!AX$28,$D$13/5*(AY$9-AY$10)*1000)</f>
        <v>34578.594289695109</v>
      </c>
      <c r="AZ28" s="111">
        <f>SUM(AY$28,'Statistics NZ'!AZ$28-'Statistics NZ'!AY$28,$D$13/5*(AZ$9-AZ$10)*1000)</f>
        <v>34608.594289695109</v>
      </c>
      <c r="BA28" s="111">
        <f>SUM(AZ$28,'Statistics NZ'!BA$28-'Statistics NZ'!AZ$28,$D$13/5*(BA$9-BA$10)*1000)</f>
        <v>34608.594289695109</v>
      </c>
      <c r="BB28" s="111">
        <f>SUM(BA$28,'Statistics NZ'!BB$28-'Statistics NZ'!BA$28,$D$13/5*(BB$9-BB$10)*1000)</f>
        <v>34578.594289695109</v>
      </c>
      <c r="BC28" s="111">
        <f>SUM(BB$28,'Statistics NZ'!BC$28-'Statistics NZ'!BB$28,$D$13/5*(BC$9-BC$10)*1000)</f>
        <v>34518.594289695109</v>
      </c>
      <c r="BD28" s="111">
        <f>SUM(BC$28,'Statistics NZ'!BD$28-'Statistics NZ'!BC$28,$D$13/5*(BD$9-BD$10)*1000)</f>
        <v>34438.594289695109</v>
      </c>
      <c r="BE28" s="111">
        <f>SUM(BD$28,'Statistics NZ'!BE$28-'Statistics NZ'!BD$28,$D$13/5*(BE$9-BE$10)*1000)</f>
        <v>34348.594289695109</v>
      </c>
      <c r="BF28" s="111">
        <f>SUM(BE$28,'Statistics NZ'!BF$28-'Statistics NZ'!BE$28,$D$13/5*(BF$9-BF$10)*1000)</f>
        <v>34248.594289695109</v>
      </c>
      <c r="BG28" s="111">
        <f>SUM(BF$28,'Statistics NZ'!BG$28-'Statistics NZ'!BF$28,$D$13/5*(BG$9-BG$10)*1000)</f>
        <v>34148.594289695109</v>
      </c>
      <c r="BH28" s="111">
        <f>SUM(BG$28,'Statistics NZ'!BH$28-'Statistics NZ'!BG$28,$D$13/5*(BH$9-BH$10)*1000)</f>
        <v>34058.594289695109</v>
      </c>
      <c r="BI28" s="111">
        <f>SUM(BH$28,'Statistics NZ'!BI$28-'Statistics NZ'!BH$28,$D$13/5*(BI$9-BI$10)*1000)</f>
        <v>33968.594289695109</v>
      </c>
      <c r="BJ28" s="111">
        <f>SUM(BI$28,'Statistics NZ'!BJ$28-'Statistics NZ'!BI$28,$D$13/5*(BJ$9-BJ$10)*1000)</f>
        <v>33898.594289695109</v>
      </c>
      <c r="BK28" s="111">
        <f>SUM(BJ$28,'Statistics NZ'!BK$28-'Statistics NZ'!BJ$28,$D$13/5*(BK$9-BK$10)*1000)</f>
        <v>33838.594289695109</v>
      </c>
      <c r="BL28" s="111">
        <f>SUM(BK$28,'Statistics NZ'!BL$28-'Statistics NZ'!BK$28,$D$13/5*(BL$9-BL$10)*1000)</f>
        <v>33808.594289695109</v>
      </c>
      <c r="BM28" s="195">
        <f>SUM(BL$28,'Statistics NZ'!BM$28-'Statistics NZ'!BL$28,$D$13/5*(BM$9-BM$10)*1000)</f>
        <v>33788.594289695109</v>
      </c>
      <c r="BN28" s="195">
        <f>SUM(BM$28,'Statistics NZ'!BN$28-'Statistics NZ'!BM$28,$D$13/5*(BN$9-BN$10)*1000)</f>
        <v>33778.594289695109</v>
      </c>
      <c r="BO28" s="195">
        <f>SUM(BN$28,'Statistics NZ'!BO$28-'Statistics NZ'!BN$28,$D$13/5*(BO$9-BO$10)*1000)</f>
        <v>33788.594289695109</v>
      </c>
      <c r="BP28" s="195">
        <f>SUM(BO$28,'Statistics NZ'!BP$28-'Statistics NZ'!BO$28,$D$13/5*(BP$9-BP$10)*1000)</f>
        <v>33808.594289695109</v>
      </c>
      <c r="BQ28" s="195">
        <f>SUM(BP$28,'Statistics NZ'!BQ$28-'Statistics NZ'!BP$28,$D$13/5*(BQ$9-BQ$10)*1000)</f>
        <v>33838.594289695109</v>
      </c>
    </row>
    <row r="29" spans="1:69">
      <c r="A29" s="105">
        <v>12</v>
      </c>
      <c r="B29" s="118">
        <f>'Statistics NZ'!B$29*('Economic Forecasts'!D$10-'Economic Forecasts'!D$9)*1000000/SUM('Statistics NZ'!B$17:B$31,'Statistics NZ'!B$110:B$124)</f>
        <v>31711.459963301091</v>
      </c>
      <c r="C29" s="118">
        <f>'Statistics NZ'!C$29*('Economic Forecasts'!E$10-'Economic Forecasts'!E$9)*1000000/SUM('Statistics NZ'!C$17:C$31,'Statistics NZ'!C$110:C$124)</f>
        <v>31748.95052170987</v>
      </c>
      <c r="D29" s="118">
        <f>'Statistics NZ'!D$29*('Economic Forecasts'!F$10-'Economic Forecasts'!F$9)*1000000/SUM('Statistics NZ'!D$17:D$31,'Statistics NZ'!D$110:D$124)</f>
        <v>31178.42503154626</v>
      </c>
      <c r="E29" s="118">
        <f>'Statistics NZ'!E$29*('Economic Forecasts'!G$10-'Economic Forecasts'!G$9)*1000000/SUM('Statistics NZ'!E$17:E$31,'Statistics NZ'!E$110:E$124)</f>
        <v>31125.694771183833</v>
      </c>
      <c r="F29" s="118">
        <f>'Statistics NZ'!F$29*('Economic Forecasts'!H$10-'Economic Forecasts'!H$9)*1000000/SUM('Statistics NZ'!F$17:F$31,'Statistics NZ'!F$110:F$124)</f>
        <v>31261.346488426898</v>
      </c>
      <c r="G29" s="118">
        <f>'Statistics NZ'!G$29*('Economic Forecasts'!I$10-'Economic Forecasts'!I$9)*1000000/SUM('Statistics NZ'!G$17:G$31,'Statistics NZ'!G$110:G$124)</f>
        <v>30569.466021016564</v>
      </c>
      <c r="H29" s="118">
        <f>'Statistics NZ'!H$29*('Economic Forecasts'!J$10-'Economic Forecasts'!J$9)*1000000/SUM('Statistics NZ'!H$17:H$31,'Statistics NZ'!H$110:H$124)</f>
        <v>31722.727272727258</v>
      </c>
      <c r="I29" s="118">
        <f>'Statistics NZ'!I$29*('Economic Forecasts'!K$10-'Economic Forecasts'!K$9)*1000000/SUM('Statistics NZ'!I$17:I$31,'Statistics NZ'!I$110:I$124)</f>
        <v>31381.883163327064</v>
      </c>
      <c r="J29" s="203">
        <f>'Statistics NZ'!J$29*('Economic Forecasts'!L$10-'Economic Forecasts'!L$9)*1000000/SUM('Statistics NZ'!J$17:J$31,'Statistics NZ'!J$110:J$124)</f>
        <v>30524.192133032051</v>
      </c>
      <c r="K29" s="203">
        <f>'Statistics NZ'!K$29*('Economic Forecasts'!M$10-'Economic Forecasts'!M$9)*1000000/SUM('Statistics NZ'!K$17:K$31,'Statistics NZ'!K$110:K$124)</f>
        <v>30424.114642451768</v>
      </c>
      <c r="L29" s="203">
        <f>'Statistics NZ'!L$29*('Economic Forecasts'!N$10-'Economic Forecasts'!N$9)*1000000/SUM('Statistics NZ'!L$17:L$31,'Statistics NZ'!L$110:L$124)</f>
        <v>30974.094797287809</v>
      </c>
      <c r="M29" s="203">
        <f>'Statistics NZ'!M$29*('Economic Forecasts'!O$10-'Economic Forecasts'!O$9)*1000000/SUM('Statistics NZ'!M$17:M$31,'Statistics NZ'!M$110:M$124)</f>
        <v>31094.719538880294</v>
      </c>
      <c r="N29" s="203">
        <f>'Statistics NZ'!N$29*('Economic Forecasts'!P$10-'Economic Forecasts'!P$9)*1000000/SUM('Statistics NZ'!N$17:N$31,'Statistics NZ'!N$110:N$124)</f>
        <v>31807.628767948259</v>
      </c>
      <c r="O29" s="203">
        <f>'Statistics NZ'!O$29*('Economic Forecasts'!Q$10-'Economic Forecasts'!Q$9)*1000000/SUM('Statistics NZ'!O$17:O$31,'Statistics NZ'!O$110:O$124)</f>
        <v>33400.417560118396</v>
      </c>
      <c r="P29" s="203">
        <f>'Statistics NZ'!P$29*('Economic Forecasts'!R$10-'Economic Forecasts'!R$9)*1000000/SUM('Statistics NZ'!P$17:P$31,'Statistics NZ'!P$110:P$124)</f>
        <v>34752.147408051009</v>
      </c>
      <c r="Q29" s="121">
        <f>SUM('Statistics NZ'!Q$29,$D$13/5*(Q$9-Q$10)*1000)*('Economic Forecasts'!S$10-'Economic Forecasts'!S$9)*1000000/SUM('Statistics NZ'!Q$17:Q$31,'Statistics NZ'!Q$110:Q$124,SUM($B$13:$D$14)*(Q$9-Q$10)*1000)</f>
        <v>34194.65441350019</v>
      </c>
      <c r="R29" s="205">
        <f>SUM('Statistics NZ'!R$29,$D$13/5*(R$9-R$10)*1000)*('Economic Forecasts'!T$10-'Economic Forecasts'!T$9)*1000000/SUM('Statistics NZ'!R$17:R$31,'Statistics NZ'!R$110:R$124,SUM($B$13:$D$14)*(R$9-R$10)*1000)</f>
        <v>35264.383043351008</v>
      </c>
      <c r="S29" s="205">
        <f>SUM('Statistics NZ'!S$29,$D$13/5*(S$9-S$10)*1000)*('Economic Forecasts'!U$10-'Economic Forecasts'!U$9)*1000000/SUM('Statistics NZ'!S$17:S$31,'Statistics NZ'!S$110:S$124,SUM($B$13:$D$14)*(S$9-S$10)*1000)</f>
        <v>35283.400682626358</v>
      </c>
      <c r="T29" s="205">
        <f>SUM('Statistics NZ'!T$29,$D$13/5*(T$9-T$10)*1000)*('Economic Forecasts'!V$10-'Economic Forecasts'!V$9)*1000000/SUM('Statistics NZ'!T$17:T$31,'Statistics NZ'!T$110:T$124,SUM($B$13:$D$14)*(T$9-T$10)*1000)</f>
        <v>35423.109676146836</v>
      </c>
      <c r="U29" s="205">
        <f>SUM('Statistics NZ'!U$29,$D$13/5*(U$9-U$10)*1000)*('Economic Forecasts'!W$10-'Economic Forecasts'!W$9)*1000000/SUM('Statistics NZ'!U$17:U$31,'Statistics NZ'!U$110:U$124,SUM($B$13:$D$14)*(U$9-U$10)*1000)</f>
        <v>35657.346633283429</v>
      </c>
      <c r="V29" s="111">
        <f>SUM(U$29,'Statistics NZ'!V$29-'Statistics NZ'!U$29,$D$13/5*(V$9-V$10)*1000)</f>
        <v>34646.322173513217</v>
      </c>
      <c r="W29" s="111">
        <f>SUM(V$29,'Statistics NZ'!W$29-'Statistics NZ'!V$29,$D$13/5*(W$9-W$10)*1000)</f>
        <v>34801.675771214279</v>
      </c>
      <c r="X29" s="111">
        <f>SUM(W$29,'Statistics NZ'!X$29-'Statistics NZ'!W$29,$D$13/5*(X$9-X$10)*1000)</f>
        <v>34513.407426386621</v>
      </c>
      <c r="Y29" s="111">
        <f>SUM(X$29,'Statistics NZ'!Y$29-'Statistics NZ'!X$29,$D$13/5*(Y$9-Y$10)*1000)</f>
        <v>34811.517139030235</v>
      </c>
      <c r="Z29" s="111">
        <f>SUM(Y$29,'Statistics NZ'!Z$29-'Statistics NZ'!Y$29,$D$13/5*(Z$9-Z$10)*1000)</f>
        <v>34046.004909145129</v>
      </c>
      <c r="AA29" s="111">
        <f>SUM(Z$29,'Statistics NZ'!AA$29-'Statistics NZ'!Z$29,$D$13/5*(AA$9-AA$10)*1000)</f>
        <v>33666.870736731296</v>
      </c>
      <c r="AB29" s="111">
        <f>SUM(AA$29,'Statistics NZ'!AB$29-'Statistics NZ'!AA$29,$D$13/5*(AB$9-AB$10)*1000)</f>
        <v>33844.114621788744</v>
      </c>
      <c r="AC29" s="111">
        <f>SUM(AB$29,'Statistics NZ'!AC$29-'Statistics NZ'!AB$29,$D$13/5*(AC$9-AC$10)*1000)</f>
        <v>33287.736564317463</v>
      </c>
      <c r="AD29" s="111">
        <f>SUM(AC$29,'Statistics NZ'!AD$29-'Statistics NZ'!AC$29,$D$13/5*(AD$9-AD$10)*1000)</f>
        <v>33257.736564317463</v>
      </c>
      <c r="AE29" s="111">
        <f>SUM(AD$29,'Statistics NZ'!AE$29-'Statistics NZ'!AD$29,$D$13/5*(AE$9-AE$10)*1000)</f>
        <v>33197.736564317463</v>
      </c>
      <c r="AF29" s="111">
        <f>SUM(AE$29,'Statistics NZ'!AF$29-'Statistics NZ'!AE$29,$D$13/5*(AF$9-AF$10)*1000)</f>
        <v>33127.736564317463</v>
      </c>
      <c r="AG29" s="111">
        <f>SUM(AF$29,'Statistics NZ'!AG$29-'Statistics NZ'!AF$29,$D$13/5*(AG$9-AG$10)*1000)</f>
        <v>33237.736564317463</v>
      </c>
      <c r="AH29" s="111">
        <f>SUM(AG$29,'Statistics NZ'!AH$29-'Statistics NZ'!AG$29,$D$13/5*(AH$9-AH$10)*1000)</f>
        <v>33317.736564317463</v>
      </c>
      <c r="AI29" s="111">
        <f>SUM(AH$29,'Statistics NZ'!AI$29-'Statistics NZ'!AH$29,$D$13/5*(AI$9-AI$10)*1000)</f>
        <v>33367.736564317463</v>
      </c>
      <c r="AJ29" s="111">
        <f>SUM(AI$29,'Statistics NZ'!AJ$29-'Statistics NZ'!AI$29,$D$13/5*(AJ$9-AJ$10)*1000)</f>
        <v>33407.736564317463</v>
      </c>
      <c r="AK29" s="111">
        <f>SUM(AJ$29,'Statistics NZ'!AK$29-'Statistics NZ'!AJ$29,$D$13/5*(AK$9-AK$10)*1000)</f>
        <v>33427.736564317463</v>
      </c>
      <c r="AL29" s="111">
        <f>SUM(AK$29,'Statistics NZ'!AL$29-'Statistics NZ'!AK$29,$D$13/5*(AL$9-AL$10)*1000)</f>
        <v>33447.736564317463</v>
      </c>
      <c r="AM29" s="111">
        <f>SUM(AL$29,'Statistics NZ'!AM$29-'Statistics NZ'!AL$29,$D$13/5*(AM$9-AM$10)*1000)</f>
        <v>33477.736564317463</v>
      </c>
      <c r="AN29" s="111">
        <f>SUM(AM$29,'Statistics NZ'!AN$29-'Statistics NZ'!AM$29,$D$13/5*(AN$9-AN$10)*1000)</f>
        <v>33507.736564317463</v>
      </c>
      <c r="AO29" s="111">
        <f>SUM(AN$29,'Statistics NZ'!AO$29-'Statistics NZ'!AN$29,$D$13/5*(AO$9-AO$10)*1000)</f>
        <v>33557.736564317463</v>
      </c>
      <c r="AP29" s="111">
        <f>SUM(AO$29,'Statistics NZ'!AP$29-'Statistics NZ'!AO$29,$D$13/5*(AP$9-AP$10)*1000)</f>
        <v>33617.736564317463</v>
      </c>
      <c r="AQ29" s="111">
        <f>SUM(AP$29,'Statistics NZ'!AQ$29-'Statistics NZ'!AP$29,$D$13/5*(AQ$9-AQ$10)*1000)</f>
        <v>33707.736564317463</v>
      </c>
      <c r="AR29" s="111">
        <f>SUM(AQ$29,'Statistics NZ'!AR$29-'Statistics NZ'!AQ$29,$D$13/5*(AR$9-AR$10)*1000)</f>
        <v>33817.736564317463</v>
      </c>
      <c r="AS29" s="111">
        <f>SUM(AR$29,'Statistics NZ'!AS$29-'Statistics NZ'!AR$29,$D$13/5*(AS$9-AS$10)*1000)</f>
        <v>33947.736564317463</v>
      </c>
      <c r="AT29" s="111">
        <f>SUM(AS$29,'Statistics NZ'!AT$29-'Statistics NZ'!AS$29,$D$13/5*(AT$9-AT$10)*1000)</f>
        <v>34097.736564317463</v>
      </c>
      <c r="AU29" s="111">
        <f>SUM(AT$29,'Statistics NZ'!AU$29-'Statistics NZ'!AT$29,$D$13/5*(AU$9-AU$10)*1000)</f>
        <v>34257.736564317463</v>
      </c>
      <c r="AV29" s="111">
        <f>SUM(AU$29,'Statistics NZ'!AV$29-'Statistics NZ'!AU$29,$D$13/5*(AV$9-AV$10)*1000)</f>
        <v>34417.736564317463</v>
      </c>
      <c r="AW29" s="111">
        <f>SUM(AV$29,'Statistics NZ'!AW$29-'Statistics NZ'!AV$29,$D$13/5*(AW$9-AW$10)*1000)</f>
        <v>34557.736564317463</v>
      </c>
      <c r="AX29" s="111">
        <f>SUM(AW$29,'Statistics NZ'!AX$29-'Statistics NZ'!AW$29,$D$13/5*(AX$9-AX$10)*1000)</f>
        <v>34677.736564317463</v>
      </c>
      <c r="AY29" s="111">
        <f>SUM(AX$29,'Statistics NZ'!AY$29-'Statistics NZ'!AX$29,$D$13/5*(AY$9-AY$10)*1000)</f>
        <v>34777.736564317463</v>
      </c>
      <c r="AZ29" s="111">
        <f>SUM(AY$29,'Statistics NZ'!AZ$29-'Statistics NZ'!AY$29,$D$13/5*(AZ$9-AZ$10)*1000)</f>
        <v>34837.736564317463</v>
      </c>
      <c r="BA29" s="111">
        <f>SUM(AZ$29,'Statistics NZ'!BA$29-'Statistics NZ'!AZ$29,$D$13/5*(BA$9-BA$10)*1000)</f>
        <v>34867.736564317463</v>
      </c>
      <c r="BB29" s="111">
        <f>SUM(BA$29,'Statistics NZ'!BB$29-'Statistics NZ'!BA$29,$D$13/5*(BB$9-BB$10)*1000)</f>
        <v>34867.736564317463</v>
      </c>
      <c r="BC29" s="111">
        <f>SUM(BB$29,'Statistics NZ'!BC$29-'Statistics NZ'!BB$29,$D$13/5*(BC$9-BC$10)*1000)</f>
        <v>34837.736564317463</v>
      </c>
      <c r="BD29" s="111">
        <f>SUM(BC$29,'Statistics NZ'!BD$29-'Statistics NZ'!BC$29,$D$13/5*(BD$9-BD$10)*1000)</f>
        <v>34777.736564317463</v>
      </c>
      <c r="BE29" s="111">
        <f>SUM(BD$29,'Statistics NZ'!BE$29-'Statistics NZ'!BD$29,$D$13/5*(BE$9-BE$10)*1000)</f>
        <v>34707.736564317463</v>
      </c>
      <c r="BF29" s="111">
        <f>SUM(BE$29,'Statistics NZ'!BF$29-'Statistics NZ'!BE$29,$D$13/5*(BF$9-BF$10)*1000)</f>
        <v>34607.736564317463</v>
      </c>
      <c r="BG29" s="111">
        <f>SUM(BF$29,'Statistics NZ'!BG$29-'Statistics NZ'!BF$29,$D$13/5*(BG$9-BG$10)*1000)</f>
        <v>34507.736564317463</v>
      </c>
      <c r="BH29" s="111">
        <f>SUM(BG$29,'Statistics NZ'!BH$29-'Statistics NZ'!BG$29,$D$13/5*(BH$9-BH$10)*1000)</f>
        <v>34407.736564317463</v>
      </c>
      <c r="BI29" s="111">
        <f>SUM(BH$29,'Statistics NZ'!BI$29-'Statistics NZ'!BH$29,$D$13/5*(BI$9-BI$10)*1000)</f>
        <v>34317.736564317463</v>
      </c>
      <c r="BJ29" s="111">
        <f>SUM(BI$29,'Statistics NZ'!BJ$29-'Statistics NZ'!BI$29,$D$13/5*(BJ$9-BJ$10)*1000)</f>
        <v>34227.736564317463</v>
      </c>
      <c r="BK29" s="111">
        <f>SUM(BJ$29,'Statistics NZ'!BK$29-'Statistics NZ'!BJ$29,$D$13/5*(BK$9-BK$10)*1000)</f>
        <v>34157.736564317463</v>
      </c>
      <c r="BL29" s="111">
        <f>SUM(BK$29,'Statistics NZ'!BL$29-'Statistics NZ'!BK$29,$D$13/5*(BL$9-BL$10)*1000)</f>
        <v>34107.736564317463</v>
      </c>
      <c r="BM29" s="195">
        <f>SUM(BL$29,'Statistics NZ'!BM$29-'Statistics NZ'!BL$29,$D$13/5*(BM$9-BM$10)*1000)</f>
        <v>34067.736564317463</v>
      </c>
      <c r="BN29" s="195">
        <f>SUM(BM$29,'Statistics NZ'!BN$29-'Statistics NZ'!BM$29,$D$13/5*(BN$9-BN$10)*1000)</f>
        <v>34047.736564317463</v>
      </c>
      <c r="BO29" s="195">
        <f>SUM(BN$29,'Statistics NZ'!BO$29-'Statistics NZ'!BN$29,$D$13/5*(BO$9-BO$10)*1000)</f>
        <v>34037.736564317463</v>
      </c>
      <c r="BP29" s="195">
        <f>SUM(BO$29,'Statistics NZ'!BP$29-'Statistics NZ'!BO$29,$D$13/5*(BP$9-BP$10)*1000)</f>
        <v>34047.736564317463</v>
      </c>
      <c r="BQ29" s="195">
        <f>SUM(BP$29,'Statistics NZ'!BQ$29-'Statistics NZ'!BP$29,$D$13/5*(BQ$9-BQ$10)*1000)</f>
        <v>34067.736564317463</v>
      </c>
    </row>
    <row r="30" spans="1:69">
      <c r="A30" s="105">
        <v>13</v>
      </c>
      <c r="B30" s="118">
        <f>'Statistics NZ'!B$30*('Economic Forecasts'!D$10-'Economic Forecasts'!D$9)*1000000/SUM('Statistics NZ'!B$17:B$31,'Statistics NZ'!B$110:B$124)</f>
        <v>32515.084823991619</v>
      </c>
      <c r="C30" s="118">
        <f>'Statistics NZ'!C$30*('Economic Forecasts'!E$10-'Economic Forecasts'!E$9)*1000000/SUM('Statistics NZ'!C$17:C$31,'Statistics NZ'!C$110:C$124)</f>
        <v>31748.95052170987</v>
      </c>
      <c r="D30" s="118">
        <f>'Statistics NZ'!D$30*('Economic Forecasts'!F$10-'Economic Forecasts'!F$9)*1000000/SUM('Statistics NZ'!D$17:D$31,'Statistics NZ'!D$110:D$124)</f>
        <v>31822.912976962838</v>
      </c>
      <c r="E30" s="118">
        <f>'Statistics NZ'!E$30*('Economic Forecasts'!G$10-'Economic Forecasts'!G$9)*1000000/SUM('Statistics NZ'!E$17:E$31,'Statistics NZ'!E$110:E$124)</f>
        <v>31401.237183186142</v>
      </c>
      <c r="F30" s="118">
        <f>'Statistics NZ'!F$30*('Economic Forecasts'!H$10-'Economic Forecasts'!H$9)*1000000/SUM('Statistics NZ'!F$17:F$31,'Statistics NZ'!F$110:F$124)</f>
        <v>31335.475697579674</v>
      </c>
      <c r="G30" s="118">
        <f>'Statistics NZ'!G$30*('Economic Forecasts'!I$10-'Economic Forecasts'!I$9)*1000000/SUM('Statistics NZ'!G$17:G$31,'Statistics NZ'!G$110:G$124)</f>
        <v>31374.204302137889</v>
      </c>
      <c r="H30" s="118">
        <f>'Statistics NZ'!H$30*('Economic Forecasts'!J$10-'Economic Forecasts'!J$9)*1000000/SUM('Statistics NZ'!H$17:H$31,'Statistics NZ'!H$110:H$124)</f>
        <v>30662.121212121194</v>
      </c>
      <c r="I30" s="118">
        <f>'Statistics NZ'!I$30*('Economic Forecasts'!K$10-'Economic Forecasts'!K$9)*1000000/SUM('Statistics NZ'!I$17:I$31,'Statistics NZ'!I$110:I$124)</f>
        <v>31860.914622740132</v>
      </c>
      <c r="J30" s="203">
        <f>'Statistics NZ'!J$30*('Economic Forecasts'!L$10-'Economic Forecasts'!L$9)*1000000/SUM('Statistics NZ'!J$17:J$31,'Statistics NZ'!J$110:J$124)</f>
        <v>31734.449575499639</v>
      </c>
      <c r="K30" s="203">
        <f>'Statistics NZ'!K$30*('Economic Forecasts'!M$10-'Economic Forecasts'!M$9)*1000000/SUM('Statistics NZ'!K$17:K$31,'Statistics NZ'!K$110:K$124)</f>
        <v>30917.942897057543</v>
      </c>
      <c r="L30" s="203">
        <f>'Statistics NZ'!L$30*('Economic Forecasts'!N$10-'Economic Forecasts'!N$9)*1000000/SUM('Statistics NZ'!L$17:L$31,'Statistics NZ'!L$110:L$124)</f>
        <v>30505.435866379743</v>
      </c>
      <c r="M30" s="203">
        <f>'Statistics NZ'!M$30*('Economic Forecasts'!O$10-'Economic Forecasts'!O$9)*1000000/SUM('Statistics NZ'!M$17:M$31,'Statistics NZ'!M$110:M$124)</f>
        <v>31307.697069968512</v>
      </c>
      <c r="N30" s="203">
        <f>'Statistics NZ'!N$30*('Economic Forecasts'!P$10-'Economic Forecasts'!P$9)*1000000/SUM('Statistics NZ'!N$17:N$31,'Statistics NZ'!N$110:N$124)</f>
        <v>31289.485879108681</v>
      </c>
      <c r="O30" s="203">
        <f>'Statistics NZ'!O$30*('Economic Forecasts'!Q$10-'Economic Forecasts'!Q$9)*1000000/SUM('Statistics NZ'!O$17:O$31,'Statistics NZ'!O$110:O$124)</f>
        <v>32184.126230348407</v>
      </c>
      <c r="P30" s="203">
        <f>'Statistics NZ'!P$30*('Economic Forecasts'!R$10-'Economic Forecasts'!R$9)*1000000/SUM('Statistics NZ'!P$17:P$31,'Statistics NZ'!P$110:P$124)</f>
        <v>33801.191717347268</v>
      </c>
      <c r="Q30" s="121">
        <f>SUM('Statistics NZ'!Q$30,$D$13/5*(Q$9-Q$10)*1000)*('Economic Forecasts'!S$10-'Economic Forecasts'!S$9)*1000000/SUM('Statistics NZ'!Q$17:Q$31,'Statistics NZ'!Q$110:Q$124,SUM($B$13:$D$14)*(Q$9-Q$10)*1000)</f>
        <v>34699.573484783155</v>
      </c>
      <c r="R30" s="205">
        <f>SUM('Statistics NZ'!R$30,$D$13/5*(R$9-R$10)*1000)*('Economic Forecasts'!T$10-'Economic Forecasts'!T$9)*1000000/SUM('Statistics NZ'!R$17:R$31,'Statistics NZ'!R$110:R$124,SUM($B$13:$D$14)*(R$9-R$10)*1000)</f>
        <v>34390.745999258274</v>
      </c>
      <c r="S30" s="205">
        <f>SUM('Statistics NZ'!S$30,$D$13/5*(S$9-S$10)*1000)*('Economic Forecasts'!U$10-'Economic Forecasts'!U$9)*1000000/SUM('Statistics NZ'!S$17:S$31,'Statistics NZ'!S$110:S$124,SUM($B$13:$D$14)*(S$9-S$10)*1000)</f>
        <v>35578.803860192253</v>
      </c>
      <c r="T30" s="205">
        <f>SUM('Statistics NZ'!T$30,$D$13/5*(T$9-T$10)*1000)*('Economic Forecasts'!V$10-'Economic Forecasts'!V$9)*1000000/SUM('Statistics NZ'!T$17:T$31,'Statistics NZ'!T$110:T$124,SUM($B$13:$D$14)*(T$9-T$10)*1000)</f>
        <v>35741.299328024674</v>
      </c>
      <c r="U30" s="205">
        <f>SUM('Statistics NZ'!U$30,$D$13/5*(U$9-U$10)*1000)*('Economic Forecasts'!W$10-'Economic Forecasts'!W$9)*1000000/SUM('Statistics NZ'!U$17:U$31,'Statistics NZ'!U$110:U$124,SUM($B$13:$D$14)*(U$9-U$10)*1000)</f>
        <v>35967.386369438849</v>
      </c>
      <c r="V30" s="111">
        <f>SUM(U$30,'Statistics NZ'!V$30-'Statistics NZ'!U$30,$D$13/5*(V$9-V$10)*1000)</f>
        <v>35976.361909668638</v>
      </c>
      <c r="W30" s="111">
        <f>SUM(V$30,'Statistics NZ'!W$30-'Statistics NZ'!V$30,$D$13/5*(W$9-W$10)*1000)</f>
        <v>34951.715507369699</v>
      </c>
      <c r="X30" s="111">
        <f>SUM(W$30,'Statistics NZ'!X$30-'Statistics NZ'!W$30,$D$13/5*(X$9-X$10)*1000)</f>
        <v>35093.447162542041</v>
      </c>
      <c r="Y30" s="111">
        <f>SUM(X$30,'Statistics NZ'!Y$30-'Statistics NZ'!X$30,$D$13/5*(Y$9-Y$10)*1000)</f>
        <v>34791.556875185655</v>
      </c>
      <c r="Z30" s="111">
        <f>SUM(Y$30,'Statistics NZ'!Z$30-'Statistics NZ'!Y$30,$D$13/5*(Z$9-Z$10)*1000)</f>
        <v>35086.04464530055</v>
      </c>
      <c r="AA30" s="111">
        <f>SUM(Z$30,'Statistics NZ'!AA$30-'Statistics NZ'!Z$30,$D$13/5*(AA$9-AA$10)*1000)</f>
        <v>34296.910472886717</v>
      </c>
      <c r="AB30" s="111">
        <f>SUM(AA$30,'Statistics NZ'!AB$30-'Statistics NZ'!AA$30,$D$13/5*(AB$9-AB$10)*1000)</f>
        <v>33904.154357944164</v>
      </c>
      <c r="AC30" s="111">
        <f>SUM(AB$30,'Statistics NZ'!AC$30-'Statistics NZ'!AB$30,$D$13/5*(AC$9-AC$10)*1000)</f>
        <v>34067.776300472884</v>
      </c>
      <c r="AD30" s="111">
        <f>SUM(AC$30,'Statistics NZ'!AD$30-'Statistics NZ'!AC$30,$D$13/5*(AD$9-AD$10)*1000)</f>
        <v>33497.776300472884</v>
      </c>
      <c r="AE30" s="111">
        <f>SUM(AD$30,'Statistics NZ'!AE$30-'Statistics NZ'!AD$30,$D$13/5*(AE$9-AE$10)*1000)</f>
        <v>33467.776300472884</v>
      </c>
      <c r="AF30" s="111">
        <f>SUM(AE$30,'Statistics NZ'!AF$30-'Statistics NZ'!AE$30,$D$13/5*(AF$9-AF$10)*1000)</f>
        <v>33407.776300472884</v>
      </c>
      <c r="AG30" s="111">
        <f>SUM(AF$30,'Statistics NZ'!AG$30-'Statistics NZ'!AF$30,$D$13/5*(AG$9-AG$10)*1000)</f>
        <v>33337.776300472884</v>
      </c>
      <c r="AH30" s="111">
        <f>SUM(AG$30,'Statistics NZ'!AH$30-'Statistics NZ'!AG$30,$D$13/5*(AH$9-AH$10)*1000)</f>
        <v>33447.776300472884</v>
      </c>
      <c r="AI30" s="111">
        <f>SUM(AH$30,'Statistics NZ'!AI$30-'Statistics NZ'!AH$30,$D$13/5*(AI$9-AI$10)*1000)</f>
        <v>33527.776300472884</v>
      </c>
      <c r="AJ30" s="111">
        <f>SUM(AI$30,'Statistics NZ'!AJ$30-'Statistics NZ'!AI$30,$D$13/5*(AJ$9-AJ$10)*1000)</f>
        <v>33587.776300472884</v>
      </c>
      <c r="AK30" s="111">
        <f>SUM(AJ$30,'Statistics NZ'!AK$30-'Statistics NZ'!AJ$30,$D$13/5*(AK$9-AK$10)*1000)</f>
        <v>33617.776300472884</v>
      </c>
      <c r="AL30" s="111">
        <f>SUM(AK$30,'Statistics NZ'!AL$30-'Statistics NZ'!AK$30,$D$13/5*(AL$9-AL$10)*1000)</f>
        <v>33647.776300472884</v>
      </c>
      <c r="AM30" s="111">
        <f>SUM(AL$30,'Statistics NZ'!AM$30-'Statistics NZ'!AL$30,$D$13/5*(AM$9-AM$10)*1000)</f>
        <v>33667.776300472884</v>
      </c>
      <c r="AN30" s="111">
        <f>SUM(AM$30,'Statistics NZ'!AN$30-'Statistics NZ'!AM$30,$D$13/5*(AN$9-AN$10)*1000)</f>
        <v>33697.776300472884</v>
      </c>
      <c r="AO30" s="111">
        <f>SUM(AN$30,'Statistics NZ'!AO$30-'Statistics NZ'!AN$30,$D$13/5*(AO$9-AO$10)*1000)</f>
        <v>33727.776300472884</v>
      </c>
      <c r="AP30" s="111">
        <f>SUM(AO$30,'Statistics NZ'!AP$30-'Statistics NZ'!AO$30,$D$13/5*(AP$9-AP$10)*1000)</f>
        <v>33767.776300472884</v>
      </c>
      <c r="AQ30" s="111">
        <f>SUM(AP$30,'Statistics NZ'!AQ$30-'Statistics NZ'!AP$30,$D$13/5*(AQ$9-AQ$10)*1000)</f>
        <v>33837.776300472884</v>
      </c>
      <c r="AR30" s="111">
        <f>SUM(AQ$30,'Statistics NZ'!AR$30-'Statistics NZ'!AQ$30,$D$13/5*(AR$9-AR$10)*1000)</f>
        <v>33917.776300472884</v>
      </c>
      <c r="AS30" s="111">
        <f>SUM(AR$30,'Statistics NZ'!AS$30-'Statistics NZ'!AR$30,$D$13/5*(AS$9-AS$10)*1000)</f>
        <v>34027.776300472884</v>
      </c>
      <c r="AT30" s="111">
        <f>SUM(AS$30,'Statistics NZ'!AT$30-'Statistics NZ'!AS$30,$D$13/5*(AT$9-AT$10)*1000)</f>
        <v>34167.776300472884</v>
      </c>
      <c r="AU30" s="111">
        <f>SUM(AT$30,'Statistics NZ'!AU$30-'Statistics NZ'!AT$30,$D$13/5*(AU$9-AU$10)*1000)</f>
        <v>34307.776300472884</v>
      </c>
      <c r="AV30" s="111">
        <f>SUM(AU$30,'Statistics NZ'!AV$30-'Statistics NZ'!AU$30,$D$13/5*(AV$9-AV$10)*1000)</f>
        <v>34467.776300472884</v>
      </c>
      <c r="AW30" s="111">
        <f>SUM(AV$30,'Statistics NZ'!AW$30-'Statistics NZ'!AV$30,$D$13/5*(AW$9-AW$10)*1000)</f>
        <v>34637.776300472884</v>
      </c>
      <c r="AX30" s="111">
        <f>SUM(AW$30,'Statistics NZ'!AX$30-'Statistics NZ'!AW$30,$D$13/5*(AX$9-AX$10)*1000)</f>
        <v>34777.776300472884</v>
      </c>
      <c r="AY30" s="111">
        <f>SUM(AX$30,'Statistics NZ'!AY$30-'Statistics NZ'!AX$30,$D$13/5*(AY$9-AY$10)*1000)</f>
        <v>34897.776300472884</v>
      </c>
      <c r="AZ30" s="111">
        <f>SUM(AY$30,'Statistics NZ'!AZ$30-'Statistics NZ'!AY$30,$D$13/5*(AZ$9-AZ$10)*1000)</f>
        <v>34987.776300472884</v>
      </c>
      <c r="BA30" s="111">
        <f>SUM(AZ$30,'Statistics NZ'!BA$30-'Statistics NZ'!AZ$30,$D$13/5*(BA$9-BA$10)*1000)</f>
        <v>35057.776300472884</v>
      </c>
      <c r="BB30" s="111">
        <f>SUM(BA$30,'Statistics NZ'!BB$30-'Statistics NZ'!BA$30,$D$13/5*(BB$9-BB$10)*1000)</f>
        <v>35087.776300472884</v>
      </c>
      <c r="BC30" s="111">
        <f>SUM(BB$30,'Statistics NZ'!BC$30-'Statistics NZ'!BB$30,$D$13/5*(BC$9-BC$10)*1000)</f>
        <v>35077.776300472884</v>
      </c>
      <c r="BD30" s="111">
        <f>SUM(BC$30,'Statistics NZ'!BD$30-'Statistics NZ'!BC$30,$D$13/5*(BD$9-BD$10)*1000)</f>
        <v>35047.776300472884</v>
      </c>
      <c r="BE30" s="111">
        <f>SUM(BD$30,'Statistics NZ'!BE$30-'Statistics NZ'!BD$30,$D$13/5*(BE$9-BE$10)*1000)</f>
        <v>34997.776300472884</v>
      </c>
      <c r="BF30" s="111">
        <f>SUM(BE$30,'Statistics NZ'!BF$30-'Statistics NZ'!BE$30,$D$13/5*(BF$9-BF$10)*1000)</f>
        <v>34917.776300472884</v>
      </c>
      <c r="BG30" s="111">
        <f>SUM(BF$30,'Statistics NZ'!BG$30-'Statistics NZ'!BF$30,$D$13/5*(BG$9-BG$10)*1000)</f>
        <v>34827.776300472884</v>
      </c>
      <c r="BH30" s="111">
        <f>SUM(BG$30,'Statistics NZ'!BH$30-'Statistics NZ'!BG$30,$D$13/5*(BH$9-BH$10)*1000)</f>
        <v>34727.776300472884</v>
      </c>
      <c r="BI30" s="111">
        <f>SUM(BH$30,'Statistics NZ'!BI$30-'Statistics NZ'!BH$30,$D$13/5*(BI$9-BI$10)*1000)</f>
        <v>34627.776300472884</v>
      </c>
      <c r="BJ30" s="111">
        <f>SUM(BI$30,'Statistics NZ'!BJ$30-'Statistics NZ'!BI$30,$D$13/5*(BJ$9-BJ$10)*1000)</f>
        <v>34527.776300472884</v>
      </c>
      <c r="BK30" s="111">
        <f>SUM(BJ$30,'Statistics NZ'!BK$30-'Statistics NZ'!BJ$30,$D$13/5*(BK$9-BK$10)*1000)</f>
        <v>34447.776300472884</v>
      </c>
      <c r="BL30" s="111">
        <f>SUM(BK$30,'Statistics NZ'!BL$30-'Statistics NZ'!BK$30,$D$13/5*(BL$9-BL$10)*1000)</f>
        <v>34377.776300472884</v>
      </c>
      <c r="BM30" s="195">
        <f>SUM(BL$30,'Statistics NZ'!BM$30-'Statistics NZ'!BL$30,$D$13/5*(BM$9-BM$10)*1000)</f>
        <v>34317.776300472884</v>
      </c>
      <c r="BN30" s="195">
        <f>SUM(BM$30,'Statistics NZ'!BN$30-'Statistics NZ'!BM$30,$D$13/5*(BN$9-BN$10)*1000)</f>
        <v>34277.776300472884</v>
      </c>
      <c r="BO30" s="195">
        <f>SUM(BN$30,'Statistics NZ'!BO$30-'Statistics NZ'!BN$30,$D$13/5*(BO$9-BO$10)*1000)</f>
        <v>34257.776300472884</v>
      </c>
      <c r="BP30" s="195">
        <f>SUM(BO$30,'Statistics NZ'!BP$30-'Statistics NZ'!BO$30,$D$13/5*(BP$9-BP$10)*1000)</f>
        <v>34257.776300472884</v>
      </c>
      <c r="BQ30" s="195">
        <f>SUM(BP$30,'Statistics NZ'!BQ$30-'Statistics NZ'!BP$30,$D$13/5*(BQ$9-BQ$10)*1000)</f>
        <v>34267.776300472884</v>
      </c>
    </row>
    <row r="31" spans="1:69">
      <c r="A31" s="105">
        <v>14</v>
      </c>
      <c r="B31" s="118">
        <f>'Statistics NZ'!B$31*('Economic Forecasts'!D$10-'Economic Forecasts'!D$9)*1000000/SUM('Statistics NZ'!B$17:B$31,'Statistics NZ'!B$110:B$124)</f>
        <v>32737.139061814003</v>
      </c>
      <c r="C31" s="118">
        <f>'Statistics NZ'!C$31*('Economic Forecasts'!E$10-'Economic Forecasts'!E$9)*1000000/SUM('Statistics NZ'!C$17:C$31,'Statistics NZ'!C$110:C$124)</f>
        <v>32476.992258498827</v>
      </c>
      <c r="D31" s="118">
        <f>'Statistics NZ'!D$31*('Economic Forecasts'!F$10-'Economic Forecasts'!F$9)*1000000/SUM('Statistics NZ'!D$17:D$31,'Statistics NZ'!D$110:D$124)</f>
        <v>31812.347600808469</v>
      </c>
      <c r="E31" s="118">
        <f>'Statistics NZ'!E$31*('Economic Forecasts'!G$10-'Economic Forecasts'!G$9)*1000000/SUM('Statistics NZ'!E$17:E$31,'Statistics NZ'!E$110:E$124)</f>
        <v>31973.517577344777</v>
      </c>
      <c r="F31" s="118">
        <f>'Statistics NZ'!F$31*('Economic Forecasts'!H$10-'Economic Forecasts'!H$9)*1000000/SUM('Statistics NZ'!F$17:F$31,'Statistics NZ'!F$110:F$124)</f>
        <v>31589.632986103465</v>
      </c>
      <c r="G31" s="118">
        <f>'Statistics NZ'!G$31*('Economic Forecasts'!I$10-'Economic Forecasts'!I$9)*1000000/SUM('Statistics NZ'!G$17:G$31,'Statistics NZ'!G$110:G$124)</f>
        <v>31543.622887637113</v>
      </c>
      <c r="H31" s="118">
        <f>'Statistics NZ'!H$31*('Economic Forecasts'!J$10-'Economic Forecasts'!J$9)*1000000/SUM('Statistics NZ'!H$17:H$31,'Statistics NZ'!H$110:H$124)</f>
        <v>31499.999999999982</v>
      </c>
      <c r="I31" s="118">
        <f>'Statistics NZ'!I$31*('Economic Forecasts'!K$10-'Economic Forecasts'!K$9)*1000000/SUM('Statistics NZ'!I$17:I$31,'Statistics NZ'!I$110:I$124)</f>
        <v>30870.916273286461</v>
      </c>
      <c r="J31" s="203">
        <f>'Statistics NZ'!J$31*('Economic Forecasts'!L$10-'Economic Forecasts'!L$9)*1000000/SUM('Statistics NZ'!J$17:J$31,'Statistics NZ'!J$110:J$124)</f>
        <v>32162.859289647455</v>
      </c>
      <c r="K31" s="203">
        <f>'Statistics NZ'!K$31*('Economic Forecasts'!M$10-'Economic Forecasts'!M$9)*1000000/SUM('Statistics NZ'!K$17:K$31,'Statistics NZ'!K$110:K$124)</f>
        <v>32120.307343054224</v>
      </c>
      <c r="L31" s="203">
        <f>'Statistics NZ'!L$31*('Economic Forecasts'!N$10-'Economic Forecasts'!N$9)*1000000/SUM('Statistics NZ'!L$17:L$31,'Statistics NZ'!L$110:L$124)</f>
        <v>31112.562208692467</v>
      </c>
      <c r="M31" s="203">
        <f>'Statistics NZ'!M$31*('Economic Forecasts'!O$10-'Economic Forecasts'!O$9)*1000000/SUM('Statistics NZ'!M$17:M$31,'Statistics NZ'!M$110:M$124)</f>
        <v>30988.230773336185</v>
      </c>
      <c r="N31" s="203">
        <f>'Statistics NZ'!N$31*('Economic Forecasts'!P$10-'Economic Forecasts'!P$9)*1000000/SUM('Statistics NZ'!N$17:N$31,'Statistics NZ'!N$110:N$124)</f>
        <v>31458.675393831803</v>
      </c>
      <c r="O31" s="203">
        <f>'Statistics NZ'!O$31*('Economic Forecasts'!Q$10-'Economic Forecasts'!Q$9)*1000000/SUM('Statistics NZ'!O$17:O$31,'Statistics NZ'!O$110:O$124)</f>
        <v>31655.303913057109</v>
      </c>
      <c r="P31" s="203">
        <f>'Statistics NZ'!P$31*('Economic Forecasts'!R$10-'Economic Forecasts'!R$9)*1000000/SUM('Statistics NZ'!P$17:P$31,'Statistics NZ'!P$110:P$124)</f>
        <v>32564.949319432413</v>
      </c>
      <c r="Q31" s="121">
        <f>SUM('Statistics NZ'!Q$31,$D$13/5*(Q$9-Q$10)*1000)*('Economic Forecasts'!S$10-'Economic Forecasts'!S$9)*1000000/SUM('Statistics NZ'!Q$17:Q$31,'Statistics NZ'!Q$110:Q$124,SUM($B$13:$D$14)*(Q$9-Q$10)*1000)</f>
        <v>33721.292784172401</v>
      </c>
      <c r="R31" s="205">
        <f>SUM('Statistics NZ'!R$31,$D$13/5*(R$9-R$10)*1000)*('Economic Forecasts'!T$10-'Economic Forecasts'!T$9)*1000000/SUM('Statistics NZ'!R$17:R$31,'Statistics NZ'!R$110:R$124,SUM($B$13:$D$14)*(R$9-R$10)*1000)</f>
        <v>34864.404637621803</v>
      </c>
      <c r="S31" s="205">
        <f>SUM('Statistics NZ'!S$31,$D$13/5*(S$9-S$10)*1000)*('Economic Forecasts'!U$10-'Economic Forecasts'!U$9)*1000000/SUM('Statistics NZ'!S$17:S$31,'Statistics NZ'!S$110:S$124,SUM($B$13:$D$14)*(S$9-S$10)*1000)</f>
        <v>34671.494100525582</v>
      </c>
      <c r="T31" s="205">
        <f>SUM('Statistics NZ'!T$31,$D$13/5*(T$9-T$10)*1000)*('Economic Forecasts'!V$10-'Economic Forecasts'!V$9)*1000000/SUM('Statistics NZ'!T$17:T$31,'Statistics NZ'!T$110:T$124,SUM($B$13:$D$14)*(T$9-T$10)*1000)</f>
        <v>36006.457371256212</v>
      </c>
      <c r="U31" s="205">
        <f>SUM('Statistics NZ'!U$31,$D$13/5*(U$9-U$10)*1000)*('Economic Forecasts'!W$10-'Economic Forecasts'!W$9)*1000000/SUM('Statistics NZ'!U$17:U$31,'Statistics NZ'!U$110:U$124,SUM($B$13:$D$14)*(U$9-U$10)*1000)</f>
        <v>36266.735080209597</v>
      </c>
      <c r="V31" s="111">
        <f>SUM(U$31,'Statistics NZ'!V$31-'Statistics NZ'!U$31,$D$13/5*(V$9-V$10)*1000)</f>
        <v>36265.710620439386</v>
      </c>
      <c r="W31" s="111">
        <f>SUM(V$31,'Statistics NZ'!W$31-'Statistics NZ'!V$31,$D$13/5*(W$9-W$10)*1000)</f>
        <v>36271.064218140447</v>
      </c>
      <c r="X31" s="111">
        <f>SUM(W$31,'Statistics NZ'!X$31-'Statistics NZ'!W$31,$D$13/5*(X$9-X$10)*1000)</f>
        <v>35232.795873312789</v>
      </c>
      <c r="Y31" s="111">
        <f>SUM(X$31,'Statistics NZ'!Y$31-'Statistics NZ'!X$31,$D$13/5*(Y$9-Y$10)*1000)</f>
        <v>35350.905585956403</v>
      </c>
      <c r="Z31" s="111">
        <f>SUM(Y$31,'Statistics NZ'!Z$31-'Statistics NZ'!Y$31,$D$13/5*(Z$9-Z$10)*1000)</f>
        <v>35035.393356071298</v>
      </c>
      <c r="AA31" s="111">
        <f>SUM(Z$31,'Statistics NZ'!AA$31-'Statistics NZ'!Z$31,$D$13/5*(AA$9-AA$10)*1000)</f>
        <v>35316.259183657465</v>
      </c>
      <c r="AB31" s="111">
        <f>SUM(AA$31,'Statistics NZ'!AB$31-'Statistics NZ'!AA$31,$D$13/5*(AB$9-AB$10)*1000)</f>
        <v>34523.503068714912</v>
      </c>
      <c r="AC31" s="111">
        <f>SUM(AB$31,'Statistics NZ'!AC$31-'Statistics NZ'!AB$31,$D$13/5*(AC$9-AC$10)*1000)</f>
        <v>34107.125011243632</v>
      </c>
      <c r="AD31" s="111">
        <f>SUM(AC$31,'Statistics NZ'!AD$31-'Statistics NZ'!AC$31,$D$13/5*(AD$9-AD$10)*1000)</f>
        <v>34257.125011243632</v>
      </c>
      <c r="AE31" s="111">
        <f>SUM(AD$31,'Statistics NZ'!AE$31-'Statistics NZ'!AD$31,$D$13/5*(AE$9-AE$10)*1000)</f>
        <v>33697.125011243632</v>
      </c>
      <c r="AF31" s="111">
        <f>SUM(AE$31,'Statistics NZ'!AF$31-'Statistics NZ'!AE$31,$D$13/5*(AF$9-AF$10)*1000)</f>
        <v>33657.125011243632</v>
      </c>
      <c r="AG31" s="111">
        <f>SUM(AF$31,'Statistics NZ'!AG$31-'Statistics NZ'!AF$31,$D$13/5*(AG$9-AG$10)*1000)</f>
        <v>33607.125011243632</v>
      </c>
      <c r="AH31" s="111">
        <f>SUM(AG$31,'Statistics NZ'!AH$31-'Statistics NZ'!AG$31,$D$13/5*(AH$9-AH$10)*1000)</f>
        <v>33527.125011243632</v>
      </c>
      <c r="AI31" s="111">
        <f>SUM(AH$31,'Statistics NZ'!AI$31-'Statistics NZ'!AH$31,$D$13/5*(AI$9-AI$10)*1000)</f>
        <v>33647.125011243632</v>
      </c>
      <c r="AJ31" s="111">
        <f>SUM(AI$31,'Statistics NZ'!AJ$31-'Statistics NZ'!AI$31,$D$13/5*(AJ$9-AJ$10)*1000)</f>
        <v>33727.125011243632</v>
      </c>
      <c r="AK31" s="111">
        <f>SUM(AJ$31,'Statistics NZ'!AK$31-'Statistics NZ'!AJ$31,$D$13/5*(AK$9-AK$10)*1000)</f>
        <v>33777.125011243632</v>
      </c>
      <c r="AL31" s="111">
        <f>SUM(AK$31,'Statistics NZ'!AL$31-'Statistics NZ'!AK$31,$D$13/5*(AL$9-AL$10)*1000)</f>
        <v>33817.125011243632</v>
      </c>
      <c r="AM31" s="111">
        <f>SUM(AL$31,'Statistics NZ'!AM$31-'Statistics NZ'!AL$31,$D$13/5*(AM$9-AM$10)*1000)</f>
        <v>33837.125011243632</v>
      </c>
      <c r="AN31" s="111">
        <f>SUM(AM$31,'Statistics NZ'!AN$31-'Statistics NZ'!AM$31,$D$13/5*(AN$9-AN$10)*1000)</f>
        <v>33857.125011243632</v>
      </c>
      <c r="AO31" s="111">
        <f>SUM(AN$31,'Statistics NZ'!AO$31-'Statistics NZ'!AN$31,$D$13/5*(AO$9-AO$10)*1000)</f>
        <v>33887.125011243632</v>
      </c>
      <c r="AP31" s="111">
        <f>SUM(AO$31,'Statistics NZ'!AP$31-'Statistics NZ'!AO$31,$D$13/5*(AP$9-AP$10)*1000)</f>
        <v>33917.125011243632</v>
      </c>
      <c r="AQ31" s="111">
        <f>SUM(AP$31,'Statistics NZ'!AQ$31-'Statistics NZ'!AP$31,$D$13/5*(AQ$9-AQ$10)*1000)</f>
        <v>33967.125011243632</v>
      </c>
      <c r="AR31" s="111">
        <f>SUM(AQ$31,'Statistics NZ'!AR$31-'Statistics NZ'!AQ$31,$D$13/5*(AR$9-AR$10)*1000)</f>
        <v>34027.125011243632</v>
      </c>
      <c r="AS31" s="111">
        <f>SUM(AR$31,'Statistics NZ'!AS$31-'Statistics NZ'!AR$31,$D$13/5*(AS$9-AS$10)*1000)</f>
        <v>34117.125011243632</v>
      </c>
      <c r="AT31" s="111">
        <f>SUM(AS$31,'Statistics NZ'!AT$31-'Statistics NZ'!AS$31,$D$13/5*(AT$9-AT$10)*1000)</f>
        <v>34227.125011243632</v>
      </c>
      <c r="AU31" s="111">
        <f>SUM(AT$31,'Statistics NZ'!AU$31-'Statistics NZ'!AT$31,$D$13/5*(AU$9-AU$10)*1000)</f>
        <v>34357.125011243632</v>
      </c>
      <c r="AV31" s="111">
        <f>SUM(AU$31,'Statistics NZ'!AV$31-'Statistics NZ'!AU$31,$D$13/5*(AV$9-AV$10)*1000)</f>
        <v>34507.125011243632</v>
      </c>
      <c r="AW31" s="111">
        <f>SUM(AV$31,'Statistics NZ'!AW$31-'Statistics NZ'!AV$31,$D$13/5*(AW$9-AW$10)*1000)</f>
        <v>34667.125011243632</v>
      </c>
      <c r="AX31" s="111">
        <f>SUM(AW$31,'Statistics NZ'!AX$31-'Statistics NZ'!AW$31,$D$13/5*(AX$9-AX$10)*1000)</f>
        <v>34827.125011243632</v>
      </c>
      <c r="AY31" s="111">
        <f>SUM(AX$31,'Statistics NZ'!AY$31-'Statistics NZ'!AX$31,$D$13/5*(AY$9-AY$10)*1000)</f>
        <v>34967.125011243632</v>
      </c>
      <c r="AZ31" s="111">
        <f>SUM(AY$31,'Statistics NZ'!AZ$31-'Statistics NZ'!AY$31,$D$13/5*(AZ$9-AZ$10)*1000)</f>
        <v>35087.125011243632</v>
      </c>
      <c r="BA31" s="111">
        <f>SUM(AZ$31,'Statistics NZ'!BA$31-'Statistics NZ'!AZ$31,$D$13/5*(BA$9-BA$10)*1000)</f>
        <v>35187.125011243632</v>
      </c>
      <c r="BB31" s="111">
        <f>SUM(BA$31,'Statistics NZ'!BB$31-'Statistics NZ'!BA$31,$D$13/5*(BB$9-BB$10)*1000)</f>
        <v>35247.125011243632</v>
      </c>
      <c r="BC31" s="111">
        <f>SUM(BB$31,'Statistics NZ'!BC$31-'Statistics NZ'!BB$31,$D$13/5*(BC$9-BC$10)*1000)</f>
        <v>35277.125011243632</v>
      </c>
      <c r="BD31" s="111">
        <f>SUM(BC$31,'Statistics NZ'!BD$31-'Statistics NZ'!BC$31,$D$13/5*(BD$9-BD$10)*1000)</f>
        <v>35277.125011243632</v>
      </c>
      <c r="BE31" s="111">
        <f>SUM(BD$31,'Statistics NZ'!BE$31-'Statistics NZ'!BD$31,$D$13/5*(BE$9-BE$10)*1000)</f>
        <v>35247.125011243632</v>
      </c>
      <c r="BF31" s="111">
        <f>SUM(BE$31,'Statistics NZ'!BF$31-'Statistics NZ'!BE$31,$D$13/5*(BF$9-BF$10)*1000)</f>
        <v>35187.125011243632</v>
      </c>
      <c r="BG31" s="111">
        <f>SUM(BF$31,'Statistics NZ'!BG$31-'Statistics NZ'!BF$31,$D$13/5*(BG$9-BG$10)*1000)</f>
        <v>35117.125011243632</v>
      </c>
      <c r="BH31" s="111">
        <f>SUM(BG$31,'Statistics NZ'!BH$31-'Statistics NZ'!BG$31,$D$13/5*(BH$9-BH$10)*1000)</f>
        <v>35017.125011243632</v>
      </c>
      <c r="BI31" s="111">
        <f>SUM(BH$31,'Statistics NZ'!BI$31-'Statistics NZ'!BH$31,$D$13/5*(BI$9-BI$10)*1000)</f>
        <v>34917.125011243632</v>
      </c>
      <c r="BJ31" s="111">
        <f>SUM(BI$31,'Statistics NZ'!BJ$31-'Statistics NZ'!BI$31,$D$13/5*(BJ$9-BJ$10)*1000)</f>
        <v>34817.125011243632</v>
      </c>
      <c r="BK31" s="111">
        <f>SUM(BJ$31,'Statistics NZ'!BK$31-'Statistics NZ'!BJ$31,$D$13/5*(BK$9-BK$10)*1000)</f>
        <v>34727.125011243632</v>
      </c>
      <c r="BL31" s="111">
        <f>SUM(BK$31,'Statistics NZ'!BL$31-'Statistics NZ'!BK$31,$D$13/5*(BL$9-BL$10)*1000)</f>
        <v>34637.125011243632</v>
      </c>
      <c r="BM31" s="195">
        <f>SUM(BL$31,'Statistics NZ'!BM$31-'Statistics NZ'!BL$31,$D$13/5*(BM$9-BM$10)*1000)</f>
        <v>34567.125011243632</v>
      </c>
      <c r="BN31" s="195">
        <f>SUM(BM$31,'Statistics NZ'!BN$31-'Statistics NZ'!BM$31,$D$13/5*(BN$9-BN$10)*1000)</f>
        <v>34517.125011243632</v>
      </c>
      <c r="BO31" s="195">
        <f>SUM(BN$31,'Statistics NZ'!BO$31-'Statistics NZ'!BN$31,$D$13/5*(BO$9-BO$10)*1000)</f>
        <v>34477.125011243632</v>
      </c>
      <c r="BP31" s="195">
        <f>SUM(BO$31,'Statistics NZ'!BP$31-'Statistics NZ'!BO$31,$D$13/5*(BP$9-BP$10)*1000)</f>
        <v>34457.125011243632</v>
      </c>
      <c r="BQ31" s="195">
        <f>SUM(BP$31,'Statistics NZ'!BQ$31-'Statistics NZ'!BP$31,$D$13/5*(BQ$9-BQ$10)*1000)</f>
        <v>34447.125011243632</v>
      </c>
    </row>
    <row r="32" spans="1:69">
      <c r="A32" s="105">
        <v>15</v>
      </c>
      <c r="B32" s="118">
        <f>'Statistics NZ'!B$32*'Economic Forecasts'!D$9*1000000/SUM('Statistics NZ'!B$32:B$107,'Statistics NZ'!B$125:B$200)</f>
        <v>31552.511710028153</v>
      </c>
      <c r="C32" s="118">
        <f>'Statistics NZ'!C$32*'Economic Forecasts'!E$9*1000000/SUM('Statistics NZ'!C$32:C$107,'Statistics NZ'!C$125:C$200)</f>
        <v>30659.615130710325</v>
      </c>
      <c r="D32" s="118">
        <f>'Statistics NZ'!D$32*'Economic Forecasts'!F$9*1000000/SUM('Statistics NZ'!D$32:D$107,'Statistics NZ'!D$125:D$200)</f>
        <v>30425.79367108173</v>
      </c>
      <c r="E32" s="118">
        <f>'Statistics NZ'!E$32*'Economic Forecasts'!G$9*1000000/SUM('Statistics NZ'!E$32:E$107,'Statistics NZ'!E$125:E$200)</f>
        <v>29772.030293141415</v>
      </c>
      <c r="F32" s="118">
        <f>'Statistics NZ'!F$32*'Economic Forecasts'!H$9*1000000/SUM('Statistics NZ'!F$32:F$107,'Statistics NZ'!F$125:F$200)</f>
        <v>29958.778717977766</v>
      </c>
      <c r="G32" s="118">
        <f>'Statistics NZ'!G$32*'Economic Forecasts'!I$9*1000000/SUM('Statistics NZ'!G$32:G$107,'Statistics NZ'!G$125:G$200)</f>
        <v>29499.5106614535</v>
      </c>
      <c r="H32" s="118">
        <f>'Statistics NZ'!H$32*'Economic Forecasts'!J$9*1000000/SUM('Statistics NZ'!H$32:H$107,'Statistics NZ'!H$125:H$200)</f>
        <v>29568.692087577219</v>
      </c>
      <c r="I32" s="118">
        <f>'Statistics NZ'!I$32*'Economic Forecasts'!K$9*1000000/SUM('Statistics NZ'!I$32:I$107,'Statistics NZ'!I$125:I$200)</f>
        <v>29454.025149222678</v>
      </c>
      <c r="J32" s="203">
        <f>'Statistics NZ'!J$32*'Economic Forecasts'!L$9*1000000/SUM('Statistics NZ'!J$32:J$107,'Statistics NZ'!J$125:J$200)</f>
        <v>28807.142318128092</v>
      </c>
      <c r="K32" s="203">
        <f>'Statistics NZ'!K$32*'Economic Forecasts'!M$9*1000000/SUM('Statistics NZ'!K$32:K$107,'Statistics NZ'!K$125:K$200)</f>
        <v>29859.12610448727</v>
      </c>
      <c r="L32" s="203">
        <f>'Statistics NZ'!L$32*'Economic Forecasts'!N$9*1000000/SUM('Statistics NZ'!L$32:L$107,'Statistics NZ'!L$125:L$200)</f>
        <v>30029.069094747949</v>
      </c>
      <c r="M32" s="203">
        <f>'Statistics NZ'!M$32*'Economic Forecasts'!O$9*1000000/SUM('Statistics NZ'!M$32:M$107,'Statistics NZ'!M$125:M$200)</f>
        <v>29403.37656910242</v>
      </c>
      <c r="N32" s="203">
        <f>'Statistics NZ'!N$32*'Economic Forecasts'!P$9*1000000/SUM('Statistics NZ'!N$32:N$107,'Statistics NZ'!N$125:N$200)</f>
        <v>29230.472115160894</v>
      </c>
      <c r="O32" s="203">
        <f>'Statistics NZ'!O$32*'Economic Forecasts'!Q$9*1000000/SUM('Statistics NZ'!O$32:O$107,'Statistics NZ'!O$125:O$200)</f>
        <v>29812.629429587669</v>
      </c>
      <c r="P32" s="203">
        <f>'Statistics NZ'!P$32*'Economic Forecasts'!R$9*1000000/SUM('Statistics NZ'!P$32:P$107,'Statistics NZ'!P$125:P$200)</f>
        <v>30063.854551623022</v>
      </c>
      <c r="Q32" s="121">
        <f>SUM('Statistics NZ'!Q$32,$E$13/5*(Q$9-Q$10)*1000)*'Economic Forecasts'!S$9*1000000/SUM('Statistics NZ'!Q$32:Q$107,'Statistics NZ'!Q$125:Q$200,SUM($E$13:$Q$14)*(Q$9-Q$10)*1000)</f>
        <v>30534.483802132625</v>
      </c>
      <c r="R32" s="205">
        <f>SUM('Statistics NZ'!R$32,$E$13/5*(R$9-R$10)*1000)*'Economic Forecasts'!T$9*1000000/SUM('Statistics NZ'!R$32:R$107,'Statistics NZ'!R$125:R$200,SUM($E$13:$Q$14)*(R$9-R$10)*1000)</f>
        <v>31827.765152179865</v>
      </c>
      <c r="S32" s="205">
        <f>SUM('Statistics NZ'!S$32,$E$13/5*(S$9-S$10)*1000)*'Economic Forecasts'!U$9*1000000/SUM('Statistics NZ'!S$32:S$107,'Statistics NZ'!S$125:S$200,SUM($E$13:$Q$14)*(S$9-S$10)*1000)</f>
        <v>32965.293224462497</v>
      </c>
      <c r="T32" s="205">
        <f>SUM('Statistics NZ'!T$32,$E$13/5*(T$9-T$10)*1000)*'Economic Forecasts'!V$9*1000000/SUM('Statistics NZ'!T$32:T$107,'Statistics NZ'!T$125:T$200,SUM($E$13:$Q$14)*(T$9-T$10)*1000)</f>
        <v>32898.177677071202</v>
      </c>
      <c r="U32" s="205">
        <f>SUM('Statistics NZ'!U$32,$E$13/5*(U$9-U$10)*1000)*'Economic Forecasts'!W$9*1000000/SUM('Statistics NZ'!U$32:U$107,'Statistics NZ'!U$125:U$200,SUM($E$13:$Q$14)*(U$9-U$10)*1000)</f>
        <v>34062.834062520415</v>
      </c>
      <c r="V32" s="111">
        <f>SUM(U$32,'Statistics NZ'!V$32-'Statistics NZ'!U$32,$E$13/5*(V$9-V$10)*1000)</f>
        <v>34181.094796971483</v>
      </c>
      <c r="W32" s="111">
        <f>SUM(V$32,'Statistics NZ'!W$32-'Statistics NZ'!V$32,$E$13/5*(W$9-W$10)*1000)</f>
        <v>34263.32293961617</v>
      </c>
      <c r="X32" s="111">
        <f>SUM(W$32,'Statistics NZ'!X$32-'Statistics NZ'!W$32,$E$13/5*(X$9-X$10)*1000)</f>
        <v>34319.518490454473</v>
      </c>
      <c r="Y32" s="111">
        <f>SUM(X$32,'Statistics NZ'!Y$32-'Statistics NZ'!X$32,$E$13/5*(Y$9-Y$10)*1000)</f>
        <v>33329.681449486394</v>
      </c>
      <c r="Z32" s="111">
        <f>SUM(Y$32,'Statistics NZ'!Z$32-'Statistics NZ'!Y$32,$E$13/5*(Z$9-Z$10)*1000)</f>
        <v>33493.811816711932</v>
      </c>
      <c r="AA32" s="111">
        <f>SUM(Z$32,'Statistics NZ'!AA$32-'Statistics NZ'!Z$32,$E$13/5*(AA$9-AA$10)*1000)</f>
        <v>33201.90959213108</v>
      </c>
      <c r="AB32" s="111">
        <f>SUM(AA$32,'Statistics NZ'!AB$32-'Statistics NZ'!AA$32,$E$13/5*(AB$9-AB$10)*1000)</f>
        <v>33493.974775743845</v>
      </c>
      <c r="AC32" s="111">
        <f>SUM(AB$32,'Statistics NZ'!AC$32-'Statistics NZ'!AB$32,$E$13/5*(AC$9-AC$10)*1000)</f>
        <v>32690.007367550228</v>
      </c>
      <c r="AD32" s="111">
        <f>SUM(AC$32,'Statistics NZ'!AD$32-'Statistics NZ'!AC$32,$E$13/5*(AD$9-AD$10)*1000)</f>
        <v>32270.007367550228</v>
      </c>
      <c r="AE32" s="111">
        <f>SUM(AD$32,'Statistics NZ'!AE$32-'Statistics NZ'!AD$32,$E$13/5*(AE$9-AE$10)*1000)</f>
        <v>32420.007367550228</v>
      </c>
      <c r="AF32" s="111">
        <f>SUM(AE$32,'Statistics NZ'!AF$32-'Statistics NZ'!AE$32,$E$13/5*(AF$9-AF$10)*1000)</f>
        <v>31850.007367550228</v>
      </c>
      <c r="AG32" s="111">
        <f>SUM(AF$32,'Statistics NZ'!AG$32-'Statistics NZ'!AF$32,$E$13/5*(AG$9-AG$10)*1000)</f>
        <v>31820.007367550228</v>
      </c>
      <c r="AH32" s="111">
        <f>SUM(AG$32,'Statistics NZ'!AH$32-'Statistics NZ'!AG$32,$E$13/5*(AH$9-AH$10)*1000)</f>
        <v>31760.007367550228</v>
      </c>
      <c r="AI32" s="111">
        <f>SUM(AH$32,'Statistics NZ'!AI$32-'Statistics NZ'!AH$32,$E$13/5*(AI$9-AI$10)*1000)</f>
        <v>31690.007367550228</v>
      </c>
      <c r="AJ32" s="111">
        <f>SUM(AI$32,'Statistics NZ'!AJ$32-'Statistics NZ'!AI$32,$E$13/5*(AJ$9-AJ$10)*1000)</f>
        <v>31800.007367550228</v>
      </c>
      <c r="AK32" s="111">
        <f>SUM(AJ$32,'Statistics NZ'!AK$32-'Statistics NZ'!AJ$32,$E$13/5*(AK$9-AK$10)*1000)</f>
        <v>31880.007367550228</v>
      </c>
      <c r="AL32" s="111">
        <f>SUM(AK$32,'Statistics NZ'!AL$32-'Statistics NZ'!AK$32,$E$13/5*(AL$9-AL$10)*1000)</f>
        <v>31940.007367550228</v>
      </c>
      <c r="AM32" s="111">
        <f>SUM(AL$32,'Statistics NZ'!AM$32-'Statistics NZ'!AL$32,$E$13/5*(AM$9-AM$10)*1000)</f>
        <v>31970.007367550228</v>
      </c>
      <c r="AN32" s="111">
        <f>SUM(AM$32,'Statistics NZ'!AN$32-'Statistics NZ'!AM$32,$E$13/5*(AN$9-AN$10)*1000)</f>
        <v>32000.007367550228</v>
      </c>
      <c r="AO32" s="111">
        <f>SUM(AN$32,'Statistics NZ'!AO$32-'Statistics NZ'!AN$32,$E$13/5*(AO$9-AO$10)*1000)</f>
        <v>32020.007367550228</v>
      </c>
      <c r="AP32" s="111">
        <f>SUM(AO$32,'Statistics NZ'!AP$32-'Statistics NZ'!AO$32,$E$13/5*(AP$9-AP$10)*1000)</f>
        <v>32050.007367550228</v>
      </c>
      <c r="AQ32" s="111">
        <f>SUM(AP$32,'Statistics NZ'!AQ$32-'Statistics NZ'!AP$32,$E$13/5*(AQ$9-AQ$10)*1000)</f>
        <v>32080.007367550228</v>
      </c>
      <c r="AR32" s="111">
        <f>SUM(AQ$32,'Statistics NZ'!AR$32-'Statistics NZ'!AQ$32,$E$13/5*(AR$9-AR$10)*1000)</f>
        <v>32130.007367550228</v>
      </c>
      <c r="AS32" s="111">
        <f>SUM(AR$32,'Statistics NZ'!AS$32-'Statistics NZ'!AR$32,$E$13/5*(AS$9-AS$10)*1000)</f>
        <v>32190.007367550228</v>
      </c>
      <c r="AT32" s="111">
        <f>SUM(AS$32,'Statistics NZ'!AT$32-'Statistics NZ'!AS$32,$E$13/5*(AT$9-AT$10)*1000)</f>
        <v>32270.007367550228</v>
      </c>
      <c r="AU32" s="111">
        <f>SUM(AT$32,'Statistics NZ'!AU$32-'Statistics NZ'!AT$32,$E$13/5*(AU$9-AU$10)*1000)</f>
        <v>32390.007367550228</v>
      </c>
      <c r="AV32" s="111">
        <f>SUM(AU$32,'Statistics NZ'!AV$32-'Statistics NZ'!AU$32,$E$13/5*(AV$9-AV$10)*1000)</f>
        <v>32520.007367550228</v>
      </c>
      <c r="AW32" s="111">
        <f>SUM(AV$32,'Statistics NZ'!AW$32-'Statistics NZ'!AV$32,$E$13/5*(AW$9-AW$10)*1000)</f>
        <v>32670.007367550228</v>
      </c>
      <c r="AX32" s="111">
        <f>SUM(AW$32,'Statistics NZ'!AX$32-'Statistics NZ'!AW$32,$E$13/5*(AX$9-AX$10)*1000)</f>
        <v>32830.007367550228</v>
      </c>
      <c r="AY32" s="111">
        <f>SUM(AX$32,'Statistics NZ'!AY$32-'Statistics NZ'!AX$32,$E$13/5*(AY$9-AY$10)*1000)</f>
        <v>32990.007367550228</v>
      </c>
      <c r="AZ32" s="111">
        <f>SUM(AY$32,'Statistics NZ'!AZ$32-'Statistics NZ'!AY$32,$E$13/5*(AZ$9-AZ$10)*1000)</f>
        <v>33130.007367550228</v>
      </c>
      <c r="BA32" s="111">
        <f>SUM(AZ$32,'Statistics NZ'!BA$32-'Statistics NZ'!AZ$32,$E$13/5*(BA$9-BA$10)*1000)</f>
        <v>33250.007367550228</v>
      </c>
      <c r="BB32" s="111">
        <f>SUM(BA$32,'Statistics NZ'!BB$32-'Statistics NZ'!BA$32,$E$13/5*(BB$9-BB$10)*1000)</f>
        <v>33340.007367550228</v>
      </c>
      <c r="BC32" s="111">
        <f>SUM(BB$32,'Statistics NZ'!BC$32-'Statistics NZ'!BB$32,$E$13/5*(BC$9-BC$10)*1000)</f>
        <v>33410.007367550228</v>
      </c>
      <c r="BD32" s="111">
        <f>SUM(BC$32,'Statistics NZ'!BD$32-'Statistics NZ'!BC$32,$E$13/5*(BD$9-BD$10)*1000)</f>
        <v>33440.007367550228</v>
      </c>
      <c r="BE32" s="111">
        <f>SUM(BD$32,'Statistics NZ'!BE$32-'Statistics NZ'!BD$32,$E$13/5*(BE$9-BE$10)*1000)</f>
        <v>33440.007367550228</v>
      </c>
      <c r="BF32" s="111">
        <f>SUM(BE$32,'Statistics NZ'!BF$32-'Statistics NZ'!BE$32,$E$13/5*(BF$9-BF$10)*1000)</f>
        <v>33410.007367550228</v>
      </c>
      <c r="BG32" s="111">
        <f>SUM(BF$32,'Statistics NZ'!BG$32-'Statistics NZ'!BF$32,$E$13/5*(BG$9-BG$10)*1000)</f>
        <v>33350.007367550228</v>
      </c>
      <c r="BH32" s="111">
        <f>SUM(BG$32,'Statistics NZ'!BH$32-'Statistics NZ'!BG$32,$E$13/5*(BH$9-BH$10)*1000)</f>
        <v>33270.007367550228</v>
      </c>
      <c r="BI32" s="111">
        <f>SUM(BH$32,'Statistics NZ'!BI$32-'Statistics NZ'!BH$32,$E$13/5*(BI$9-BI$10)*1000)</f>
        <v>33180.007367550228</v>
      </c>
      <c r="BJ32" s="111">
        <f>SUM(BI$32,'Statistics NZ'!BJ$32-'Statistics NZ'!BI$32,$E$13/5*(BJ$9-BJ$10)*1000)</f>
        <v>33080.007367550228</v>
      </c>
      <c r="BK32" s="111">
        <f>SUM(BJ$32,'Statistics NZ'!BK$32-'Statistics NZ'!BJ$32,$E$13/5*(BK$9-BK$10)*1000)</f>
        <v>32980.007367550228</v>
      </c>
      <c r="BL32" s="111">
        <f>SUM(BK$32,'Statistics NZ'!BL$32-'Statistics NZ'!BK$32,$E$13/5*(BL$9-BL$10)*1000)</f>
        <v>32890.007367550228</v>
      </c>
      <c r="BM32" s="195">
        <f>SUM(BL$32,'Statistics NZ'!BM$32-'Statistics NZ'!BL$32,$E$13/5*(BM$9-BM$10)*1000)</f>
        <v>32800.007367550228</v>
      </c>
      <c r="BN32" s="195">
        <f>SUM(BM$32,'Statistics NZ'!BN$32-'Statistics NZ'!BM$32,$E$13/5*(BN$9-BN$10)*1000)</f>
        <v>32730.007367550228</v>
      </c>
      <c r="BO32" s="195">
        <f>SUM(BN$32,'Statistics NZ'!BO$32-'Statistics NZ'!BN$32,$E$13/5*(BO$9-BO$10)*1000)</f>
        <v>32670.007367550228</v>
      </c>
      <c r="BP32" s="195">
        <f>SUM(BO$32,'Statistics NZ'!BP$32-'Statistics NZ'!BO$32,$E$13/5*(BP$9-BP$10)*1000)</f>
        <v>32640.007367550228</v>
      </c>
      <c r="BQ32" s="195">
        <f>SUM(BP$32,'Statistics NZ'!BQ$32-'Statistics NZ'!BP$32,$E$13/5*(BQ$9-BQ$10)*1000)</f>
        <v>32620.007367550228</v>
      </c>
    </row>
    <row r="33" spans="1:69">
      <c r="A33" s="105">
        <v>16</v>
      </c>
      <c r="B33" s="118">
        <f>'Statistics NZ'!B$33*'Economic Forecasts'!D$9*1000000/SUM('Statistics NZ'!B$32:B$107,'Statistics NZ'!B$125:B$200)</f>
        <v>31513.108011358119</v>
      </c>
      <c r="C33" s="118">
        <f>'Statistics NZ'!C$33*'Economic Forecasts'!E$9*1000000/SUM('Statistics NZ'!C$32:C$107,'Statistics NZ'!C$125:C$200)</f>
        <v>31714.463625561129</v>
      </c>
      <c r="D33" s="118">
        <f>'Statistics NZ'!D$33*'Economic Forecasts'!F$9*1000000/SUM('Statistics NZ'!D$32:D$107,'Statistics NZ'!D$125:D$200)</f>
        <v>30701.764588733266</v>
      </c>
      <c r="E33" s="118">
        <f>'Statistics NZ'!E$33*'Economic Forecasts'!G$9*1000000/SUM('Statistics NZ'!E$32:E$107,'Statistics NZ'!E$125:E$200)</f>
        <v>30609.15320909147</v>
      </c>
      <c r="F33" s="118">
        <f>'Statistics NZ'!F$33*'Economic Forecasts'!H$9*1000000/SUM('Statistics NZ'!F$32:F$107,'Statistics NZ'!F$125:F$200)</f>
        <v>30096.701408557077</v>
      </c>
      <c r="G33" s="118">
        <f>'Statistics NZ'!G$33*'Economic Forecasts'!I$9*1000000/SUM('Statistics NZ'!G$32:G$107,'Statistics NZ'!G$125:G$200)</f>
        <v>30277.88786327542</v>
      </c>
      <c r="H33" s="118">
        <f>'Statistics NZ'!H$33*'Economic Forecasts'!J$9*1000000/SUM('Statistics NZ'!H$32:H$107,'Statistics NZ'!H$125:H$200)</f>
        <v>29706.587387119551</v>
      </c>
      <c r="I33" s="118">
        <f>'Statistics NZ'!I$33*'Economic Forecasts'!K$9*1000000/SUM('Statistics NZ'!I$32:I$107,'Statistics NZ'!I$125:I$200)</f>
        <v>29867.345916435293</v>
      </c>
      <c r="J33" s="203">
        <f>'Statistics NZ'!J$33*'Economic Forecasts'!L$9*1000000/SUM('Statistics NZ'!J$32:J$107,'Statistics NZ'!J$125:J$200)</f>
        <v>29711.358317195918</v>
      </c>
      <c r="K33" s="203">
        <f>'Statistics NZ'!K$33*'Economic Forecasts'!M$9*1000000/SUM('Statistics NZ'!K$32:K$107,'Statistics NZ'!K$125:K$200)</f>
        <v>29279.432639477483</v>
      </c>
      <c r="L33" s="203">
        <f>'Statistics NZ'!L$33*'Economic Forecasts'!N$9*1000000/SUM('Statistics NZ'!L$32:L$107,'Statistics NZ'!L$125:L$200)</f>
        <v>30472.266244391656</v>
      </c>
      <c r="M33" s="203">
        <f>'Statistics NZ'!M$33*'Economic Forecasts'!O$9*1000000/SUM('Statistics NZ'!M$32:M$107,'Statistics NZ'!M$125:M$200)</f>
        <v>30644.524122773077</v>
      </c>
      <c r="N33" s="203">
        <f>'Statistics NZ'!N$33*'Economic Forecasts'!P$9*1000000/SUM('Statistics NZ'!N$32:N$107,'Statistics NZ'!N$125:N$200)</f>
        <v>30039.688426249078</v>
      </c>
      <c r="O33" s="203">
        <f>'Statistics NZ'!O$33*'Economic Forecasts'!Q$9*1000000/SUM('Statistics NZ'!O$32:O$107,'Statistics NZ'!O$125:O$200)</f>
        <v>29713.944790628426</v>
      </c>
      <c r="P33" s="203">
        <f>'Statistics NZ'!P$33*'Economic Forecasts'!R$9*1000000/SUM('Statistics NZ'!P$32:P$107,'Statistics NZ'!P$125:P$200)</f>
        <v>30448.908846372873</v>
      </c>
      <c r="Q33" s="121">
        <f>SUM('Statistics NZ'!Q$33,$E$13/5*(Q$9-Q$10)*1000)*'Economic Forecasts'!S$9*1000000/SUM('Statistics NZ'!Q$32:Q$107,'Statistics NZ'!Q$125:Q$200,SUM($E$13:$Q$14)*(Q$9-Q$10)*1000)</f>
        <v>30148.913300277411</v>
      </c>
      <c r="R33" s="205">
        <f>SUM('Statistics NZ'!R$33,$E$13/5*(R$9-R$10)*1000)*'Economic Forecasts'!T$9*1000000/SUM('Statistics NZ'!R$32:R$107,'Statistics NZ'!R$125:R$200,SUM($E$13:$Q$14)*(R$9-R$10)*1000)</f>
        <v>30681.084375969724</v>
      </c>
      <c r="S33" s="205">
        <f>SUM('Statistics NZ'!S$33,$E$13/5*(S$9-S$10)*1000)*'Economic Forecasts'!U$9*1000000/SUM('Statistics NZ'!S$32:S$107,'Statistics NZ'!S$125:S$200,SUM($E$13:$Q$14)*(S$9-S$10)*1000)</f>
        <v>32085.982479649036</v>
      </c>
      <c r="T33" s="205">
        <f>SUM('Statistics NZ'!T$33,$E$13/5*(T$9-T$10)*1000)*'Economic Forecasts'!V$9*1000000/SUM('Statistics NZ'!T$32:T$107,'Statistics NZ'!T$125:T$200,SUM($E$13:$Q$14)*(T$9-T$10)*1000)</f>
        <v>33461.296881592818</v>
      </c>
      <c r="U33" s="205">
        <f>SUM('Statistics NZ'!U$33,$E$13/5*(U$9-U$10)*1000)*'Economic Forecasts'!W$9*1000000/SUM('Statistics NZ'!U$32:U$107,'Statistics NZ'!U$125:U$200,SUM($E$13:$Q$14)*(U$9-U$10)*1000)</f>
        <v>33439.630175161299</v>
      </c>
      <c r="V33" s="111">
        <f>SUM(U$33,'Statistics NZ'!V$33-'Statistics NZ'!U$33,$E$13/5*(V$9-V$10)*1000)</f>
        <v>34667.890909612368</v>
      </c>
      <c r="W33" s="111">
        <f>SUM(V$33,'Statistics NZ'!W$33-'Statistics NZ'!V$33,$E$13/5*(W$9-W$10)*1000)</f>
        <v>34770.119052257054</v>
      </c>
      <c r="X33" s="111">
        <f>SUM(W$33,'Statistics NZ'!X$33-'Statistics NZ'!W$33,$E$13/5*(X$9-X$10)*1000)</f>
        <v>34816.314603095358</v>
      </c>
      <c r="Y33" s="111">
        <f>SUM(X$33,'Statistics NZ'!Y$33-'Statistics NZ'!X$33,$E$13/5*(Y$9-Y$10)*1000)</f>
        <v>34856.477562127278</v>
      </c>
      <c r="Z33" s="111">
        <f>SUM(Y$33,'Statistics NZ'!Z$33-'Statistics NZ'!Y$33,$E$13/5*(Z$9-Z$10)*1000)</f>
        <v>33840.607929352816</v>
      </c>
      <c r="AA33" s="111">
        <f>SUM(Z$33,'Statistics NZ'!AA$33-'Statistics NZ'!Z$33,$E$13/5*(AA$9-AA$10)*1000)</f>
        <v>33978.705704771965</v>
      </c>
      <c r="AB33" s="111">
        <f>SUM(AA$33,'Statistics NZ'!AB$33-'Statistics NZ'!AA$33,$E$13/5*(AB$9-AB$10)*1000)</f>
        <v>33660.77088838473</v>
      </c>
      <c r="AC33" s="111">
        <f>SUM(AB$33,'Statistics NZ'!AC$33-'Statistics NZ'!AB$33,$E$13/5*(AC$9-AC$10)*1000)</f>
        <v>33916.803480191113</v>
      </c>
      <c r="AD33" s="111">
        <f>SUM(AC$33,'Statistics NZ'!AD$33-'Statistics NZ'!AC$33,$E$13/5*(AD$9-AD$10)*1000)</f>
        <v>33096.803480191113</v>
      </c>
      <c r="AE33" s="111">
        <f>SUM(AD$33,'Statistics NZ'!AE$33-'Statistics NZ'!AD$33,$E$13/5*(AE$9-AE$10)*1000)</f>
        <v>32676.803480191113</v>
      </c>
      <c r="AF33" s="111">
        <f>SUM(AE$33,'Statistics NZ'!AF$33-'Statistics NZ'!AE$33,$E$13/5*(AF$9-AF$10)*1000)</f>
        <v>32826.803480191113</v>
      </c>
      <c r="AG33" s="111">
        <f>SUM(AF$33,'Statistics NZ'!AG$33-'Statistics NZ'!AF$33,$E$13/5*(AG$9-AG$10)*1000)</f>
        <v>32256.803480191113</v>
      </c>
      <c r="AH33" s="111">
        <f>SUM(AG$33,'Statistics NZ'!AH$33-'Statistics NZ'!AG$33,$E$13/5*(AH$9-AH$10)*1000)</f>
        <v>32226.803480191113</v>
      </c>
      <c r="AI33" s="111">
        <f>SUM(AH$33,'Statistics NZ'!AI$33-'Statistics NZ'!AH$33,$E$13/5*(AI$9-AI$10)*1000)</f>
        <v>32166.803480191113</v>
      </c>
      <c r="AJ33" s="111">
        <f>SUM(AI$33,'Statistics NZ'!AJ$33-'Statistics NZ'!AI$33,$E$13/5*(AJ$9-AJ$10)*1000)</f>
        <v>32096.803480191113</v>
      </c>
      <c r="AK33" s="111">
        <f>SUM(AJ$33,'Statistics NZ'!AK$33-'Statistics NZ'!AJ$33,$E$13/5*(AK$9-AK$10)*1000)</f>
        <v>32206.803480191113</v>
      </c>
      <c r="AL33" s="111">
        <f>SUM(AK$33,'Statistics NZ'!AL$33-'Statistics NZ'!AK$33,$E$13/5*(AL$9-AL$10)*1000)</f>
        <v>32286.803480191113</v>
      </c>
      <c r="AM33" s="111">
        <f>SUM(AL$33,'Statistics NZ'!AM$33-'Statistics NZ'!AL$33,$E$13/5*(AM$9-AM$10)*1000)</f>
        <v>32346.803480191113</v>
      </c>
      <c r="AN33" s="111">
        <f>SUM(AM$33,'Statistics NZ'!AN$33-'Statistics NZ'!AM$33,$E$13/5*(AN$9-AN$10)*1000)</f>
        <v>32376.803480191113</v>
      </c>
      <c r="AO33" s="111">
        <f>SUM(AN$33,'Statistics NZ'!AO$33-'Statistics NZ'!AN$33,$E$13/5*(AO$9-AO$10)*1000)</f>
        <v>32406.803480191113</v>
      </c>
      <c r="AP33" s="111">
        <f>SUM(AO$33,'Statistics NZ'!AP$33-'Statistics NZ'!AO$33,$E$13/5*(AP$9-AP$10)*1000)</f>
        <v>32426.803480191113</v>
      </c>
      <c r="AQ33" s="111">
        <f>SUM(AP$33,'Statistics NZ'!AQ$33-'Statistics NZ'!AP$33,$E$13/5*(AQ$9-AQ$10)*1000)</f>
        <v>32456.803480191113</v>
      </c>
      <c r="AR33" s="111">
        <f>SUM(AQ$33,'Statistics NZ'!AR$33-'Statistics NZ'!AQ$33,$E$13/5*(AR$9-AR$10)*1000)</f>
        <v>32486.803480191113</v>
      </c>
      <c r="AS33" s="111">
        <f>SUM(AR$33,'Statistics NZ'!AS$33-'Statistics NZ'!AR$33,$E$13/5*(AS$9-AS$10)*1000)</f>
        <v>32526.803480191113</v>
      </c>
      <c r="AT33" s="111">
        <f>SUM(AS$33,'Statistics NZ'!AT$33-'Statistics NZ'!AS$33,$E$13/5*(AT$9-AT$10)*1000)</f>
        <v>32596.803480191113</v>
      </c>
      <c r="AU33" s="111">
        <f>SUM(AT$33,'Statistics NZ'!AU$33-'Statistics NZ'!AT$33,$E$13/5*(AU$9-AU$10)*1000)</f>
        <v>32676.803480191113</v>
      </c>
      <c r="AV33" s="111">
        <f>SUM(AU$33,'Statistics NZ'!AV$33-'Statistics NZ'!AU$33,$E$13/5*(AV$9-AV$10)*1000)</f>
        <v>32796.803480191113</v>
      </c>
      <c r="AW33" s="111">
        <f>SUM(AV$33,'Statistics NZ'!AW$33-'Statistics NZ'!AV$33,$E$13/5*(AW$9-AW$10)*1000)</f>
        <v>32926.803480191113</v>
      </c>
      <c r="AX33" s="111">
        <f>SUM(AW$33,'Statistics NZ'!AX$33-'Statistics NZ'!AW$33,$E$13/5*(AX$9-AX$10)*1000)</f>
        <v>33076.803480191113</v>
      </c>
      <c r="AY33" s="111">
        <f>SUM(AX$33,'Statistics NZ'!AY$33-'Statistics NZ'!AX$33,$E$13/5*(AY$9-AY$10)*1000)</f>
        <v>33236.803480191113</v>
      </c>
      <c r="AZ33" s="111">
        <f>SUM(AY$33,'Statistics NZ'!AZ$33-'Statistics NZ'!AY$33,$E$13/5*(AZ$9-AZ$10)*1000)</f>
        <v>33396.803480191113</v>
      </c>
      <c r="BA33" s="111">
        <f>SUM(AZ$33,'Statistics NZ'!BA$33-'Statistics NZ'!AZ$33,$E$13/5*(BA$9-BA$10)*1000)</f>
        <v>33536.803480191113</v>
      </c>
      <c r="BB33" s="111">
        <f>SUM(BA$33,'Statistics NZ'!BB$33-'Statistics NZ'!BA$33,$E$13/5*(BB$9-BB$10)*1000)</f>
        <v>33656.803480191113</v>
      </c>
      <c r="BC33" s="111">
        <f>SUM(BB$33,'Statistics NZ'!BC$33-'Statistics NZ'!BB$33,$E$13/5*(BC$9-BC$10)*1000)</f>
        <v>33746.803480191113</v>
      </c>
      <c r="BD33" s="111">
        <f>SUM(BC$33,'Statistics NZ'!BD$33-'Statistics NZ'!BC$33,$E$13/5*(BD$9-BD$10)*1000)</f>
        <v>33816.803480191113</v>
      </c>
      <c r="BE33" s="111">
        <f>SUM(BD$33,'Statistics NZ'!BE$33-'Statistics NZ'!BD$33,$E$13/5*(BE$9-BE$10)*1000)</f>
        <v>33846.803480191113</v>
      </c>
      <c r="BF33" s="111">
        <f>SUM(BE$33,'Statistics NZ'!BF$33-'Statistics NZ'!BE$33,$E$13/5*(BF$9-BF$10)*1000)</f>
        <v>33846.803480191113</v>
      </c>
      <c r="BG33" s="111">
        <f>SUM(BF$33,'Statistics NZ'!BG$33-'Statistics NZ'!BF$33,$E$13/5*(BG$9-BG$10)*1000)</f>
        <v>33816.803480191113</v>
      </c>
      <c r="BH33" s="111">
        <f>SUM(BG$33,'Statistics NZ'!BH$33-'Statistics NZ'!BG$33,$E$13/5*(BH$9-BH$10)*1000)</f>
        <v>33756.803480191113</v>
      </c>
      <c r="BI33" s="111">
        <f>SUM(BH$33,'Statistics NZ'!BI$33-'Statistics NZ'!BH$33,$E$13/5*(BI$9-BI$10)*1000)</f>
        <v>33676.803480191113</v>
      </c>
      <c r="BJ33" s="111">
        <f>SUM(BI$33,'Statistics NZ'!BJ$33-'Statistics NZ'!BI$33,$E$13/5*(BJ$9-BJ$10)*1000)</f>
        <v>33586.803480191113</v>
      </c>
      <c r="BK33" s="111">
        <f>SUM(BJ$33,'Statistics NZ'!BK$33-'Statistics NZ'!BJ$33,$E$13/5*(BK$9-BK$10)*1000)</f>
        <v>33486.803480191113</v>
      </c>
      <c r="BL33" s="111">
        <f>SUM(BK$33,'Statistics NZ'!BL$33-'Statistics NZ'!BK$33,$E$13/5*(BL$9-BL$10)*1000)</f>
        <v>33386.803480191113</v>
      </c>
      <c r="BM33" s="195">
        <f>SUM(BL$33,'Statistics NZ'!BM$33-'Statistics NZ'!BL$33,$E$13/5*(BM$9-BM$10)*1000)</f>
        <v>33296.803480191113</v>
      </c>
      <c r="BN33" s="195">
        <f>SUM(BM$33,'Statistics NZ'!BN$33-'Statistics NZ'!BM$33,$E$13/5*(BN$9-BN$10)*1000)</f>
        <v>33206.803480191113</v>
      </c>
      <c r="BO33" s="195">
        <f>SUM(BN$33,'Statistics NZ'!BO$33-'Statistics NZ'!BN$33,$E$13/5*(BO$9-BO$10)*1000)</f>
        <v>33136.803480191113</v>
      </c>
      <c r="BP33" s="195">
        <f>SUM(BO$33,'Statistics NZ'!BP$33-'Statistics NZ'!BO$33,$E$13/5*(BP$9-BP$10)*1000)</f>
        <v>33086.803480191113</v>
      </c>
      <c r="BQ33" s="195">
        <f>SUM(BP$33,'Statistics NZ'!BQ$33-'Statistics NZ'!BP$33,$E$13/5*(BQ$9-BQ$10)*1000)</f>
        <v>33046.803480191113</v>
      </c>
    </row>
    <row r="34" spans="1:69">
      <c r="A34" s="105">
        <v>17</v>
      </c>
      <c r="B34" s="118">
        <f>'Statistics NZ'!B$34*'Economic Forecasts'!D$9*1000000/SUM('Statistics NZ'!B$32:B$107,'Statistics NZ'!B$125:B$200)</f>
        <v>30419.65537326473</v>
      </c>
      <c r="C34" s="118">
        <f>'Statistics NZ'!C$34*'Economic Forecasts'!E$9*1000000/SUM('Statistics NZ'!C$32:C$107,'Statistics NZ'!C$125:C$200)</f>
        <v>31625.738051227883</v>
      </c>
      <c r="D34" s="118">
        <f>'Statistics NZ'!D$34*'Economic Forecasts'!F$9*1000000/SUM('Statistics NZ'!D$32:D$107,'Statistics NZ'!D$125:D$200)</f>
        <v>31864.784884550449</v>
      </c>
      <c r="E34" s="118">
        <f>'Statistics NZ'!E$34*'Economic Forecasts'!G$9*1000000/SUM('Statistics NZ'!E$32:E$107,'Statistics NZ'!E$125:E$200)</f>
        <v>30953.850880365018</v>
      </c>
      <c r="F34" s="118">
        <f>'Statistics NZ'!F$34*'Economic Forecasts'!H$9*1000000/SUM('Statistics NZ'!F$32:F$107,'Statistics NZ'!F$125:F$200)</f>
        <v>30953.792414299947</v>
      </c>
      <c r="G34" s="118">
        <f>'Statistics NZ'!G$34*'Economic Forecasts'!I$9*1000000/SUM('Statistics NZ'!G$32:G$107,'Statistics NZ'!G$125:G$200)</f>
        <v>30376.416622999714</v>
      </c>
      <c r="H34" s="118">
        <f>'Statistics NZ'!H$34*'Economic Forecasts'!J$9*1000000/SUM('Statistics NZ'!H$32:H$107,'Statistics NZ'!H$125:H$200)</f>
        <v>30425.612877590287</v>
      </c>
      <c r="I34" s="118">
        <f>'Statistics NZ'!I$34*'Economic Forecasts'!K$9*1000000/SUM('Statistics NZ'!I$32:I$107,'Statistics NZ'!I$125:I$200)</f>
        <v>29955.914652266569</v>
      </c>
      <c r="J34" s="203">
        <f>'Statistics NZ'!J$34*'Economic Forecasts'!L$9*1000000/SUM('Statistics NZ'!J$32:J$107,'Statistics NZ'!J$125:J$200)</f>
        <v>30153.637881957347</v>
      </c>
      <c r="K34" s="203">
        <f>'Statistics NZ'!K$34*'Economic Forecasts'!M$9*1000000/SUM('Statistics NZ'!K$32:K$107,'Statistics NZ'!K$125:K$200)</f>
        <v>30153.8854934753</v>
      </c>
      <c r="L34" s="203">
        <f>'Statistics NZ'!L$34*'Economic Forecasts'!N$9*1000000/SUM('Statistics NZ'!L$32:L$107,'Statistics NZ'!L$125:L$200)</f>
        <v>29881.336711533382</v>
      </c>
      <c r="M34" s="203">
        <f>'Statistics NZ'!M$34*'Economic Forecasts'!O$9*1000000/SUM('Statistics NZ'!M$32:M$107,'Statistics NZ'!M$125:M$200)</f>
        <v>30989.287332126038</v>
      </c>
      <c r="N34" s="203">
        <f>'Statistics NZ'!N$34*'Economic Forecasts'!P$9*1000000/SUM('Statistics NZ'!N$32:N$107,'Statistics NZ'!N$125:N$200)</f>
        <v>31115.354010500439</v>
      </c>
      <c r="O34" s="203">
        <f>'Statistics NZ'!O$34*'Economic Forecasts'!Q$9*1000000/SUM('Statistics NZ'!O$32:O$107,'Statistics NZ'!O$125:O$200)</f>
        <v>30444.211118926833</v>
      </c>
      <c r="P34" s="203">
        <f>'Statistics NZ'!P$34*'Economic Forecasts'!R$9*1000000/SUM('Statistics NZ'!P$32:P$107,'Statistics NZ'!P$125:P$200)</f>
        <v>30123.093673892232</v>
      </c>
      <c r="Q34" s="121">
        <f>SUM('Statistics NZ'!Q$34,$E$13/5*(Q$9-Q$10)*1000)*'Economic Forecasts'!S$9*1000000/SUM('Statistics NZ'!Q$32:Q$107,'Statistics NZ'!Q$125:Q$200,SUM($E$13:$Q$14)*(Q$9-Q$10)*1000)</f>
        <v>30534.483802132625</v>
      </c>
      <c r="R34" s="205">
        <f>SUM('Statistics NZ'!R$34,$E$13/5*(R$9-R$10)*1000)*'Economic Forecasts'!T$9*1000000/SUM('Statistics NZ'!R$32:R$107,'Statistics NZ'!R$125:R$200,SUM($E$13:$Q$14)*(R$9-R$10)*1000)</f>
        <v>30335.103107285631</v>
      </c>
      <c r="S34" s="205">
        <f>SUM('Statistics NZ'!S$34,$E$13/5*(S$9-S$10)*1000)*'Economic Forecasts'!U$9*1000000/SUM('Statistics NZ'!S$32:S$107,'Statistics NZ'!S$125:S$200,SUM($E$13:$Q$14)*(S$9-S$10)*1000)</f>
        <v>30989.314022634484</v>
      </c>
      <c r="T34" s="205">
        <f>SUM('Statistics NZ'!T$34,$E$13/5*(T$9-T$10)*1000)*'Economic Forecasts'!V$9*1000000/SUM('Statistics NZ'!T$32:T$107,'Statistics NZ'!T$125:T$200,SUM($E$13:$Q$14)*(T$9-T$10)*1000)</f>
        <v>32611.67843266546</v>
      </c>
      <c r="U34" s="205">
        <f>SUM('Statistics NZ'!U$34,$E$13/5*(U$9-U$10)*1000)*'Economic Forecasts'!W$9*1000000/SUM('Statistics NZ'!U$32:U$107,'Statistics NZ'!U$125:U$200,SUM($E$13:$Q$14)*(U$9-U$10)*1000)</f>
        <v>34033.157686931881</v>
      </c>
      <c r="V34" s="111">
        <f>SUM(U$34,'Statistics NZ'!V$34-'Statistics NZ'!U$34,$E$13/5*(V$9-V$10)*1000)</f>
        <v>34071.41842138295</v>
      </c>
      <c r="W34" s="111">
        <f>SUM(V$34,'Statistics NZ'!W$34-'Statistics NZ'!V$34,$E$13/5*(W$9-W$10)*1000)</f>
        <v>35283.646564027636</v>
      </c>
      <c r="X34" s="111">
        <f>SUM(W$34,'Statistics NZ'!X$34-'Statistics NZ'!W$34,$E$13/5*(X$9-X$10)*1000)</f>
        <v>35359.84211486594</v>
      </c>
      <c r="Y34" s="111">
        <f>SUM(X$34,'Statistics NZ'!Y$34-'Statistics NZ'!X$34,$E$13/5*(Y$9-Y$10)*1000)</f>
        <v>35380.005073897861</v>
      </c>
      <c r="Z34" s="111">
        <f>SUM(Y$34,'Statistics NZ'!Z$34-'Statistics NZ'!Y$34,$E$13/5*(Z$9-Z$10)*1000)</f>
        <v>35384.135441123399</v>
      </c>
      <c r="AA34" s="111">
        <f>SUM(Z$34,'Statistics NZ'!AA$34-'Statistics NZ'!Z$34,$E$13/5*(AA$9-AA$10)*1000)</f>
        <v>34352.233216542547</v>
      </c>
      <c r="AB34" s="111">
        <f>SUM(AA$34,'Statistics NZ'!AB$34-'Statistics NZ'!AA$34,$E$13/5*(AB$9-AB$10)*1000)</f>
        <v>34454.298400155312</v>
      </c>
      <c r="AC34" s="111">
        <f>SUM(AB$34,'Statistics NZ'!AC$34-'Statistics NZ'!AB$34,$E$13/5*(AC$9-AC$10)*1000)</f>
        <v>34110.330991961695</v>
      </c>
      <c r="AD34" s="111">
        <f>SUM(AC$34,'Statistics NZ'!AD$34-'Statistics NZ'!AC$34,$E$13/5*(AD$9-AD$10)*1000)</f>
        <v>34350.330991961695</v>
      </c>
      <c r="AE34" s="111">
        <f>SUM(AD$34,'Statistics NZ'!AE$34-'Statistics NZ'!AD$34,$E$13/5*(AE$9-AE$10)*1000)</f>
        <v>33530.330991961695</v>
      </c>
      <c r="AF34" s="111">
        <f>SUM(AE$34,'Statistics NZ'!AF$34-'Statistics NZ'!AE$34,$E$13/5*(AF$9-AF$10)*1000)</f>
        <v>33110.330991961695</v>
      </c>
      <c r="AG34" s="111">
        <f>SUM(AF$34,'Statistics NZ'!AG$34-'Statistics NZ'!AF$34,$E$13/5*(AG$9-AG$10)*1000)</f>
        <v>33260.330991961695</v>
      </c>
      <c r="AH34" s="111">
        <f>SUM(AG$34,'Statistics NZ'!AH$34-'Statistics NZ'!AG$34,$E$13/5*(AH$9-AH$10)*1000)</f>
        <v>32690.330991961695</v>
      </c>
      <c r="AI34" s="111">
        <f>SUM(AH$34,'Statistics NZ'!AI$34-'Statistics NZ'!AH$34,$E$13/5*(AI$9-AI$10)*1000)</f>
        <v>32660.330991961695</v>
      </c>
      <c r="AJ34" s="111">
        <f>SUM(AI$34,'Statistics NZ'!AJ$34-'Statistics NZ'!AI$34,$E$13/5*(AJ$9-AJ$10)*1000)</f>
        <v>32600.330991961695</v>
      </c>
      <c r="AK34" s="111">
        <f>SUM(AJ$34,'Statistics NZ'!AK$34-'Statistics NZ'!AJ$34,$E$13/5*(AK$9-AK$10)*1000)</f>
        <v>32530.330991961695</v>
      </c>
      <c r="AL34" s="111">
        <f>SUM(AK$34,'Statistics NZ'!AL$34-'Statistics NZ'!AK$34,$E$13/5*(AL$9-AL$10)*1000)</f>
        <v>32640.330991961695</v>
      </c>
      <c r="AM34" s="111">
        <f>SUM(AL$34,'Statistics NZ'!AM$34-'Statistics NZ'!AL$34,$E$13/5*(AM$9-AM$10)*1000)</f>
        <v>32720.330991961695</v>
      </c>
      <c r="AN34" s="111">
        <f>SUM(AM$34,'Statistics NZ'!AN$34-'Statistics NZ'!AM$34,$E$13/5*(AN$9-AN$10)*1000)</f>
        <v>32780.330991961695</v>
      </c>
      <c r="AO34" s="111">
        <f>SUM(AN$34,'Statistics NZ'!AO$34-'Statistics NZ'!AN$34,$E$13/5*(AO$9-AO$10)*1000)</f>
        <v>32810.330991961695</v>
      </c>
      <c r="AP34" s="111">
        <f>SUM(AO$34,'Statistics NZ'!AP$34-'Statistics NZ'!AO$34,$E$13/5*(AP$9-AP$10)*1000)</f>
        <v>32840.330991961695</v>
      </c>
      <c r="AQ34" s="111">
        <f>SUM(AP$34,'Statistics NZ'!AQ$34-'Statistics NZ'!AP$34,$E$13/5*(AQ$9-AQ$10)*1000)</f>
        <v>32860.330991961695</v>
      </c>
      <c r="AR34" s="111">
        <f>SUM(AQ$34,'Statistics NZ'!AR$34-'Statistics NZ'!AQ$34,$E$13/5*(AR$9-AR$10)*1000)</f>
        <v>32880.330991961695</v>
      </c>
      <c r="AS34" s="111">
        <f>SUM(AR$34,'Statistics NZ'!AS$34-'Statistics NZ'!AR$34,$E$13/5*(AS$9-AS$10)*1000)</f>
        <v>32920.330991961695</v>
      </c>
      <c r="AT34" s="111">
        <f>SUM(AS$34,'Statistics NZ'!AT$34-'Statistics NZ'!AS$34,$E$13/5*(AT$9-AT$10)*1000)</f>
        <v>32960.330991961695</v>
      </c>
      <c r="AU34" s="111">
        <f>SUM(AT$34,'Statistics NZ'!AU$34-'Statistics NZ'!AT$34,$E$13/5*(AU$9-AU$10)*1000)</f>
        <v>33030.330991961695</v>
      </c>
      <c r="AV34" s="111">
        <f>SUM(AU$34,'Statistics NZ'!AV$34-'Statistics NZ'!AU$34,$E$13/5*(AV$9-AV$10)*1000)</f>
        <v>33110.330991961695</v>
      </c>
      <c r="AW34" s="111">
        <f>SUM(AV$34,'Statistics NZ'!AW$34-'Statistics NZ'!AV$34,$E$13/5*(AW$9-AW$10)*1000)</f>
        <v>33220.330991961695</v>
      </c>
      <c r="AX34" s="111">
        <f>SUM(AW$34,'Statistics NZ'!AX$34-'Statistics NZ'!AW$34,$E$13/5*(AX$9-AX$10)*1000)</f>
        <v>33360.330991961695</v>
      </c>
      <c r="AY34" s="111">
        <f>SUM(AX$34,'Statistics NZ'!AY$34-'Statistics NZ'!AX$34,$E$13/5*(AY$9-AY$10)*1000)</f>
        <v>33510.330991961695</v>
      </c>
      <c r="AZ34" s="111">
        <f>SUM(AY$34,'Statistics NZ'!AZ$34-'Statistics NZ'!AY$34,$E$13/5*(AZ$9-AZ$10)*1000)</f>
        <v>33670.330991961695</v>
      </c>
      <c r="BA34" s="111">
        <f>SUM(AZ$34,'Statistics NZ'!BA$34-'Statistics NZ'!AZ$34,$E$13/5*(BA$9-BA$10)*1000)</f>
        <v>33830.330991961695</v>
      </c>
      <c r="BB34" s="111">
        <f>SUM(BA$34,'Statistics NZ'!BB$34-'Statistics NZ'!BA$34,$E$13/5*(BB$9-BB$10)*1000)</f>
        <v>33970.330991961695</v>
      </c>
      <c r="BC34" s="111">
        <f>SUM(BB$34,'Statistics NZ'!BC$34-'Statistics NZ'!BB$34,$E$13/5*(BC$9-BC$10)*1000)</f>
        <v>34090.330991961695</v>
      </c>
      <c r="BD34" s="111">
        <f>SUM(BC$34,'Statistics NZ'!BD$34-'Statistics NZ'!BC$34,$E$13/5*(BD$9-BD$10)*1000)</f>
        <v>34180.330991961695</v>
      </c>
      <c r="BE34" s="111">
        <f>SUM(BD$34,'Statistics NZ'!BE$34-'Statistics NZ'!BD$34,$E$13/5*(BE$9-BE$10)*1000)</f>
        <v>34250.330991961695</v>
      </c>
      <c r="BF34" s="111">
        <f>SUM(BE$34,'Statistics NZ'!BF$34-'Statistics NZ'!BE$34,$E$13/5*(BF$9-BF$10)*1000)</f>
        <v>34280.330991961695</v>
      </c>
      <c r="BG34" s="111">
        <f>SUM(BF$34,'Statistics NZ'!BG$34-'Statistics NZ'!BF$34,$E$13/5*(BG$9-BG$10)*1000)</f>
        <v>34280.330991961695</v>
      </c>
      <c r="BH34" s="111">
        <f>SUM(BG$34,'Statistics NZ'!BH$34-'Statistics NZ'!BG$34,$E$13/5*(BH$9-BH$10)*1000)</f>
        <v>34250.330991961695</v>
      </c>
      <c r="BI34" s="111">
        <f>SUM(BH$34,'Statistics NZ'!BI$34-'Statistics NZ'!BH$34,$E$13/5*(BI$9-BI$10)*1000)</f>
        <v>34190.330991961695</v>
      </c>
      <c r="BJ34" s="111">
        <f>SUM(BI$34,'Statistics NZ'!BJ$34-'Statistics NZ'!BI$34,$E$13/5*(BJ$9-BJ$10)*1000)</f>
        <v>34110.330991961695</v>
      </c>
      <c r="BK34" s="111">
        <f>SUM(BJ$34,'Statistics NZ'!BK$34-'Statistics NZ'!BJ$34,$E$13/5*(BK$9-BK$10)*1000)</f>
        <v>34020.330991961695</v>
      </c>
      <c r="BL34" s="111">
        <f>SUM(BK$34,'Statistics NZ'!BL$34-'Statistics NZ'!BK$34,$E$13/5*(BL$9-BL$10)*1000)</f>
        <v>33920.330991961695</v>
      </c>
      <c r="BM34" s="195">
        <f>SUM(BL$34,'Statistics NZ'!BM$34-'Statistics NZ'!BL$34,$E$13/5*(BM$9-BM$10)*1000)</f>
        <v>33820.330991961695</v>
      </c>
      <c r="BN34" s="195">
        <f>SUM(BM$34,'Statistics NZ'!BN$34-'Statistics NZ'!BM$34,$E$13/5*(BN$9-BN$10)*1000)</f>
        <v>33730.330991961695</v>
      </c>
      <c r="BO34" s="195">
        <f>SUM(BN$34,'Statistics NZ'!BO$34-'Statistics NZ'!BN$34,$E$13/5*(BO$9-BO$10)*1000)</f>
        <v>33640.330991961695</v>
      </c>
      <c r="BP34" s="195">
        <f>SUM(BO$34,'Statistics NZ'!BP$34-'Statistics NZ'!BO$34,$E$13/5*(BP$9-BP$10)*1000)</f>
        <v>33570.330991961695</v>
      </c>
      <c r="BQ34" s="195">
        <f>SUM(BP$34,'Statistics NZ'!BQ$34-'Statistics NZ'!BP$34,$E$13/5*(BQ$9-BQ$10)*1000)</f>
        <v>33520.330991961695</v>
      </c>
    </row>
    <row r="35" spans="1:69">
      <c r="A35" s="105">
        <v>18</v>
      </c>
      <c r="B35" s="118">
        <f>'Statistics NZ'!B$35*'Economic Forecasts'!D$9*1000000/SUM('Statistics NZ'!B$32:B$107,'Statistics NZ'!B$125:B$200)</f>
        <v>29730.090646539171</v>
      </c>
      <c r="C35" s="118">
        <f>'Statistics NZ'!C$35*'Economic Forecasts'!E$9*1000000/SUM('Statistics NZ'!C$32:C$107,'Statistics NZ'!C$125:C$200)</f>
        <v>30137.12008185899</v>
      </c>
      <c r="D35" s="118">
        <f>'Statistics NZ'!D$35*'Economic Forecasts'!F$9*1000000/SUM('Statistics NZ'!D$32:D$107,'Statistics NZ'!D$125:D$200)</f>
        <v>31283.274736641855</v>
      </c>
      <c r="E35" s="118">
        <f>'Statistics NZ'!E$35*'Economic Forecasts'!G$9*1000000/SUM('Statistics NZ'!E$32:E$107,'Statistics NZ'!E$125:E$200)</f>
        <v>31692.488747379775</v>
      </c>
      <c r="F35" s="118">
        <f>'Statistics NZ'!F$35*'Economic Forecasts'!H$9*1000000/SUM('Statistics NZ'!F$32:F$107,'Statistics NZ'!F$125:F$200)</f>
        <v>30924.237552032951</v>
      </c>
      <c r="G35" s="118">
        <f>'Statistics NZ'!G$35*'Economic Forecasts'!I$9*1000000/SUM('Statistics NZ'!G$32:G$107,'Statistics NZ'!G$125:G$200)</f>
        <v>30790.237413841751</v>
      </c>
      <c r="H35" s="118">
        <f>'Statistics NZ'!H$35*'Economic Forecasts'!J$9*1000000/SUM('Statistics NZ'!H$32:H$107,'Statistics NZ'!H$125:H$200)</f>
        <v>30130.122949999572</v>
      </c>
      <c r="I35" s="118">
        <f>'Statistics NZ'!I$35*'Economic Forecasts'!K$9*1000000/SUM('Statistics NZ'!I$32:I$107,'Statistics NZ'!I$125:I$200)</f>
        <v>30280.666683647913</v>
      </c>
      <c r="J35" s="203">
        <f>'Statistics NZ'!J$35*'Economic Forecasts'!L$9*1000000/SUM('Statistics NZ'!J$32:J$107,'Statistics NZ'!J$125:J$200)</f>
        <v>30114.324142867448</v>
      </c>
      <c r="K35" s="203">
        <f>'Statistics NZ'!K$35*'Economic Forecasts'!M$9*1000000/SUM('Statistics NZ'!K$32:K$107,'Statistics NZ'!K$125:K$200)</f>
        <v>30438.81956949706</v>
      </c>
      <c r="L35" s="203">
        <f>'Statistics NZ'!L$35*'Economic Forecasts'!N$9*1000000/SUM('Statistics NZ'!L$32:L$107,'Statistics NZ'!L$125:L$200)</f>
        <v>30501.81272103457</v>
      </c>
      <c r="M35" s="203">
        <f>'Statistics NZ'!M$35*'Economic Forecasts'!O$9*1000000/SUM('Statistics NZ'!M$32:M$107,'Statistics NZ'!M$125:M$200)</f>
        <v>30250.509026369695</v>
      </c>
      <c r="N35" s="203">
        <f>'Statistics NZ'!N$35*'Economic Forecasts'!P$9*1000000/SUM('Statistics NZ'!N$32:N$107,'Statistics NZ'!N$125:N$200)</f>
        <v>31243.644401282712</v>
      </c>
      <c r="O35" s="203">
        <f>'Statistics NZ'!O$35*'Economic Forecasts'!Q$9*1000000/SUM('Statistics NZ'!O$32:O$107,'Statistics NZ'!O$125:O$200)</f>
        <v>31312.635941768182</v>
      </c>
      <c r="P35" s="203">
        <f>'Statistics NZ'!P$35*'Economic Forecasts'!R$9*1000000/SUM('Statistics NZ'!P$32:P$107,'Statistics NZ'!P$125:P$200)</f>
        <v>30705.611709539444</v>
      </c>
      <c r="Q35" s="121">
        <f>SUM('Statistics NZ'!Q$35,$E$13/5*(Q$9-Q$10)*1000)*'Economic Forecasts'!S$9*1000000/SUM('Statistics NZ'!Q$32:Q$107,'Statistics NZ'!Q$125:Q$200,SUM($E$13:$Q$14)*(Q$9-Q$10)*1000)</f>
        <v>30208.231839024364</v>
      </c>
      <c r="R35" s="205">
        <f>SUM('Statistics NZ'!R$35,$E$13/5*(R$9-R$10)*1000)*'Economic Forecasts'!T$9*1000000/SUM('Statistics NZ'!R$32:R$107,'Statistics NZ'!R$125:R$200,SUM($E$13:$Q$14)*(R$9-R$10)*1000)</f>
        <v>30770.050987917064</v>
      </c>
      <c r="S35" s="205">
        <f>SUM('Statistics NZ'!S$35,$E$13/5*(S$9-S$10)*1000)*'Economic Forecasts'!U$9*1000000/SUM('Statistics NZ'!S$32:S$107,'Statistics NZ'!S$125:S$200,SUM($E$13:$Q$14)*(S$9-S$10)*1000)</f>
        <v>30712.676934378564</v>
      </c>
      <c r="T35" s="205">
        <f>SUM('Statistics NZ'!T$35,$E$13/5*(T$9-T$10)*1000)*'Economic Forecasts'!V$9*1000000/SUM('Statistics NZ'!T$32:T$107,'Statistics NZ'!T$125:T$200,SUM($E$13:$Q$14)*(T$9-T$10)*1000)</f>
        <v>31613.870719390299</v>
      </c>
      <c r="U35" s="205">
        <f>SUM('Statistics NZ'!U$35,$E$13/5*(U$9-U$10)*1000)*'Economic Forecasts'!W$9*1000000/SUM('Statistics NZ'!U$32:U$107,'Statistics NZ'!U$125:U$200,SUM($E$13:$Q$14)*(U$9-U$10)*1000)</f>
        <v>33291.248297218648</v>
      </c>
      <c r="V35" s="111">
        <f>SUM(U$35,'Statistics NZ'!V$35-'Statistics NZ'!U$35,$E$13/5*(V$9-V$10)*1000)</f>
        <v>34789.509031669717</v>
      </c>
      <c r="W35" s="111">
        <f>SUM(V$35,'Statistics NZ'!W$35-'Statistics NZ'!V$35,$E$13/5*(W$9-W$10)*1000)</f>
        <v>34801.737174314403</v>
      </c>
      <c r="X35" s="111">
        <f>SUM(W$35,'Statistics NZ'!X$35-'Statistics NZ'!W$35,$E$13/5*(X$9-X$10)*1000)</f>
        <v>35977.932725152707</v>
      </c>
      <c r="Y35" s="111">
        <f>SUM(X$35,'Statistics NZ'!Y$35-'Statistics NZ'!X$35,$E$13/5*(Y$9-Y$10)*1000)</f>
        <v>36028.095684184627</v>
      </c>
      <c r="Z35" s="111">
        <f>SUM(Y$35,'Statistics NZ'!Z$35-'Statistics NZ'!Y$35,$E$13/5*(Z$9-Z$10)*1000)</f>
        <v>36022.226051410165</v>
      </c>
      <c r="AA35" s="111">
        <f>SUM(Z$35,'Statistics NZ'!AA$35-'Statistics NZ'!Z$35,$E$13/5*(AA$9-AA$10)*1000)</f>
        <v>36010.323826829313</v>
      </c>
      <c r="AB35" s="111">
        <f>SUM(AA$35,'Statistics NZ'!AB$35-'Statistics NZ'!AA$35,$E$13/5*(AB$9-AB$10)*1000)</f>
        <v>34942.389010442079</v>
      </c>
      <c r="AC35" s="111">
        <f>SUM(AB$35,'Statistics NZ'!AC$35-'Statistics NZ'!AB$35,$E$13/5*(AC$9-AC$10)*1000)</f>
        <v>35028.421602248462</v>
      </c>
      <c r="AD35" s="111">
        <f>SUM(AC$35,'Statistics NZ'!AD$35-'Statistics NZ'!AC$35,$E$13/5*(AD$9-AD$10)*1000)</f>
        <v>34658.421602248462</v>
      </c>
      <c r="AE35" s="111">
        <f>SUM(AD$35,'Statistics NZ'!AE$35-'Statistics NZ'!AD$35,$E$13/5*(AE$9-AE$10)*1000)</f>
        <v>34898.421602248462</v>
      </c>
      <c r="AF35" s="111">
        <f>SUM(AE$35,'Statistics NZ'!AF$35-'Statistics NZ'!AE$35,$E$13/5*(AF$9-AF$10)*1000)</f>
        <v>34068.421602248462</v>
      </c>
      <c r="AG35" s="111">
        <f>SUM(AF$35,'Statistics NZ'!AG$35-'Statistics NZ'!AF$35,$E$13/5*(AG$9-AG$10)*1000)</f>
        <v>33648.421602248462</v>
      </c>
      <c r="AH35" s="111">
        <f>SUM(AG$35,'Statistics NZ'!AH$35-'Statistics NZ'!AG$35,$E$13/5*(AH$9-AH$10)*1000)</f>
        <v>33798.421602248462</v>
      </c>
      <c r="AI35" s="111">
        <f>SUM(AH$35,'Statistics NZ'!AI$35-'Statistics NZ'!AH$35,$E$13/5*(AI$9-AI$10)*1000)</f>
        <v>33238.421602248462</v>
      </c>
      <c r="AJ35" s="111">
        <f>SUM(AI$35,'Statistics NZ'!AJ$35-'Statistics NZ'!AI$35,$E$13/5*(AJ$9-AJ$10)*1000)</f>
        <v>33198.421602248462</v>
      </c>
      <c r="AK35" s="111">
        <f>SUM(AJ$35,'Statistics NZ'!AK$35-'Statistics NZ'!AJ$35,$E$13/5*(AK$9-AK$10)*1000)</f>
        <v>33138.421602248462</v>
      </c>
      <c r="AL35" s="111">
        <f>SUM(AK$35,'Statistics NZ'!AL$35-'Statistics NZ'!AK$35,$E$13/5*(AL$9-AL$10)*1000)</f>
        <v>33068.421602248462</v>
      </c>
      <c r="AM35" s="111">
        <f>SUM(AL$35,'Statistics NZ'!AM$35-'Statistics NZ'!AL$35,$E$13/5*(AM$9-AM$10)*1000)</f>
        <v>33188.421602248462</v>
      </c>
      <c r="AN35" s="111">
        <f>SUM(AM$35,'Statistics NZ'!AN$35-'Statistics NZ'!AM$35,$E$13/5*(AN$9-AN$10)*1000)</f>
        <v>33268.421602248462</v>
      </c>
      <c r="AO35" s="111">
        <f>SUM(AN$35,'Statistics NZ'!AO$35-'Statistics NZ'!AN$35,$E$13/5*(AO$9-AO$10)*1000)</f>
        <v>33318.421602248462</v>
      </c>
      <c r="AP35" s="111">
        <f>SUM(AO$35,'Statistics NZ'!AP$35-'Statistics NZ'!AO$35,$E$13/5*(AP$9-AP$10)*1000)</f>
        <v>33358.421602248462</v>
      </c>
      <c r="AQ35" s="111">
        <f>SUM(AP$35,'Statistics NZ'!AQ$35-'Statistics NZ'!AP$35,$E$13/5*(AQ$9-AQ$10)*1000)</f>
        <v>33378.421602248462</v>
      </c>
      <c r="AR35" s="111">
        <f>SUM(AQ$35,'Statistics NZ'!AR$35-'Statistics NZ'!AQ$35,$E$13/5*(AR$9-AR$10)*1000)</f>
        <v>33398.421602248462</v>
      </c>
      <c r="AS35" s="111">
        <f>SUM(AR$35,'Statistics NZ'!AS$35-'Statistics NZ'!AR$35,$E$13/5*(AS$9-AS$10)*1000)</f>
        <v>33428.421602248462</v>
      </c>
      <c r="AT35" s="111">
        <f>SUM(AS$35,'Statistics NZ'!AT$35-'Statistics NZ'!AS$35,$E$13/5*(AT$9-AT$10)*1000)</f>
        <v>33468.421602248462</v>
      </c>
      <c r="AU35" s="111">
        <f>SUM(AT$35,'Statistics NZ'!AU$35-'Statistics NZ'!AT$35,$E$13/5*(AU$9-AU$10)*1000)</f>
        <v>33508.421602248462</v>
      </c>
      <c r="AV35" s="111">
        <f>SUM(AU$35,'Statistics NZ'!AV$35-'Statistics NZ'!AU$35,$E$13/5*(AV$9-AV$10)*1000)</f>
        <v>33568.421602248462</v>
      </c>
      <c r="AW35" s="111">
        <f>SUM(AV$35,'Statistics NZ'!AW$35-'Statistics NZ'!AV$35,$E$13/5*(AW$9-AW$10)*1000)</f>
        <v>33658.421602248462</v>
      </c>
      <c r="AX35" s="111">
        <f>SUM(AW$35,'Statistics NZ'!AX$35-'Statistics NZ'!AW$35,$E$13/5*(AX$9-AX$10)*1000)</f>
        <v>33768.421602248462</v>
      </c>
      <c r="AY35" s="111">
        <f>SUM(AX$35,'Statistics NZ'!AY$35-'Statistics NZ'!AX$35,$E$13/5*(AY$9-AY$10)*1000)</f>
        <v>33898.421602248462</v>
      </c>
      <c r="AZ35" s="111">
        <f>SUM(AY$35,'Statistics NZ'!AZ$35-'Statistics NZ'!AY$35,$E$13/5*(AZ$9-AZ$10)*1000)</f>
        <v>34048.421602248462</v>
      </c>
      <c r="BA35" s="111">
        <f>SUM(AZ$35,'Statistics NZ'!BA$35-'Statistics NZ'!AZ$35,$E$13/5*(BA$9-BA$10)*1000)</f>
        <v>34208.421602248462</v>
      </c>
      <c r="BB35" s="111">
        <f>SUM(BA$35,'Statistics NZ'!BB$35-'Statistics NZ'!BA$35,$E$13/5*(BB$9-BB$10)*1000)</f>
        <v>34368.421602248462</v>
      </c>
      <c r="BC35" s="111">
        <f>SUM(BB$35,'Statistics NZ'!BC$35-'Statistics NZ'!BB$35,$E$13/5*(BC$9-BC$10)*1000)</f>
        <v>34508.421602248462</v>
      </c>
      <c r="BD35" s="111">
        <f>SUM(BC$35,'Statistics NZ'!BD$35-'Statistics NZ'!BC$35,$E$13/5*(BD$9-BD$10)*1000)</f>
        <v>34638.421602248462</v>
      </c>
      <c r="BE35" s="111">
        <f>SUM(BD$35,'Statistics NZ'!BE$35-'Statistics NZ'!BD$35,$E$13/5*(BE$9-BE$10)*1000)</f>
        <v>34728.421602248462</v>
      </c>
      <c r="BF35" s="111">
        <f>SUM(BE$35,'Statistics NZ'!BF$35-'Statistics NZ'!BE$35,$E$13/5*(BF$9-BF$10)*1000)</f>
        <v>34788.421602248462</v>
      </c>
      <c r="BG35" s="111">
        <f>SUM(BF$35,'Statistics NZ'!BG$35-'Statistics NZ'!BF$35,$E$13/5*(BG$9-BG$10)*1000)</f>
        <v>34828.421602248462</v>
      </c>
      <c r="BH35" s="111">
        <f>SUM(BG$35,'Statistics NZ'!BH$35-'Statistics NZ'!BG$35,$E$13/5*(BH$9-BH$10)*1000)</f>
        <v>34818.421602248462</v>
      </c>
      <c r="BI35" s="111">
        <f>SUM(BH$35,'Statistics NZ'!BI$35-'Statistics NZ'!BH$35,$E$13/5*(BI$9-BI$10)*1000)</f>
        <v>34788.421602248462</v>
      </c>
      <c r="BJ35" s="111">
        <f>SUM(BI$35,'Statistics NZ'!BJ$35-'Statistics NZ'!BI$35,$E$13/5*(BJ$9-BJ$10)*1000)</f>
        <v>34738.421602248462</v>
      </c>
      <c r="BK35" s="111">
        <f>SUM(BJ$35,'Statistics NZ'!BK$35-'Statistics NZ'!BJ$35,$E$13/5*(BK$9-BK$10)*1000)</f>
        <v>34658.421602248462</v>
      </c>
      <c r="BL35" s="111">
        <f>SUM(BK$35,'Statistics NZ'!BL$35-'Statistics NZ'!BK$35,$E$13/5*(BL$9-BL$10)*1000)</f>
        <v>34568.421602248462</v>
      </c>
      <c r="BM35" s="195">
        <f>SUM(BL$35,'Statistics NZ'!BM$35-'Statistics NZ'!BL$35,$E$13/5*(BM$9-BM$10)*1000)</f>
        <v>34468.421602248462</v>
      </c>
      <c r="BN35" s="195">
        <f>SUM(BM$35,'Statistics NZ'!BN$35-'Statistics NZ'!BM$35,$E$13/5*(BN$9-BN$10)*1000)</f>
        <v>34368.421602248462</v>
      </c>
      <c r="BO35" s="195">
        <f>SUM(BN$35,'Statistics NZ'!BO$35-'Statistics NZ'!BN$35,$E$13/5*(BO$9-BO$10)*1000)</f>
        <v>34268.421602248462</v>
      </c>
      <c r="BP35" s="195">
        <f>SUM(BO$35,'Statistics NZ'!BP$35-'Statistics NZ'!BO$35,$E$13/5*(BP$9-BP$10)*1000)</f>
        <v>34188.421602248462</v>
      </c>
      <c r="BQ35" s="195">
        <f>SUM(BP$35,'Statistics NZ'!BQ$35-'Statistics NZ'!BP$35,$E$13/5*(BQ$9-BQ$10)*1000)</f>
        <v>34118.421602248462</v>
      </c>
    </row>
    <row r="36" spans="1:69">
      <c r="A36" s="105">
        <v>19</v>
      </c>
      <c r="B36" s="118">
        <f>'Statistics NZ'!B$36*'Economic Forecasts'!D$9*1000000/SUM('Statistics NZ'!B$32:B$107,'Statistics NZ'!B$125:B$200)</f>
        <v>28636.638008445781</v>
      </c>
      <c r="C36" s="118">
        <f>'Statistics NZ'!C$36*'Economic Forecasts'!E$9*1000000/SUM('Statistics NZ'!C$32:C$107,'Statistics NZ'!C$125:C$200)</f>
        <v>29624.483430155797</v>
      </c>
      <c r="D36" s="118">
        <f>'Statistics NZ'!D$36*'Economic Forecasts'!F$9*1000000/SUM('Statistics NZ'!D$32:D$107,'Statistics NZ'!D$125:D$200)</f>
        <v>30001.981190402588</v>
      </c>
      <c r="E36" s="118">
        <f>'Statistics NZ'!E$36*'Economic Forecasts'!G$9*1000000/SUM('Statistics NZ'!E$32:E$107,'Statistics NZ'!E$125:E$200)</f>
        <v>31318.245561425636</v>
      </c>
      <c r="F36" s="118">
        <f>'Statistics NZ'!F$36*'Economic Forecasts'!H$9*1000000/SUM('Statistics NZ'!F$32:F$107,'Statistics NZ'!F$125:F$200)</f>
        <v>32007.91583515612</v>
      </c>
      <c r="G36" s="118">
        <f>'Statistics NZ'!G$36*'Economic Forecasts'!I$9*1000000/SUM('Statistics NZ'!G$32:G$107,'Statistics NZ'!G$125:G$200)</f>
        <v>31007.000685235198</v>
      </c>
      <c r="H36" s="118">
        <f>'Statistics NZ'!H$36*'Economic Forecasts'!J$9*1000000/SUM('Statistics NZ'!H$32:H$107,'Statistics NZ'!H$125:H$200)</f>
        <v>30868.847768976353</v>
      </c>
      <c r="I36" s="118">
        <f>'Statistics NZ'!I$36*'Economic Forecasts'!K$9*1000000/SUM('Statistics NZ'!I$32:I$107,'Statistics NZ'!I$125:I$200)</f>
        <v>30349.553478183345</v>
      </c>
      <c r="J36" s="203">
        <f>'Statistics NZ'!J$36*'Economic Forecasts'!L$9*1000000/SUM('Statistics NZ'!J$32:J$107,'Statistics NZ'!J$125:J$200)</f>
        <v>30635.231185808694</v>
      </c>
      <c r="K36" s="203">
        <f>'Statistics NZ'!K$36*'Economic Forecasts'!M$9*1000000/SUM('Statistics NZ'!K$32:K$107,'Statistics NZ'!K$125:K$200)</f>
        <v>30684.452393653752</v>
      </c>
      <c r="L36" s="203">
        <f>'Statistics NZ'!L$36*'Economic Forecasts'!N$9*1000000/SUM('Statistics NZ'!L$32:L$107,'Statistics NZ'!L$125:L$200)</f>
        <v>31073.044602797567</v>
      </c>
      <c r="M36" s="203">
        <f>'Statistics NZ'!M$36*'Economic Forecasts'!O$9*1000000/SUM('Statistics NZ'!M$32:M$107,'Statistics NZ'!M$125:M$200)</f>
        <v>30930.185067665527</v>
      </c>
      <c r="N36" s="203">
        <f>'Statistics NZ'!N$36*'Economic Forecasts'!P$9*1000000/SUM('Statistics NZ'!N$32:N$107,'Statistics NZ'!N$125:N$200)</f>
        <v>30592.323955772714</v>
      </c>
      <c r="O36" s="203">
        <f>'Statistics NZ'!O$36*'Economic Forecasts'!Q$9*1000000/SUM('Statistics NZ'!O$32:O$107,'Statistics NZ'!O$125:O$200)</f>
        <v>31559.347539166291</v>
      </c>
      <c r="P36" s="203">
        <f>'Statistics NZ'!P$36*'Economic Forecasts'!R$9*1000000/SUM('Statistics NZ'!P$32:P$107,'Statistics NZ'!P$125:P$200)</f>
        <v>31584.325356532692</v>
      </c>
      <c r="Q36" s="121">
        <f>SUM('Statistics NZ'!Q$36,$E$13/5*(Q$9-Q$10)*1000)*'Economic Forecasts'!S$9*1000000/SUM('Statistics NZ'!Q$32:Q$107,'Statistics NZ'!Q$125:Q$200,SUM($E$13:$Q$14)*(Q$9-Q$10)*1000)</f>
        <v>30801.41722649393</v>
      </c>
      <c r="R36" s="205">
        <f>SUM('Statistics NZ'!R$36,$E$13/5*(R$9-R$10)*1000)*'Economic Forecasts'!T$9*1000000/SUM('Statistics NZ'!R$32:R$107,'Statistics NZ'!R$125:R$200,SUM($E$13:$Q$14)*(R$9-R$10)*1000)</f>
        <v>30483.38079386453</v>
      </c>
      <c r="S36" s="205">
        <f>SUM('Statistics NZ'!S$36,$E$13/5*(S$9-S$10)*1000)*'Economic Forecasts'!U$9*1000000/SUM('Statistics NZ'!S$32:S$107,'Statistics NZ'!S$125:S$200,SUM($E$13:$Q$14)*(S$9-S$10)*1000)</f>
        <v>31196.79183882643</v>
      </c>
      <c r="T36" s="205">
        <f>SUM('Statistics NZ'!T$36,$E$13/5*(T$9-T$10)*1000)*'Economic Forecasts'!V$9*1000000/SUM('Statistics NZ'!T$32:T$107,'Statistics NZ'!T$125:T$200,SUM($E$13:$Q$14)*(T$9-T$10)*1000)</f>
        <v>31436.043602172937</v>
      </c>
      <c r="U36" s="205">
        <f>SUM('Statistics NZ'!U$36,$E$13/5*(U$9-U$10)*1000)*'Economic Forecasts'!W$9*1000000/SUM('Statistics NZ'!U$32:U$107,'Statistics NZ'!U$125:U$200,SUM($E$13:$Q$14)*(U$9-U$10)*1000)</f>
        <v>32381.172779170411</v>
      </c>
      <c r="V36" s="111">
        <f>SUM(U$36,'Statistics NZ'!V$36-'Statistics NZ'!U$36,$E$13/5*(V$9-V$10)*1000)</f>
        <v>34139.43351362148</v>
      </c>
      <c r="W36" s="111">
        <f>SUM(V$36,'Statistics NZ'!W$36-'Statistics NZ'!V$36,$E$13/5*(W$9-W$10)*1000)</f>
        <v>35601.661656266166</v>
      </c>
      <c r="X36" s="111">
        <f>SUM(W$36,'Statistics NZ'!X$36-'Statistics NZ'!W$36,$E$13/5*(X$9-X$10)*1000)</f>
        <v>35597.857207104469</v>
      </c>
      <c r="Y36" s="111">
        <f>SUM(X$36,'Statistics NZ'!Y$36-'Statistics NZ'!X$36,$E$13/5*(Y$9-Y$10)*1000)</f>
        <v>36748.02016613639</v>
      </c>
      <c r="Z36" s="111">
        <f>SUM(Y$36,'Statistics NZ'!Z$36-'Statistics NZ'!Y$36,$E$13/5*(Z$9-Z$10)*1000)</f>
        <v>36772.150533361928</v>
      </c>
      <c r="AA36" s="111">
        <f>SUM(Z$36,'Statistics NZ'!AA$36-'Statistics NZ'!Z$36,$E$13/5*(AA$9-AA$10)*1000)</f>
        <v>36740.248308781076</v>
      </c>
      <c r="AB36" s="111">
        <f>SUM(AA$36,'Statistics NZ'!AB$36-'Statistics NZ'!AA$36,$E$13/5*(AB$9-AB$10)*1000)</f>
        <v>36702.313492393841</v>
      </c>
      <c r="AC36" s="111">
        <f>SUM(AB$36,'Statistics NZ'!AC$36-'Statistics NZ'!AB$36,$E$13/5*(AC$9-AC$10)*1000)</f>
        <v>35608.346084200224</v>
      </c>
      <c r="AD36" s="111">
        <f>SUM(AC$36,'Statistics NZ'!AD$36-'Statistics NZ'!AC$36,$E$13/5*(AD$9-AD$10)*1000)</f>
        <v>35668.346084200224</v>
      </c>
      <c r="AE36" s="111">
        <f>SUM(AD$36,'Statistics NZ'!AE$36-'Statistics NZ'!AD$36,$E$13/5*(AE$9-AE$10)*1000)</f>
        <v>35298.346084200224</v>
      </c>
      <c r="AF36" s="111">
        <f>SUM(AE$36,'Statistics NZ'!AF$36-'Statistics NZ'!AE$36,$E$13/5*(AF$9-AF$10)*1000)</f>
        <v>35538.346084200224</v>
      </c>
      <c r="AG36" s="111">
        <f>SUM(AF$36,'Statistics NZ'!AG$36-'Statistics NZ'!AF$36,$E$13/5*(AG$9-AG$10)*1000)</f>
        <v>34718.346084200224</v>
      </c>
      <c r="AH36" s="111">
        <f>SUM(AG$36,'Statistics NZ'!AH$36-'Statistics NZ'!AG$36,$E$13/5*(AH$9-AH$10)*1000)</f>
        <v>34288.346084200224</v>
      </c>
      <c r="AI36" s="111">
        <f>SUM(AH$36,'Statistics NZ'!AI$36-'Statistics NZ'!AH$36,$E$13/5*(AI$9-AI$10)*1000)</f>
        <v>34438.346084200224</v>
      </c>
      <c r="AJ36" s="111">
        <f>SUM(AI$36,'Statistics NZ'!AJ$36-'Statistics NZ'!AI$36,$E$13/5*(AJ$9-AJ$10)*1000)</f>
        <v>33878.346084200224</v>
      </c>
      <c r="AK36" s="111">
        <f>SUM(AJ$36,'Statistics NZ'!AK$36-'Statistics NZ'!AJ$36,$E$13/5*(AK$9-AK$10)*1000)</f>
        <v>33838.346084200224</v>
      </c>
      <c r="AL36" s="111">
        <f>SUM(AK$36,'Statistics NZ'!AL$36-'Statistics NZ'!AK$36,$E$13/5*(AL$9-AL$10)*1000)</f>
        <v>33788.346084200224</v>
      </c>
      <c r="AM36" s="111">
        <f>SUM(AL$36,'Statistics NZ'!AM$36-'Statistics NZ'!AL$36,$E$13/5*(AM$9-AM$10)*1000)</f>
        <v>33718.346084200224</v>
      </c>
      <c r="AN36" s="111">
        <f>SUM(AM$36,'Statistics NZ'!AN$36-'Statistics NZ'!AM$36,$E$13/5*(AN$9-AN$10)*1000)</f>
        <v>33828.346084200224</v>
      </c>
      <c r="AO36" s="111">
        <f>SUM(AN$36,'Statistics NZ'!AO$36-'Statistics NZ'!AN$36,$E$13/5*(AO$9-AO$10)*1000)</f>
        <v>33908.346084200224</v>
      </c>
      <c r="AP36" s="111">
        <f>SUM(AO$36,'Statistics NZ'!AP$36-'Statistics NZ'!AO$36,$E$13/5*(AP$9-AP$10)*1000)</f>
        <v>33958.346084200224</v>
      </c>
      <c r="AQ36" s="111">
        <f>SUM(AP$36,'Statistics NZ'!AQ$36-'Statistics NZ'!AP$36,$E$13/5*(AQ$9-AQ$10)*1000)</f>
        <v>33998.346084200224</v>
      </c>
      <c r="AR36" s="111">
        <f>SUM(AQ$36,'Statistics NZ'!AR$36-'Statistics NZ'!AQ$36,$E$13/5*(AR$9-AR$10)*1000)</f>
        <v>34018.346084200224</v>
      </c>
      <c r="AS36" s="111">
        <f>SUM(AR$36,'Statistics NZ'!AS$36-'Statistics NZ'!AR$36,$E$13/5*(AS$9-AS$10)*1000)</f>
        <v>34048.346084200224</v>
      </c>
      <c r="AT36" s="111">
        <f>SUM(AS$36,'Statistics NZ'!AT$36-'Statistics NZ'!AS$36,$E$13/5*(AT$9-AT$10)*1000)</f>
        <v>34068.346084200224</v>
      </c>
      <c r="AU36" s="111">
        <f>SUM(AT$36,'Statistics NZ'!AU$36-'Statistics NZ'!AT$36,$E$13/5*(AU$9-AU$10)*1000)</f>
        <v>34108.346084200224</v>
      </c>
      <c r="AV36" s="111">
        <f>SUM(AU$36,'Statistics NZ'!AV$36-'Statistics NZ'!AU$36,$E$13/5*(AV$9-AV$10)*1000)</f>
        <v>34148.346084200224</v>
      </c>
      <c r="AW36" s="111">
        <f>SUM(AV$36,'Statistics NZ'!AW$36-'Statistics NZ'!AV$36,$E$13/5*(AW$9-AW$10)*1000)</f>
        <v>34218.346084200224</v>
      </c>
      <c r="AX36" s="111">
        <f>SUM(AW$36,'Statistics NZ'!AX$36-'Statistics NZ'!AW$36,$E$13/5*(AX$9-AX$10)*1000)</f>
        <v>34298.346084200224</v>
      </c>
      <c r="AY36" s="111">
        <f>SUM(AX$36,'Statistics NZ'!AY$36-'Statistics NZ'!AX$36,$E$13/5*(AY$9-AY$10)*1000)</f>
        <v>34408.346084200224</v>
      </c>
      <c r="AZ36" s="111">
        <f>SUM(AY$36,'Statistics NZ'!AZ$36-'Statistics NZ'!AY$36,$E$13/5*(AZ$9-AZ$10)*1000)</f>
        <v>34548.346084200224</v>
      </c>
      <c r="BA36" s="111">
        <f>SUM(AZ$36,'Statistics NZ'!BA$36-'Statistics NZ'!AZ$36,$E$13/5*(BA$9-BA$10)*1000)</f>
        <v>34698.346084200224</v>
      </c>
      <c r="BB36" s="111">
        <f>SUM(BA$36,'Statistics NZ'!BB$36-'Statistics NZ'!BA$36,$E$13/5*(BB$9-BB$10)*1000)</f>
        <v>34858.346084200224</v>
      </c>
      <c r="BC36" s="111">
        <f>SUM(BB$36,'Statistics NZ'!BC$36-'Statistics NZ'!BB$36,$E$13/5*(BC$9-BC$10)*1000)</f>
        <v>35018.346084200224</v>
      </c>
      <c r="BD36" s="111">
        <f>SUM(BC$36,'Statistics NZ'!BD$36-'Statistics NZ'!BC$36,$E$13/5*(BD$9-BD$10)*1000)</f>
        <v>35158.346084200224</v>
      </c>
      <c r="BE36" s="111">
        <f>SUM(BD$36,'Statistics NZ'!BE$36-'Statistics NZ'!BD$36,$E$13/5*(BE$9-BE$10)*1000)</f>
        <v>35278.346084200224</v>
      </c>
      <c r="BF36" s="111">
        <f>SUM(BE$36,'Statistics NZ'!BF$36-'Statistics NZ'!BE$36,$E$13/5*(BF$9-BF$10)*1000)</f>
        <v>35368.346084200224</v>
      </c>
      <c r="BG36" s="111">
        <f>SUM(BF$36,'Statistics NZ'!BG$36-'Statistics NZ'!BF$36,$E$13/5*(BG$9-BG$10)*1000)</f>
        <v>35438.346084200224</v>
      </c>
      <c r="BH36" s="111">
        <f>SUM(BG$36,'Statistics NZ'!BH$36-'Statistics NZ'!BG$36,$E$13/5*(BH$9-BH$10)*1000)</f>
        <v>35468.346084200224</v>
      </c>
      <c r="BI36" s="111">
        <f>SUM(BH$36,'Statistics NZ'!BI$36-'Statistics NZ'!BH$36,$E$13/5*(BI$9-BI$10)*1000)</f>
        <v>35468.346084200224</v>
      </c>
      <c r="BJ36" s="111">
        <f>SUM(BI$36,'Statistics NZ'!BJ$36-'Statistics NZ'!BI$36,$E$13/5*(BJ$9-BJ$10)*1000)</f>
        <v>35438.346084200224</v>
      </c>
      <c r="BK36" s="111">
        <f>SUM(BJ$36,'Statistics NZ'!BK$36-'Statistics NZ'!BJ$36,$E$13/5*(BK$9-BK$10)*1000)</f>
        <v>35378.346084200224</v>
      </c>
      <c r="BL36" s="111">
        <f>SUM(BK$36,'Statistics NZ'!BL$36-'Statistics NZ'!BK$36,$E$13/5*(BL$9-BL$10)*1000)</f>
        <v>35308.346084200224</v>
      </c>
      <c r="BM36" s="195">
        <f>SUM(BL$36,'Statistics NZ'!BM$36-'Statistics NZ'!BL$36,$E$13/5*(BM$9-BM$10)*1000)</f>
        <v>35208.346084200224</v>
      </c>
      <c r="BN36" s="195">
        <f>SUM(BM$36,'Statistics NZ'!BN$36-'Statistics NZ'!BM$36,$E$13/5*(BN$9-BN$10)*1000)</f>
        <v>35108.346084200224</v>
      </c>
      <c r="BO36" s="195">
        <f>SUM(BN$36,'Statistics NZ'!BO$36-'Statistics NZ'!BN$36,$E$13/5*(BO$9-BO$10)*1000)</f>
        <v>35008.346084200224</v>
      </c>
      <c r="BP36" s="195">
        <f>SUM(BO$36,'Statistics NZ'!BP$36-'Statistics NZ'!BO$36,$E$13/5*(BP$9-BP$10)*1000)</f>
        <v>34918.346084200224</v>
      </c>
      <c r="BQ36" s="195">
        <f>SUM(BP$36,'Statistics NZ'!BQ$36-'Statistics NZ'!BP$36,$E$13/5*(BQ$9-BQ$10)*1000)</f>
        <v>34828.346084200224</v>
      </c>
    </row>
    <row r="37" spans="1:69">
      <c r="A37" s="105">
        <v>20</v>
      </c>
      <c r="B37" s="118">
        <f>'Statistics NZ'!B$37*'Economic Forecasts'!D$9*1000000/SUM('Statistics NZ'!B$32:B$107,'Statistics NZ'!B$125:B$200)</f>
        <v>29276.948111833801</v>
      </c>
      <c r="C37" s="118">
        <f>'Statistics NZ'!C$37*'Economic Forecasts'!E$9*1000000/SUM('Statistics NZ'!C$32:C$107,'Statistics NZ'!C$125:C$200)</f>
        <v>28618.926921045684</v>
      </c>
      <c r="D37" s="118">
        <f>'Statistics NZ'!D$37*'Economic Forecasts'!F$9*1000000/SUM('Statistics NZ'!D$32:D$107,'Statistics NZ'!D$125:D$200)</f>
        <v>29637.305334934488</v>
      </c>
      <c r="E37" s="118">
        <f>'Statistics NZ'!E$37*'Economic Forecasts'!G$9*1000000/SUM('Statistics NZ'!E$32:E$107,'Statistics NZ'!E$125:E$200)</f>
        <v>30087.182449734377</v>
      </c>
      <c r="F37" s="118">
        <f>'Statistics NZ'!F$37*'Economic Forecasts'!H$9*1000000/SUM('Statistics NZ'!F$32:F$107,'Statistics NZ'!F$125:F$200)</f>
        <v>31722.21883324183</v>
      </c>
      <c r="G37" s="118">
        <f>'Statistics NZ'!G$37*'Economic Forecasts'!I$9*1000000/SUM('Statistics NZ'!G$32:G$107,'Statistics NZ'!G$125:G$200)</f>
        <v>32297.727437623438</v>
      </c>
      <c r="H37" s="118">
        <f>'Statistics NZ'!H$37*'Economic Forecasts'!J$9*1000000/SUM('Statistics NZ'!H$32:H$107,'Statistics NZ'!H$125:H$200)</f>
        <v>31105.239711048918</v>
      </c>
      <c r="I37" s="118">
        <f>'Statistics NZ'!I$37*'Economic Forecasts'!K$9*1000000/SUM('Statistics NZ'!I$32:I$107,'Statistics NZ'!I$125:I$200)</f>
        <v>31087.626276777301</v>
      </c>
      <c r="J37" s="203">
        <f>'Statistics NZ'!J$37*'Economic Forecasts'!L$9*1000000/SUM('Statistics NZ'!J$32:J$107,'Statistics NZ'!J$125:J$200)</f>
        <v>30674.544924898597</v>
      </c>
      <c r="K37" s="203">
        <f>'Statistics NZ'!K$37*'Economic Forecasts'!M$9*1000000/SUM('Statistics NZ'!K$32:K$107,'Statistics NZ'!K$125:K$200)</f>
        <v>31106.940851203257</v>
      </c>
      <c r="L37" s="203">
        <f>'Statistics NZ'!L$37*'Economic Forecasts'!N$9*1000000/SUM('Statistics NZ'!L$32:L$107,'Statistics NZ'!L$125:L$200)</f>
        <v>31338.96289258379</v>
      </c>
      <c r="M37" s="203">
        <f>'Statistics NZ'!M$37*'Economic Forecasts'!O$9*1000000/SUM('Statistics NZ'!M$32:M$107,'Statistics NZ'!M$125:M$200)</f>
        <v>31353.751296299164</v>
      </c>
      <c r="N37" s="203">
        <f>'Statistics NZ'!N$37*'Economic Forecasts'!P$9*1000000/SUM('Statistics NZ'!N$32:N$107,'Statistics NZ'!N$125:N$200)</f>
        <v>31431.145741656805</v>
      </c>
      <c r="O37" s="203">
        <f>'Statistics NZ'!O$37*'Economic Forecasts'!Q$9*1000000/SUM('Statistics NZ'!O$32:O$107,'Statistics NZ'!O$125:O$200)</f>
        <v>30819.21274697196</v>
      </c>
      <c r="P37" s="203">
        <f>'Statistics NZ'!P$37*'Economic Forecasts'!R$9*1000000/SUM('Statistics NZ'!P$32:P$107,'Statistics NZ'!P$125:P$200)</f>
        <v>31939.760090147945</v>
      </c>
      <c r="Q37" s="121">
        <f>SUM('Statistics NZ'!Q$37,$F$13/5*(Q$9-Q$10)*1000)*'Economic Forecasts'!S$9*1000000/SUM('Statistics NZ'!Q$32:Q$107,'Statistics NZ'!Q$125:Q$200,SUM($E$13:$Q$14)*(Q$9-Q$10)*1000)</f>
        <v>31664.149054378733</v>
      </c>
      <c r="R37" s="205">
        <f>SUM('Statistics NZ'!R$37,$F$13/5*(R$9-R$10)*1000)*'Economic Forecasts'!T$9*1000000/SUM('Statistics NZ'!R$32:R$107,'Statistics NZ'!R$125:R$200,SUM($E$13:$Q$14)*(R$9-R$10)*1000)</f>
        <v>31026.86148295099</v>
      </c>
      <c r="S37" s="205">
        <f>SUM('Statistics NZ'!S$37,$F$13/5*(S$9-S$10)*1000)*'Economic Forecasts'!U$9*1000000/SUM('Statistics NZ'!S$32:S$107,'Statistics NZ'!S$125:S$200,SUM($E$13:$Q$14)*(S$9-S$10)*1000)</f>
        <v>30787.927386119543</v>
      </c>
      <c r="T37" s="205">
        <f>SUM('Statistics NZ'!T$37,$F$13/5*(T$9-T$10)*1000)*'Economic Forecasts'!V$9*1000000/SUM('Statistics NZ'!T$32:T$107,'Statistics NZ'!T$125:T$200,SUM($E$13:$Q$14)*(T$9-T$10)*1000)</f>
        <v>31604.807594921876</v>
      </c>
      <c r="U37" s="205">
        <f>SUM('Statistics NZ'!U$37,$F$13/5*(U$9-U$10)*1000)*'Economic Forecasts'!W$9*1000000/SUM('Statistics NZ'!U$32:U$107,'Statistics NZ'!U$125:U$200,SUM($E$13:$Q$14)*(U$9-U$10)*1000)</f>
        <v>31793.073114649174</v>
      </c>
      <c r="V37" s="111">
        <f>SUM(U$37,'Statistics NZ'!V$37-'Statistics NZ'!U$37,$F$13/5*(V$9-V$10)*1000)</f>
        <v>32620.65566116272</v>
      </c>
      <c r="W37" s="111">
        <f>SUM(V$37,'Statistics NZ'!W$37-'Statistics NZ'!V$37,$F$13/5*(W$9-W$10)*1000)</f>
        <v>34176.040389362068</v>
      </c>
      <c r="X37" s="111">
        <f>SUM(W$37,'Statistics NZ'!X$37-'Statistics NZ'!W$37,$F$13/5*(X$9-X$10)*1000)</f>
        <v>35479.227299247228</v>
      </c>
      <c r="Y37" s="111">
        <f>SUM(X$37,'Statistics NZ'!Y$37-'Statistics NZ'!X$37,$F$13/5*(Y$9-Y$10)*1000)</f>
        <v>35320.216390818197</v>
      </c>
      <c r="Z37" s="111">
        <f>SUM(Y$37,'Statistics NZ'!Z$37-'Statistics NZ'!Y$37,$F$13/5*(Z$9-Z$10)*1000)</f>
        <v>36359.007664074968</v>
      </c>
      <c r="AA37" s="111">
        <f>SUM(Z$37,'Statistics NZ'!AA$37-'Statistics NZ'!Z$37,$F$13/5*(AA$9-AA$10)*1000)</f>
        <v>36285.601119017549</v>
      </c>
      <c r="AB37" s="111">
        <f>SUM(AA$37,'Statistics NZ'!AB$37-'Statistics NZ'!AA$37,$F$13/5*(AB$9-AB$10)*1000)</f>
        <v>36179.996755645938</v>
      </c>
      <c r="AC37" s="111">
        <f>SUM(AB$37,'Statistics NZ'!AC$37-'Statistics NZ'!AB$37,$F$13/5*(AC$9-AC$10)*1000)</f>
        <v>36092.194573960129</v>
      </c>
      <c r="AD37" s="111">
        <f>SUM(AC$37,'Statistics NZ'!AD$37-'Statistics NZ'!AC$37,$F$13/5*(AD$9-AD$10)*1000)</f>
        <v>34972.194573960129</v>
      </c>
      <c r="AE37" s="111">
        <f>SUM(AD$37,'Statistics NZ'!AE$37-'Statistics NZ'!AD$37,$F$13/5*(AE$9-AE$10)*1000)</f>
        <v>35032.194573960129</v>
      </c>
      <c r="AF37" s="111">
        <f>SUM(AE$37,'Statistics NZ'!AF$37-'Statistics NZ'!AE$37,$F$13/5*(AF$9-AF$10)*1000)</f>
        <v>34662.194573960129</v>
      </c>
      <c r="AG37" s="111">
        <f>SUM(AF$37,'Statistics NZ'!AG$37-'Statistics NZ'!AF$37,$F$13/5*(AG$9-AG$10)*1000)</f>
        <v>34892.194573960129</v>
      </c>
      <c r="AH37" s="111">
        <f>SUM(AG$37,'Statistics NZ'!AH$37-'Statistics NZ'!AG$37,$F$13/5*(AH$9-AH$10)*1000)</f>
        <v>34072.194573960129</v>
      </c>
      <c r="AI37" s="111">
        <f>SUM(AH$37,'Statistics NZ'!AI$37-'Statistics NZ'!AH$37,$F$13/5*(AI$9-AI$10)*1000)</f>
        <v>33652.194573960129</v>
      </c>
      <c r="AJ37" s="111">
        <f>SUM(AI$37,'Statistics NZ'!AJ$37-'Statistics NZ'!AI$37,$F$13/5*(AJ$9-AJ$10)*1000)</f>
        <v>33802.194573960129</v>
      </c>
      <c r="AK37" s="111">
        <f>SUM(AJ$37,'Statistics NZ'!AK$37-'Statistics NZ'!AJ$37,$F$13/5*(AK$9-AK$10)*1000)</f>
        <v>33242.194573960129</v>
      </c>
      <c r="AL37" s="111">
        <f>SUM(AK$37,'Statistics NZ'!AL$37-'Statistics NZ'!AK$37,$F$13/5*(AL$9-AL$10)*1000)</f>
        <v>33202.194573960129</v>
      </c>
      <c r="AM37" s="111">
        <f>SUM(AL$37,'Statistics NZ'!AM$37-'Statistics NZ'!AL$37,$F$13/5*(AM$9-AM$10)*1000)</f>
        <v>33152.194573960129</v>
      </c>
      <c r="AN37" s="111">
        <f>SUM(AM$37,'Statistics NZ'!AN$37-'Statistics NZ'!AM$37,$F$13/5*(AN$9-AN$10)*1000)</f>
        <v>33072.194573960129</v>
      </c>
      <c r="AO37" s="111">
        <f>SUM(AN$37,'Statistics NZ'!AO$37-'Statistics NZ'!AN$37,$F$13/5*(AO$9-AO$10)*1000)</f>
        <v>33192.194573960129</v>
      </c>
      <c r="AP37" s="111">
        <f>SUM(AO$37,'Statistics NZ'!AP$37-'Statistics NZ'!AO$37,$F$13/5*(AP$9-AP$10)*1000)</f>
        <v>33272.194573960129</v>
      </c>
      <c r="AQ37" s="111">
        <f>SUM(AP$37,'Statistics NZ'!AQ$37-'Statistics NZ'!AP$37,$F$13/5*(AQ$9-AQ$10)*1000)</f>
        <v>33322.194573960129</v>
      </c>
      <c r="AR37" s="111">
        <f>SUM(AQ$37,'Statistics NZ'!AR$37-'Statistics NZ'!AQ$37,$F$13/5*(AR$9-AR$10)*1000)</f>
        <v>33362.194573960129</v>
      </c>
      <c r="AS37" s="111">
        <f>SUM(AR$37,'Statistics NZ'!AS$37-'Statistics NZ'!AR$37,$F$13/5*(AS$9-AS$10)*1000)</f>
        <v>33382.194573960129</v>
      </c>
      <c r="AT37" s="111">
        <f>SUM(AS$37,'Statistics NZ'!AT$37-'Statistics NZ'!AS$37,$F$13/5*(AT$9-AT$10)*1000)</f>
        <v>33412.194573960129</v>
      </c>
      <c r="AU37" s="111">
        <f>SUM(AT$37,'Statistics NZ'!AU$37-'Statistics NZ'!AT$37,$F$13/5*(AU$9-AU$10)*1000)</f>
        <v>33432.194573960129</v>
      </c>
      <c r="AV37" s="111">
        <f>SUM(AU$37,'Statistics NZ'!AV$37-'Statistics NZ'!AU$37,$F$13/5*(AV$9-AV$10)*1000)</f>
        <v>33472.194573960129</v>
      </c>
      <c r="AW37" s="111">
        <f>SUM(AV$37,'Statistics NZ'!AW$37-'Statistics NZ'!AV$37,$F$13/5*(AW$9-AW$10)*1000)</f>
        <v>33512.194573960129</v>
      </c>
      <c r="AX37" s="111">
        <f>SUM(AW$37,'Statistics NZ'!AX$37-'Statistics NZ'!AW$37,$F$13/5*(AX$9-AX$10)*1000)</f>
        <v>33582.194573960129</v>
      </c>
      <c r="AY37" s="111">
        <f>SUM(AX$37,'Statistics NZ'!AY$37-'Statistics NZ'!AX$37,$F$13/5*(AY$9-AY$10)*1000)</f>
        <v>33662.194573960129</v>
      </c>
      <c r="AZ37" s="111">
        <f>SUM(AY$37,'Statistics NZ'!AZ$37-'Statistics NZ'!AY$37,$F$13/5*(AZ$9-AZ$10)*1000)</f>
        <v>33782.194573960129</v>
      </c>
      <c r="BA37" s="111">
        <f>SUM(AZ$37,'Statistics NZ'!BA$37-'Statistics NZ'!AZ$37,$F$13/5*(BA$9-BA$10)*1000)</f>
        <v>33912.194573960129</v>
      </c>
      <c r="BB37" s="111">
        <f>SUM(BA$37,'Statistics NZ'!BB$37-'Statistics NZ'!BA$37,$F$13/5*(BB$9-BB$10)*1000)</f>
        <v>34062.194573960129</v>
      </c>
      <c r="BC37" s="111">
        <f>SUM(BB$37,'Statistics NZ'!BC$37-'Statistics NZ'!BB$37,$F$13/5*(BC$9-BC$10)*1000)</f>
        <v>34222.194573960129</v>
      </c>
      <c r="BD37" s="111">
        <f>SUM(BC$37,'Statistics NZ'!BD$37-'Statistics NZ'!BC$37,$F$13/5*(BD$9-BD$10)*1000)</f>
        <v>34382.194573960129</v>
      </c>
      <c r="BE37" s="111">
        <f>SUM(BD$37,'Statistics NZ'!BE$37-'Statistics NZ'!BD$37,$F$13/5*(BE$9-BE$10)*1000)</f>
        <v>34522.194573960129</v>
      </c>
      <c r="BF37" s="111">
        <f>SUM(BE$37,'Statistics NZ'!BF$37-'Statistics NZ'!BE$37,$F$13/5*(BF$9-BF$10)*1000)</f>
        <v>34642.194573960129</v>
      </c>
      <c r="BG37" s="111">
        <f>SUM(BF$37,'Statistics NZ'!BG$37-'Statistics NZ'!BF$37,$F$13/5*(BG$9-BG$10)*1000)</f>
        <v>34742.194573960129</v>
      </c>
      <c r="BH37" s="111">
        <f>SUM(BG$37,'Statistics NZ'!BH$37-'Statistics NZ'!BG$37,$F$13/5*(BH$9-BH$10)*1000)</f>
        <v>34802.194573960129</v>
      </c>
      <c r="BI37" s="111">
        <f>SUM(BH$37,'Statistics NZ'!BI$37-'Statistics NZ'!BH$37,$F$13/5*(BI$9-BI$10)*1000)</f>
        <v>34832.194573960129</v>
      </c>
      <c r="BJ37" s="111">
        <f>SUM(BI$37,'Statistics NZ'!BJ$37-'Statistics NZ'!BI$37,$F$13/5*(BJ$9-BJ$10)*1000)</f>
        <v>34832.194573960129</v>
      </c>
      <c r="BK37" s="111">
        <f>SUM(BJ$37,'Statistics NZ'!BK$37-'Statistics NZ'!BJ$37,$F$13/5*(BK$9-BK$10)*1000)</f>
        <v>34802.194573960129</v>
      </c>
      <c r="BL37" s="111">
        <f>SUM(BK$37,'Statistics NZ'!BL$37-'Statistics NZ'!BK$37,$F$13/5*(BL$9-BL$10)*1000)</f>
        <v>34742.194573960129</v>
      </c>
      <c r="BM37" s="195">
        <f>SUM(BL$37,'Statistics NZ'!BM$37-'Statistics NZ'!BL$37,$F$13/5*(BM$9-BM$10)*1000)</f>
        <v>34672.194573960129</v>
      </c>
      <c r="BN37" s="195">
        <f>SUM(BM$37,'Statistics NZ'!BN$37-'Statistics NZ'!BM$37,$F$13/5*(BN$9-BN$10)*1000)</f>
        <v>34582.194573960129</v>
      </c>
      <c r="BO37" s="195">
        <f>SUM(BN$37,'Statistics NZ'!BO$37-'Statistics NZ'!BN$37,$F$13/5*(BO$9-BO$10)*1000)</f>
        <v>34482.194573960129</v>
      </c>
      <c r="BP37" s="195">
        <f>SUM(BO$37,'Statistics NZ'!BP$37-'Statistics NZ'!BO$37,$F$13/5*(BP$9-BP$10)*1000)</f>
        <v>34382.194573960129</v>
      </c>
      <c r="BQ37" s="195">
        <f>SUM(BP$37,'Statistics NZ'!BQ$37-'Statistics NZ'!BP$37,$F$13/5*(BQ$9-BQ$10)*1000)</f>
        <v>34282.194573960129</v>
      </c>
    </row>
    <row r="38" spans="1:69">
      <c r="A38" s="105">
        <v>21</v>
      </c>
      <c r="B38" s="118">
        <f>'Statistics NZ'!B$38*'Economic Forecasts'!D$9*1000000/SUM('Statistics NZ'!B$32:B$107,'Statistics NZ'!B$125:B$200)</f>
        <v>29207.991639161242</v>
      </c>
      <c r="C38" s="118">
        <f>'Statistics NZ'!C$38*'Economic Forecasts'!E$9*1000000/SUM('Statistics NZ'!C$32:C$107,'Statistics NZ'!C$125:C$200)</f>
        <v>28944.25402693425</v>
      </c>
      <c r="D38" s="118">
        <f>'Statistics NZ'!D$38*'Economic Forecasts'!F$9*1000000/SUM('Statistics NZ'!D$32:D$107,'Statistics NZ'!D$125:D$200)</f>
        <v>28346.155684493377</v>
      </c>
      <c r="E38" s="118">
        <f>'Statistics NZ'!E$38*'Economic Forecasts'!G$9*1000000/SUM('Statistics NZ'!E$32:E$107,'Statistics NZ'!E$125:E$200)</f>
        <v>29535.66617569669</v>
      </c>
      <c r="F38" s="118">
        <f>'Statistics NZ'!F$38*'Economic Forecasts'!H$9*1000000/SUM('Statistics NZ'!F$32:F$107,'Statistics NZ'!F$125:F$200)</f>
        <v>30185.365995358061</v>
      </c>
      <c r="G38" s="118">
        <f>'Statistics NZ'!G$38*'Economic Forecasts'!I$9*1000000/SUM('Statistics NZ'!G$32:G$107,'Statistics NZ'!G$125:G$200)</f>
        <v>31637.584747470675</v>
      </c>
      <c r="H38" s="118">
        <f>'Statistics NZ'!H$38*'Economic Forecasts'!J$9*1000000/SUM('Statistics NZ'!H$32:H$107,'Statistics NZ'!H$125:H$200)</f>
        <v>31962.160501061982</v>
      </c>
      <c r="I38" s="118">
        <f>'Statistics NZ'!I$38*'Economic Forecasts'!K$9*1000000/SUM('Statistics NZ'!I$32:I$107,'Statistics NZ'!I$125:I$200)</f>
        <v>30930.170746410589</v>
      </c>
      <c r="J38" s="203">
        <f>'Statistics NZ'!J$38*'Economic Forecasts'!L$9*1000000/SUM('Statistics NZ'!J$32:J$107,'Statistics NZ'!J$125:J$200)</f>
        <v>31264.251011247175</v>
      </c>
      <c r="K38" s="203">
        <f>'Statistics NZ'!K$38*'Economic Forecasts'!M$9*1000000/SUM('Statistics NZ'!K$32:K$107,'Statistics NZ'!K$125:K$200)</f>
        <v>31028.338347473116</v>
      </c>
      <c r="L38" s="203">
        <f>'Statistics NZ'!L$38*'Economic Forecasts'!N$9*1000000/SUM('Statistics NZ'!L$32:L$107,'Statistics NZ'!L$125:L$200)</f>
        <v>31772.31121667986</v>
      </c>
      <c r="M38" s="203">
        <f>'Statistics NZ'!M$38*'Economic Forecasts'!O$9*1000000/SUM('Statistics NZ'!M$32:M$107,'Statistics NZ'!M$125:M$200)</f>
        <v>31718.215260472294</v>
      </c>
      <c r="N38" s="203">
        <f>'Statistics NZ'!N$38*'Economic Forecasts'!P$9*1000000/SUM('Statistics NZ'!N$32:N$107,'Statistics NZ'!N$125:N$200)</f>
        <v>31677.858031622713</v>
      </c>
      <c r="O38" s="203">
        <f>'Statistics NZ'!O$38*'Economic Forecasts'!Q$9*1000000/SUM('Statistics NZ'!O$32:O$107,'Statistics NZ'!O$125:O$200)</f>
        <v>31618.558322541838</v>
      </c>
      <c r="P38" s="203">
        <f>'Statistics NZ'!P$38*'Economic Forecasts'!R$9*1000000/SUM('Statistics NZ'!P$32:P$107,'Statistics NZ'!P$125:P$200)</f>
        <v>31268.383371096916</v>
      </c>
      <c r="Q38" s="121">
        <f>SUM('Statistics NZ'!Q$38,$F$13/5*(Q$9-Q$10)*1000)*'Economic Forecasts'!S$9*1000000/SUM('Statistics NZ'!Q$32:Q$107,'Statistics NZ'!Q$125:Q$200,SUM($E$13:$Q$14)*(Q$9-Q$10)*1000)</f>
        <v>31950.855324989021</v>
      </c>
      <c r="R38" s="205">
        <f>SUM('Statistics NZ'!R$38,$F$13/5*(R$9-R$10)*1000)*'Economic Forecasts'!T$9*1000000/SUM('Statistics NZ'!R$32:R$107,'Statistics NZ'!R$125:R$200,SUM($E$13:$Q$14)*(R$9-R$10)*1000)</f>
        <v>31718.824020319178</v>
      </c>
      <c r="S38" s="205">
        <f>SUM('Statistics NZ'!S$38,$F$13/5*(S$9-S$10)*1000)*'Economic Forecasts'!U$9*1000000/SUM('Statistics NZ'!S$32:S$107,'Statistics NZ'!S$125:S$200,SUM($E$13:$Q$14)*(S$9-S$10)*1000)</f>
        <v>31113.963954421164</v>
      </c>
      <c r="T38" s="205">
        <f>SUM('Statistics NZ'!T$38,$F$13/5*(T$9-T$10)*1000)*'Economic Forecasts'!V$9*1000000/SUM('Statistics NZ'!T$32:T$107,'Statistics NZ'!T$125:T$200,SUM($E$13:$Q$14)*(T$9-T$10)*1000)</f>
        <v>30784.826998864064</v>
      </c>
      <c r="U38" s="205">
        <f>SUM('Statistics NZ'!U$38,$F$13/5*(U$9-U$10)*1000)*'Economic Forecasts'!W$9*1000000/SUM('Statistics NZ'!U$32:U$107,'Statistics NZ'!U$125:U$200,SUM($E$13:$Q$14)*(U$9-U$10)*1000)</f>
        <v>31634.799111510343</v>
      </c>
      <c r="V38" s="111">
        <f>SUM(U$38,'Statistics NZ'!V$38-'Statistics NZ'!U$38,$F$13/5*(V$9-V$10)*1000)</f>
        <v>31792.381658023889</v>
      </c>
      <c r="W38" s="111">
        <f>SUM(V$38,'Statistics NZ'!W$38-'Statistics NZ'!V$38,$F$13/5*(W$9-W$10)*1000)</f>
        <v>32617.76638622324</v>
      </c>
      <c r="X38" s="111">
        <f>SUM(W$38,'Statistics NZ'!X$38-'Statistics NZ'!W$38,$F$13/5*(X$9-X$10)*1000)</f>
        <v>34180.953296108404</v>
      </c>
      <c r="Y38" s="111">
        <f>SUM(X$38,'Statistics NZ'!Y$38-'Statistics NZ'!X$38,$F$13/5*(Y$9-Y$10)*1000)</f>
        <v>35471.942387679373</v>
      </c>
      <c r="Z38" s="111">
        <f>SUM(Y$38,'Statistics NZ'!Z$38-'Statistics NZ'!Y$38,$F$13/5*(Z$9-Z$10)*1000)</f>
        <v>35320.733660936145</v>
      </c>
      <c r="AA38" s="111">
        <f>SUM(Z$38,'Statistics NZ'!AA$38-'Statistics NZ'!Z$38,$F$13/5*(AA$9-AA$10)*1000)</f>
        <v>36347.327115878725</v>
      </c>
      <c r="AB38" s="111">
        <f>SUM(AA$38,'Statistics NZ'!AB$38-'Statistics NZ'!AA$38,$F$13/5*(AB$9-AB$10)*1000)</f>
        <v>36271.722752507114</v>
      </c>
      <c r="AC38" s="111">
        <f>SUM(AB$38,'Statistics NZ'!AC$38-'Statistics NZ'!AB$38,$F$13/5*(AC$9-AC$10)*1000)</f>
        <v>36163.920570821305</v>
      </c>
      <c r="AD38" s="111">
        <f>SUM(AC$38,'Statistics NZ'!AD$38-'Statistics NZ'!AC$38,$F$13/5*(AD$9-AD$10)*1000)</f>
        <v>36073.920570821305</v>
      </c>
      <c r="AE38" s="111">
        <f>SUM(AD$38,'Statistics NZ'!AE$38-'Statistics NZ'!AD$38,$F$13/5*(AE$9-AE$10)*1000)</f>
        <v>34953.920570821305</v>
      </c>
      <c r="AF38" s="111">
        <f>SUM(AE$38,'Statistics NZ'!AF$38-'Statistics NZ'!AE$38,$F$13/5*(AF$9-AF$10)*1000)</f>
        <v>35013.920570821305</v>
      </c>
      <c r="AG38" s="111">
        <f>SUM(AF$38,'Statistics NZ'!AG$38-'Statistics NZ'!AF$38,$F$13/5*(AG$9-AG$10)*1000)</f>
        <v>34643.920570821305</v>
      </c>
      <c r="AH38" s="111">
        <f>SUM(AG$38,'Statistics NZ'!AH$38-'Statistics NZ'!AG$38,$F$13/5*(AH$9-AH$10)*1000)</f>
        <v>34883.920570821305</v>
      </c>
      <c r="AI38" s="111">
        <f>SUM(AH$38,'Statistics NZ'!AI$38-'Statistics NZ'!AH$38,$F$13/5*(AI$9-AI$10)*1000)</f>
        <v>34063.920570821305</v>
      </c>
      <c r="AJ38" s="111">
        <f>SUM(AI$38,'Statistics NZ'!AJ$38-'Statistics NZ'!AI$38,$F$13/5*(AJ$9-AJ$10)*1000)</f>
        <v>33643.920570821305</v>
      </c>
      <c r="AK38" s="111">
        <f>SUM(AJ$38,'Statistics NZ'!AK$38-'Statistics NZ'!AJ$38,$F$13/5*(AK$9-AK$10)*1000)</f>
        <v>33793.920570821305</v>
      </c>
      <c r="AL38" s="111">
        <f>SUM(AK$38,'Statistics NZ'!AL$38-'Statistics NZ'!AK$38,$F$13/5*(AL$9-AL$10)*1000)</f>
        <v>33223.920570821305</v>
      </c>
      <c r="AM38" s="111">
        <f>SUM(AL$38,'Statistics NZ'!AM$38-'Statistics NZ'!AL$38,$F$13/5*(AM$9-AM$10)*1000)</f>
        <v>33193.920570821305</v>
      </c>
      <c r="AN38" s="111">
        <f>SUM(AM$38,'Statistics NZ'!AN$38-'Statistics NZ'!AM$38,$F$13/5*(AN$9-AN$10)*1000)</f>
        <v>33133.920570821305</v>
      </c>
      <c r="AO38" s="111">
        <f>SUM(AN$38,'Statistics NZ'!AO$38-'Statistics NZ'!AN$38,$F$13/5*(AO$9-AO$10)*1000)</f>
        <v>33063.920570821305</v>
      </c>
      <c r="AP38" s="111">
        <f>SUM(AO$38,'Statistics NZ'!AP$38-'Statistics NZ'!AO$38,$F$13/5*(AP$9-AP$10)*1000)</f>
        <v>33183.920570821305</v>
      </c>
      <c r="AQ38" s="111">
        <f>SUM(AP$38,'Statistics NZ'!AQ$38-'Statistics NZ'!AP$38,$F$13/5*(AQ$9-AQ$10)*1000)</f>
        <v>33263.920570821305</v>
      </c>
      <c r="AR38" s="111">
        <f>SUM(AQ$38,'Statistics NZ'!AR$38-'Statistics NZ'!AQ$38,$F$13/5*(AR$9-AR$10)*1000)</f>
        <v>33313.920570821305</v>
      </c>
      <c r="AS38" s="111">
        <f>SUM(AR$38,'Statistics NZ'!AS$38-'Statistics NZ'!AR$38,$F$13/5*(AS$9-AS$10)*1000)</f>
        <v>33343.920570821305</v>
      </c>
      <c r="AT38" s="111">
        <f>SUM(AS$38,'Statistics NZ'!AT$38-'Statistics NZ'!AS$38,$F$13/5*(AT$9-AT$10)*1000)</f>
        <v>33373.920570821305</v>
      </c>
      <c r="AU38" s="111">
        <f>SUM(AT$38,'Statistics NZ'!AU$38-'Statistics NZ'!AT$38,$F$13/5*(AU$9-AU$10)*1000)</f>
        <v>33393.920570821305</v>
      </c>
      <c r="AV38" s="111">
        <f>SUM(AU$38,'Statistics NZ'!AV$38-'Statistics NZ'!AU$38,$F$13/5*(AV$9-AV$10)*1000)</f>
        <v>33423.920570821305</v>
      </c>
      <c r="AW38" s="111">
        <f>SUM(AV$38,'Statistics NZ'!AW$38-'Statistics NZ'!AV$38,$F$13/5*(AW$9-AW$10)*1000)</f>
        <v>33453.920570821305</v>
      </c>
      <c r="AX38" s="111">
        <f>SUM(AW$38,'Statistics NZ'!AX$38-'Statistics NZ'!AW$38,$F$13/5*(AX$9-AX$10)*1000)</f>
        <v>33503.920570821305</v>
      </c>
      <c r="AY38" s="111">
        <f>SUM(AX$38,'Statistics NZ'!AY$38-'Statistics NZ'!AX$38,$F$13/5*(AY$9-AY$10)*1000)</f>
        <v>33563.920570821305</v>
      </c>
      <c r="AZ38" s="111">
        <f>SUM(AY$38,'Statistics NZ'!AZ$38-'Statistics NZ'!AY$38,$F$13/5*(AZ$9-AZ$10)*1000)</f>
        <v>33653.920570821305</v>
      </c>
      <c r="BA38" s="111">
        <f>SUM(AZ$38,'Statistics NZ'!BA$38-'Statistics NZ'!AZ$38,$F$13/5*(BA$9-BA$10)*1000)</f>
        <v>33763.920570821305</v>
      </c>
      <c r="BB38" s="111">
        <f>SUM(BA$38,'Statistics NZ'!BB$38-'Statistics NZ'!BA$38,$F$13/5*(BB$9-BB$10)*1000)</f>
        <v>33893.920570821305</v>
      </c>
      <c r="BC38" s="111">
        <f>SUM(BB$38,'Statistics NZ'!BC$38-'Statistics NZ'!BB$38,$F$13/5*(BC$9-BC$10)*1000)</f>
        <v>34043.920570821305</v>
      </c>
      <c r="BD38" s="111">
        <f>SUM(BC$38,'Statistics NZ'!BD$38-'Statistics NZ'!BC$38,$F$13/5*(BD$9-BD$10)*1000)</f>
        <v>34203.920570821305</v>
      </c>
      <c r="BE38" s="111">
        <f>SUM(BD$38,'Statistics NZ'!BE$38-'Statistics NZ'!BD$38,$F$13/5*(BE$9-BE$10)*1000)</f>
        <v>34363.920570821305</v>
      </c>
      <c r="BF38" s="111">
        <f>SUM(BE$38,'Statistics NZ'!BF$38-'Statistics NZ'!BE$38,$F$13/5*(BF$9-BF$10)*1000)</f>
        <v>34513.920570821305</v>
      </c>
      <c r="BG38" s="111">
        <f>SUM(BF$38,'Statistics NZ'!BG$38-'Statistics NZ'!BF$38,$F$13/5*(BG$9-BG$10)*1000)</f>
        <v>34633.920570821305</v>
      </c>
      <c r="BH38" s="111">
        <f>SUM(BG$38,'Statistics NZ'!BH$38-'Statistics NZ'!BG$38,$F$13/5*(BH$9-BH$10)*1000)</f>
        <v>34723.920570821305</v>
      </c>
      <c r="BI38" s="111">
        <f>SUM(BH$38,'Statistics NZ'!BI$38-'Statistics NZ'!BH$38,$F$13/5*(BI$9-BI$10)*1000)</f>
        <v>34793.920570821305</v>
      </c>
      <c r="BJ38" s="111">
        <f>SUM(BI$38,'Statistics NZ'!BJ$38-'Statistics NZ'!BI$38,$F$13/5*(BJ$9-BJ$10)*1000)</f>
        <v>34823.920570821305</v>
      </c>
      <c r="BK38" s="111">
        <f>SUM(BJ$38,'Statistics NZ'!BK$38-'Statistics NZ'!BJ$38,$F$13/5*(BK$9-BK$10)*1000)</f>
        <v>34823.920570821305</v>
      </c>
      <c r="BL38" s="111">
        <f>SUM(BK$38,'Statistics NZ'!BL$38-'Statistics NZ'!BK$38,$F$13/5*(BL$9-BL$10)*1000)</f>
        <v>34793.920570821305</v>
      </c>
      <c r="BM38" s="195">
        <f>SUM(BL$38,'Statistics NZ'!BM$38-'Statistics NZ'!BL$38,$F$13/5*(BM$9-BM$10)*1000)</f>
        <v>34733.920570821305</v>
      </c>
      <c r="BN38" s="195">
        <f>SUM(BM$38,'Statistics NZ'!BN$38-'Statistics NZ'!BM$38,$F$13/5*(BN$9-BN$10)*1000)</f>
        <v>34653.920570821305</v>
      </c>
      <c r="BO38" s="195">
        <f>SUM(BN$38,'Statistics NZ'!BO$38-'Statistics NZ'!BN$38,$F$13/5*(BO$9-BO$10)*1000)</f>
        <v>34563.920570821305</v>
      </c>
      <c r="BP38" s="195">
        <f>SUM(BO$38,'Statistics NZ'!BP$38-'Statistics NZ'!BO$38,$F$13/5*(BP$9-BP$10)*1000)</f>
        <v>34463.920570821305</v>
      </c>
      <c r="BQ38" s="195">
        <f>SUM(BP$38,'Statistics NZ'!BQ$38-'Statistics NZ'!BP$38,$F$13/5*(BQ$9-BQ$10)*1000)</f>
        <v>34363.920570821305</v>
      </c>
    </row>
    <row r="39" spans="1:69">
      <c r="A39" s="105">
        <v>22</v>
      </c>
      <c r="B39" s="118">
        <f>'Statistics NZ'!B$39*'Economic Forecasts'!D$9*1000000/SUM('Statistics NZ'!B$32:B$107,'Statistics NZ'!B$125:B$200)</f>
        <v>28804.103727793412</v>
      </c>
      <c r="C39" s="118">
        <f>'Statistics NZ'!C$39*'Economic Forecasts'!E$9*1000000/SUM('Statistics NZ'!C$32:C$107,'Statistics NZ'!C$125:C$200)</f>
        <v>28648.502112490096</v>
      </c>
      <c r="D39" s="118">
        <f>'Statistics NZ'!D$39*'Economic Forecasts'!F$9*1000000/SUM('Statistics NZ'!D$32:D$107,'Statistics NZ'!D$125:D$200)</f>
        <v>28346.155684493377</v>
      </c>
      <c r="E39" s="118">
        <f>'Statistics NZ'!E$39*'Economic Forecasts'!G$9*1000000/SUM('Statistics NZ'!E$32:E$107,'Statistics NZ'!E$125:E$200)</f>
        <v>28068.238946560712</v>
      </c>
      <c r="F39" s="118">
        <f>'Statistics NZ'!F$39*'Economic Forecasts'!H$9*1000000/SUM('Statistics NZ'!F$32:F$107,'Statistics NZ'!F$125:F$200)</f>
        <v>29387.384714149182</v>
      </c>
      <c r="G39" s="118">
        <f>'Statistics NZ'!G$39*'Economic Forecasts'!I$9*1000000/SUM('Statistics NZ'!G$32:G$107,'Statistics NZ'!G$125:G$200)</f>
        <v>29775.391188681526</v>
      </c>
      <c r="H39" s="118">
        <f>'Statistics NZ'!H$39*'Economic Forecasts'!J$9*1000000/SUM('Statistics NZ'!H$32:H$107,'Statistics NZ'!H$125:H$200)</f>
        <v>30927.945754494493</v>
      </c>
      <c r="I39" s="118">
        <f>'Statistics NZ'!I$39*'Economic Forecasts'!K$9*1000000/SUM('Statistics NZ'!I$32:I$107,'Statistics NZ'!I$125:I$200)</f>
        <v>31559.992867877427</v>
      </c>
      <c r="J39" s="203">
        <f>'Statistics NZ'!J$39*'Economic Forecasts'!L$9*1000000/SUM('Statistics NZ'!J$32:J$107,'Statistics NZ'!J$125:J$200)</f>
        <v>31067.682315797651</v>
      </c>
      <c r="K39" s="203">
        <f>'Statistics NZ'!K$39*'Economic Forecasts'!M$9*1000000/SUM('Statistics NZ'!K$32:K$107,'Statistics NZ'!K$125:K$200)</f>
        <v>31598.206499516633</v>
      </c>
      <c r="L39" s="203">
        <f>'Statistics NZ'!L$39*'Economic Forecasts'!N$9*1000000/SUM('Statistics NZ'!L$32:L$107,'Statistics NZ'!L$125:L$200)</f>
        <v>31673.822961203481</v>
      </c>
      <c r="M39" s="203">
        <f>'Statistics NZ'!M$39*'Economic Forecasts'!O$9*1000000/SUM('Statistics NZ'!M$32:M$107,'Statistics NZ'!M$125:M$200)</f>
        <v>32210.734130976518</v>
      </c>
      <c r="N39" s="203">
        <f>'Statistics NZ'!N$39*'Economic Forecasts'!P$9*1000000/SUM('Statistics NZ'!N$32:N$107,'Statistics NZ'!N$125:N$200)</f>
        <v>31993.649762779078</v>
      </c>
      <c r="O39" s="203">
        <f>'Statistics NZ'!O$39*'Economic Forecasts'!Q$9*1000000/SUM('Statistics NZ'!O$32:O$107,'Statistics NZ'!O$125:O$200)</f>
        <v>31963.954558899193</v>
      </c>
      <c r="P39" s="203">
        <f>'Statistics NZ'!P$39*'Economic Forecasts'!R$9*1000000/SUM('Statistics NZ'!P$32:P$107,'Statistics NZ'!P$125:P$200)</f>
        <v>32147.097018090168</v>
      </c>
      <c r="Q39" s="121">
        <f>SUM('Statistics NZ'!Q$39,$F$13/5*(Q$9-Q$10)*1000)*'Economic Forecasts'!S$9*1000000/SUM('Statistics NZ'!Q$32:Q$107,'Statistics NZ'!Q$125:Q$200,SUM($E$13:$Q$14)*(Q$9-Q$10)*1000)</f>
        <v>31268.692129399024</v>
      </c>
      <c r="R39" s="205">
        <f>SUM('Statistics NZ'!R$39,$F$13/5*(R$9-R$10)*1000)*'Economic Forecasts'!T$9*1000000/SUM('Statistics NZ'!R$32:R$107,'Statistics NZ'!R$125:R$200,SUM($E$13:$Q$14)*(R$9-R$10)*1000)</f>
        <v>31975.83867705593</v>
      </c>
      <c r="S39" s="205">
        <f>SUM('Statistics NZ'!S$39,$F$13/5*(S$9-S$10)*1000)*'Economic Forecasts'!U$9*1000000/SUM('Statistics NZ'!S$32:S$107,'Statistics NZ'!S$125:S$200,SUM($E$13:$Q$14)*(S$9-S$10)*1000)</f>
        <v>31766.037091024409</v>
      </c>
      <c r="T39" s="205">
        <f>SUM('Statistics NZ'!T$39,$F$13/5*(T$9-T$10)*1000)*'Economic Forecasts'!V$9*1000000/SUM('Statistics NZ'!T$32:T$107,'Statistics NZ'!T$125:T$200,SUM($E$13:$Q$14)*(T$9-T$10)*1000)</f>
        <v>30834.22342031333</v>
      </c>
      <c r="U39" s="205">
        <f>SUM('Statistics NZ'!U$39,$F$13/5*(U$9-U$10)*1000)*'Economic Forecasts'!W$9*1000000/SUM('Statistics NZ'!U$32:U$107,'Statistics NZ'!U$125:U$200,SUM($E$13:$Q$14)*(U$9-U$10)*1000)</f>
        <v>30536.773214734756</v>
      </c>
      <c r="V39" s="111">
        <f>SUM(U$39,'Statistics NZ'!V$39-'Statistics NZ'!U$39,$F$13/5*(V$9-V$10)*1000)</f>
        <v>31364.355761248302</v>
      </c>
      <c r="W39" s="111">
        <f>SUM(V$39,'Statistics NZ'!W$39-'Statistics NZ'!V$39,$F$13/5*(W$9-W$10)*1000)</f>
        <v>31529.740489447653</v>
      </c>
      <c r="X39" s="111">
        <f>SUM(W$39,'Statistics NZ'!X$39-'Statistics NZ'!W$39,$F$13/5*(X$9-X$10)*1000)</f>
        <v>32352.927399332813</v>
      </c>
      <c r="Y39" s="111">
        <f>SUM(X$39,'Statistics NZ'!Y$39-'Statistics NZ'!X$39,$F$13/5*(Y$9-Y$10)*1000)</f>
        <v>33903.916490903779</v>
      </c>
      <c r="Z39" s="111">
        <f>SUM(Y$39,'Statistics NZ'!Z$39-'Statistics NZ'!Y$39,$F$13/5*(Z$9-Z$10)*1000)</f>
        <v>35202.70776416055</v>
      </c>
      <c r="AA39" s="111">
        <f>SUM(Z$39,'Statistics NZ'!AA$39-'Statistics NZ'!Z$39,$F$13/5*(AA$9-AA$10)*1000)</f>
        <v>35039.30121910313</v>
      </c>
      <c r="AB39" s="111">
        <f>SUM(AA$39,'Statistics NZ'!AB$39-'Statistics NZ'!AA$39,$F$13/5*(AB$9-AB$10)*1000)</f>
        <v>36073.696855731519</v>
      </c>
      <c r="AC39" s="111">
        <f>SUM(AB$39,'Statistics NZ'!AC$39-'Statistics NZ'!AB$39,$F$13/5*(AC$9-AC$10)*1000)</f>
        <v>35985.89467404571</v>
      </c>
      <c r="AD39" s="111">
        <f>SUM(AC$39,'Statistics NZ'!AD$39-'Statistics NZ'!AC$39,$F$13/5*(AD$9-AD$10)*1000)</f>
        <v>35885.89467404571</v>
      </c>
      <c r="AE39" s="111">
        <f>SUM(AD$39,'Statistics NZ'!AE$39-'Statistics NZ'!AD$39,$F$13/5*(AE$9-AE$10)*1000)</f>
        <v>35785.89467404571</v>
      </c>
      <c r="AF39" s="111">
        <f>SUM(AE$39,'Statistics NZ'!AF$39-'Statistics NZ'!AE$39,$F$13/5*(AF$9-AF$10)*1000)</f>
        <v>34675.89467404571</v>
      </c>
      <c r="AG39" s="111">
        <f>SUM(AF$39,'Statistics NZ'!AG$39-'Statistics NZ'!AF$39,$F$13/5*(AG$9-AG$10)*1000)</f>
        <v>34725.89467404571</v>
      </c>
      <c r="AH39" s="111">
        <f>SUM(AG$39,'Statistics NZ'!AH$39-'Statistics NZ'!AG$39,$F$13/5*(AH$9-AH$10)*1000)</f>
        <v>34365.89467404571</v>
      </c>
      <c r="AI39" s="111">
        <f>SUM(AH$39,'Statistics NZ'!AI$39-'Statistics NZ'!AH$39,$F$13/5*(AI$9-AI$10)*1000)</f>
        <v>34595.89467404571</v>
      </c>
      <c r="AJ39" s="111">
        <f>SUM(AI$39,'Statistics NZ'!AJ$39-'Statistics NZ'!AI$39,$F$13/5*(AJ$9-AJ$10)*1000)</f>
        <v>33775.89467404571</v>
      </c>
      <c r="AK39" s="111">
        <f>SUM(AJ$39,'Statistics NZ'!AK$39-'Statistics NZ'!AJ$39,$F$13/5*(AK$9-AK$10)*1000)</f>
        <v>33355.89467404571</v>
      </c>
      <c r="AL39" s="111">
        <f>SUM(AK$39,'Statistics NZ'!AL$39-'Statistics NZ'!AK$39,$F$13/5*(AL$9-AL$10)*1000)</f>
        <v>33505.89467404571</v>
      </c>
      <c r="AM39" s="111">
        <f>SUM(AL$39,'Statistics NZ'!AM$39-'Statistics NZ'!AL$39,$F$13/5*(AM$9-AM$10)*1000)</f>
        <v>32945.89467404571</v>
      </c>
      <c r="AN39" s="111">
        <f>SUM(AM$39,'Statistics NZ'!AN$39-'Statistics NZ'!AM$39,$F$13/5*(AN$9-AN$10)*1000)</f>
        <v>32905.89467404571</v>
      </c>
      <c r="AO39" s="111">
        <f>SUM(AN$39,'Statistics NZ'!AO$39-'Statistics NZ'!AN$39,$F$13/5*(AO$9-AO$10)*1000)</f>
        <v>32855.89467404571</v>
      </c>
      <c r="AP39" s="111">
        <f>SUM(AO$39,'Statistics NZ'!AP$39-'Statistics NZ'!AO$39,$F$13/5*(AP$9-AP$10)*1000)</f>
        <v>32785.89467404571</v>
      </c>
      <c r="AQ39" s="111">
        <f>SUM(AP$39,'Statistics NZ'!AQ$39-'Statistics NZ'!AP$39,$F$13/5*(AQ$9-AQ$10)*1000)</f>
        <v>32895.89467404571</v>
      </c>
      <c r="AR39" s="111">
        <f>SUM(AQ$39,'Statistics NZ'!AR$39-'Statistics NZ'!AQ$39,$F$13/5*(AR$9-AR$10)*1000)</f>
        <v>32975.89467404571</v>
      </c>
      <c r="AS39" s="111">
        <f>SUM(AR$39,'Statistics NZ'!AS$39-'Statistics NZ'!AR$39,$F$13/5*(AS$9-AS$10)*1000)</f>
        <v>33035.89467404571</v>
      </c>
      <c r="AT39" s="111">
        <f>SUM(AS$39,'Statistics NZ'!AT$39-'Statistics NZ'!AS$39,$F$13/5*(AT$9-AT$10)*1000)</f>
        <v>33065.89467404571</v>
      </c>
      <c r="AU39" s="111">
        <f>SUM(AT$39,'Statistics NZ'!AU$39-'Statistics NZ'!AT$39,$F$13/5*(AU$9-AU$10)*1000)</f>
        <v>33095.89467404571</v>
      </c>
      <c r="AV39" s="111">
        <f>SUM(AU$39,'Statistics NZ'!AV$39-'Statistics NZ'!AU$39,$F$13/5*(AV$9-AV$10)*1000)</f>
        <v>33115.89467404571</v>
      </c>
      <c r="AW39" s="111">
        <f>SUM(AV$39,'Statistics NZ'!AW$39-'Statistics NZ'!AV$39,$F$13/5*(AW$9-AW$10)*1000)</f>
        <v>33145.89467404571</v>
      </c>
      <c r="AX39" s="111">
        <f>SUM(AW$39,'Statistics NZ'!AX$39-'Statistics NZ'!AW$39,$F$13/5*(AX$9-AX$10)*1000)</f>
        <v>33175.89467404571</v>
      </c>
      <c r="AY39" s="111">
        <f>SUM(AX$39,'Statistics NZ'!AY$39-'Statistics NZ'!AX$39,$F$13/5*(AY$9-AY$10)*1000)</f>
        <v>33225.89467404571</v>
      </c>
      <c r="AZ39" s="111">
        <f>SUM(AY$39,'Statistics NZ'!AZ$39-'Statistics NZ'!AY$39,$F$13/5*(AZ$9-AZ$10)*1000)</f>
        <v>33285.89467404571</v>
      </c>
      <c r="BA39" s="111">
        <f>SUM(AZ$39,'Statistics NZ'!BA$39-'Statistics NZ'!AZ$39,$F$13/5*(BA$9-BA$10)*1000)</f>
        <v>33375.89467404571</v>
      </c>
      <c r="BB39" s="111">
        <f>SUM(BA$39,'Statistics NZ'!BB$39-'Statistics NZ'!BA$39,$F$13/5*(BB$9-BB$10)*1000)</f>
        <v>33485.89467404571</v>
      </c>
      <c r="BC39" s="111">
        <f>SUM(BB$39,'Statistics NZ'!BC$39-'Statistics NZ'!BB$39,$F$13/5*(BC$9-BC$10)*1000)</f>
        <v>33615.89467404571</v>
      </c>
      <c r="BD39" s="111">
        <f>SUM(BC$39,'Statistics NZ'!BD$39-'Statistics NZ'!BC$39,$F$13/5*(BD$9-BD$10)*1000)</f>
        <v>33765.89467404571</v>
      </c>
      <c r="BE39" s="111">
        <f>SUM(BD$39,'Statistics NZ'!BE$39-'Statistics NZ'!BD$39,$F$13/5*(BE$9-BE$10)*1000)</f>
        <v>33925.89467404571</v>
      </c>
      <c r="BF39" s="111">
        <f>SUM(BE$39,'Statistics NZ'!BF$39-'Statistics NZ'!BE$39,$F$13/5*(BF$9-BF$10)*1000)</f>
        <v>34085.89467404571</v>
      </c>
      <c r="BG39" s="111">
        <f>SUM(BF$39,'Statistics NZ'!BG$39-'Statistics NZ'!BF$39,$F$13/5*(BG$9-BG$10)*1000)</f>
        <v>34225.89467404571</v>
      </c>
      <c r="BH39" s="111">
        <f>SUM(BG$39,'Statistics NZ'!BH$39-'Statistics NZ'!BG$39,$F$13/5*(BH$9-BH$10)*1000)</f>
        <v>34355.89467404571</v>
      </c>
      <c r="BI39" s="111">
        <f>SUM(BH$39,'Statistics NZ'!BI$39-'Statistics NZ'!BH$39,$F$13/5*(BI$9-BI$10)*1000)</f>
        <v>34445.89467404571</v>
      </c>
      <c r="BJ39" s="111">
        <f>SUM(BI$39,'Statistics NZ'!BJ$39-'Statistics NZ'!BI$39,$F$13/5*(BJ$9-BJ$10)*1000)</f>
        <v>34505.89467404571</v>
      </c>
      <c r="BK39" s="111">
        <f>SUM(BJ$39,'Statistics NZ'!BK$39-'Statistics NZ'!BJ$39,$F$13/5*(BK$9-BK$10)*1000)</f>
        <v>34535.89467404571</v>
      </c>
      <c r="BL39" s="111">
        <f>SUM(BK$39,'Statistics NZ'!BL$39-'Statistics NZ'!BK$39,$F$13/5*(BL$9-BL$10)*1000)</f>
        <v>34535.89467404571</v>
      </c>
      <c r="BM39" s="195">
        <f>SUM(BL$39,'Statistics NZ'!BM$39-'Statistics NZ'!BL$39,$F$13/5*(BM$9-BM$10)*1000)</f>
        <v>34515.89467404571</v>
      </c>
      <c r="BN39" s="195">
        <f>SUM(BM$39,'Statistics NZ'!BN$39-'Statistics NZ'!BM$39,$F$13/5*(BN$9-BN$10)*1000)</f>
        <v>34455.89467404571</v>
      </c>
      <c r="BO39" s="195">
        <f>SUM(BN$39,'Statistics NZ'!BO$39-'Statistics NZ'!BN$39,$F$13/5*(BO$9-BO$10)*1000)</f>
        <v>34375.89467404571</v>
      </c>
      <c r="BP39" s="195">
        <f>SUM(BO$39,'Statistics NZ'!BP$39-'Statistics NZ'!BO$39,$F$13/5*(BP$9-BP$10)*1000)</f>
        <v>34285.89467404571</v>
      </c>
      <c r="BQ39" s="195">
        <f>SUM(BP$39,'Statistics NZ'!BQ$39-'Statistics NZ'!BP$39,$F$13/5*(BQ$9-BQ$10)*1000)</f>
        <v>34185.89467404571</v>
      </c>
    </row>
    <row r="40" spans="1:69">
      <c r="A40" s="105">
        <v>23</v>
      </c>
      <c r="B40" s="118">
        <f>'Statistics NZ'!B$40*'Economic Forecasts'!D$9*1000000/SUM('Statistics NZ'!B$32:B$107,'Statistics NZ'!B$125:B$200)</f>
        <v>28449.470439763129</v>
      </c>
      <c r="C40" s="118">
        <f>'Statistics NZ'!C$40*'Economic Forecasts'!E$9*1000000/SUM('Statistics NZ'!C$32:C$107,'Statistics NZ'!C$125:C$200)</f>
        <v>28244.307829416426</v>
      </c>
      <c r="D40" s="118">
        <f>'Statistics NZ'!D$40*'Economic Forecasts'!F$9*1000000/SUM('Statistics NZ'!D$32:D$107,'Statistics NZ'!D$125:D$200)</f>
        <v>28109.609183649205</v>
      </c>
      <c r="E40" s="118">
        <f>'Statistics NZ'!E$40*'Economic Forecasts'!G$9*1000000/SUM('Statistics NZ'!E$32:E$107,'Statistics NZ'!E$125:E$200)</f>
        <v>27950.056887838349</v>
      </c>
      <c r="F40" s="118">
        <f>'Statistics NZ'!F$40*'Economic Forecasts'!H$9*1000000/SUM('Statistics NZ'!F$32:F$107,'Statistics NZ'!F$125:F$200)</f>
        <v>27978.602946089068</v>
      </c>
      <c r="G40" s="118">
        <f>'Statistics NZ'!G$40*'Economic Forecasts'!I$9*1000000/SUM('Statistics NZ'!G$32:G$107,'Statistics NZ'!G$125:G$200)</f>
        <v>29006.866862832034</v>
      </c>
      <c r="H40" s="118">
        <f>'Statistics NZ'!H$40*'Economic Forecasts'!J$9*1000000/SUM('Statistics NZ'!H$32:H$107,'Statistics NZ'!H$125:H$200)</f>
        <v>29283.05182423953</v>
      </c>
      <c r="I40" s="118">
        <f>'Statistics NZ'!I$40*'Economic Forecasts'!K$9*1000000/SUM('Statistics NZ'!I$32:I$107,'Statistics NZ'!I$125:I$200)</f>
        <v>30536.531920493813</v>
      </c>
      <c r="J40" s="203">
        <f>'Statistics NZ'!J$40*'Economic Forecasts'!L$9*1000000/SUM('Statistics NZ'!J$32:J$107,'Statistics NZ'!J$125:J$200)</f>
        <v>31814.643358505851</v>
      </c>
      <c r="K40" s="203">
        <f>'Statistics NZ'!K$40*'Economic Forecasts'!M$9*1000000/SUM('Statistics NZ'!K$32:K$107,'Statistics NZ'!K$125:K$200)</f>
        <v>31991.219018167343</v>
      </c>
      <c r="L40" s="203">
        <f>'Statistics NZ'!L$40*'Economic Forecasts'!N$9*1000000/SUM('Statistics NZ'!L$32:L$107,'Statistics NZ'!L$125:L$200)</f>
        <v>32648.856690419634</v>
      </c>
      <c r="M40" s="203">
        <f>'Statistics NZ'!M$40*'Economic Forecasts'!O$9*1000000/SUM('Statistics NZ'!M$32:M$107,'Statistics NZ'!M$125:M$200)</f>
        <v>32506.245453279058</v>
      </c>
      <c r="N40" s="203">
        <f>'Statistics NZ'!N$40*'Economic Forecasts'!P$9*1000000/SUM('Statistics NZ'!N$32:N$107,'Statistics NZ'!N$125:N$200)</f>
        <v>32812.734565465893</v>
      </c>
      <c r="O40" s="203">
        <f>'Statistics NZ'!O$40*'Economic Forecasts'!Q$9*1000000/SUM('Statistics NZ'!O$32:O$107,'Statistics NZ'!O$125:O$200)</f>
        <v>32506.720073175034</v>
      </c>
      <c r="P40" s="203">
        <f>'Statistics NZ'!P$40*'Economic Forecasts'!R$9*1000000/SUM('Statistics NZ'!P$32:P$107,'Statistics NZ'!P$125:P$200)</f>
        <v>32680.249118513035</v>
      </c>
      <c r="Q40" s="121">
        <f>SUM('Statistics NZ'!Q$40,$F$13/5*(Q$9-Q$10)*1000)*'Economic Forecasts'!S$9*1000000/SUM('Statistics NZ'!Q$32:Q$107,'Statistics NZ'!Q$125:Q$200,SUM($E$13:$Q$14)*(Q$9-Q$10)*1000)</f>
        <v>32168.356633727861</v>
      </c>
      <c r="R40" s="205">
        <f>SUM('Statistics NZ'!R$40,$F$13/5*(R$9-R$10)*1000)*'Economic Forecasts'!T$9*1000000/SUM('Statistics NZ'!R$32:R$107,'Statistics NZ'!R$125:R$200,SUM($E$13:$Q$14)*(R$9-R$10)*1000)</f>
        <v>31353.072393424562</v>
      </c>
      <c r="S40" s="205">
        <f>SUM('Statistics NZ'!S$40,$F$13/5*(S$9-S$10)*1000)*'Economic Forecasts'!U$9*1000000/SUM('Statistics NZ'!S$32:S$107,'Statistics NZ'!S$125:S$200,SUM($E$13:$Q$14)*(S$9-S$10)*1000)</f>
        <v>32121.713347353452</v>
      </c>
      <c r="T40" s="205">
        <f>SUM('Statistics NZ'!T$40,$F$13/5*(T$9-T$10)*1000)*'Economic Forecasts'!V$9*1000000/SUM('Statistics NZ'!T$32:T$107,'Statistics NZ'!T$125:T$200,SUM($E$13:$Q$14)*(T$9-T$10)*1000)</f>
        <v>31743.117574979817</v>
      </c>
      <c r="U40" s="205">
        <f>SUM('Statistics NZ'!U$40,$F$13/5*(U$9-U$10)*1000)*'Economic Forecasts'!W$9*1000000/SUM('Statistics NZ'!U$32:U$107,'Statistics NZ'!U$125:U$200,SUM($E$13:$Q$14)*(U$9-U$10)*1000)</f>
        <v>30853.3212210124</v>
      </c>
      <c r="V40" s="111">
        <f>SUM(U$40,'Statistics NZ'!V$40-'Statistics NZ'!U$40,$F$13/5*(V$9-V$10)*1000)</f>
        <v>30520.903767525946</v>
      </c>
      <c r="W40" s="111">
        <f>SUM(V$40,'Statistics NZ'!W$40-'Statistics NZ'!V$40,$F$13/5*(W$9-W$10)*1000)</f>
        <v>31356.288495725297</v>
      </c>
      <c r="X40" s="111">
        <f>SUM(W$40,'Statistics NZ'!X$40-'Statistics NZ'!W$40,$F$13/5*(X$9-X$10)*1000)</f>
        <v>31509.475405610458</v>
      </c>
      <c r="Y40" s="111">
        <f>SUM(X$40,'Statistics NZ'!Y$40-'Statistics NZ'!X$40,$F$13/5*(Y$9-Y$10)*1000)</f>
        <v>32330.464497181423</v>
      </c>
      <c r="Z40" s="111">
        <f>SUM(Y$40,'Statistics NZ'!Z$40-'Statistics NZ'!Y$40,$F$13/5*(Z$9-Z$10)*1000)</f>
        <v>33879.255770438198</v>
      </c>
      <c r="AA40" s="111">
        <f>SUM(Z$40,'Statistics NZ'!AA$40-'Statistics NZ'!Z$40,$F$13/5*(AA$9-AA$10)*1000)</f>
        <v>35175.849225380778</v>
      </c>
      <c r="AB40" s="111">
        <f>SUM(AA$40,'Statistics NZ'!AB$40-'Statistics NZ'!AA$40,$F$13/5*(AB$9-AB$10)*1000)</f>
        <v>35010.244862009167</v>
      </c>
      <c r="AC40" s="111">
        <f>SUM(AB$40,'Statistics NZ'!AC$40-'Statistics NZ'!AB$40,$F$13/5*(AC$9-AC$10)*1000)</f>
        <v>36042.442680323358</v>
      </c>
      <c r="AD40" s="111">
        <f>SUM(AC$40,'Statistics NZ'!AD$40-'Statistics NZ'!AC$40,$F$13/5*(AD$9-AD$10)*1000)</f>
        <v>35952.442680323358</v>
      </c>
      <c r="AE40" s="111">
        <f>SUM(AD$40,'Statistics NZ'!AE$40-'Statistics NZ'!AD$40,$F$13/5*(AE$9-AE$10)*1000)</f>
        <v>35852.442680323358</v>
      </c>
      <c r="AF40" s="111">
        <f>SUM(AE$40,'Statistics NZ'!AF$40-'Statistics NZ'!AE$40,$F$13/5*(AF$9-AF$10)*1000)</f>
        <v>35762.442680323358</v>
      </c>
      <c r="AG40" s="111">
        <f>SUM(AF$40,'Statistics NZ'!AG$40-'Statistics NZ'!AF$40,$F$13/5*(AG$9-AG$10)*1000)</f>
        <v>34642.442680323358</v>
      </c>
      <c r="AH40" s="111">
        <f>SUM(AG$40,'Statistics NZ'!AH$40-'Statistics NZ'!AG$40,$F$13/5*(AH$9-AH$10)*1000)</f>
        <v>34702.442680323358</v>
      </c>
      <c r="AI40" s="111">
        <f>SUM(AH$40,'Statistics NZ'!AI$40-'Statistics NZ'!AH$40,$F$13/5*(AI$9-AI$10)*1000)</f>
        <v>34332.442680323358</v>
      </c>
      <c r="AJ40" s="111">
        <f>SUM(AI$40,'Statistics NZ'!AJ$40-'Statistics NZ'!AI$40,$F$13/5*(AJ$9-AJ$10)*1000)</f>
        <v>34572.442680323358</v>
      </c>
      <c r="AK40" s="111">
        <f>SUM(AJ$40,'Statistics NZ'!AK$40-'Statistics NZ'!AJ$40,$F$13/5*(AK$9-AK$10)*1000)</f>
        <v>33752.442680323358</v>
      </c>
      <c r="AL40" s="111">
        <f>SUM(AK$40,'Statistics NZ'!AL$40-'Statistics NZ'!AK$40,$F$13/5*(AL$9-AL$10)*1000)</f>
        <v>33332.442680323358</v>
      </c>
      <c r="AM40" s="111">
        <f>SUM(AL$40,'Statistics NZ'!AM$40-'Statistics NZ'!AL$40,$F$13/5*(AM$9-AM$10)*1000)</f>
        <v>33472.442680323358</v>
      </c>
      <c r="AN40" s="111">
        <f>SUM(AM$40,'Statistics NZ'!AN$40-'Statistics NZ'!AM$40,$F$13/5*(AN$9-AN$10)*1000)</f>
        <v>32912.442680323358</v>
      </c>
      <c r="AO40" s="111">
        <f>SUM(AN$40,'Statistics NZ'!AO$40-'Statistics NZ'!AN$40,$F$13/5*(AO$9-AO$10)*1000)</f>
        <v>32882.442680323358</v>
      </c>
      <c r="AP40" s="111">
        <f>SUM(AO$40,'Statistics NZ'!AP$40-'Statistics NZ'!AO$40,$F$13/5*(AP$9-AP$10)*1000)</f>
        <v>32822.442680323358</v>
      </c>
      <c r="AQ40" s="111">
        <f>SUM(AP$40,'Statistics NZ'!AQ$40-'Statistics NZ'!AP$40,$F$13/5*(AQ$9-AQ$10)*1000)</f>
        <v>32752.442680323358</v>
      </c>
      <c r="AR40" s="111">
        <f>SUM(AQ$40,'Statistics NZ'!AR$40-'Statistics NZ'!AQ$40,$F$13/5*(AR$9-AR$10)*1000)</f>
        <v>32872.442680323358</v>
      </c>
      <c r="AS40" s="111">
        <f>SUM(AR$40,'Statistics NZ'!AS$40-'Statistics NZ'!AR$40,$F$13/5*(AS$9-AS$10)*1000)</f>
        <v>32952.442680323358</v>
      </c>
      <c r="AT40" s="111">
        <f>SUM(AS$40,'Statistics NZ'!AT$40-'Statistics NZ'!AS$40,$F$13/5*(AT$9-AT$10)*1000)</f>
        <v>33002.442680323358</v>
      </c>
      <c r="AU40" s="111">
        <f>SUM(AT$40,'Statistics NZ'!AU$40-'Statistics NZ'!AT$40,$F$13/5*(AU$9-AU$10)*1000)</f>
        <v>33042.442680323358</v>
      </c>
      <c r="AV40" s="111">
        <f>SUM(AU$40,'Statistics NZ'!AV$40-'Statistics NZ'!AU$40,$F$13/5*(AV$9-AV$10)*1000)</f>
        <v>33062.442680323358</v>
      </c>
      <c r="AW40" s="111">
        <f>SUM(AV$40,'Statistics NZ'!AW$40-'Statistics NZ'!AV$40,$F$13/5*(AW$9-AW$10)*1000)</f>
        <v>33082.442680323358</v>
      </c>
      <c r="AX40" s="111">
        <f>SUM(AW$40,'Statistics NZ'!AX$40-'Statistics NZ'!AW$40,$F$13/5*(AX$9-AX$10)*1000)</f>
        <v>33112.442680323358</v>
      </c>
      <c r="AY40" s="111">
        <f>SUM(AX$40,'Statistics NZ'!AY$40-'Statistics NZ'!AX$40,$F$13/5*(AY$9-AY$10)*1000)</f>
        <v>33152.442680323358</v>
      </c>
      <c r="AZ40" s="111">
        <f>SUM(AY$40,'Statistics NZ'!AZ$40-'Statistics NZ'!AY$40,$F$13/5*(AZ$9-AZ$10)*1000)</f>
        <v>33192.442680323358</v>
      </c>
      <c r="BA40" s="111">
        <f>SUM(AZ$40,'Statistics NZ'!BA$40-'Statistics NZ'!AZ$40,$F$13/5*(BA$9-BA$10)*1000)</f>
        <v>33262.442680323358</v>
      </c>
      <c r="BB40" s="111">
        <f>SUM(BA$40,'Statistics NZ'!BB$40-'Statistics NZ'!BA$40,$F$13/5*(BB$9-BB$10)*1000)</f>
        <v>33342.442680323358</v>
      </c>
      <c r="BC40" s="111">
        <f>SUM(BB$40,'Statistics NZ'!BC$40-'Statistics NZ'!BB$40,$F$13/5*(BC$9-BC$10)*1000)</f>
        <v>33452.442680323358</v>
      </c>
      <c r="BD40" s="111">
        <f>SUM(BC$40,'Statistics NZ'!BD$40-'Statistics NZ'!BC$40,$F$13/5*(BD$9-BD$10)*1000)</f>
        <v>33592.442680323358</v>
      </c>
      <c r="BE40" s="111">
        <f>SUM(BD$40,'Statistics NZ'!BE$40-'Statistics NZ'!BD$40,$F$13/5*(BE$9-BE$10)*1000)</f>
        <v>33742.442680323358</v>
      </c>
      <c r="BF40" s="111">
        <f>SUM(BE$40,'Statistics NZ'!BF$40-'Statistics NZ'!BE$40,$F$13/5*(BF$9-BF$10)*1000)</f>
        <v>33902.442680323358</v>
      </c>
      <c r="BG40" s="111">
        <f>SUM(BF$40,'Statistics NZ'!BG$40-'Statistics NZ'!BF$40,$F$13/5*(BG$9-BG$10)*1000)</f>
        <v>34062.442680323358</v>
      </c>
      <c r="BH40" s="111">
        <f>SUM(BG$40,'Statistics NZ'!BH$40-'Statistics NZ'!BG$40,$F$13/5*(BH$9-BH$10)*1000)</f>
        <v>34202.442680323358</v>
      </c>
      <c r="BI40" s="111">
        <f>SUM(BH$40,'Statistics NZ'!BI$40-'Statistics NZ'!BH$40,$F$13/5*(BI$9-BI$10)*1000)</f>
        <v>34322.442680323358</v>
      </c>
      <c r="BJ40" s="111">
        <f>SUM(BI$40,'Statistics NZ'!BJ$40-'Statistics NZ'!BI$40,$F$13/5*(BJ$9-BJ$10)*1000)</f>
        <v>34422.442680323358</v>
      </c>
      <c r="BK40" s="111">
        <f>SUM(BJ$40,'Statistics NZ'!BK$40-'Statistics NZ'!BJ$40,$F$13/5*(BK$9-BK$10)*1000)</f>
        <v>34482.442680323358</v>
      </c>
      <c r="BL40" s="111">
        <f>SUM(BK$40,'Statistics NZ'!BL$40-'Statistics NZ'!BK$40,$F$13/5*(BL$9-BL$10)*1000)</f>
        <v>34512.442680323358</v>
      </c>
      <c r="BM40" s="195">
        <f>SUM(BL$40,'Statistics NZ'!BM$40-'Statistics NZ'!BL$40,$F$13/5*(BM$9-BM$10)*1000)</f>
        <v>34512.442680323358</v>
      </c>
      <c r="BN40" s="195">
        <f>SUM(BM$40,'Statistics NZ'!BN$40-'Statistics NZ'!BM$40,$F$13/5*(BN$9-BN$10)*1000)</f>
        <v>34482.442680323358</v>
      </c>
      <c r="BO40" s="195">
        <f>SUM(BN$40,'Statistics NZ'!BO$40-'Statistics NZ'!BN$40,$F$13/5*(BO$9-BO$10)*1000)</f>
        <v>34422.442680323358</v>
      </c>
      <c r="BP40" s="195">
        <f>SUM(BO$40,'Statistics NZ'!BP$40-'Statistics NZ'!BO$40,$F$13/5*(BP$9-BP$10)*1000)</f>
        <v>34352.442680323358</v>
      </c>
      <c r="BQ40" s="195">
        <f>SUM(BP$40,'Statistics NZ'!BQ$40-'Statistics NZ'!BP$40,$F$13/5*(BQ$9-BQ$10)*1000)</f>
        <v>34262.442680323358</v>
      </c>
    </row>
    <row r="41" spans="1:69">
      <c r="A41" s="105">
        <v>24</v>
      </c>
      <c r="B41" s="118">
        <f>'Statistics NZ'!B$41*'Economic Forecasts'!D$9*1000000/SUM('Statistics NZ'!B$32:B$107,'Statistics NZ'!B$125:B$200)</f>
        <v>27444.676123677309</v>
      </c>
      <c r="C41" s="118">
        <f>'Statistics NZ'!C$41*'Economic Forecasts'!E$9*1000000/SUM('Statistics NZ'!C$32:C$107,'Statistics NZ'!C$125:C$200)</f>
        <v>28037.281489305518</v>
      </c>
      <c r="D41" s="118">
        <f>'Statistics NZ'!D$41*'Economic Forecasts'!F$9*1000000/SUM('Statistics NZ'!D$32:D$107,'Statistics NZ'!D$125:D$200)</f>
        <v>27843.494370199511</v>
      </c>
      <c r="E41" s="118">
        <f>'Statistics NZ'!E$41*'Economic Forecasts'!G$9*1000000/SUM('Statistics NZ'!E$32:E$107,'Statistics NZ'!E$125:E$200)</f>
        <v>27881.117353583639</v>
      </c>
      <c r="F41" s="118">
        <f>'Statistics NZ'!F$41*'Economic Forecasts'!H$9*1000000/SUM('Statistics NZ'!F$32:F$107,'Statistics NZ'!F$125:F$200)</f>
        <v>27830.828634754092</v>
      </c>
      <c r="G41" s="118">
        <f>'Statistics NZ'!G$41*'Economic Forecasts'!I$9*1000000/SUM('Statistics NZ'!G$32:G$107,'Statistics NZ'!G$125:G$200)</f>
        <v>27765.404490305937</v>
      </c>
      <c r="H41" s="118">
        <f>'Statistics NZ'!H$41*'Economic Forecasts'!J$9*1000000/SUM('Statistics NZ'!H$32:H$107,'Statistics NZ'!H$125:H$200)</f>
        <v>28701.921633311133</v>
      </c>
      <c r="I41" s="118">
        <f>'Statistics NZ'!I$41*'Economic Forecasts'!K$9*1000000/SUM('Statistics NZ'!I$32:I$107,'Statistics NZ'!I$125:I$200)</f>
        <v>29148.955059137184</v>
      </c>
      <c r="J41" s="203">
        <f>'Statistics NZ'!J$41*'Economic Forecasts'!L$9*1000000/SUM('Statistics NZ'!J$32:J$107,'Statistics NZ'!J$125:J$200)</f>
        <v>31106.996054887557</v>
      </c>
      <c r="K41" s="203">
        <f>'Statistics NZ'!K$41*'Economic Forecasts'!M$9*1000000/SUM('Statistics NZ'!K$32:K$107,'Statistics NZ'!K$125:K$200)</f>
        <v>32777.244055468749</v>
      </c>
      <c r="L41" s="203">
        <f>'Statistics NZ'!L$41*'Economic Forecasts'!N$9*1000000/SUM('Statistics NZ'!L$32:L$107,'Statistics NZ'!L$125:L$200)</f>
        <v>33357.972129849557</v>
      </c>
      <c r="M41" s="203">
        <f>'Statistics NZ'!M$41*'Economic Forecasts'!O$9*1000000/SUM('Statistics NZ'!M$32:M$107,'Statistics NZ'!M$125:M$200)</f>
        <v>33619.33810061861</v>
      </c>
      <c r="N41" s="203">
        <f>'Statistics NZ'!N$41*'Economic Forecasts'!P$9*1000000/SUM('Statistics NZ'!N$32:N$107,'Statistics NZ'!N$125:N$200)</f>
        <v>33217.342721009984</v>
      </c>
      <c r="O41" s="203">
        <f>'Statistics NZ'!O$41*'Economic Forecasts'!Q$9*1000000/SUM('Statistics NZ'!O$32:O$107,'Statistics NZ'!O$125:O$200)</f>
        <v>33246.854865369365</v>
      </c>
      <c r="P41" s="203">
        <f>'Statistics NZ'!P$41*'Economic Forecasts'!R$9*1000000/SUM('Statistics NZ'!P$32:P$107,'Statistics NZ'!P$125:P$200)</f>
        <v>33539.216391416558</v>
      </c>
      <c r="Q41" s="121">
        <f>SUM('Statistics NZ'!Q$41,$F$13/5*(Q$9-Q$10)*1000)*'Economic Forecasts'!S$9*1000000/SUM('Statistics NZ'!Q$32:Q$107,'Statistics NZ'!Q$125:Q$200,SUM($E$13:$Q$14)*(Q$9-Q$10)*1000)</f>
        <v>32682.450636201484</v>
      </c>
      <c r="R41" s="205">
        <f>SUM('Statistics NZ'!R$41,$F$13/5*(R$9-R$10)*1000)*'Economic Forecasts'!T$9*1000000/SUM('Statistics NZ'!R$32:R$107,'Statistics NZ'!R$125:R$200,SUM($E$13:$Q$14)*(R$9-R$10)*1000)</f>
        <v>32272.394050213727</v>
      </c>
      <c r="S41" s="205">
        <f>SUM('Statistics NZ'!S$41,$F$13/5*(S$9-S$10)*1000)*'Economic Forecasts'!U$9*1000000/SUM('Statistics NZ'!S$32:S$107,'Statistics NZ'!S$125:S$200,SUM($E$13:$Q$14)*(S$9-S$10)*1000)</f>
        <v>31538.799482814185</v>
      </c>
      <c r="T41" s="205">
        <f>SUM('Statistics NZ'!T$41,$F$13/5*(T$9-T$10)*1000)*'Economic Forecasts'!V$9*1000000/SUM('Statistics NZ'!T$32:T$107,'Statistics NZ'!T$125:T$200,SUM($E$13:$Q$14)*(T$9-T$10)*1000)</f>
        <v>32306.236779501443</v>
      </c>
      <c r="U41" s="205">
        <f>SUM('Statistics NZ'!U$41,$F$13/5*(U$9-U$10)*1000)*'Economic Forecasts'!W$9*1000000/SUM('Statistics NZ'!U$32:U$107,'Statistics NZ'!U$125:U$200,SUM($E$13:$Q$14)*(U$9-U$10)*1000)</f>
        <v>31981.02349337652</v>
      </c>
      <c r="V41" s="111">
        <f>SUM(U$41,'Statistics NZ'!V$41-'Statistics NZ'!U$41,$F$13/5*(V$9-V$10)*1000)</f>
        <v>31038.606039890066</v>
      </c>
      <c r="W41" s="111">
        <f>SUM(V$41,'Statistics NZ'!W$41-'Statistics NZ'!V$41,$F$13/5*(W$9-W$10)*1000)</f>
        <v>30713.990768089418</v>
      </c>
      <c r="X41" s="111">
        <f>SUM(W$41,'Statistics NZ'!X$41-'Statistics NZ'!W$41,$F$13/5*(X$9-X$10)*1000)</f>
        <v>31537.177677974578</v>
      </c>
      <c r="Y41" s="111">
        <f>SUM(X$41,'Statistics NZ'!Y$41-'Statistics NZ'!X$41,$F$13/5*(Y$9-Y$10)*1000)</f>
        <v>31688.166769545544</v>
      </c>
      <c r="Z41" s="111">
        <f>SUM(Y$41,'Statistics NZ'!Z$41-'Statistics NZ'!Y$41,$F$13/5*(Z$9-Z$10)*1000)</f>
        <v>32516.958042802318</v>
      </c>
      <c r="AA41" s="111">
        <f>SUM(Z$41,'Statistics NZ'!AA$41-'Statistics NZ'!Z$41,$F$13/5*(AA$9-AA$10)*1000)</f>
        <v>34063.551497744898</v>
      </c>
      <c r="AB41" s="111">
        <f>SUM(AA$41,'Statistics NZ'!AB$41-'Statistics NZ'!AA$41,$F$13/5*(AB$9-AB$10)*1000)</f>
        <v>35347.947134373288</v>
      </c>
      <c r="AC41" s="111">
        <f>SUM(AB$41,'Statistics NZ'!AC$41-'Statistics NZ'!AB$41,$F$13/5*(AC$9-AC$10)*1000)</f>
        <v>35190.144952687479</v>
      </c>
      <c r="AD41" s="111">
        <f>SUM(AC$41,'Statistics NZ'!AD$41-'Statistics NZ'!AC$41,$F$13/5*(AD$9-AD$10)*1000)</f>
        <v>36210.144952687479</v>
      </c>
      <c r="AE41" s="111">
        <f>SUM(AD$41,'Statistics NZ'!AE$41-'Statistics NZ'!AD$41,$F$13/5*(AE$9-AE$10)*1000)</f>
        <v>36130.144952687479</v>
      </c>
      <c r="AF41" s="111">
        <f>SUM(AE$41,'Statistics NZ'!AF$41-'Statistics NZ'!AE$41,$F$13/5*(AF$9-AF$10)*1000)</f>
        <v>36030.144952687479</v>
      </c>
      <c r="AG41" s="111">
        <f>SUM(AF$41,'Statistics NZ'!AG$41-'Statistics NZ'!AF$41,$F$13/5*(AG$9-AG$10)*1000)</f>
        <v>35930.144952687479</v>
      </c>
      <c r="AH41" s="111">
        <f>SUM(AG$41,'Statistics NZ'!AH$41-'Statistics NZ'!AG$41,$F$13/5*(AH$9-AH$10)*1000)</f>
        <v>34820.144952687479</v>
      </c>
      <c r="AI41" s="111">
        <f>SUM(AH$41,'Statistics NZ'!AI$41-'Statistics NZ'!AH$41,$F$13/5*(AI$9-AI$10)*1000)</f>
        <v>34870.144952687479</v>
      </c>
      <c r="AJ41" s="111">
        <f>SUM(AI$41,'Statistics NZ'!AJ$41-'Statistics NZ'!AI$41,$F$13/5*(AJ$9-AJ$10)*1000)</f>
        <v>34510.144952687479</v>
      </c>
      <c r="AK41" s="111">
        <f>SUM(AJ$41,'Statistics NZ'!AK$41-'Statistics NZ'!AJ$41,$F$13/5*(AK$9-AK$10)*1000)</f>
        <v>34740.144952687479</v>
      </c>
      <c r="AL41" s="111">
        <f>SUM(AK$41,'Statistics NZ'!AL$41-'Statistics NZ'!AK$41,$F$13/5*(AL$9-AL$10)*1000)</f>
        <v>33920.144952687479</v>
      </c>
      <c r="AM41" s="111">
        <f>SUM(AL$41,'Statistics NZ'!AM$41-'Statistics NZ'!AL$41,$F$13/5*(AM$9-AM$10)*1000)</f>
        <v>33500.144952687479</v>
      </c>
      <c r="AN41" s="111">
        <f>SUM(AM$41,'Statistics NZ'!AN$41-'Statistics NZ'!AM$41,$F$13/5*(AN$9-AN$10)*1000)</f>
        <v>33650.144952687479</v>
      </c>
      <c r="AO41" s="111">
        <f>SUM(AN$41,'Statistics NZ'!AO$41-'Statistics NZ'!AN$41,$F$13/5*(AO$9-AO$10)*1000)</f>
        <v>33090.144952687479</v>
      </c>
      <c r="AP41" s="111">
        <f>SUM(AO$41,'Statistics NZ'!AP$41-'Statistics NZ'!AO$41,$F$13/5*(AP$9-AP$10)*1000)</f>
        <v>33050.144952687479</v>
      </c>
      <c r="AQ41" s="111">
        <f>SUM(AP$41,'Statistics NZ'!AQ$41-'Statistics NZ'!AP$41,$F$13/5*(AQ$9-AQ$10)*1000)</f>
        <v>33000.144952687479</v>
      </c>
      <c r="AR41" s="111">
        <f>SUM(AQ$41,'Statistics NZ'!AR$41-'Statistics NZ'!AQ$41,$F$13/5*(AR$9-AR$10)*1000)</f>
        <v>32930.144952687479</v>
      </c>
      <c r="AS41" s="111">
        <f>SUM(AR$41,'Statistics NZ'!AS$41-'Statistics NZ'!AR$41,$F$13/5*(AS$9-AS$10)*1000)</f>
        <v>33040.144952687479</v>
      </c>
      <c r="AT41" s="111">
        <f>SUM(AS$41,'Statistics NZ'!AT$41-'Statistics NZ'!AS$41,$F$13/5*(AT$9-AT$10)*1000)</f>
        <v>33120.144952687479</v>
      </c>
      <c r="AU41" s="111">
        <f>SUM(AT$41,'Statistics NZ'!AU$41-'Statistics NZ'!AT$41,$F$13/5*(AU$9-AU$10)*1000)</f>
        <v>33180.144952687479</v>
      </c>
      <c r="AV41" s="111">
        <f>SUM(AU$41,'Statistics NZ'!AV$41-'Statistics NZ'!AU$41,$F$13/5*(AV$9-AV$10)*1000)</f>
        <v>33210.144952687479</v>
      </c>
      <c r="AW41" s="111">
        <f>SUM(AV$41,'Statistics NZ'!AW$41-'Statistics NZ'!AV$41,$F$13/5*(AW$9-AW$10)*1000)</f>
        <v>33240.144952687479</v>
      </c>
      <c r="AX41" s="111">
        <f>SUM(AW$41,'Statistics NZ'!AX$41-'Statistics NZ'!AW$41,$F$13/5*(AX$9-AX$10)*1000)</f>
        <v>33260.144952687479</v>
      </c>
      <c r="AY41" s="111">
        <f>SUM(AX$41,'Statistics NZ'!AY$41-'Statistics NZ'!AX$41,$F$13/5*(AY$9-AY$10)*1000)</f>
        <v>33290.144952687479</v>
      </c>
      <c r="AZ41" s="111">
        <f>SUM(AY$41,'Statistics NZ'!AZ$41-'Statistics NZ'!AY$41,$F$13/5*(AZ$9-AZ$10)*1000)</f>
        <v>33320.144952687479</v>
      </c>
      <c r="BA41" s="111">
        <f>SUM(AZ$41,'Statistics NZ'!BA$41-'Statistics NZ'!AZ$41,$F$13/5*(BA$9-BA$10)*1000)</f>
        <v>33370.144952687479</v>
      </c>
      <c r="BB41" s="111">
        <f>SUM(BA$41,'Statistics NZ'!BB$41-'Statistics NZ'!BA$41,$F$13/5*(BB$9-BB$10)*1000)</f>
        <v>33430.144952687479</v>
      </c>
      <c r="BC41" s="111">
        <f>SUM(BB$41,'Statistics NZ'!BC$41-'Statistics NZ'!BB$41,$F$13/5*(BC$9-BC$10)*1000)</f>
        <v>33520.144952687479</v>
      </c>
      <c r="BD41" s="111">
        <f>SUM(BC$41,'Statistics NZ'!BD$41-'Statistics NZ'!BC$41,$F$13/5*(BD$9-BD$10)*1000)</f>
        <v>33630.144952687479</v>
      </c>
      <c r="BE41" s="111">
        <f>SUM(BD$41,'Statistics NZ'!BE$41-'Statistics NZ'!BD$41,$F$13/5*(BE$9-BE$10)*1000)</f>
        <v>33760.144952687479</v>
      </c>
      <c r="BF41" s="111">
        <f>SUM(BE$41,'Statistics NZ'!BF$41-'Statistics NZ'!BE$41,$F$13/5*(BF$9-BF$10)*1000)</f>
        <v>33910.144952687479</v>
      </c>
      <c r="BG41" s="111">
        <f>SUM(BF$41,'Statistics NZ'!BG$41-'Statistics NZ'!BF$41,$F$13/5*(BG$9-BG$10)*1000)</f>
        <v>34070.144952687479</v>
      </c>
      <c r="BH41" s="111">
        <f>SUM(BG$41,'Statistics NZ'!BH$41-'Statistics NZ'!BG$41,$F$13/5*(BH$9-BH$10)*1000)</f>
        <v>34240.144952687479</v>
      </c>
      <c r="BI41" s="111">
        <f>SUM(BH$41,'Statistics NZ'!BI$41-'Statistics NZ'!BH$41,$F$13/5*(BI$9-BI$10)*1000)</f>
        <v>34380.144952687479</v>
      </c>
      <c r="BJ41" s="111">
        <f>SUM(BI$41,'Statistics NZ'!BJ$41-'Statistics NZ'!BI$41,$F$13/5*(BJ$9-BJ$10)*1000)</f>
        <v>34500.144952687479</v>
      </c>
      <c r="BK41" s="111">
        <f>SUM(BJ$41,'Statistics NZ'!BK$41-'Statistics NZ'!BJ$41,$F$13/5*(BK$9-BK$10)*1000)</f>
        <v>34590.144952687479</v>
      </c>
      <c r="BL41" s="111">
        <f>SUM(BK$41,'Statistics NZ'!BL$41-'Statistics NZ'!BK$41,$F$13/5*(BL$9-BL$10)*1000)</f>
        <v>34660.144952687479</v>
      </c>
      <c r="BM41" s="195">
        <f>SUM(BL$41,'Statistics NZ'!BM$41-'Statistics NZ'!BL$41,$F$13/5*(BM$9-BM$10)*1000)</f>
        <v>34690.144952687479</v>
      </c>
      <c r="BN41" s="195">
        <f>SUM(BM$41,'Statistics NZ'!BN$41-'Statistics NZ'!BM$41,$F$13/5*(BN$9-BN$10)*1000)</f>
        <v>34690.144952687479</v>
      </c>
      <c r="BO41" s="195">
        <f>SUM(BN$41,'Statistics NZ'!BO$41-'Statistics NZ'!BN$41,$F$13/5*(BO$9-BO$10)*1000)</f>
        <v>34660.144952687479</v>
      </c>
      <c r="BP41" s="195">
        <f>SUM(BO$41,'Statistics NZ'!BP$41-'Statistics NZ'!BO$41,$F$13/5*(BP$9-BP$10)*1000)</f>
        <v>34600.144952687479</v>
      </c>
      <c r="BQ41" s="195">
        <f>SUM(BP$41,'Statistics NZ'!BQ$41-'Statistics NZ'!BP$41,$F$13/5*(BQ$9-BQ$10)*1000)</f>
        <v>34530.144952687479</v>
      </c>
    </row>
    <row r="42" spans="1:69">
      <c r="A42" s="105">
        <v>25</v>
      </c>
      <c r="B42" s="118">
        <f>'Statistics NZ'!B$42*'Economic Forecasts'!D$9*1000000/SUM('Statistics NZ'!B$32:B$107,'Statistics NZ'!B$125:B$200)</f>
        <v>26735.409547616731</v>
      </c>
      <c r="C42" s="118">
        <f>'Statistics NZ'!C$42*'Economic Forecasts'!E$9*1000000/SUM('Statistics NZ'!C$32:C$107,'Statistics NZ'!C$125:C$200)</f>
        <v>27268.326511750725</v>
      </c>
      <c r="D42" s="118">
        <f>'Statistics NZ'!D$42*'Economic Forecasts'!F$9*1000000/SUM('Statistics NZ'!D$32:D$107,'Statistics NZ'!D$125:D$200)</f>
        <v>27646.372286162699</v>
      </c>
      <c r="E42" s="118">
        <f>'Statistics NZ'!E$42*'Economic Forecasts'!G$9*1000000/SUM('Statistics NZ'!E$32:E$107,'Statistics NZ'!E$125:E$200)</f>
        <v>27743.238285074214</v>
      </c>
      <c r="F42" s="118">
        <f>'Statistics NZ'!F$42*'Economic Forecasts'!H$9*1000000/SUM('Statistics NZ'!F$32:F$107,'Statistics NZ'!F$125:F$200)</f>
        <v>27840.680255509757</v>
      </c>
      <c r="G42" s="118">
        <f>'Statistics NZ'!G$42*'Economic Forecasts'!I$9*1000000/SUM('Statistics NZ'!G$32:G$107,'Statistics NZ'!G$125:G$200)</f>
        <v>27706.287234471358</v>
      </c>
      <c r="H42" s="118">
        <f>'Statistics NZ'!H$42*'Economic Forecasts'!J$9*1000000/SUM('Statistics NZ'!H$32:H$107,'Statistics NZ'!H$125:H$200)</f>
        <v>27608.608901225503</v>
      </c>
      <c r="I42" s="118">
        <f>'Statistics NZ'!I$42*'Economic Forecasts'!K$9*1000000/SUM('Statistics NZ'!I$32:I$107,'Statistics NZ'!I$125:I$200)</f>
        <v>28774.998174516244</v>
      </c>
      <c r="J42" s="203">
        <f>'Statistics NZ'!J$42*'Economic Forecasts'!L$9*1000000/SUM('Statistics NZ'!J$32:J$107,'Statistics NZ'!J$125:J$200)</f>
        <v>29888.270143100493</v>
      </c>
      <c r="K42" s="203">
        <f>'Statistics NZ'!K$42*'Economic Forecasts'!M$9*1000000/SUM('Statistics NZ'!K$32:K$107,'Statistics NZ'!K$125:K$200)</f>
        <v>32168.07465156016</v>
      </c>
      <c r="L42" s="203">
        <f>'Statistics NZ'!L$42*'Economic Forecasts'!N$9*1000000/SUM('Statistics NZ'!L$32:L$107,'Statistics NZ'!L$125:L$200)</f>
        <v>34254.215254684612</v>
      </c>
      <c r="M42" s="203">
        <f>'Statistics NZ'!M$42*'Economic Forecasts'!O$9*1000000/SUM('Statistics NZ'!M$32:M$107,'Statistics NZ'!M$125:M$200)</f>
        <v>34486.17131270605</v>
      </c>
      <c r="N42" s="203">
        <f>'Statistics NZ'!N$42*'Economic Forecasts'!P$9*1000000/SUM('Statistics NZ'!N$32:N$107,'Statistics NZ'!N$125:N$200)</f>
        <v>34519.983612029981</v>
      </c>
      <c r="O42" s="203">
        <f>'Statistics NZ'!O$42*'Economic Forecasts'!Q$9*1000000/SUM('Statistics NZ'!O$32:O$107,'Statistics NZ'!O$125:O$200)</f>
        <v>33888.305018604457</v>
      </c>
      <c r="P42" s="203">
        <f>'Statistics NZ'!P$42*'Economic Forecasts'!R$9*1000000/SUM('Statistics NZ'!P$32:P$107,'Statistics NZ'!P$125:P$200)</f>
        <v>34467.295973634144</v>
      </c>
      <c r="Q42" s="121">
        <f>SUM('Statistics NZ'!Q$42,$G$13/5*(Q$9-Q$10)*1000)*'Economic Forecasts'!S$9*1000000/SUM('Statistics NZ'!Q$32:Q$107,'Statistics NZ'!Q$125:Q$200,SUM($E$13:$Q$14)*(Q$9-Q$10)*1000)</f>
        <v>33522.911793255444</v>
      </c>
      <c r="R42" s="205">
        <f>SUM('Statistics NZ'!R$42,$G$13/5*(R$9-R$10)*1000)*'Economic Forecasts'!T$9*1000000/SUM('Statistics NZ'!R$32:R$107,'Statistics NZ'!R$125:R$200,SUM($E$13:$Q$14)*(R$9-R$10)*1000)</f>
        <v>32783.973549419294</v>
      </c>
      <c r="S42" s="205">
        <f>SUM('Statistics NZ'!S$42,$G$13/5*(S$9-S$10)*1000)*'Economic Forecasts'!U$9*1000000/SUM('Statistics NZ'!S$32:S$107,'Statistics NZ'!S$125:S$200,SUM($E$13:$Q$14)*(S$9-S$10)*1000)</f>
        <v>32548.507679725735</v>
      </c>
      <c r="T42" s="205">
        <f>SUM('Statistics NZ'!T$42,$G$13/5*(T$9-T$10)*1000)*'Economic Forecasts'!V$9*1000000/SUM('Statistics NZ'!T$32:T$107,'Statistics NZ'!T$125:T$200,SUM($E$13:$Q$14)*(T$9-T$10)*1000)</f>
        <v>32138.203075778219</v>
      </c>
      <c r="U42" s="205">
        <f>SUM('Statistics NZ'!U$42,$G$13/5*(U$9-U$10)*1000)*'Economic Forecasts'!W$9*1000000/SUM('Statistics NZ'!U$32:U$107,'Statistics NZ'!U$125:U$200,SUM($E$13:$Q$14)*(U$9-U$10)*1000)</f>
        <v>33116.484697561486</v>
      </c>
      <c r="V42" s="111">
        <f>SUM(U$42,'Statistics NZ'!V$42-'Statistics NZ'!U$42,$G$13/5*(V$9-V$10)*1000)</f>
        <v>33089.928171983251</v>
      </c>
      <c r="W42" s="111">
        <f>SUM(V$42,'Statistics NZ'!W$42-'Statistics NZ'!V$42,$G$13/5*(W$9-W$10)*1000)</f>
        <v>32439.191212102298</v>
      </c>
      <c r="X42" s="111">
        <f>SUM(W$42,'Statistics NZ'!X$42-'Statistics NZ'!W$42,$G$13/5*(X$9-X$10)*1000)</f>
        <v>32364.273817918624</v>
      </c>
      <c r="Y42" s="111">
        <f>SUM(X$42,'Statistics NZ'!Y$42-'Statistics NZ'!X$42,$G$13/5*(Y$9-Y$10)*1000)</f>
        <v>33395.175989432231</v>
      </c>
      <c r="Z42" s="111">
        <f>SUM(Y$42,'Statistics NZ'!Z$42-'Statistics NZ'!Y$42,$G$13/5*(Z$9-Z$10)*1000)</f>
        <v>33711.897726643117</v>
      </c>
      <c r="AA42" s="111">
        <f>SUM(Z$42,'Statistics NZ'!AA$42-'Statistics NZ'!Z$42,$G$13/5*(AA$9-AA$10)*1000)</f>
        <v>34664.439029551279</v>
      </c>
      <c r="AB42" s="111">
        <f>SUM(AA$42,'Statistics NZ'!AB$42-'Statistics NZ'!AA$42,$G$13/5*(AB$9-AB$10)*1000)</f>
        <v>36292.799898156722</v>
      </c>
      <c r="AC42" s="111">
        <f>SUM(AB$42,'Statistics NZ'!AC$42-'Statistics NZ'!AB$42,$G$13/5*(AC$9-AC$10)*1000)</f>
        <v>37616.98033245944</v>
      </c>
      <c r="AD42" s="111">
        <f>SUM(AC$42,'Statistics NZ'!AD$42-'Statistics NZ'!AC$42,$G$13/5*(AD$9-AD$10)*1000)</f>
        <v>37456.98033245944</v>
      </c>
      <c r="AE42" s="111">
        <f>SUM(AD$42,'Statistics NZ'!AE$42-'Statistics NZ'!AD$42,$G$13/5*(AE$9-AE$10)*1000)</f>
        <v>38476.98033245944</v>
      </c>
      <c r="AF42" s="111">
        <f>SUM(AE$42,'Statistics NZ'!AF$42-'Statistics NZ'!AE$42,$G$13/5*(AF$9-AF$10)*1000)</f>
        <v>38396.98033245944</v>
      </c>
      <c r="AG42" s="111">
        <f>SUM(AF$42,'Statistics NZ'!AG$42-'Statistics NZ'!AF$42,$G$13/5*(AG$9-AG$10)*1000)</f>
        <v>38296.98033245944</v>
      </c>
      <c r="AH42" s="111">
        <f>SUM(AG$42,'Statistics NZ'!AH$42-'Statistics NZ'!AG$42,$G$13/5*(AH$9-AH$10)*1000)</f>
        <v>38196.98033245944</v>
      </c>
      <c r="AI42" s="111">
        <f>SUM(AH$42,'Statistics NZ'!AI$42-'Statistics NZ'!AH$42,$G$13/5*(AI$9-AI$10)*1000)</f>
        <v>37086.98033245944</v>
      </c>
      <c r="AJ42" s="111">
        <f>SUM(AI$42,'Statistics NZ'!AJ$42-'Statistics NZ'!AI$42,$G$13/5*(AJ$9-AJ$10)*1000)</f>
        <v>37136.98033245944</v>
      </c>
      <c r="AK42" s="111">
        <f>SUM(AJ$42,'Statistics NZ'!AK$42-'Statistics NZ'!AJ$42,$G$13/5*(AK$9-AK$10)*1000)</f>
        <v>36776.98033245944</v>
      </c>
      <c r="AL42" s="111">
        <f>SUM(AK$42,'Statistics NZ'!AL$42-'Statistics NZ'!AK$42,$G$13/5*(AL$9-AL$10)*1000)</f>
        <v>37016.98033245944</v>
      </c>
      <c r="AM42" s="111">
        <f>SUM(AL$42,'Statistics NZ'!AM$42-'Statistics NZ'!AL$42,$G$13/5*(AM$9-AM$10)*1000)</f>
        <v>36196.98033245944</v>
      </c>
      <c r="AN42" s="111">
        <f>SUM(AM$42,'Statistics NZ'!AN$42-'Statistics NZ'!AM$42,$G$13/5*(AN$9-AN$10)*1000)</f>
        <v>35766.98033245944</v>
      </c>
      <c r="AO42" s="111">
        <f>SUM(AN$42,'Statistics NZ'!AO$42-'Statistics NZ'!AN$42,$G$13/5*(AO$9-AO$10)*1000)</f>
        <v>35916.98033245944</v>
      </c>
      <c r="AP42" s="111">
        <f>SUM(AO$42,'Statistics NZ'!AP$42-'Statistics NZ'!AO$42,$G$13/5*(AP$9-AP$10)*1000)</f>
        <v>35356.98033245944</v>
      </c>
      <c r="AQ42" s="111">
        <f>SUM(AP$42,'Statistics NZ'!AQ$42-'Statistics NZ'!AP$42,$G$13/5*(AQ$9-AQ$10)*1000)</f>
        <v>35326.98033245944</v>
      </c>
      <c r="AR42" s="111">
        <f>SUM(AQ$42,'Statistics NZ'!AR$42-'Statistics NZ'!AQ$42,$G$13/5*(AR$9-AR$10)*1000)</f>
        <v>35266.98033245944</v>
      </c>
      <c r="AS42" s="111">
        <f>SUM(AR$42,'Statistics NZ'!AS$42-'Statistics NZ'!AR$42,$G$13/5*(AS$9-AS$10)*1000)</f>
        <v>35196.98033245944</v>
      </c>
      <c r="AT42" s="111">
        <f>SUM(AS$42,'Statistics NZ'!AT$42-'Statistics NZ'!AS$42,$G$13/5*(AT$9-AT$10)*1000)</f>
        <v>35316.98033245944</v>
      </c>
      <c r="AU42" s="111">
        <f>SUM(AT$42,'Statistics NZ'!AU$42-'Statistics NZ'!AT$42,$G$13/5*(AU$9-AU$10)*1000)</f>
        <v>35396.98033245944</v>
      </c>
      <c r="AV42" s="111">
        <f>SUM(AU$42,'Statistics NZ'!AV$42-'Statistics NZ'!AU$42,$G$13/5*(AV$9-AV$10)*1000)</f>
        <v>35446.98033245944</v>
      </c>
      <c r="AW42" s="111">
        <f>SUM(AV$42,'Statistics NZ'!AW$42-'Statistics NZ'!AV$42,$G$13/5*(AW$9-AW$10)*1000)</f>
        <v>35486.98033245944</v>
      </c>
      <c r="AX42" s="111">
        <f>SUM(AW$42,'Statistics NZ'!AX$42-'Statistics NZ'!AW$42,$G$13/5*(AX$9-AX$10)*1000)</f>
        <v>35506.98033245944</v>
      </c>
      <c r="AY42" s="111">
        <f>SUM(AX$42,'Statistics NZ'!AY$42-'Statistics NZ'!AX$42,$G$13/5*(AY$9-AY$10)*1000)</f>
        <v>35536.98033245944</v>
      </c>
      <c r="AZ42" s="111">
        <f>SUM(AY$42,'Statistics NZ'!AZ$42-'Statistics NZ'!AY$42,$G$13/5*(AZ$9-AZ$10)*1000)</f>
        <v>35556.98033245944</v>
      </c>
      <c r="BA42" s="111">
        <f>SUM(AZ$42,'Statistics NZ'!BA$42-'Statistics NZ'!AZ$42,$G$13/5*(BA$9-BA$10)*1000)</f>
        <v>35596.98033245944</v>
      </c>
      <c r="BB42" s="111">
        <f>SUM(BA$42,'Statistics NZ'!BB$42-'Statistics NZ'!BA$42,$G$13/5*(BB$9-BB$10)*1000)</f>
        <v>35636.98033245944</v>
      </c>
      <c r="BC42" s="111">
        <f>SUM(BB$42,'Statistics NZ'!BC$42-'Statistics NZ'!BB$42,$G$13/5*(BC$9-BC$10)*1000)</f>
        <v>35706.98033245944</v>
      </c>
      <c r="BD42" s="111">
        <f>SUM(BC$42,'Statistics NZ'!BD$42-'Statistics NZ'!BC$42,$G$13/5*(BD$9-BD$10)*1000)</f>
        <v>35786.98033245944</v>
      </c>
      <c r="BE42" s="111">
        <f>SUM(BD$42,'Statistics NZ'!BE$42-'Statistics NZ'!BD$42,$G$13/5*(BE$9-BE$10)*1000)</f>
        <v>35906.98033245944</v>
      </c>
      <c r="BF42" s="111">
        <f>SUM(BE$42,'Statistics NZ'!BF$42-'Statistics NZ'!BE$42,$G$13/5*(BF$9-BF$10)*1000)</f>
        <v>36036.98033245944</v>
      </c>
      <c r="BG42" s="111">
        <f>SUM(BF$42,'Statistics NZ'!BG$42-'Statistics NZ'!BF$42,$G$13/5*(BG$9-BG$10)*1000)</f>
        <v>36186.98033245944</v>
      </c>
      <c r="BH42" s="111">
        <f>SUM(BG$42,'Statistics NZ'!BH$42-'Statistics NZ'!BG$42,$G$13/5*(BH$9-BH$10)*1000)</f>
        <v>36346.98033245944</v>
      </c>
      <c r="BI42" s="111">
        <f>SUM(BH$42,'Statistics NZ'!BI$42-'Statistics NZ'!BH$42,$G$13/5*(BI$9-BI$10)*1000)</f>
        <v>36506.98033245944</v>
      </c>
      <c r="BJ42" s="111">
        <f>SUM(BI$42,'Statistics NZ'!BJ$42-'Statistics NZ'!BI$42,$G$13/5*(BJ$9-BJ$10)*1000)</f>
        <v>36646.98033245944</v>
      </c>
      <c r="BK42" s="111">
        <f>SUM(BJ$42,'Statistics NZ'!BK$42-'Statistics NZ'!BJ$42,$G$13/5*(BK$9-BK$10)*1000)</f>
        <v>36766.98033245944</v>
      </c>
      <c r="BL42" s="111">
        <f>SUM(BK$42,'Statistics NZ'!BL$42-'Statistics NZ'!BK$42,$G$13/5*(BL$9-BL$10)*1000)</f>
        <v>36866.98033245944</v>
      </c>
      <c r="BM42" s="195">
        <f>SUM(BL$42,'Statistics NZ'!BM$42-'Statistics NZ'!BL$42,$G$13/5*(BM$9-BM$10)*1000)</f>
        <v>36926.98033245944</v>
      </c>
      <c r="BN42" s="195">
        <f>SUM(BM$42,'Statistics NZ'!BN$42-'Statistics NZ'!BM$42,$G$13/5*(BN$9-BN$10)*1000)</f>
        <v>36956.98033245944</v>
      </c>
      <c r="BO42" s="195">
        <f>SUM(BN$42,'Statistics NZ'!BO$42-'Statistics NZ'!BN$42,$G$13/5*(BO$9-BO$10)*1000)</f>
        <v>36956.98033245944</v>
      </c>
      <c r="BP42" s="195">
        <f>SUM(BO$42,'Statistics NZ'!BP$42-'Statistics NZ'!BO$42,$G$13/5*(BP$9-BP$10)*1000)</f>
        <v>36926.98033245944</v>
      </c>
      <c r="BQ42" s="195">
        <f>SUM(BP$42,'Statistics NZ'!BQ$42-'Statistics NZ'!BP$42,$G$13/5*(BQ$9-BQ$10)*1000)</f>
        <v>36876.98033245944</v>
      </c>
    </row>
    <row r="43" spans="1:69">
      <c r="A43" s="105">
        <v>26</v>
      </c>
      <c r="B43" s="118">
        <f>'Statistics NZ'!B$43*'Economic Forecasts'!D$9*1000000/SUM('Statistics NZ'!B$32:B$107,'Statistics NZ'!B$125:B$200)</f>
        <v>26410.329033588972</v>
      </c>
      <c r="C43" s="118">
        <f>'Statistics NZ'!C$43*'Economic Forecasts'!E$9*1000000/SUM('Statistics NZ'!C$32:C$107,'Statistics NZ'!C$125:C$200)</f>
        <v>26814.84024293636</v>
      </c>
      <c r="D43" s="118">
        <f>'Statistics NZ'!D$43*'Economic Forecasts'!F$9*1000000/SUM('Statistics NZ'!D$32:D$107,'Statistics NZ'!D$125:D$200)</f>
        <v>27114.142659263311</v>
      </c>
      <c r="E43" s="118">
        <f>'Statistics NZ'!E$43*'Economic Forecasts'!G$9*1000000/SUM('Statistics NZ'!E$32:E$107,'Statistics NZ'!E$125:E$200)</f>
        <v>27605.359216564797</v>
      </c>
      <c r="F43" s="118">
        <f>'Statistics NZ'!F$43*'Economic Forecasts'!H$9*1000000/SUM('Statistics NZ'!F$32:F$107,'Statistics NZ'!F$125:F$200)</f>
        <v>27870.235117776749</v>
      </c>
      <c r="G43" s="118">
        <f>'Statistics NZ'!G$43*'Economic Forecasts'!I$9*1000000/SUM('Statistics NZ'!G$32:G$107,'Statistics NZ'!G$125:G$200)</f>
        <v>27647.169978636786</v>
      </c>
      <c r="H43" s="118">
        <f>'Statistics NZ'!H$43*'Economic Forecasts'!J$9*1000000/SUM('Statistics NZ'!H$32:H$107,'Statistics NZ'!H$125:H$200)</f>
        <v>27559.360579960379</v>
      </c>
      <c r="I43" s="118">
        <f>'Statistics NZ'!I$43*'Economic Forecasts'!K$9*1000000/SUM('Statistics NZ'!I$32:I$107,'Statistics NZ'!I$125:I$200)</f>
        <v>27790.901109724309</v>
      </c>
      <c r="J43" s="203">
        <f>'Statistics NZ'!J$43*'Economic Forecasts'!L$9*1000000/SUM('Statistics NZ'!J$32:J$107,'Statistics NZ'!J$125:J$200)</f>
        <v>29780.157360603254</v>
      </c>
      <c r="K43" s="203">
        <f>'Statistics NZ'!K$43*'Economic Forecasts'!M$9*1000000/SUM('Statistics NZ'!K$32:K$107,'Statistics NZ'!K$125:K$200)</f>
        <v>31077.464912304455</v>
      </c>
      <c r="L43" s="203">
        <f>'Statistics NZ'!L$43*'Economic Forecasts'!N$9*1000000/SUM('Statistics NZ'!L$32:L$107,'Statistics NZ'!L$125:L$200)</f>
        <v>33820.866930588541</v>
      </c>
      <c r="M43" s="203">
        <f>'Statistics NZ'!M$43*'Economic Forecasts'!O$9*1000000/SUM('Statistics NZ'!M$32:M$107,'Statistics NZ'!M$125:M$200)</f>
        <v>35638.665469685948</v>
      </c>
      <c r="N43" s="203">
        <f>'Statistics NZ'!N$43*'Economic Forecasts'!P$9*1000000/SUM('Statistics NZ'!N$32:N$107,'Statistics NZ'!N$125:N$200)</f>
        <v>35783.150536655441</v>
      </c>
      <c r="O43" s="203">
        <f>'Statistics NZ'!O$43*'Economic Forecasts'!Q$9*1000000/SUM('Statistics NZ'!O$32:O$107,'Statistics NZ'!O$125:O$200)</f>
        <v>35467.259241952364</v>
      </c>
      <c r="P43" s="203">
        <f>'Statistics NZ'!P$43*'Economic Forecasts'!R$9*1000000/SUM('Statistics NZ'!P$32:P$107,'Statistics NZ'!P$125:P$200)</f>
        <v>35286.770498358186</v>
      </c>
      <c r="Q43" s="121">
        <f>SUM('Statistics NZ'!Q$43,$G$13/5*(Q$9-Q$10)*1000)*'Economic Forecasts'!S$9*1000000/SUM('Statistics NZ'!Q$32:Q$107,'Statistics NZ'!Q$125:Q$200,SUM($E$13:$Q$14)*(Q$9-Q$10)*1000)</f>
        <v>34481.894836331245</v>
      </c>
      <c r="R43" s="205">
        <f>SUM('Statistics NZ'!R$43,$G$13/5*(R$9-R$10)*1000)*'Economic Forecasts'!T$9*1000000/SUM('Statistics NZ'!R$32:R$107,'Statistics NZ'!R$125:R$200,SUM($E$13:$Q$14)*(R$9-R$10)*1000)</f>
        <v>33713.180385313717</v>
      </c>
      <c r="S43" s="205">
        <f>SUM('Statistics NZ'!S$43,$G$13/5*(S$9-S$10)*1000)*'Economic Forecasts'!U$9*1000000/SUM('Statistics NZ'!S$32:S$107,'Statistics NZ'!S$125:S$200,SUM($E$13:$Q$14)*(S$9-S$10)*1000)</f>
        <v>33170.941128301558</v>
      </c>
      <c r="T43" s="205">
        <f>SUM('Statistics NZ'!T$43,$G$13/5*(T$9-T$10)*1000)*'Economic Forecasts'!V$9*1000000/SUM('Statistics NZ'!T$32:T$107,'Statistics NZ'!T$125:T$200,SUM($E$13:$Q$14)*(T$9-T$10)*1000)</f>
        <v>33294.07933769103</v>
      </c>
      <c r="U43" s="205">
        <f>SUM('Statistics NZ'!U$43,$G$13/5*(U$9-U$10)*1000)*'Economic Forecasts'!W$9*1000000/SUM('Statistics NZ'!U$32:U$107,'Statistics NZ'!U$125:U$200,SUM($E$13:$Q$14)*(U$9-U$10)*1000)</f>
        <v>32928.534318834128</v>
      </c>
      <c r="V43" s="111">
        <f>SUM(U$43,'Statistics NZ'!V$43-'Statistics NZ'!U$43,$G$13/5*(V$9-V$10)*1000)</f>
        <v>34051.977793255894</v>
      </c>
      <c r="W43" s="111">
        <f>SUM(V$43,'Statistics NZ'!W$43-'Statistics NZ'!V$43,$G$13/5*(W$9-W$10)*1000)</f>
        <v>33981.240833374941</v>
      </c>
      <c r="X43" s="111">
        <f>SUM(W$43,'Statistics NZ'!X$43-'Statistics NZ'!W$43,$G$13/5*(X$9-X$10)*1000)</f>
        <v>33296.323439191263</v>
      </c>
      <c r="Y43" s="111">
        <f>SUM(X$43,'Statistics NZ'!Y$43-'Statistics NZ'!X$43,$G$13/5*(Y$9-Y$10)*1000)</f>
        <v>33167.225610704867</v>
      </c>
      <c r="Z43" s="111">
        <f>SUM(Y$43,'Statistics NZ'!Z$43-'Statistics NZ'!Y$43,$G$13/5*(Z$9-Z$10)*1000)</f>
        <v>34163.947347915753</v>
      </c>
      <c r="AA43" s="111">
        <f>SUM(Z$43,'Statistics NZ'!AA$43-'Statistics NZ'!Z$43,$G$13/5*(AA$9-AA$10)*1000)</f>
        <v>34436.488650823914</v>
      </c>
      <c r="AB43" s="111">
        <f>SUM(AA$43,'Statistics NZ'!AB$43-'Statistics NZ'!AA$43,$G$13/5*(AB$9-AB$10)*1000)</f>
        <v>35334.849519429357</v>
      </c>
      <c r="AC43" s="111">
        <f>SUM(AB$43,'Statistics NZ'!AC$43-'Statistics NZ'!AB$43,$G$13/5*(AC$9-AC$10)*1000)</f>
        <v>36919.029953732075</v>
      </c>
      <c r="AD43" s="111">
        <f>SUM(AC$43,'Statistics NZ'!AD$43-'Statistics NZ'!AC$43,$G$13/5*(AD$9-AD$10)*1000)</f>
        <v>38209.029953732075</v>
      </c>
      <c r="AE43" s="111">
        <f>SUM(AD$43,'Statistics NZ'!AE$43-'Statistics NZ'!AD$43,$G$13/5*(AE$9-AE$10)*1000)</f>
        <v>38039.029953732075</v>
      </c>
      <c r="AF43" s="111">
        <f>SUM(AE$43,'Statistics NZ'!AF$43-'Statistics NZ'!AE$43,$G$13/5*(AF$9-AF$10)*1000)</f>
        <v>39059.029953732075</v>
      </c>
      <c r="AG43" s="111">
        <f>SUM(AF$43,'Statistics NZ'!AG$43-'Statistics NZ'!AF$43,$G$13/5*(AG$9-AG$10)*1000)</f>
        <v>38979.029953732075</v>
      </c>
      <c r="AH43" s="111">
        <f>SUM(AG$43,'Statistics NZ'!AH$43-'Statistics NZ'!AG$43,$G$13/5*(AH$9-AH$10)*1000)</f>
        <v>38879.029953732075</v>
      </c>
      <c r="AI43" s="111">
        <f>SUM(AH$43,'Statistics NZ'!AI$43-'Statistics NZ'!AH$43,$G$13/5*(AI$9-AI$10)*1000)</f>
        <v>38779.029953732075</v>
      </c>
      <c r="AJ43" s="111">
        <f>SUM(AI$43,'Statistics NZ'!AJ$43-'Statistics NZ'!AI$43,$G$13/5*(AJ$9-AJ$10)*1000)</f>
        <v>37669.029953732075</v>
      </c>
      <c r="AK43" s="111">
        <f>SUM(AJ$43,'Statistics NZ'!AK$43-'Statistics NZ'!AJ$43,$G$13/5*(AK$9-AK$10)*1000)</f>
        <v>37729.029953732075</v>
      </c>
      <c r="AL43" s="111">
        <f>SUM(AK$43,'Statistics NZ'!AL$43-'Statistics NZ'!AK$43,$G$13/5*(AL$9-AL$10)*1000)</f>
        <v>37359.029953732075</v>
      </c>
      <c r="AM43" s="111">
        <f>SUM(AL$43,'Statistics NZ'!AM$43-'Statistics NZ'!AL$43,$G$13/5*(AM$9-AM$10)*1000)</f>
        <v>37599.029953732075</v>
      </c>
      <c r="AN43" s="111">
        <f>SUM(AM$43,'Statistics NZ'!AN$43-'Statistics NZ'!AM$43,$G$13/5*(AN$9-AN$10)*1000)</f>
        <v>36779.029953732075</v>
      </c>
      <c r="AO43" s="111">
        <f>SUM(AN$43,'Statistics NZ'!AO$43-'Statistics NZ'!AN$43,$G$13/5*(AO$9-AO$10)*1000)</f>
        <v>36359.029953732075</v>
      </c>
      <c r="AP43" s="111">
        <f>SUM(AO$43,'Statistics NZ'!AP$43-'Statistics NZ'!AO$43,$G$13/5*(AP$9-AP$10)*1000)</f>
        <v>36509.029953732075</v>
      </c>
      <c r="AQ43" s="111">
        <f>SUM(AP$43,'Statistics NZ'!AQ$43-'Statistics NZ'!AP$43,$G$13/5*(AQ$9-AQ$10)*1000)</f>
        <v>35939.029953732075</v>
      </c>
      <c r="AR43" s="111">
        <f>SUM(AQ$43,'Statistics NZ'!AR$43-'Statistics NZ'!AQ$43,$G$13/5*(AR$9-AR$10)*1000)</f>
        <v>35909.029953732075</v>
      </c>
      <c r="AS43" s="111">
        <f>SUM(AR$43,'Statistics NZ'!AS$43-'Statistics NZ'!AR$43,$G$13/5*(AS$9-AS$10)*1000)</f>
        <v>35849.029953732075</v>
      </c>
      <c r="AT43" s="111">
        <f>SUM(AS$43,'Statistics NZ'!AT$43-'Statistics NZ'!AS$43,$G$13/5*(AT$9-AT$10)*1000)</f>
        <v>35779.029953732075</v>
      </c>
      <c r="AU43" s="111">
        <f>SUM(AT$43,'Statistics NZ'!AU$43-'Statistics NZ'!AT$43,$G$13/5*(AU$9-AU$10)*1000)</f>
        <v>35899.029953732075</v>
      </c>
      <c r="AV43" s="111">
        <f>SUM(AU$43,'Statistics NZ'!AV$43-'Statistics NZ'!AU$43,$G$13/5*(AV$9-AV$10)*1000)</f>
        <v>35979.029953732075</v>
      </c>
      <c r="AW43" s="111">
        <f>SUM(AV$43,'Statistics NZ'!AW$43-'Statistics NZ'!AV$43,$G$13/5*(AW$9-AW$10)*1000)</f>
        <v>36029.029953732075</v>
      </c>
      <c r="AX43" s="111">
        <f>SUM(AW$43,'Statistics NZ'!AX$43-'Statistics NZ'!AW$43,$G$13/5*(AX$9-AX$10)*1000)</f>
        <v>36069.029953732075</v>
      </c>
      <c r="AY43" s="111">
        <f>SUM(AX$43,'Statistics NZ'!AY$43-'Statistics NZ'!AX$43,$G$13/5*(AY$9-AY$10)*1000)</f>
        <v>36099.029953732075</v>
      </c>
      <c r="AZ43" s="111">
        <f>SUM(AY$43,'Statistics NZ'!AZ$43-'Statistics NZ'!AY$43,$G$13/5*(AZ$9-AZ$10)*1000)</f>
        <v>36119.029953732075</v>
      </c>
      <c r="BA43" s="111">
        <f>SUM(AZ$43,'Statistics NZ'!BA$43-'Statistics NZ'!AZ$43,$G$13/5*(BA$9-BA$10)*1000)</f>
        <v>36149.029953732075</v>
      </c>
      <c r="BB43" s="111">
        <f>SUM(BA$43,'Statistics NZ'!BB$43-'Statistics NZ'!BA$43,$G$13/5*(BB$9-BB$10)*1000)</f>
        <v>36179.029953732075</v>
      </c>
      <c r="BC43" s="111">
        <f>SUM(BB$43,'Statistics NZ'!BC$43-'Statistics NZ'!BB$43,$G$13/5*(BC$9-BC$10)*1000)</f>
        <v>36229.029953732075</v>
      </c>
      <c r="BD43" s="111">
        <f>SUM(BC$43,'Statistics NZ'!BD$43-'Statistics NZ'!BC$43,$G$13/5*(BD$9-BD$10)*1000)</f>
        <v>36289.029953732075</v>
      </c>
      <c r="BE43" s="111">
        <f>SUM(BD$43,'Statistics NZ'!BE$43-'Statistics NZ'!BD$43,$G$13/5*(BE$9-BE$10)*1000)</f>
        <v>36379.029953732075</v>
      </c>
      <c r="BF43" s="111">
        <f>SUM(BE$43,'Statistics NZ'!BF$43-'Statistics NZ'!BE$43,$G$13/5*(BF$9-BF$10)*1000)</f>
        <v>36489.029953732075</v>
      </c>
      <c r="BG43" s="111">
        <f>SUM(BF$43,'Statistics NZ'!BG$43-'Statistics NZ'!BF$43,$G$13/5*(BG$9-BG$10)*1000)</f>
        <v>36619.029953732075</v>
      </c>
      <c r="BH43" s="111">
        <f>SUM(BG$43,'Statistics NZ'!BH$43-'Statistics NZ'!BG$43,$G$13/5*(BH$9-BH$10)*1000)</f>
        <v>36769.029953732075</v>
      </c>
      <c r="BI43" s="111">
        <f>SUM(BH$43,'Statistics NZ'!BI$43-'Statistics NZ'!BH$43,$G$13/5*(BI$9-BI$10)*1000)</f>
        <v>36929.029953732075</v>
      </c>
      <c r="BJ43" s="111">
        <f>SUM(BI$43,'Statistics NZ'!BJ$43-'Statistics NZ'!BI$43,$G$13/5*(BJ$9-BJ$10)*1000)</f>
        <v>37089.029953732075</v>
      </c>
      <c r="BK43" s="111">
        <f>SUM(BJ$43,'Statistics NZ'!BK$43-'Statistics NZ'!BJ$43,$G$13/5*(BK$9-BK$10)*1000)</f>
        <v>37239.029953732075</v>
      </c>
      <c r="BL43" s="111">
        <f>SUM(BK$43,'Statistics NZ'!BL$43-'Statistics NZ'!BK$43,$G$13/5*(BL$9-BL$10)*1000)</f>
        <v>37359.029953732075</v>
      </c>
      <c r="BM43" s="195">
        <f>SUM(BL$43,'Statistics NZ'!BM$43-'Statistics NZ'!BL$43,$G$13/5*(BM$9-BM$10)*1000)</f>
        <v>37449.029953732075</v>
      </c>
      <c r="BN43" s="195">
        <f>SUM(BM$43,'Statistics NZ'!BN$43-'Statistics NZ'!BM$43,$G$13/5*(BN$9-BN$10)*1000)</f>
        <v>37519.029953732075</v>
      </c>
      <c r="BO43" s="195">
        <f>SUM(BN$43,'Statistics NZ'!BO$43-'Statistics NZ'!BN$43,$G$13/5*(BO$9-BO$10)*1000)</f>
        <v>37549.029953732075</v>
      </c>
      <c r="BP43" s="195">
        <f>SUM(BO$43,'Statistics NZ'!BP$43-'Statistics NZ'!BO$43,$G$13/5*(BP$9-BP$10)*1000)</f>
        <v>37549.029953732075</v>
      </c>
      <c r="BQ43" s="195">
        <f>SUM(BP$43,'Statistics NZ'!BQ$43-'Statistics NZ'!BP$43,$G$13/5*(BQ$9-BQ$10)*1000)</f>
        <v>37519.029953732075</v>
      </c>
    </row>
    <row r="44" spans="1:69">
      <c r="A44" s="105">
        <v>27</v>
      </c>
      <c r="B44" s="118">
        <f>'Statistics NZ'!B$44*'Economic Forecasts'!D$9*1000000/SUM('Statistics NZ'!B$32:B$107,'Statistics NZ'!B$125:B$200)</f>
        <v>26390.627184253957</v>
      </c>
      <c r="C44" s="118">
        <f>'Statistics NZ'!C$44*'Economic Forecasts'!E$9*1000000/SUM('Statistics NZ'!C$32:C$107,'Statistics NZ'!C$125:C$200)</f>
        <v>26588.097108529179</v>
      </c>
      <c r="D44" s="118">
        <f>'Statistics NZ'!D$44*'Economic Forecasts'!F$9*1000000/SUM('Statistics NZ'!D$32:D$107,'Statistics NZ'!D$125:D$200)</f>
        <v>26857.883950015457</v>
      </c>
      <c r="E44" s="118">
        <f>'Statistics NZ'!E$44*'Economic Forecasts'!G$9*1000000/SUM('Statistics NZ'!E$32:E$107,'Statistics NZ'!E$125:E$200)</f>
        <v>27290.207059971832</v>
      </c>
      <c r="F44" s="118">
        <f>'Statistics NZ'!F$44*'Economic Forecasts'!H$9*1000000/SUM('Statistics NZ'!F$32:F$107,'Statistics NZ'!F$125:F$200)</f>
        <v>27850.531876265417</v>
      </c>
      <c r="G44" s="118">
        <f>'Statistics NZ'!G$44*'Economic Forecasts'!I$9*1000000/SUM('Statistics NZ'!G$32:G$107,'Statistics NZ'!G$125:G$200)</f>
        <v>27716.14011044379</v>
      </c>
      <c r="H44" s="118">
        <f>'Statistics NZ'!H$44*'Economic Forecasts'!J$9*1000000/SUM('Statistics NZ'!H$32:H$107,'Statistics NZ'!H$125:H$200)</f>
        <v>27628.308229731545</v>
      </c>
      <c r="I44" s="118">
        <f>'Statistics NZ'!I$44*'Economic Forecasts'!K$9*1000000/SUM('Statistics NZ'!I$32:I$107,'Statistics NZ'!I$125:I$200)</f>
        <v>27633.445579357598</v>
      </c>
      <c r="J44" s="203">
        <f>'Statistics NZ'!J$44*'Economic Forecasts'!L$9*1000000/SUM('Statistics NZ'!J$32:J$107,'Statistics NZ'!J$125:J$200)</f>
        <v>28699.029535630856</v>
      </c>
      <c r="K44" s="203">
        <f>'Statistics NZ'!K$44*'Economic Forecasts'!M$9*1000000/SUM('Statistics NZ'!K$32:K$107,'Statistics NZ'!K$125:K$200)</f>
        <v>31175.718041967131</v>
      </c>
      <c r="L44" s="203">
        <f>'Statistics NZ'!L$44*'Economic Forecasts'!N$9*1000000/SUM('Statistics NZ'!L$32:L$107,'Statistics NZ'!L$125:L$200)</f>
        <v>32757.193771443654</v>
      </c>
      <c r="M44" s="203">
        <f>'Statistics NZ'!M$44*'Economic Forecasts'!O$9*1000000/SUM('Statistics NZ'!M$32:M$107,'Statistics NZ'!M$125:M$200)</f>
        <v>35215.099241052318</v>
      </c>
      <c r="N44" s="203">
        <f>'Statistics NZ'!N$44*'Economic Forecasts'!P$9*1000000/SUM('Statistics NZ'!N$32:N$107,'Statistics NZ'!N$125:N$200)</f>
        <v>36947.632545294531</v>
      </c>
      <c r="O44" s="203">
        <f>'Statistics NZ'!O$44*'Economic Forecasts'!Q$9*1000000/SUM('Statistics NZ'!O$32:O$107,'Statistics NZ'!O$125:O$200)</f>
        <v>36740.291084526609</v>
      </c>
      <c r="P44" s="203">
        <f>'Statistics NZ'!P$44*'Economic Forecasts'!R$9*1000000/SUM('Statistics NZ'!P$32:P$107,'Statistics NZ'!P$125:P$200)</f>
        <v>37123.183288703636</v>
      </c>
      <c r="Q44" s="121">
        <f>SUM('Statistics NZ'!Q$44,$G$13/5*(Q$9-Q$10)*1000)*'Economic Forecasts'!S$9*1000000/SUM('Statistics NZ'!Q$32:Q$107,'Statistics NZ'!Q$125:Q$200,SUM($E$13:$Q$14)*(Q$9-Q$10)*1000)</f>
        <v>35332.127225037613</v>
      </c>
      <c r="R44" s="205">
        <f>SUM('Statistics NZ'!R$44,$G$13/5*(R$9-R$10)*1000)*'Economic Forecasts'!T$9*1000000/SUM('Statistics NZ'!R$32:R$107,'Statistics NZ'!R$125:R$200,SUM($E$13:$Q$14)*(R$9-R$10)*1000)</f>
        <v>34701.698295839691</v>
      </c>
      <c r="S44" s="205">
        <f>SUM('Statistics NZ'!S$44,$G$13/5*(S$9-S$10)*1000)*'Economic Forecasts'!U$9*1000000/SUM('Statistics NZ'!S$32:S$107,'Statistics NZ'!S$125:S$200,SUM($E$13:$Q$14)*(S$9-S$10)*1000)</f>
        <v>34119.411145179009</v>
      </c>
      <c r="T44" s="205">
        <f>SUM('Statistics NZ'!T$44,$G$13/5*(T$9-T$10)*1000)*'Economic Forecasts'!V$9*1000000/SUM('Statistics NZ'!T$32:T$107,'Statistics NZ'!T$125:T$200,SUM($E$13:$Q$14)*(T$9-T$10)*1000)</f>
        <v>33916.474247951781</v>
      </c>
      <c r="U44" s="205">
        <f>SUM('Statistics NZ'!U$44,$G$13/5*(U$9-U$10)*1000)*'Economic Forecasts'!W$9*1000000/SUM('Statistics NZ'!U$32:U$107,'Statistics NZ'!U$125:U$200,SUM($E$13:$Q$14)*(U$9-U$10)*1000)</f>
        <v>34085.912966786782</v>
      </c>
      <c r="V44" s="111">
        <f>SUM(U$44,'Statistics NZ'!V$44-'Statistics NZ'!U$44,$G$13/5*(V$9-V$10)*1000)</f>
        <v>33849.356441208547</v>
      </c>
      <c r="W44" s="111">
        <f>SUM(V$44,'Statistics NZ'!W$44-'Statistics NZ'!V$44,$G$13/5*(W$9-W$10)*1000)</f>
        <v>34938.619481327594</v>
      </c>
      <c r="X44" s="111">
        <f>SUM(W$44,'Statistics NZ'!X$44-'Statistics NZ'!W$44,$G$13/5*(X$9-X$10)*1000)</f>
        <v>34813.702087143916</v>
      </c>
      <c r="Y44" s="111">
        <f>SUM(X$44,'Statistics NZ'!Y$44-'Statistics NZ'!X$44,$G$13/5*(Y$9-Y$10)*1000)</f>
        <v>34084.60425865752</v>
      </c>
      <c r="Z44" s="111">
        <f>SUM(Y$44,'Statistics NZ'!Z$44-'Statistics NZ'!Y$44,$G$13/5*(Z$9-Z$10)*1000)</f>
        <v>33921.325995868407</v>
      </c>
      <c r="AA44" s="111">
        <f>SUM(Z$44,'Statistics NZ'!AA$44-'Statistics NZ'!Z$44,$G$13/5*(AA$9-AA$10)*1000)</f>
        <v>34863.867298776568</v>
      </c>
      <c r="AB44" s="111">
        <f>SUM(AA$44,'Statistics NZ'!AB$44-'Statistics NZ'!AA$44,$G$13/5*(AB$9-AB$10)*1000)</f>
        <v>35092.228167382011</v>
      </c>
      <c r="AC44" s="111">
        <f>SUM(AB$44,'Statistics NZ'!AC$44-'Statistics NZ'!AB$44,$G$13/5*(AC$9-AC$10)*1000)</f>
        <v>35946.408601684729</v>
      </c>
      <c r="AD44" s="111">
        <f>SUM(AC$44,'Statistics NZ'!AD$44-'Statistics NZ'!AC$44,$G$13/5*(AD$9-AD$10)*1000)</f>
        <v>37486.408601684729</v>
      </c>
      <c r="AE44" s="111">
        <f>SUM(AD$44,'Statistics NZ'!AE$44-'Statistics NZ'!AD$44,$G$13/5*(AE$9-AE$10)*1000)</f>
        <v>38776.408601684729</v>
      </c>
      <c r="AF44" s="111">
        <f>SUM(AE$44,'Statistics NZ'!AF$44-'Statistics NZ'!AE$44,$G$13/5*(AF$9-AF$10)*1000)</f>
        <v>38606.408601684729</v>
      </c>
      <c r="AG44" s="111">
        <f>SUM(AF$44,'Statistics NZ'!AG$44-'Statistics NZ'!AF$44,$G$13/5*(AG$9-AG$10)*1000)</f>
        <v>39636.408601684729</v>
      </c>
      <c r="AH44" s="111">
        <f>SUM(AG$44,'Statistics NZ'!AH$44-'Statistics NZ'!AG$44,$G$13/5*(AH$9-AH$10)*1000)</f>
        <v>39556.408601684729</v>
      </c>
      <c r="AI44" s="111">
        <f>SUM(AH$44,'Statistics NZ'!AI$44-'Statistics NZ'!AH$44,$G$13/5*(AI$9-AI$10)*1000)</f>
        <v>39446.408601684729</v>
      </c>
      <c r="AJ44" s="111">
        <f>SUM(AI$44,'Statistics NZ'!AJ$44-'Statistics NZ'!AI$44,$G$13/5*(AJ$9-AJ$10)*1000)</f>
        <v>39356.408601684729</v>
      </c>
      <c r="AK44" s="111">
        <f>SUM(AJ$44,'Statistics NZ'!AK$44-'Statistics NZ'!AJ$44,$G$13/5*(AK$9-AK$10)*1000)</f>
        <v>38236.408601684729</v>
      </c>
      <c r="AL44" s="111">
        <f>SUM(AK$44,'Statistics NZ'!AL$44-'Statistics NZ'!AK$44,$G$13/5*(AL$9-AL$10)*1000)</f>
        <v>38296.408601684729</v>
      </c>
      <c r="AM44" s="111">
        <f>SUM(AL$44,'Statistics NZ'!AM$44-'Statistics NZ'!AL$44,$G$13/5*(AM$9-AM$10)*1000)</f>
        <v>37926.408601684729</v>
      </c>
      <c r="AN44" s="111">
        <f>SUM(AM$44,'Statistics NZ'!AN$44-'Statistics NZ'!AM$44,$G$13/5*(AN$9-AN$10)*1000)</f>
        <v>38166.408601684729</v>
      </c>
      <c r="AO44" s="111">
        <f>SUM(AN$44,'Statistics NZ'!AO$44-'Statistics NZ'!AN$44,$G$13/5*(AO$9-AO$10)*1000)</f>
        <v>37346.408601684729</v>
      </c>
      <c r="AP44" s="111">
        <f>SUM(AO$44,'Statistics NZ'!AP$44-'Statistics NZ'!AO$44,$G$13/5*(AP$9-AP$10)*1000)</f>
        <v>36926.408601684729</v>
      </c>
      <c r="AQ44" s="111">
        <f>SUM(AP$44,'Statistics NZ'!AQ$44-'Statistics NZ'!AP$44,$G$13/5*(AQ$9-AQ$10)*1000)</f>
        <v>37076.408601684729</v>
      </c>
      <c r="AR44" s="111">
        <f>SUM(AQ$44,'Statistics NZ'!AR$44-'Statistics NZ'!AQ$44,$G$13/5*(AR$9-AR$10)*1000)</f>
        <v>36516.408601684729</v>
      </c>
      <c r="AS44" s="111">
        <f>SUM(AR$44,'Statistics NZ'!AS$44-'Statistics NZ'!AR$44,$G$13/5*(AS$9-AS$10)*1000)</f>
        <v>36486.408601684729</v>
      </c>
      <c r="AT44" s="111">
        <f>SUM(AS$44,'Statistics NZ'!AT$44-'Statistics NZ'!AS$44,$G$13/5*(AT$9-AT$10)*1000)</f>
        <v>36426.408601684729</v>
      </c>
      <c r="AU44" s="111">
        <f>SUM(AT$44,'Statistics NZ'!AU$44-'Statistics NZ'!AT$44,$G$13/5*(AU$9-AU$10)*1000)</f>
        <v>36356.408601684729</v>
      </c>
      <c r="AV44" s="111">
        <f>SUM(AU$44,'Statistics NZ'!AV$44-'Statistics NZ'!AU$44,$G$13/5*(AV$9-AV$10)*1000)</f>
        <v>36476.408601684729</v>
      </c>
      <c r="AW44" s="111">
        <f>SUM(AV$44,'Statistics NZ'!AW$44-'Statistics NZ'!AV$44,$G$13/5*(AW$9-AW$10)*1000)</f>
        <v>36556.408601684729</v>
      </c>
      <c r="AX44" s="111">
        <f>SUM(AW$44,'Statistics NZ'!AX$44-'Statistics NZ'!AW$44,$G$13/5*(AX$9-AX$10)*1000)</f>
        <v>36606.408601684729</v>
      </c>
      <c r="AY44" s="111">
        <f>SUM(AX$44,'Statistics NZ'!AY$44-'Statistics NZ'!AX$44,$G$13/5*(AY$9-AY$10)*1000)</f>
        <v>36646.408601684729</v>
      </c>
      <c r="AZ44" s="111">
        <f>SUM(AY$44,'Statistics NZ'!AZ$44-'Statistics NZ'!AY$44,$G$13/5*(AZ$9-AZ$10)*1000)</f>
        <v>36666.408601684729</v>
      </c>
      <c r="BA44" s="111">
        <f>SUM(AZ$44,'Statistics NZ'!BA$44-'Statistics NZ'!AZ$44,$G$13/5*(BA$9-BA$10)*1000)</f>
        <v>36696.408601684729</v>
      </c>
      <c r="BB44" s="111">
        <f>SUM(BA$44,'Statistics NZ'!BB$44-'Statistics NZ'!BA$44,$G$13/5*(BB$9-BB$10)*1000)</f>
        <v>36716.408601684729</v>
      </c>
      <c r="BC44" s="111">
        <f>SUM(BB$44,'Statistics NZ'!BC$44-'Statistics NZ'!BB$44,$G$13/5*(BC$9-BC$10)*1000)</f>
        <v>36756.408601684729</v>
      </c>
      <c r="BD44" s="111">
        <f>SUM(BC$44,'Statistics NZ'!BD$44-'Statistics NZ'!BC$44,$G$13/5*(BD$9-BD$10)*1000)</f>
        <v>36796.408601684729</v>
      </c>
      <c r="BE44" s="111">
        <f>SUM(BD$44,'Statistics NZ'!BE$44-'Statistics NZ'!BD$44,$G$13/5*(BE$9-BE$10)*1000)</f>
        <v>36866.408601684729</v>
      </c>
      <c r="BF44" s="111">
        <f>SUM(BE$44,'Statistics NZ'!BF$44-'Statistics NZ'!BE$44,$G$13/5*(BF$9-BF$10)*1000)</f>
        <v>36956.408601684729</v>
      </c>
      <c r="BG44" s="111">
        <f>SUM(BF$44,'Statistics NZ'!BG$44-'Statistics NZ'!BF$44,$G$13/5*(BG$9-BG$10)*1000)</f>
        <v>37066.408601684729</v>
      </c>
      <c r="BH44" s="111">
        <f>SUM(BG$44,'Statistics NZ'!BH$44-'Statistics NZ'!BG$44,$G$13/5*(BH$9-BH$10)*1000)</f>
        <v>37196.408601684729</v>
      </c>
      <c r="BI44" s="111">
        <f>SUM(BH$44,'Statistics NZ'!BI$44-'Statistics NZ'!BH$44,$G$13/5*(BI$9-BI$10)*1000)</f>
        <v>37346.408601684729</v>
      </c>
      <c r="BJ44" s="111">
        <f>SUM(BI$44,'Statistics NZ'!BJ$44-'Statistics NZ'!BI$44,$G$13/5*(BJ$9-BJ$10)*1000)</f>
        <v>37506.408601684729</v>
      </c>
      <c r="BK44" s="111">
        <f>SUM(BJ$44,'Statistics NZ'!BK$44-'Statistics NZ'!BJ$44,$G$13/5*(BK$9-BK$10)*1000)</f>
        <v>37666.408601684729</v>
      </c>
      <c r="BL44" s="111">
        <f>SUM(BK$44,'Statistics NZ'!BL$44-'Statistics NZ'!BK$44,$G$13/5*(BL$9-BL$10)*1000)</f>
        <v>37806.408601684729</v>
      </c>
      <c r="BM44" s="195">
        <f>SUM(BL$44,'Statistics NZ'!BM$44-'Statistics NZ'!BL$44,$G$13/5*(BM$9-BM$10)*1000)</f>
        <v>37926.408601684729</v>
      </c>
      <c r="BN44" s="195">
        <f>SUM(BM$44,'Statistics NZ'!BN$44-'Statistics NZ'!BM$44,$G$13/5*(BN$9-BN$10)*1000)</f>
        <v>38026.408601684729</v>
      </c>
      <c r="BO44" s="195">
        <f>SUM(BN$44,'Statistics NZ'!BO$44-'Statistics NZ'!BN$44,$G$13/5*(BO$9-BO$10)*1000)</f>
        <v>38086.408601684729</v>
      </c>
      <c r="BP44" s="195">
        <f>SUM(BO$44,'Statistics NZ'!BP$44-'Statistics NZ'!BO$44,$G$13/5*(BP$9-BP$10)*1000)</f>
        <v>38126.408601684729</v>
      </c>
      <c r="BQ44" s="195">
        <f>SUM(BP$44,'Statistics NZ'!BQ$44-'Statistics NZ'!BP$44,$G$13/5*(BQ$9-BQ$10)*1000)</f>
        <v>38126.408601684729</v>
      </c>
    </row>
    <row r="45" spans="1:69">
      <c r="A45" s="105">
        <v>28</v>
      </c>
      <c r="B45" s="118">
        <f>'Statistics NZ'!B$45*'Economic Forecasts'!D$9*1000000/SUM('Statistics NZ'!B$32:B$107,'Statistics NZ'!B$125:B$200)</f>
        <v>25661.658758858357</v>
      </c>
      <c r="C45" s="118">
        <f>'Statistics NZ'!C$45*'Economic Forecasts'!E$9*1000000/SUM('Statistics NZ'!C$32:C$107,'Statistics NZ'!C$125:C$200)</f>
        <v>26716.256271454979</v>
      </c>
      <c r="D45" s="118">
        <f>'Statistics NZ'!D$45*'Economic Forecasts'!F$9*1000000/SUM('Statistics NZ'!D$32:D$107,'Statistics NZ'!D$125:D$200)</f>
        <v>26788.891220602574</v>
      </c>
      <c r="E45" s="118">
        <f>'Statistics NZ'!E$45*'Economic Forecasts'!G$9*1000000/SUM('Statistics NZ'!E$32:E$107,'Statistics NZ'!E$125:E$200)</f>
        <v>27122.782476781824</v>
      </c>
      <c r="F45" s="118">
        <f>'Statistics NZ'!F$45*'Economic Forecasts'!H$9*1000000/SUM('Statistics NZ'!F$32:F$107,'Statistics NZ'!F$125:F$200)</f>
        <v>27505.725149817139</v>
      </c>
      <c r="G45" s="118">
        <f>'Statistics NZ'!G$45*'Economic Forecasts'!I$9*1000000/SUM('Statistics NZ'!G$32:G$107,'Statistics NZ'!G$125:G$200)</f>
        <v>27932.903381837234</v>
      </c>
      <c r="H45" s="118">
        <f>'Statistics NZ'!H$45*'Economic Forecasts'!J$9*1000000/SUM('Statistics NZ'!H$32:H$107,'Statistics NZ'!H$125:H$200)</f>
        <v>27707.105543755733</v>
      </c>
      <c r="I45" s="118">
        <f>'Statistics NZ'!I$45*'Economic Forecasts'!K$9*1000000/SUM('Statistics NZ'!I$32:I$107,'Statistics NZ'!I$125:I$200)</f>
        <v>27840.105962963906</v>
      </c>
      <c r="J45" s="203">
        <f>'Statistics NZ'!J$45*'Economic Forecasts'!L$9*1000000/SUM('Statistics NZ'!J$32:J$107,'Statistics NZ'!J$125:J$200)</f>
        <v>28492.632405408855</v>
      </c>
      <c r="K45" s="203">
        <f>'Statistics NZ'!K$45*'Economic Forecasts'!M$9*1000000/SUM('Statistics NZ'!K$32:K$107,'Statistics NZ'!K$125:K$200)</f>
        <v>29977.029860082483</v>
      </c>
      <c r="L45" s="203">
        <f>'Statistics NZ'!L$45*'Economic Forecasts'!N$9*1000000/SUM('Statistics NZ'!L$32:L$107,'Statistics NZ'!L$125:L$200)</f>
        <v>32934.472631301134</v>
      </c>
      <c r="M45" s="203">
        <f>'Statistics NZ'!M$45*'Economic Forecasts'!O$9*1000000/SUM('Statistics NZ'!M$32:M$107,'Statistics NZ'!M$125:M$200)</f>
        <v>34377.817161195126</v>
      </c>
      <c r="N45" s="203">
        <f>'Statistics NZ'!N$45*'Economic Forecasts'!P$9*1000000/SUM('Statistics NZ'!N$32:N$107,'Statistics NZ'!N$125:N$200)</f>
        <v>36602.235339342253</v>
      </c>
      <c r="O45" s="203">
        <f>'Statistics NZ'!O$45*'Economic Forecasts'!Q$9*1000000/SUM('Statistics NZ'!O$32:O$107,'Statistics NZ'!O$125:O$200)</f>
        <v>37648.189762951661</v>
      </c>
      <c r="P45" s="203">
        <f>'Statistics NZ'!P$45*'Economic Forecasts'!R$9*1000000/SUM('Statistics NZ'!P$32:P$107,'Statistics NZ'!P$125:P$200)</f>
        <v>38426.443978626208</v>
      </c>
      <c r="Q45" s="121">
        <f>SUM('Statistics NZ'!Q$45,$G$13/5*(Q$9-Q$10)*1000)*'Economic Forecasts'!S$9*1000000/SUM('Statistics NZ'!Q$32:Q$107,'Statistics NZ'!Q$125:Q$200,SUM($E$13:$Q$14)*(Q$9-Q$10)*1000)</f>
        <v>37190.774772442244</v>
      </c>
      <c r="R45" s="205">
        <f>SUM('Statistics NZ'!R$45,$G$13/5*(R$9-R$10)*1000)*'Economic Forecasts'!T$9*1000000/SUM('Statistics NZ'!R$32:R$107,'Statistics NZ'!R$125:R$200,SUM($E$13:$Q$14)*(R$9-R$10)*1000)</f>
        <v>35571.594057102564</v>
      </c>
      <c r="S45" s="205">
        <f>SUM('Statistics NZ'!S$45,$G$13/5*(S$9-S$10)*1000)*'Economic Forecasts'!U$9*1000000/SUM('Statistics NZ'!S$32:S$107,'Statistics NZ'!S$125:S$200,SUM($E$13:$Q$14)*(S$9-S$10)*1000)</f>
        <v>35137.040434120434</v>
      </c>
      <c r="T45" s="205">
        <f>SUM('Statistics NZ'!T$45,$G$13/5*(T$9-T$10)*1000)*'Economic Forecasts'!V$9*1000000/SUM('Statistics NZ'!T$32:T$107,'Statistics NZ'!T$125:T$200,SUM($E$13:$Q$14)*(T$9-T$10)*1000)</f>
        <v>34924.161245516792</v>
      </c>
      <c r="U45" s="205">
        <f>SUM('Statistics NZ'!U$45,$G$13/5*(U$9-U$10)*1000)*'Economic Forecasts'!W$9*1000000/SUM('Statistics NZ'!U$32:U$107,'Statistics NZ'!U$125:U$200,SUM($E$13:$Q$14)*(U$9-U$10)*1000)</f>
        <v>34768.469605322964</v>
      </c>
      <c r="V45" s="111">
        <f>SUM(U$45,'Statistics NZ'!V$45-'Statistics NZ'!U$45,$G$13/5*(V$9-V$10)*1000)</f>
        <v>35081.913079744729</v>
      </c>
      <c r="W45" s="111">
        <f>SUM(V$45,'Statistics NZ'!W$45-'Statistics NZ'!V$45,$G$13/5*(W$9-W$10)*1000)</f>
        <v>34791.176119863776</v>
      </c>
      <c r="X45" s="111">
        <f>SUM(W$45,'Statistics NZ'!X$45-'Statistics NZ'!W$45,$G$13/5*(X$9-X$10)*1000)</f>
        <v>35836.258725680098</v>
      </c>
      <c r="Y45" s="111">
        <f>SUM(X$45,'Statistics NZ'!Y$45-'Statistics NZ'!X$45,$G$13/5*(Y$9-Y$10)*1000)</f>
        <v>35677.160897193702</v>
      </c>
      <c r="Z45" s="111">
        <f>SUM(Y$45,'Statistics NZ'!Z$45-'Statistics NZ'!Y$45,$G$13/5*(Z$9-Z$10)*1000)</f>
        <v>34893.882634404588</v>
      </c>
      <c r="AA45" s="111">
        <f>SUM(Z$45,'Statistics NZ'!AA$45-'Statistics NZ'!Z$45,$G$13/5*(AA$9-AA$10)*1000)</f>
        <v>34686.423937312749</v>
      </c>
      <c r="AB45" s="111">
        <f>SUM(AA$45,'Statistics NZ'!AB$45-'Statistics NZ'!AA$45,$G$13/5*(AB$9-AB$10)*1000)</f>
        <v>35584.784805918192</v>
      </c>
      <c r="AC45" s="111">
        <f>SUM(AB$45,'Statistics NZ'!AC$45-'Statistics NZ'!AB$45,$G$13/5*(AC$9-AC$10)*1000)</f>
        <v>35768.96524022091</v>
      </c>
      <c r="AD45" s="111">
        <f>SUM(AC$45,'Statistics NZ'!AD$45-'Statistics NZ'!AC$45,$G$13/5*(AD$9-AD$10)*1000)</f>
        <v>36588.96524022091</v>
      </c>
      <c r="AE45" s="111">
        <f>SUM(AD$45,'Statistics NZ'!AE$45-'Statistics NZ'!AD$45,$G$13/5*(AE$9-AE$10)*1000)</f>
        <v>38128.96524022091</v>
      </c>
      <c r="AF45" s="111">
        <f>SUM(AE$45,'Statistics NZ'!AF$45-'Statistics NZ'!AE$45,$G$13/5*(AF$9-AF$10)*1000)</f>
        <v>39408.96524022091</v>
      </c>
      <c r="AG45" s="111">
        <f>SUM(AF$45,'Statistics NZ'!AG$45-'Statistics NZ'!AF$45,$G$13/5*(AG$9-AG$10)*1000)</f>
        <v>39248.96524022091</v>
      </c>
      <c r="AH45" s="111">
        <f>SUM(AG$45,'Statistics NZ'!AH$45-'Statistics NZ'!AG$45,$G$13/5*(AH$9-AH$10)*1000)</f>
        <v>40268.96524022091</v>
      </c>
      <c r="AI45" s="111">
        <f>SUM(AH$45,'Statistics NZ'!AI$45-'Statistics NZ'!AH$45,$G$13/5*(AI$9-AI$10)*1000)</f>
        <v>40188.96524022091</v>
      </c>
      <c r="AJ45" s="111">
        <f>SUM(AI$45,'Statistics NZ'!AJ$45-'Statistics NZ'!AI$45,$G$13/5*(AJ$9-AJ$10)*1000)</f>
        <v>40078.96524022091</v>
      </c>
      <c r="AK45" s="111">
        <f>SUM(AJ$45,'Statistics NZ'!AK$45-'Statistics NZ'!AJ$45,$G$13/5*(AK$9-AK$10)*1000)</f>
        <v>39988.96524022091</v>
      </c>
      <c r="AL45" s="111">
        <f>SUM(AK$45,'Statistics NZ'!AL$45-'Statistics NZ'!AK$45,$G$13/5*(AL$9-AL$10)*1000)</f>
        <v>38878.96524022091</v>
      </c>
      <c r="AM45" s="111">
        <f>SUM(AL$45,'Statistics NZ'!AM$45-'Statistics NZ'!AL$45,$G$13/5*(AM$9-AM$10)*1000)</f>
        <v>38928.96524022091</v>
      </c>
      <c r="AN45" s="111">
        <f>SUM(AM$45,'Statistics NZ'!AN$45-'Statistics NZ'!AM$45,$G$13/5*(AN$9-AN$10)*1000)</f>
        <v>38568.96524022091</v>
      </c>
      <c r="AO45" s="111">
        <f>SUM(AN$45,'Statistics NZ'!AO$45-'Statistics NZ'!AN$45,$G$13/5*(AO$9-AO$10)*1000)</f>
        <v>38808.96524022091</v>
      </c>
      <c r="AP45" s="111">
        <f>SUM(AO$45,'Statistics NZ'!AP$45-'Statistics NZ'!AO$45,$G$13/5*(AP$9-AP$10)*1000)</f>
        <v>37988.96524022091</v>
      </c>
      <c r="AQ45" s="111">
        <f>SUM(AP$45,'Statistics NZ'!AQ$45-'Statistics NZ'!AP$45,$G$13/5*(AQ$9-AQ$10)*1000)</f>
        <v>37568.96524022091</v>
      </c>
      <c r="AR45" s="111">
        <f>SUM(AQ$45,'Statistics NZ'!AR$45-'Statistics NZ'!AQ$45,$G$13/5*(AR$9-AR$10)*1000)</f>
        <v>37718.96524022091</v>
      </c>
      <c r="AS45" s="111">
        <f>SUM(AR$45,'Statistics NZ'!AS$45-'Statistics NZ'!AR$45,$G$13/5*(AS$9-AS$10)*1000)</f>
        <v>37148.96524022091</v>
      </c>
      <c r="AT45" s="111">
        <f>SUM(AS$45,'Statistics NZ'!AT$45-'Statistics NZ'!AS$45,$G$13/5*(AT$9-AT$10)*1000)</f>
        <v>37118.96524022091</v>
      </c>
      <c r="AU45" s="111">
        <f>SUM(AT$45,'Statistics NZ'!AU$45-'Statistics NZ'!AT$45,$G$13/5*(AU$9-AU$10)*1000)</f>
        <v>37068.96524022091</v>
      </c>
      <c r="AV45" s="111">
        <f>SUM(AU$45,'Statistics NZ'!AV$45-'Statistics NZ'!AU$45,$G$13/5*(AV$9-AV$10)*1000)</f>
        <v>36988.96524022091</v>
      </c>
      <c r="AW45" s="111">
        <f>SUM(AV$45,'Statistics NZ'!AW$45-'Statistics NZ'!AV$45,$G$13/5*(AW$9-AW$10)*1000)</f>
        <v>37108.96524022091</v>
      </c>
      <c r="AX45" s="111">
        <f>SUM(AW$45,'Statistics NZ'!AX$45-'Statistics NZ'!AW$45,$G$13/5*(AX$9-AX$10)*1000)</f>
        <v>37188.96524022091</v>
      </c>
      <c r="AY45" s="111">
        <f>SUM(AX$45,'Statistics NZ'!AY$45-'Statistics NZ'!AX$45,$G$13/5*(AY$9-AY$10)*1000)</f>
        <v>37248.96524022091</v>
      </c>
      <c r="AZ45" s="111">
        <f>SUM(AY$45,'Statistics NZ'!AZ$45-'Statistics NZ'!AY$45,$G$13/5*(AZ$9-AZ$10)*1000)</f>
        <v>37278.96524022091</v>
      </c>
      <c r="BA45" s="111">
        <f>SUM(AZ$45,'Statistics NZ'!BA$45-'Statistics NZ'!AZ$45,$G$13/5*(BA$9-BA$10)*1000)</f>
        <v>37308.96524022091</v>
      </c>
      <c r="BB45" s="111">
        <f>SUM(BA$45,'Statistics NZ'!BB$45-'Statistics NZ'!BA$45,$G$13/5*(BB$9-BB$10)*1000)</f>
        <v>37328.96524022091</v>
      </c>
      <c r="BC45" s="111">
        <f>SUM(BB$45,'Statistics NZ'!BC$45-'Statistics NZ'!BB$45,$G$13/5*(BC$9-BC$10)*1000)</f>
        <v>37358.96524022091</v>
      </c>
      <c r="BD45" s="111">
        <f>SUM(BC$45,'Statistics NZ'!BD$45-'Statistics NZ'!BC$45,$G$13/5*(BD$9-BD$10)*1000)</f>
        <v>37388.96524022091</v>
      </c>
      <c r="BE45" s="111">
        <f>SUM(BD$45,'Statistics NZ'!BE$45-'Statistics NZ'!BD$45,$G$13/5*(BE$9-BE$10)*1000)</f>
        <v>37438.96524022091</v>
      </c>
      <c r="BF45" s="111">
        <f>SUM(BE$45,'Statistics NZ'!BF$45-'Statistics NZ'!BE$45,$G$13/5*(BF$9-BF$10)*1000)</f>
        <v>37498.96524022091</v>
      </c>
      <c r="BG45" s="111">
        <f>SUM(BF$45,'Statistics NZ'!BG$45-'Statistics NZ'!BF$45,$G$13/5*(BG$9-BG$10)*1000)</f>
        <v>37588.96524022091</v>
      </c>
      <c r="BH45" s="111">
        <f>SUM(BG$45,'Statistics NZ'!BH$45-'Statistics NZ'!BG$45,$G$13/5*(BH$9-BH$10)*1000)</f>
        <v>37698.96524022091</v>
      </c>
      <c r="BI45" s="111">
        <f>SUM(BH$45,'Statistics NZ'!BI$45-'Statistics NZ'!BH$45,$G$13/5*(BI$9-BI$10)*1000)</f>
        <v>37838.96524022091</v>
      </c>
      <c r="BJ45" s="111">
        <f>SUM(BI$45,'Statistics NZ'!BJ$45-'Statistics NZ'!BI$45,$G$13/5*(BJ$9-BJ$10)*1000)</f>
        <v>37978.96524022091</v>
      </c>
      <c r="BK45" s="111">
        <f>SUM(BJ$45,'Statistics NZ'!BK$45-'Statistics NZ'!BJ$45,$G$13/5*(BK$9-BK$10)*1000)</f>
        <v>38148.96524022091</v>
      </c>
      <c r="BL45" s="111">
        <f>SUM(BK$45,'Statistics NZ'!BL$45-'Statistics NZ'!BK$45,$G$13/5*(BL$9-BL$10)*1000)</f>
        <v>38308.96524022091</v>
      </c>
      <c r="BM45" s="195">
        <f>SUM(BL$45,'Statistics NZ'!BM$45-'Statistics NZ'!BL$45,$G$13/5*(BM$9-BM$10)*1000)</f>
        <v>38448.96524022091</v>
      </c>
      <c r="BN45" s="195">
        <f>SUM(BM$45,'Statistics NZ'!BN$45-'Statistics NZ'!BM$45,$G$13/5*(BN$9-BN$10)*1000)</f>
        <v>38568.96524022091</v>
      </c>
      <c r="BO45" s="195">
        <f>SUM(BN$45,'Statistics NZ'!BO$45-'Statistics NZ'!BN$45,$G$13/5*(BO$9-BO$10)*1000)</f>
        <v>38668.96524022091</v>
      </c>
      <c r="BP45" s="195">
        <f>SUM(BO$45,'Statistics NZ'!BP$45-'Statistics NZ'!BO$45,$G$13/5*(BP$9-BP$10)*1000)</f>
        <v>38728.96524022091</v>
      </c>
      <c r="BQ45" s="195">
        <f>SUM(BP$45,'Statistics NZ'!BQ$45-'Statistics NZ'!BP$45,$G$13/5*(BQ$9-BQ$10)*1000)</f>
        <v>38758.96524022091</v>
      </c>
    </row>
    <row r="46" spans="1:69">
      <c r="A46" s="105">
        <v>29</v>
      </c>
      <c r="B46" s="118">
        <f>'Statistics NZ'!B$46*'Economic Forecasts'!D$9*1000000/SUM('Statistics NZ'!B$32:B$107,'Statistics NZ'!B$125:B$200)</f>
        <v>26410.329033588972</v>
      </c>
      <c r="C46" s="118">
        <f>'Statistics NZ'!C$46*'Economic Forecasts'!E$9*1000000/SUM('Statistics NZ'!C$32:C$107,'Statistics NZ'!C$125:C$200)</f>
        <v>26174.044428307367</v>
      </c>
      <c r="D46" s="118">
        <f>'Statistics NZ'!D$46*'Economic Forecasts'!F$9*1000000/SUM('Statistics NZ'!D$32:D$107,'Statistics NZ'!D$125:D$200)</f>
        <v>27045.149929850428</v>
      </c>
      <c r="E46" s="118">
        <f>'Statistics NZ'!E$46*'Economic Forecasts'!G$9*1000000/SUM('Statistics NZ'!E$32:E$107,'Statistics NZ'!E$125:E$200)</f>
        <v>27132.630981675353</v>
      </c>
      <c r="F46" s="118">
        <f>'Statistics NZ'!F$46*'Economic Forecasts'!H$9*1000000/SUM('Statistics NZ'!F$32:F$107,'Statistics NZ'!F$125:F$200)</f>
        <v>27397.357321504824</v>
      </c>
      <c r="G46" s="118">
        <f>'Statistics NZ'!G$46*'Economic Forecasts'!I$9*1000000/SUM('Statistics NZ'!G$32:G$107,'Statistics NZ'!G$125:G$200)</f>
        <v>27725.992986416219</v>
      </c>
      <c r="H46" s="118">
        <f>'Statistics NZ'!H$46*'Economic Forecasts'!J$9*1000000/SUM('Statistics NZ'!H$32:H$107,'Statistics NZ'!H$125:H$200)</f>
        <v>27943.497485828306</v>
      </c>
      <c r="I46" s="118">
        <f>'Statistics NZ'!I$46*'Economic Forecasts'!K$9*1000000/SUM('Statistics NZ'!I$32:I$107,'Statistics NZ'!I$125:I$200)</f>
        <v>27849.946933611827</v>
      </c>
      <c r="J46" s="203">
        <f>'Statistics NZ'!J$46*'Economic Forecasts'!L$9*1000000/SUM('Statistics NZ'!J$32:J$107,'Statistics NZ'!J$125:J$200)</f>
        <v>28758.000144265716</v>
      </c>
      <c r="K46" s="203">
        <f>'Statistics NZ'!K$46*'Economic Forecasts'!M$9*1000000/SUM('Statistics NZ'!K$32:K$107,'Statistics NZ'!K$125:K$200)</f>
        <v>29701.921097026989</v>
      </c>
      <c r="L46" s="203">
        <f>'Statistics NZ'!L$46*'Economic Forecasts'!N$9*1000000/SUM('Statistics NZ'!L$32:L$107,'Statistics NZ'!L$125:L$200)</f>
        <v>31526.090577988911</v>
      </c>
      <c r="M46" s="203">
        <f>'Statistics NZ'!M$46*'Economic Forecasts'!O$9*1000000/SUM('Statistics NZ'!M$32:M$107,'Statistics NZ'!M$125:M$200)</f>
        <v>34436.919425655629</v>
      </c>
      <c r="N46" s="203">
        <f>'Statistics NZ'!N$46*'Economic Forecasts'!P$9*1000000/SUM('Statistics NZ'!N$32:N$107,'Statistics NZ'!N$125:N$200)</f>
        <v>35615.386179478621</v>
      </c>
      <c r="O46" s="203">
        <f>'Statistics NZ'!O$46*'Economic Forecasts'!Q$9*1000000/SUM('Statistics NZ'!O$32:O$107,'Statistics NZ'!O$125:O$200)</f>
        <v>37687.663618535356</v>
      </c>
      <c r="P46" s="203">
        <f>'Statistics NZ'!P$46*'Economic Forecasts'!R$9*1000000/SUM('Statistics NZ'!P$32:P$107,'Statistics NZ'!P$125:P$200)</f>
        <v>39285.411251529724</v>
      </c>
      <c r="Q46" s="121">
        <f>SUM('Statistics NZ'!Q$46,$G$13/5*(Q$9-Q$10)*1000)*'Economic Forecasts'!S$9*1000000/SUM('Statistics NZ'!Q$32:Q$107,'Statistics NZ'!Q$125:Q$200,SUM($E$13:$Q$14)*(Q$9-Q$10)*1000)</f>
        <v>38515.555471124273</v>
      </c>
      <c r="R46" s="205">
        <f>SUM('Statistics NZ'!R$46,$G$13/5*(R$9-R$10)*1000)*'Economic Forecasts'!T$9*1000000/SUM('Statistics NZ'!R$32:R$107,'Statistics NZ'!R$125:R$200,SUM($E$13:$Q$14)*(R$9-R$10)*1000)</f>
        <v>37420.122549786145</v>
      </c>
      <c r="S46" s="205">
        <f>SUM('Statistics NZ'!S$46,$G$13/5*(S$9-S$10)*1000)*'Economic Forecasts'!U$9*1000000/SUM('Statistics NZ'!S$32:S$107,'Statistics NZ'!S$125:S$200,SUM($E$13:$Q$14)*(S$9-S$10)*1000)</f>
        <v>35996.591386915614</v>
      </c>
      <c r="T46" s="205">
        <f>SUM('Statistics NZ'!T$46,$G$13/5*(T$9-T$10)*1000)*'Economic Forecasts'!V$9*1000000/SUM('Statistics NZ'!T$32:T$107,'Statistics NZ'!T$125:T$200,SUM($E$13:$Q$14)*(T$9-T$10)*1000)</f>
        <v>35931.848243081819</v>
      </c>
      <c r="U46" s="205">
        <f>SUM('Statistics NZ'!U$46,$G$13/5*(U$9-U$10)*1000)*'Economic Forecasts'!W$9*1000000/SUM('Statistics NZ'!U$32:U$107,'Statistics NZ'!U$125:U$200,SUM($E$13:$Q$14)*(U$9-U$10)*1000)</f>
        <v>35767.574250136793</v>
      </c>
      <c r="V46" s="111">
        <f>SUM(U$46,'Statistics NZ'!V$46-'Statistics NZ'!U$46,$G$13/5*(V$9-V$10)*1000)</f>
        <v>35741.017724558558</v>
      </c>
      <c r="W46" s="111">
        <f>SUM(V$46,'Statistics NZ'!W$46-'Statistics NZ'!V$46,$G$13/5*(W$9-W$10)*1000)</f>
        <v>36010.280764677605</v>
      </c>
      <c r="X46" s="111">
        <f>SUM(W$46,'Statistics NZ'!X$46-'Statistics NZ'!W$46,$G$13/5*(X$9-X$10)*1000)</f>
        <v>35675.363370493928</v>
      </c>
      <c r="Y46" s="111">
        <f>SUM(X$46,'Statistics NZ'!Y$46-'Statistics NZ'!X$46,$G$13/5*(Y$9-Y$10)*1000)</f>
        <v>36676.265542007532</v>
      </c>
      <c r="Z46" s="111">
        <f>SUM(Y$46,'Statistics NZ'!Z$46-'Statistics NZ'!Y$46,$G$13/5*(Z$9-Z$10)*1000)</f>
        <v>36472.987279218418</v>
      </c>
      <c r="AA46" s="111">
        <f>SUM(Z$46,'Statistics NZ'!AA$46-'Statistics NZ'!Z$46,$G$13/5*(AA$9-AA$10)*1000)</f>
        <v>35645.528582126579</v>
      </c>
      <c r="AB46" s="111">
        <f>SUM(AA$46,'Statistics NZ'!AB$46-'Statistics NZ'!AA$46,$G$13/5*(AB$9-AB$10)*1000)</f>
        <v>35393.889450732022</v>
      </c>
      <c r="AC46" s="111">
        <f>SUM(AB$46,'Statistics NZ'!AC$46-'Statistics NZ'!AB$46,$G$13/5*(AC$9-AC$10)*1000)</f>
        <v>36248.06988503474</v>
      </c>
      <c r="AD46" s="111">
        <f>SUM(AC$46,'Statistics NZ'!AD$46-'Statistics NZ'!AC$46,$G$13/5*(AD$9-AD$10)*1000)</f>
        <v>36388.06988503474</v>
      </c>
      <c r="AE46" s="111">
        <f>SUM(AD$46,'Statistics NZ'!AE$46-'Statistics NZ'!AD$46,$G$13/5*(AE$9-AE$10)*1000)</f>
        <v>37208.06988503474</v>
      </c>
      <c r="AF46" s="111">
        <f>SUM(AE$46,'Statistics NZ'!AF$46-'Statistics NZ'!AE$46,$G$13/5*(AF$9-AF$10)*1000)</f>
        <v>38748.06988503474</v>
      </c>
      <c r="AG46" s="111">
        <f>SUM(AF$46,'Statistics NZ'!AG$46-'Statistics NZ'!AF$46,$G$13/5*(AG$9-AG$10)*1000)</f>
        <v>40028.06988503474</v>
      </c>
      <c r="AH46" s="111">
        <f>SUM(AG$46,'Statistics NZ'!AH$46-'Statistics NZ'!AG$46,$G$13/5*(AH$9-AH$10)*1000)</f>
        <v>39868.06988503474</v>
      </c>
      <c r="AI46" s="111">
        <f>SUM(AH$46,'Statistics NZ'!AI$46-'Statistics NZ'!AH$46,$G$13/5*(AI$9-AI$10)*1000)</f>
        <v>40888.06988503474</v>
      </c>
      <c r="AJ46" s="111">
        <f>SUM(AI$46,'Statistics NZ'!AJ$46-'Statistics NZ'!AI$46,$G$13/5*(AJ$9-AJ$10)*1000)</f>
        <v>40808.06988503474</v>
      </c>
      <c r="AK46" s="111">
        <f>SUM(AJ$46,'Statistics NZ'!AK$46-'Statistics NZ'!AJ$46,$G$13/5*(AK$9-AK$10)*1000)</f>
        <v>40708.06988503474</v>
      </c>
      <c r="AL46" s="111">
        <f>SUM(AK$46,'Statistics NZ'!AL$46-'Statistics NZ'!AK$46,$G$13/5*(AL$9-AL$10)*1000)</f>
        <v>40608.06988503474</v>
      </c>
      <c r="AM46" s="111">
        <f>SUM(AL$46,'Statistics NZ'!AM$46-'Statistics NZ'!AL$46,$G$13/5*(AM$9-AM$10)*1000)</f>
        <v>39498.06988503474</v>
      </c>
      <c r="AN46" s="111">
        <f>SUM(AM$46,'Statistics NZ'!AN$46-'Statistics NZ'!AM$46,$G$13/5*(AN$9-AN$10)*1000)</f>
        <v>39558.06988503474</v>
      </c>
      <c r="AO46" s="111">
        <f>SUM(AN$46,'Statistics NZ'!AO$46-'Statistics NZ'!AN$46,$G$13/5*(AO$9-AO$10)*1000)</f>
        <v>39188.06988503474</v>
      </c>
      <c r="AP46" s="111">
        <f>SUM(AO$46,'Statistics NZ'!AP$46-'Statistics NZ'!AO$46,$G$13/5*(AP$9-AP$10)*1000)</f>
        <v>39428.06988503474</v>
      </c>
      <c r="AQ46" s="111">
        <f>SUM(AP$46,'Statistics NZ'!AQ$46-'Statistics NZ'!AP$46,$G$13/5*(AQ$9-AQ$10)*1000)</f>
        <v>38608.06988503474</v>
      </c>
      <c r="AR46" s="111">
        <f>SUM(AQ$46,'Statistics NZ'!AR$46-'Statistics NZ'!AQ$46,$G$13/5*(AR$9-AR$10)*1000)</f>
        <v>38188.06988503474</v>
      </c>
      <c r="AS46" s="111">
        <f>SUM(AR$46,'Statistics NZ'!AS$46-'Statistics NZ'!AR$46,$G$13/5*(AS$9-AS$10)*1000)</f>
        <v>38338.06988503474</v>
      </c>
      <c r="AT46" s="111">
        <f>SUM(AS$46,'Statistics NZ'!AT$46-'Statistics NZ'!AS$46,$G$13/5*(AT$9-AT$10)*1000)</f>
        <v>37778.06988503474</v>
      </c>
      <c r="AU46" s="111">
        <f>SUM(AT$46,'Statistics NZ'!AU$46-'Statistics NZ'!AT$46,$G$13/5*(AU$9-AU$10)*1000)</f>
        <v>37738.06988503474</v>
      </c>
      <c r="AV46" s="111">
        <f>SUM(AU$46,'Statistics NZ'!AV$46-'Statistics NZ'!AU$46,$G$13/5*(AV$9-AV$10)*1000)</f>
        <v>37688.06988503474</v>
      </c>
      <c r="AW46" s="111">
        <f>SUM(AV$46,'Statistics NZ'!AW$46-'Statistics NZ'!AV$46,$G$13/5*(AW$9-AW$10)*1000)</f>
        <v>37618.06988503474</v>
      </c>
      <c r="AX46" s="111">
        <f>SUM(AW$46,'Statistics NZ'!AX$46-'Statistics NZ'!AW$46,$G$13/5*(AX$9-AX$10)*1000)</f>
        <v>37728.06988503474</v>
      </c>
      <c r="AY46" s="111">
        <f>SUM(AX$46,'Statistics NZ'!AY$46-'Statistics NZ'!AX$46,$G$13/5*(AY$9-AY$10)*1000)</f>
        <v>37808.06988503474</v>
      </c>
      <c r="AZ46" s="111">
        <f>SUM(AY$46,'Statistics NZ'!AZ$46-'Statistics NZ'!AY$46,$G$13/5*(AZ$9-AZ$10)*1000)</f>
        <v>37868.06988503474</v>
      </c>
      <c r="BA46" s="111">
        <f>SUM(AZ$46,'Statistics NZ'!BA$46-'Statistics NZ'!AZ$46,$G$13/5*(BA$9-BA$10)*1000)</f>
        <v>37898.06988503474</v>
      </c>
      <c r="BB46" s="111">
        <f>SUM(BA$46,'Statistics NZ'!BB$46-'Statistics NZ'!BA$46,$G$13/5*(BB$9-BB$10)*1000)</f>
        <v>37928.06988503474</v>
      </c>
      <c r="BC46" s="111">
        <f>SUM(BB$46,'Statistics NZ'!BC$46-'Statistics NZ'!BB$46,$G$13/5*(BC$9-BC$10)*1000)</f>
        <v>37948.06988503474</v>
      </c>
      <c r="BD46" s="111">
        <f>SUM(BC$46,'Statistics NZ'!BD$46-'Statistics NZ'!BC$46,$G$13/5*(BD$9-BD$10)*1000)</f>
        <v>37978.06988503474</v>
      </c>
      <c r="BE46" s="111">
        <f>SUM(BD$46,'Statistics NZ'!BE$46-'Statistics NZ'!BD$46,$G$13/5*(BE$9-BE$10)*1000)</f>
        <v>38018.06988503474</v>
      </c>
      <c r="BF46" s="111">
        <f>SUM(BE$46,'Statistics NZ'!BF$46-'Statistics NZ'!BE$46,$G$13/5*(BF$9-BF$10)*1000)</f>
        <v>38058.06988503474</v>
      </c>
      <c r="BG46" s="111">
        <f>SUM(BF$46,'Statistics NZ'!BG$46-'Statistics NZ'!BF$46,$G$13/5*(BG$9-BG$10)*1000)</f>
        <v>38128.06988503474</v>
      </c>
      <c r="BH46" s="111">
        <f>SUM(BG$46,'Statistics NZ'!BH$46-'Statistics NZ'!BG$46,$G$13/5*(BH$9-BH$10)*1000)</f>
        <v>38208.06988503474</v>
      </c>
      <c r="BI46" s="111">
        <f>SUM(BH$46,'Statistics NZ'!BI$46-'Statistics NZ'!BH$46,$G$13/5*(BI$9-BI$10)*1000)</f>
        <v>38328.06988503474</v>
      </c>
      <c r="BJ46" s="111">
        <f>SUM(BI$46,'Statistics NZ'!BJ$46-'Statistics NZ'!BI$46,$G$13/5*(BJ$9-BJ$10)*1000)</f>
        <v>38458.06988503474</v>
      </c>
      <c r="BK46" s="111">
        <f>SUM(BJ$46,'Statistics NZ'!BK$46-'Statistics NZ'!BJ$46,$G$13/5*(BK$9-BK$10)*1000)</f>
        <v>38608.06988503474</v>
      </c>
      <c r="BL46" s="111">
        <f>SUM(BK$46,'Statistics NZ'!BL$46-'Statistics NZ'!BK$46,$G$13/5*(BL$9-BL$10)*1000)</f>
        <v>38768.06988503474</v>
      </c>
      <c r="BM46" s="195">
        <f>SUM(BL$46,'Statistics NZ'!BM$46-'Statistics NZ'!BL$46,$G$13/5*(BM$9-BM$10)*1000)</f>
        <v>38928.06988503474</v>
      </c>
      <c r="BN46" s="195">
        <f>SUM(BM$46,'Statistics NZ'!BN$46-'Statistics NZ'!BM$46,$G$13/5*(BN$9-BN$10)*1000)</f>
        <v>39068.06988503474</v>
      </c>
      <c r="BO46" s="195">
        <f>SUM(BN$46,'Statistics NZ'!BO$46-'Statistics NZ'!BN$46,$G$13/5*(BO$9-BO$10)*1000)</f>
        <v>39188.06988503474</v>
      </c>
      <c r="BP46" s="195">
        <f>SUM(BO$46,'Statistics NZ'!BP$46-'Statistics NZ'!BO$46,$G$13/5*(BP$9-BP$10)*1000)</f>
        <v>39288.06988503474</v>
      </c>
      <c r="BQ46" s="195">
        <f>SUM(BP$46,'Statistics NZ'!BQ$46-'Statistics NZ'!BP$46,$G$13/5*(BQ$9-BQ$10)*1000)</f>
        <v>39348.06988503474</v>
      </c>
    </row>
    <row r="47" spans="1:69">
      <c r="A47" s="105">
        <v>30</v>
      </c>
      <c r="B47" s="118">
        <f>'Statistics NZ'!B$47*'Economic Forecasts'!D$9*1000000/SUM('Statistics NZ'!B$32:B$107,'Statistics NZ'!B$125:B$200)</f>
        <v>26676.30399961169</v>
      </c>
      <c r="C47" s="118">
        <f>'Statistics NZ'!C$47*'Economic Forecasts'!E$9*1000000/SUM('Statistics NZ'!C$32:C$107,'Statistics NZ'!C$125:C$200)</f>
        <v>26873.99062582519</v>
      </c>
      <c r="D47" s="118">
        <f>'Statistics NZ'!D$47*'Economic Forecasts'!F$9*1000000/SUM('Statistics NZ'!D$32:D$107,'Statistics NZ'!D$125:D$200)</f>
        <v>26552.344719758399</v>
      </c>
      <c r="E47" s="118">
        <f>'Statistics NZ'!E$47*'Economic Forecasts'!G$9*1000000/SUM('Statistics NZ'!E$32:E$107,'Statistics NZ'!E$125:E$200)</f>
        <v>27487.177157842438</v>
      </c>
      <c r="F47" s="118">
        <f>'Statistics NZ'!F$47*'Economic Forecasts'!H$9*1000000/SUM('Statistics NZ'!F$32:F$107,'Statistics NZ'!F$125:F$200)</f>
        <v>27594.389736618123</v>
      </c>
      <c r="G47" s="118">
        <f>'Statistics NZ'!G$47*'Economic Forecasts'!I$9*1000000/SUM('Statistics NZ'!G$32:G$107,'Statistics NZ'!G$125:G$200)</f>
        <v>27509.229715022771</v>
      </c>
      <c r="H47" s="118">
        <f>'Statistics NZ'!H$47*'Economic Forecasts'!J$9*1000000/SUM('Statistics NZ'!H$32:H$107,'Statistics NZ'!H$125:H$200)</f>
        <v>27835.151179045042</v>
      </c>
      <c r="I47" s="118">
        <f>'Statistics NZ'!I$47*'Economic Forecasts'!K$9*1000000/SUM('Statistics NZ'!I$32:I$107,'Statistics NZ'!I$125:I$200)</f>
        <v>28174.69896499316</v>
      </c>
      <c r="J47" s="203">
        <f>'Statistics NZ'!J$47*'Economic Forecasts'!L$9*1000000/SUM('Statistics NZ'!J$32:J$107,'Statistics NZ'!J$125:J$200)</f>
        <v>28640.058926995996</v>
      </c>
      <c r="K47" s="203">
        <f>'Statistics NZ'!K$47*'Economic Forecasts'!M$9*1000000/SUM('Statistics NZ'!K$32:K$107,'Statistics NZ'!K$125:K$200)</f>
        <v>29839.475478554737</v>
      </c>
      <c r="L47" s="203">
        <f>'Statistics NZ'!L$47*'Economic Forecasts'!N$9*1000000/SUM('Statistics NZ'!L$32:L$107,'Statistics NZ'!L$125:L$200)</f>
        <v>31151.835207178672</v>
      </c>
      <c r="M47" s="203">
        <f>'Statistics NZ'!M$47*'Economic Forecasts'!O$9*1000000/SUM('Statistics NZ'!M$32:M$107,'Statistics NZ'!M$125:M$200)</f>
        <v>32811.607152991681</v>
      </c>
      <c r="N47" s="203">
        <f>'Statistics NZ'!N$47*'Economic Forecasts'!P$9*1000000/SUM('Statistics NZ'!N$32:N$107,'Statistics NZ'!N$125:N$200)</f>
        <v>35694.334112267708</v>
      </c>
      <c r="O47" s="203">
        <f>'Statistics NZ'!O$47*'Economic Forecasts'!Q$9*1000000/SUM('Statistics NZ'!O$32:O$107,'Statistics NZ'!O$125:O$200)</f>
        <v>36562.658734399971</v>
      </c>
      <c r="P47" s="203">
        <f>'Statistics NZ'!P$47*'Economic Forecasts'!R$9*1000000/SUM('Statistics NZ'!P$32:P$107,'Statistics NZ'!P$125:P$200)</f>
        <v>39127.440258811839</v>
      </c>
      <c r="Q47" s="121">
        <f>SUM('Statistics NZ'!Q$47,$H$13/5*(Q$9-Q$10)*1000)*'Economic Forecasts'!S$9*1000000/SUM('Statistics NZ'!Q$32:Q$107,'Statistics NZ'!Q$125:Q$200,SUM($E$13:$Q$14)*(Q$9-Q$10)*1000)</f>
        <v>39383.68857462646</v>
      </c>
      <c r="R47" s="205">
        <f>SUM('Statistics NZ'!R$47,$H$13/5*(R$9-R$10)*1000)*'Economic Forecasts'!T$9*1000000/SUM('Statistics NZ'!R$32:R$107,'Statistics NZ'!R$125:R$200,SUM($E$13:$Q$14)*(R$9-R$10)*1000)</f>
        <v>38745.395164502006</v>
      </c>
      <c r="S47" s="205">
        <f>SUM('Statistics NZ'!S$47,$H$13/5*(S$9-S$10)*1000)*'Economic Forecasts'!U$9*1000000/SUM('Statistics NZ'!S$32:S$107,'Statistics NZ'!S$125:S$200,SUM($E$13:$Q$14)*(S$9-S$10)*1000)</f>
        <v>37815.94162170562</v>
      </c>
      <c r="T47" s="205">
        <f>SUM('Statistics NZ'!T$47,$H$13/5*(T$9-T$10)*1000)*'Economic Forecasts'!V$9*1000000/SUM('Statistics NZ'!T$32:T$107,'Statistics NZ'!T$125:T$200,SUM($E$13:$Q$14)*(T$9-T$10)*1000)</f>
        <v>36729.437383118733</v>
      </c>
      <c r="U47" s="205">
        <f>SUM('Statistics NZ'!U$47,$H$13/5*(U$9-U$10)*1000)*'Economic Forecasts'!W$9*1000000/SUM('Statistics NZ'!U$32:U$107,'Statistics NZ'!U$125:U$200,SUM($E$13:$Q$14)*(U$9-U$10)*1000)</f>
        <v>36680.818111028973</v>
      </c>
      <c r="V47" s="111">
        <f>SUM(U$47,'Statistics NZ'!V$47-'Statistics NZ'!U$47,$H$13/5*(V$9-V$10)*1000)</f>
        <v>36585.997491228634</v>
      </c>
      <c r="W47" s="111">
        <f>SUM(V$47,'Statistics NZ'!W$47-'Statistics NZ'!V$47,$H$13/5*(W$9-W$10)*1000)</f>
        <v>36455.52944890334</v>
      </c>
      <c r="X47" s="111">
        <f>SUM(W$47,'Statistics NZ'!X$47-'Statistics NZ'!W$47,$H$13/5*(X$9-X$10)*1000)</f>
        <v>36619.413984053092</v>
      </c>
      <c r="Y47" s="111">
        <f>SUM(X$47,'Statistics NZ'!Y$47-'Statistics NZ'!X$47,$H$13/5*(Y$9-Y$10)*1000)</f>
        <v>36207.651096677881</v>
      </c>
      <c r="Z47" s="111">
        <f>SUM(Y$47,'Statistics NZ'!Z$47-'Statistics NZ'!Y$47,$H$13/5*(Z$9-Z$10)*1000)</f>
        <v>37120.240786777715</v>
      </c>
      <c r="AA47" s="111">
        <f>SUM(Z$47,'Statistics NZ'!AA$47-'Statistics NZ'!Z$47,$H$13/5*(AA$9-AA$10)*1000)</f>
        <v>36847.183054352587</v>
      </c>
      <c r="AB47" s="111">
        <f>SUM(AA$47,'Statistics NZ'!AB$47-'Statistics NZ'!AA$47,$H$13/5*(AB$9-AB$10)*1000)</f>
        <v>35968.477899402504</v>
      </c>
      <c r="AC47" s="111">
        <f>SUM(AB$47,'Statistics NZ'!AC$47-'Statistics NZ'!AB$47,$H$13/5*(AC$9-AC$10)*1000)</f>
        <v>35664.125321927459</v>
      </c>
      <c r="AD47" s="111">
        <f>SUM(AC$47,'Statistics NZ'!AD$47-'Statistics NZ'!AC$47,$H$13/5*(AD$9-AD$10)*1000)</f>
        <v>36474.125321927459</v>
      </c>
      <c r="AE47" s="111">
        <f>SUM(AD$47,'Statistics NZ'!AE$47-'Statistics NZ'!AD$47,$H$13/5*(AE$9-AE$10)*1000)</f>
        <v>36614.125321927459</v>
      </c>
      <c r="AF47" s="111">
        <f>SUM(AE$47,'Statistics NZ'!AF$47-'Statistics NZ'!AE$47,$H$13/5*(AF$9-AF$10)*1000)</f>
        <v>37424.125321927459</v>
      </c>
      <c r="AG47" s="111">
        <f>SUM(AF$47,'Statistics NZ'!AG$47-'Statistics NZ'!AF$47,$H$13/5*(AG$9-AG$10)*1000)</f>
        <v>38964.125321927459</v>
      </c>
      <c r="AH47" s="111">
        <f>SUM(AG$47,'Statistics NZ'!AH$47-'Statistics NZ'!AG$47,$H$13/5*(AH$9-AH$10)*1000)</f>
        <v>40254.125321927459</v>
      </c>
      <c r="AI47" s="111">
        <f>SUM(AH$47,'Statistics NZ'!AI$47-'Statistics NZ'!AH$47,$H$13/5*(AI$9-AI$10)*1000)</f>
        <v>40084.125321927459</v>
      </c>
      <c r="AJ47" s="111">
        <f>SUM(AI$47,'Statistics NZ'!AJ$47-'Statistics NZ'!AI$47,$H$13/5*(AJ$9-AJ$10)*1000)</f>
        <v>41114.125321927459</v>
      </c>
      <c r="AK47" s="111">
        <f>SUM(AJ$47,'Statistics NZ'!AK$47-'Statistics NZ'!AJ$47,$H$13/5*(AK$9-AK$10)*1000)</f>
        <v>41034.125321927459</v>
      </c>
      <c r="AL47" s="111">
        <f>SUM(AK$47,'Statistics NZ'!AL$47-'Statistics NZ'!AK$47,$H$13/5*(AL$9-AL$10)*1000)</f>
        <v>40924.125321927459</v>
      </c>
      <c r="AM47" s="111">
        <f>SUM(AL$47,'Statistics NZ'!AM$47-'Statistics NZ'!AL$47,$H$13/5*(AM$9-AM$10)*1000)</f>
        <v>40834.125321927459</v>
      </c>
      <c r="AN47" s="111">
        <f>SUM(AM$47,'Statistics NZ'!AN$47-'Statistics NZ'!AM$47,$H$13/5*(AN$9-AN$10)*1000)</f>
        <v>39724.125321927459</v>
      </c>
      <c r="AO47" s="111">
        <f>SUM(AN$47,'Statistics NZ'!AO$47-'Statistics NZ'!AN$47,$H$13/5*(AO$9-AO$10)*1000)</f>
        <v>39774.125321927459</v>
      </c>
      <c r="AP47" s="111">
        <f>SUM(AO$47,'Statistics NZ'!AP$47-'Statistics NZ'!AO$47,$H$13/5*(AP$9-AP$10)*1000)</f>
        <v>39414.125321927459</v>
      </c>
      <c r="AQ47" s="111">
        <f>SUM(AP$47,'Statistics NZ'!AQ$47-'Statistics NZ'!AP$47,$H$13/5*(AQ$9-AQ$10)*1000)</f>
        <v>39654.125321927459</v>
      </c>
      <c r="AR47" s="111">
        <f>SUM(AQ$47,'Statistics NZ'!AR$47-'Statistics NZ'!AQ$47,$H$13/5*(AR$9-AR$10)*1000)</f>
        <v>38834.125321927459</v>
      </c>
      <c r="AS47" s="111">
        <f>SUM(AR$47,'Statistics NZ'!AS$47-'Statistics NZ'!AR$47,$H$13/5*(AS$9-AS$10)*1000)</f>
        <v>38414.125321927459</v>
      </c>
      <c r="AT47" s="111">
        <f>SUM(AS$47,'Statistics NZ'!AT$47-'Statistics NZ'!AS$47,$H$13/5*(AT$9-AT$10)*1000)</f>
        <v>38564.125321927459</v>
      </c>
      <c r="AU47" s="111">
        <f>SUM(AT$47,'Statistics NZ'!AU$47-'Statistics NZ'!AT$47,$H$13/5*(AU$9-AU$10)*1000)</f>
        <v>38004.125321927459</v>
      </c>
      <c r="AV47" s="111">
        <f>SUM(AU$47,'Statistics NZ'!AV$47-'Statistics NZ'!AU$47,$H$13/5*(AV$9-AV$10)*1000)</f>
        <v>37964.125321927459</v>
      </c>
      <c r="AW47" s="111">
        <f>SUM(AV$47,'Statistics NZ'!AW$47-'Statistics NZ'!AV$47,$H$13/5*(AW$9-AW$10)*1000)</f>
        <v>37914.125321927459</v>
      </c>
      <c r="AX47" s="111">
        <f>SUM(AW$47,'Statistics NZ'!AX$47-'Statistics NZ'!AW$47,$H$13/5*(AX$9-AX$10)*1000)</f>
        <v>37844.125321927459</v>
      </c>
      <c r="AY47" s="111">
        <f>SUM(AX$47,'Statistics NZ'!AY$47-'Statistics NZ'!AX$47,$H$13/5*(AY$9-AY$10)*1000)</f>
        <v>37954.125321927459</v>
      </c>
      <c r="AZ47" s="111">
        <f>SUM(AY$47,'Statistics NZ'!AZ$47-'Statistics NZ'!AY$47,$H$13/5*(AZ$9-AZ$10)*1000)</f>
        <v>38034.125321927459</v>
      </c>
      <c r="BA47" s="111">
        <f>SUM(AZ$47,'Statistics NZ'!BA$47-'Statistics NZ'!AZ$47,$H$13/5*(BA$9-BA$10)*1000)</f>
        <v>38094.125321927459</v>
      </c>
      <c r="BB47" s="111">
        <f>SUM(BA$47,'Statistics NZ'!BB$47-'Statistics NZ'!BA$47,$H$13/5*(BB$9-BB$10)*1000)</f>
        <v>38124.125321927459</v>
      </c>
      <c r="BC47" s="111">
        <f>SUM(BB$47,'Statistics NZ'!BC$47-'Statistics NZ'!BB$47,$H$13/5*(BC$9-BC$10)*1000)</f>
        <v>38154.125321927459</v>
      </c>
      <c r="BD47" s="111">
        <f>SUM(BC$47,'Statistics NZ'!BD$47-'Statistics NZ'!BC$47,$H$13/5*(BD$9-BD$10)*1000)</f>
        <v>38174.125321927459</v>
      </c>
      <c r="BE47" s="111">
        <f>SUM(BD$47,'Statistics NZ'!BE$47-'Statistics NZ'!BD$47,$H$13/5*(BE$9-BE$10)*1000)</f>
        <v>38204.125321927459</v>
      </c>
      <c r="BF47" s="111">
        <f>SUM(BE$47,'Statistics NZ'!BF$47-'Statistics NZ'!BE$47,$H$13/5*(BF$9-BF$10)*1000)</f>
        <v>38244.125321927459</v>
      </c>
      <c r="BG47" s="111">
        <f>SUM(BF$47,'Statistics NZ'!BG$47-'Statistics NZ'!BF$47,$H$13/5*(BG$9-BG$10)*1000)</f>
        <v>38284.125321927459</v>
      </c>
      <c r="BH47" s="111">
        <f>SUM(BG$47,'Statistics NZ'!BH$47-'Statistics NZ'!BG$47,$H$13/5*(BH$9-BH$10)*1000)</f>
        <v>38354.125321927459</v>
      </c>
      <c r="BI47" s="111">
        <f>SUM(BH$47,'Statistics NZ'!BI$47-'Statistics NZ'!BH$47,$H$13/5*(BI$9-BI$10)*1000)</f>
        <v>38434.125321927459</v>
      </c>
      <c r="BJ47" s="111">
        <f>SUM(BI$47,'Statistics NZ'!BJ$47-'Statistics NZ'!BI$47,$H$13/5*(BJ$9-BJ$10)*1000)</f>
        <v>38554.125321927459</v>
      </c>
      <c r="BK47" s="111">
        <f>SUM(BJ$47,'Statistics NZ'!BK$47-'Statistics NZ'!BJ$47,$H$13/5*(BK$9-BK$10)*1000)</f>
        <v>38684.125321927459</v>
      </c>
      <c r="BL47" s="111">
        <f>SUM(BK$47,'Statistics NZ'!BL$47-'Statistics NZ'!BK$47,$H$13/5*(BL$9-BL$10)*1000)</f>
        <v>38834.125321927459</v>
      </c>
      <c r="BM47" s="195">
        <f>SUM(BL$47,'Statistics NZ'!BM$47-'Statistics NZ'!BL$47,$H$13/5*(BM$9-BM$10)*1000)</f>
        <v>38994.125321927459</v>
      </c>
      <c r="BN47" s="195">
        <f>SUM(BM$47,'Statistics NZ'!BN$47-'Statistics NZ'!BM$47,$H$13/5*(BN$9-BN$10)*1000)</f>
        <v>39154.125321927459</v>
      </c>
      <c r="BO47" s="195">
        <f>SUM(BN$47,'Statistics NZ'!BO$47-'Statistics NZ'!BN$47,$H$13/5*(BO$9-BO$10)*1000)</f>
        <v>39294.125321927459</v>
      </c>
      <c r="BP47" s="195">
        <f>SUM(BO$47,'Statistics NZ'!BP$47-'Statistics NZ'!BO$47,$H$13/5*(BP$9-BP$10)*1000)</f>
        <v>39414.125321927459</v>
      </c>
      <c r="BQ47" s="195">
        <f>SUM(BP$47,'Statistics NZ'!BQ$47-'Statistics NZ'!BP$47,$H$13/5*(BQ$9-BQ$10)*1000)</f>
        <v>39514.125321927459</v>
      </c>
    </row>
    <row r="48" spans="1:69">
      <c r="A48" s="105">
        <v>31</v>
      </c>
      <c r="B48" s="118">
        <f>'Statistics NZ'!B$48*'Economic Forecasts'!D$9*1000000/SUM('Statistics NZ'!B$32:B$107,'Statistics NZ'!B$125:B$200)</f>
        <v>28242.60102174546</v>
      </c>
      <c r="C48" s="118">
        <f>'Statistics NZ'!C$48*'Economic Forecasts'!E$9*1000000/SUM('Statistics NZ'!C$32:C$107,'Statistics NZ'!C$125:C$200)</f>
        <v>27219.034526010029</v>
      </c>
      <c r="D48" s="118">
        <f>'Statistics NZ'!D$48*'Economic Forecasts'!F$9*1000000/SUM('Statistics NZ'!D$32:D$107,'Statistics NZ'!D$125:D$200)</f>
        <v>27192.991492878034</v>
      </c>
      <c r="E48" s="118">
        <f>'Statistics NZ'!E$48*'Economic Forecasts'!G$9*1000000/SUM('Statistics NZ'!E$32:E$107,'Statistics NZ'!E$125:E$200)</f>
        <v>26965.206398485341</v>
      </c>
      <c r="F48" s="118">
        <f>'Statistics NZ'!F$48*'Economic Forecasts'!H$9*1000000/SUM('Statistics NZ'!F$32:F$107,'Statistics NZ'!F$125:F$200)</f>
        <v>27811.125393242761</v>
      </c>
      <c r="G48" s="118">
        <f>'Statistics NZ'!G$48*'Economic Forecasts'!I$9*1000000/SUM('Statistics NZ'!G$32:G$107,'Statistics NZ'!G$125:G$200)</f>
        <v>27785.110242250797</v>
      </c>
      <c r="H48" s="118">
        <f>'Statistics NZ'!H$48*'Economic Forecasts'!J$9*1000000/SUM('Statistics NZ'!H$32:H$107,'Statistics NZ'!H$125:H$200)</f>
        <v>27608.608901225503</v>
      </c>
      <c r="I48" s="118">
        <f>'Statistics NZ'!I$48*'Economic Forecasts'!K$9*1000000/SUM('Statistics NZ'!I$32:I$107,'Statistics NZ'!I$125:I$200)</f>
        <v>28056.607317218128</v>
      </c>
      <c r="J48" s="203">
        <f>'Statistics NZ'!J$48*'Economic Forecasts'!L$9*1000000/SUM('Statistics NZ'!J$32:J$107,'Statistics NZ'!J$125:J$200)</f>
        <v>28807.142318128092</v>
      </c>
      <c r="K48" s="203">
        <f>'Statistics NZ'!K$48*'Economic Forecasts'!M$9*1000000/SUM('Statistics NZ'!K$32:K$107,'Statistics NZ'!K$125:K$200)</f>
        <v>29672.445158128186</v>
      </c>
      <c r="L48" s="203">
        <f>'Statistics NZ'!L$48*'Economic Forecasts'!N$9*1000000/SUM('Statistics NZ'!L$32:L$107,'Statistics NZ'!L$125:L$200)</f>
        <v>31279.869939297965</v>
      </c>
      <c r="M48" s="203">
        <f>'Statistics NZ'!M$48*'Economic Forecasts'!O$9*1000000/SUM('Statistics NZ'!M$32:M$107,'Statistics NZ'!M$125:M$200)</f>
        <v>32328.938659897536</v>
      </c>
      <c r="N48" s="203">
        <f>'Statistics NZ'!N$48*'Economic Forecasts'!P$9*1000000/SUM('Statistics NZ'!N$32:N$107,'Statistics NZ'!N$125:N$200)</f>
        <v>33927.874116111809</v>
      </c>
      <c r="O48" s="203">
        <f>'Statistics NZ'!O$48*'Economic Forecasts'!Q$9*1000000/SUM('Statistics NZ'!O$32:O$107,'Statistics NZ'!O$125:O$200)</f>
        <v>36602.132589983667</v>
      </c>
      <c r="P48" s="203">
        <f>'Statistics NZ'!P$48*'Economic Forecasts'!R$9*1000000/SUM('Statistics NZ'!P$32:P$107,'Statistics NZ'!P$125:P$200)</f>
        <v>37794.560007754655</v>
      </c>
      <c r="Q48" s="121">
        <f>SUM('Statistics NZ'!Q$48,$H$13/5*(Q$9-Q$10)*1000)*'Economic Forecasts'!S$9*1000000/SUM('Statistics NZ'!Q$32:Q$107,'Statistics NZ'!Q$125:Q$200,SUM($E$13:$Q$14)*(Q$9-Q$10)*1000)</f>
        <v>39245.278650883563</v>
      </c>
      <c r="R48" s="205">
        <f>SUM('Statistics NZ'!R$48,$H$13/5*(R$9-R$10)*1000)*'Economic Forecasts'!T$9*1000000/SUM('Statistics NZ'!R$32:R$107,'Statistics NZ'!R$125:R$200,SUM($E$13:$Q$14)*(R$9-R$10)*1000)</f>
        <v>39625.176104870137</v>
      </c>
      <c r="S48" s="205">
        <f>SUM('Statistics NZ'!S$48,$H$13/5*(S$9-S$10)*1000)*'Economic Forecasts'!U$9*1000000/SUM('Statistics NZ'!S$32:S$107,'Statistics NZ'!S$125:S$200,SUM($E$13:$Q$14)*(S$9-S$10)*1000)</f>
        <v>39139.847686930385</v>
      </c>
      <c r="T48" s="205">
        <f>SUM('Statistics NZ'!T$48,$H$13/5*(T$9-T$10)*1000)*'Economic Forecasts'!V$9*1000000/SUM('Statistics NZ'!T$32:T$107,'Statistics NZ'!T$125:T$200,SUM($E$13:$Q$14)*(T$9-T$10)*1000)</f>
        <v>38547.225692451699</v>
      </c>
      <c r="U48" s="205">
        <f>SUM('Statistics NZ'!U$48,$H$13/5*(U$9-U$10)*1000)*'Economic Forecasts'!W$9*1000000/SUM('Statistics NZ'!U$32:U$107,'Statistics NZ'!U$125:U$200,SUM($E$13:$Q$14)*(U$9-U$10)*1000)</f>
        <v>37521.648752703972</v>
      </c>
      <c r="V48" s="111">
        <f>SUM(U$48,'Statistics NZ'!V$48-'Statistics NZ'!U$48,$H$13/5*(V$9-V$10)*1000)</f>
        <v>37566.828132903633</v>
      </c>
      <c r="W48" s="111">
        <f>SUM(V$48,'Statistics NZ'!W$48-'Statistics NZ'!V$48,$H$13/5*(W$9-W$10)*1000)</f>
        <v>37426.360090578339</v>
      </c>
      <c r="X48" s="111">
        <f>SUM(W$48,'Statistics NZ'!X$48-'Statistics NZ'!W$48,$H$13/5*(X$9-X$10)*1000)</f>
        <v>37260.24462572809</v>
      </c>
      <c r="Y48" s="111">
        <f>SUM(X$48,'Statistics NZ'!Y$48-'Statistics NZ'!X$48,$H$13/5*(Y$9-Y$10)*1000)</f>
        <v>37398.481738352879</v>
      </c>
      <c r="Z48" s="111">
        <f>SUM(Y$48,'Statistics NZ'!Z$48-'Statistics NZ'!Y$48,$H$13/5*(Z$9-Z$10)*1000)</f>
        <v>36941.071428452713</v>
      </c>
      <c r="AA48" s="111">
        <f>SUM(Z$48,'Statistics NZ'!AA$48-'Statistics NZ'!Z$48,$H$13/5*(AA$9-AA$10)*1000)</f>
        <v>37828.013696027585</v>
      </c>
      <c r="AB48" s="111">
        <f>SUM(AA$48,'Statistics NZ'!AB$48-'Statistics NZ'!AA$48,$H$13/5*(AB$9-AB$10)*1000)</f>
        <v>37519.308541077502</v>
      </c>
      <c r="AC48" s="111">
        <f>SUM(AB$48,'Statistics NZ'!AC$48-'Statistics NZ'!AB$48,$H$13/5*(AC$9-AC$10)*1000)</f>
        <v>36604.955963602457</v>
      </c>
      <c r="AD48" s="111">
        <f>SUM(AC$48,'Statistics NZ'!AD$48-'Statistics NZ'!AC$48,$H$13/5*(AD$9-AD$10)*1000)</f>
        <v>36254.955963602457</v>
      </c>
      <c r="AE48" s="111">
        <f>SUM(AD$48,'Statistics NZ'!AE$48-'Statistics NZ'!AD$48,$H$13/5*(AE$9-AE$10)*1000)</f>
        <v>37074.955963602457</v>
      </c>
      <c r="AF48" s="111">
        <f>SUM(AE$48,'Statistics NZ'!AF$48-'Statistics NZ'!AE$48,$H$13/5*(AF$9-AF$10)*1000)</f>
        <v>37214.955963602457</v>
      </c>
      <c r="AG48" s="111">
        <f>SUM(AF$48,'Statistics NZ'!AG$48-'Statistics NZ'!AF$48,$H$13/5*(AG$9-AG$10)*1000)</f>
        <v>38024.955963602457</v>
      </c>
      <c r="AH48" s="111">
        <f>SUM(AG$48,'Statistics NZ'!AH$48-'Statistics NZ'!AG$48,$H$13/5*(AH$9-AH$10)*1000)</f>
        <v>39564.955963602457</v>
      </c>
      <c r="AI48" s="111">
        <f>SUM(AH$48,'Statistics NZ'!AI$48-'Statistics NZ'!AH$48,$H$13/5*(AI$9-AI$10)*1000)</f>
        <v>40844.955963602457</v>
      </c>
      <c r="AJ48" s="111">
        <f>SUM(AI$48,'Statistics NZ'!AJ$48-'Statistics NZ'!AI$48,$H$13/5*(AJ$9-AJ$10)*1000)</f>
        <v>40684.955963602457</v>
      </c>
      <c r="AK48" s="111">
        <f>SUM(AJ$48,'Statistics NZ'!AK$48-'Statistics NZ'!AJ$48,$H$13/5*(AK$9-AK$10)*1000)</f>
        <v>41704.955963602457</v>
      </c>
      <c r="AL48" s="111">
        <f>SUM(AK$48,'Statistics NZ'!AL$48-'Statistics NZ'!AK$48,$H$13/5*(AL$9-AL$10)*1000)</f>
        <v>41624.955963602457</v>
      </c>
      <c r="AM48" s="111">
        <f>SUM(AL$48,'Statistics NZ'!AM$48-'Statistics NZ'!AL$48,$H$13/5*(AM$9-AM$10)*1000)</f>
        <v>41524.955963602457</v>
      </c>
      <c r="AN48" s="111">
        <f>SUM(AM$48,'Statistics NZ'!AN$48-'Statistics NZ'!AM$48,$H$13/5*(AN$9-AN$10)*1000)</f>
        <v>41424.955963602457</v>
      </c>
      <c r="AO48" s="111">
        <f>SUM(AN$48,'Statistics NZ'!AO$48-'Statistics NZ'!AN$48,$H$13/5*(AO$9-AO$10)*1000)</f>
        <v>40314.955963602457</v>
      </c>
      <c r="AP48" s="111">
        <f>SUM(AO$48,'Statistics NZ'!AP$48-'Statistics NZ'!AO$48,$H$13/5*(AP$9-AP$10)*1000)</f>
        <v>40374.955963602457</v>
      </c>
      <c r="AQ48" s="111">
        <f>SUM(AP$48,'Statistics NZ'!AQ$48-'Statistics NZ'!AP$48,$H$13/5*(AQ$9-AQ$10)*1000)</f>
        <v>40004.955963602457</v>
      </c>
      <c r="AR48" s="111">
        <f>SUM(AQ$48,'Statistics NZ'!AR$48-'Statistics NZ'!AQ$48,$H$13/5*(AR$9-AR$10)*1000)</f>
        <v>40244.955963602457</v>
      </c>
      <c r="AS48" s="111">
        <f>SUM(AR$48,'Statistics NZ'!AS$48-'Statistics NZ'!AR$48,$H$13/5*(AS$9-AS$10)*1000)</f>
        <v>39424.955963602457</v>
      </c>
      <c r="AT48" s="111">
        <f>SUM(AS$48,'Statistics NZ'!AT$48-'Statistics NZ'!AS$48,$H$13/5*(AT$9-AT$10)*1000)</f>
        <v>39004.955963602457</v>
      </c>
      <c r="AU48" s="111">
        <f>SUM(AT$48,'Statistics NZ'!AU$48-'Statistics NZ'!AT$48,$H$13/5*(AU$9-AU$10)*1000)</f>
        <v>39154.955963602457</v>
      </c>
      <c r="AV48" s="111">
        <f>SUM(AU$48,'Statistics NZ'!AV$48-'Statistics NZ'!AU$48,$H$13/5*(AV$9-AV$10)*1000)</f>
        <v>38594.955963602457</v>
      </c>
      <c r="AW48" s="111">
        <f>SUM(AV$48,'Statistics NZ'!AW$48-'Statistics NZ'!AV$48,$H$13/5*(AW$9-AW$10)*1000)</f>
        <v>38564.955963602457</v>
      </c>
      <c r="AX48" s="111">
        <f>SUM(AW$48,'Statistics NZ'!AX$48-'Statistics NZ'!AW$48,$H$13/5*(AX$9-AX$10)*1000)</f>
        <v>38504.955963602457</v>
      </c>
      <c r="AY48" s="111">
        <f>SUM(AX$48,'Statistics NZ'!AY$48-'Statistics NZ'!AX$48,$H$13/5*(AY$9-AY$10)*1000)</f>
        <v>38434.955963602457</v>
      </c>
      <c r="AZ48" s="111">
        <f>SUM(AY$48,'Statistics NZ'!AZ$48-'Statistics NZ'!AY$48,$H$13/5*(AZ$9-AZ$10)*1000)</f>
        <v>38554.955963602457</v>
      </c>
      <c r="BA48" s="111">
        <f>SUM(AZ$48,'Statistics NZ'!BA$48-'Statistics NZ'!AZ$48,$H$13/5*(BA$9-BA$10)*1000)</f>
        <v>38634.955963602457</v>
      </c>
      <c r="BB48" s="111">
        <f>SUM(BA$48,'Statistics NZ'!BB$48-'Statistics NZ'!BA$48,$H$13/5*(BB$9-BB$10)*1000)</f>
        <v>38694.955963602457</v>
      </c>
      <c r="BC48" s="111">
        <f>SUM(BB$48,'Statistics NZ'!BC$48-'Statistics NZ'!BB$48,$H$13/5*(BC$9-BC$10)*1000)</f>
        <v>38724.955963602457</v>
      </c>
      <c r="BD48" s="111">
        <f>SUM(BC$48,'Statistics NZ'!BD$48-'Statistics NZ'!BC$48,$H$13/5*(BD$9-BD$10)*1000)</f>
        <v>38754.955963602457</v>
      </c>
      <c r="BE48" s="111">
        <f>SUM(BD$48,'Statistics NZ'!BE$48-'Statistics NZ'!BD$48,$H$13/5*(BE$9-BE$10)*1000)</f>
        <v>38774.955963602457</v>
      </c>
      <c r="BF48" s="111">
        <f>SUM(BE$48,'Statistics NZ'!BF$48-'Statistics NZ'!BE$48,$H$13/5*(BF$9-BF$10)*1000)</f>
        <v>38804.955963602457</v>
      </c>
      <c r="BG48" s="111">
        <f>SUM(BF$48,'Statistics NZ'!BG$48-'Statistics NZ'!BF$48,$H$13/5*(BG$9-BG$10)*1000)</f>
        <v>38834.955963602457</v>
      </c>
      <c r="BH48" s="111">
        <f>SUM(BG$48,'Statistics NZ'!BH$48-'Statistics NZ'!BG$48,$H$13/5*(BH$9-BH$10)*1000)</f>
        <v>38884.955963602457</v>
      </c>
      <c r="BI48" s="111">
        <f>SUM(BH$48,'Statistics NZ'!BI$48-'Statistics NZ'!BH$48,$H$13/5*(BI$9-BI$10)*1000)</f>
        <v>38954.955963602457</v>
      </c>
      <c r="BJ48" s="111">
        <f>SUM(BI$48,'Statistics NZ'!BJ$48-'Statistics NZ'!BI$48,$H$13/5*(BJ$9-BJ$10)*1000)</f>
        <v>39034.955963602457</v>
      </c>
      <c r="BK48" s="111">
        <f>SUM(BJ$48,'Statistics NZ'!BK$48-'Statistics NZ'!BJ$48,$H$13/5*(BK$9-BK$10)*1000)</f>
        <v>39144.955963602457</v>
      </c>
      <c r="BL48" s="111">
        <f>SUM(BK$48,'Statistics NZ'!BL$48-'Statistics NZ'!BK$48,$H$13/5*(BL$9-BL$10)*1000)</f>
        <v>39284.955963602457</v>
      </c>
      <c r="BM48" s="195">
        <f>SUM(BL$48,'Statistics NZ'!BM$48-'Statistics NZ'!BL$48,$H$13/5*(BM$9-BM$10)*1000)</f>
        <v>39434.955963602457</v>
      </c>
      <c r="BN48" s="195">
        <f>SUM(BM$48,'Statistics NZ'!BN$48-'Statistics NZ'!BM$48,$H$13/5*(BN$9-BN$10)*1000)</f>
        <v>39594.955963602457</v>
      </c>
      <c r="BO48" s="195">
        <f>SUM(BN$48,'Statistics NZ'!BO$48-'Statistics NZ'!BN$48,$H$13/5*(BO$9-BO$10)*1000)</f>
        <v>39754.955963602457</v>
      </c>
      <c r="BP48" s="195">
        <f>SUM(BO$48,'Statistics NZ'!BP$48-'Statistics NZ'!BO$48,$H$13/5*(BP$9-BP$10)*1000)</f>
        <v>39894.955963602457</v>
      </c>
      <c r="BQ48" s="195">
        <f>SUM(BP$48,'Statistics NZ'!BQ$48-'Statistics NZ'!BP$48,$H$13/5*(BQ$9-BQ$10)*1000)</f>
        <v>40014.955963602457</v>
      </c>
    </row>
    <row r="49" spans="1:69">
      <c r="A49" s="105">
        <v>32</v>
      </c>
      <c r="B49" s="118">
        <f>'Statistics NZ'!B$49*'Economic Forecasts'!D$9*1000000/SUM('Statistics NZ'!B$32:B$107,'Statistics NZ'!B$125:B$200)</f>
        <v>29513.370303853993</v>
      </c>
      <c r="C49" s="118">
        <f>'Statistics NZ'!C$49*'Economic Forecasts'!E$9*1000000/SUM('Statistics NZ'!C$32:C$107,'Statistics NZ'!C$125:C$200)</f>
        <v>28579.49333245313</v>
      </c>
      <c r="D49" s="118">
        <f>'Statistics NZ'!D$49*'Economic Forecasts'!F$9*1000000/SUM('Statistics NZ'!D$32:D$107,'Statistics NZ'!D$125:D$200)</f>
        <v>27409.825785318528</v>
      </c>
      <c r="E49" s="118">
        <f>'Statistics NZ'!E$49*'Economic Forecasts'!G$9*1000000/SUM('Statistics NZ'!E$32:E$107,'Statistics NZ'!E$125:E$200)</f>
        <v>27359.146594226546</v>
      </c>
      <c r="F49" s="118">
        <f>'Statistics NZ'!F$49*'Economic Forecasts'!H$9*1000000/SUM('Statistics NZ'!F$32:F$107,'Statistics NZ'!F$125:F$200)</f>
        <v>27111.660319590534</v>
      </c>
      <c r="G49" s="118">
        <f>'Statistics NZ'!G$49*'Economic Forecasts'!I$9*1000000/SUM('Statistics NZ'!G$32:G$107,'Statistics NZ'!G$125:G$200)</f>
        <v>27883.639001975091</v>
      </c>
      <c r="H49" s="118">
        <f>'Statistics NZ'!H$49*'Economic Forecasts'!J$9*1000000/SUM('Statistics NZ'!H$32:H$107,'Statistics NZ'!H$125:H$200)</f>
        <v>27716.955208008763</v>
      </c>
      <c r="I49" s="118">
        <f>'Statistics NZ'!I$49*'Economic Forecasts'!K$9*1000000/SUM('Statistics NZ'!I$32:I$107,'Statistics NZ'!I$125:I$200)</f>
        <v>27564.558784822158</v>
      </c>
      <c r="J49" s="203">
        <f>'Statistics NZ'!J$49*'Economic Forecasts'!L$9*1000000/SUM('Statistics NZ'!J$32:J$107,'Statistics NZ'!J$125:J$200)</f>
        <v>28492.632405408855</v>
      </c>
      <c r="K49" s="203">
        <f>'Statistics NZ'!K$49*'Economic Forecasts'!M$9*1000000/SUM('Statistics NZ'!K$32:K$107,'Statistics NZ'!K$125:K$200)</f>
        <v>29475.938898802833</v>
      </c>
      <c r="L49" s="203">
        <f>'Statistics NZ'!L$49*'Economic Forecasts'!N$9*1000000/SUM('Statistics NZ'!L$32:L$107,'Statistics NZ'!L$125:L$200)</f>
        <v>30787.42866191607</v>
      </c>
      <c r="M49" s="203">
        <f>'Statistics NZ'!M$49*'Economic Forecasts'!O$9*1000000/SUM('Statistics NZ'!M$32:M$107,'Statistics NZ'!M$125:M$200)</f>
        <v>32309.237905077363</v>
      </c>
      <c r="N49" s="203">
        <f>'Statistics NZ'!N$49*'Economic Forecasts'!P$9*1000000/SUM('Statistics NZ'!N$32:N$107,'Statistics NZ'!N$125:N$200)</f>
        <v>33444.318027778623</v>
      </c>
      <c r="O49" s="203">
        <f>'Statistics NZ'!O$49*'Economic Forecasts'!Q$9*1000000/SUM('Statistics NZ'!O$32:O$107,'Statistics NZ'!O$125:O$200)</f>
        <v>34648.176738590635</v>
      </c>
      <c r="P49" s="203">
        <f>'Statistics NZ'!P$49*'Economic Forecasts'!R$9*1000000/SUM('Statistics NZ'!P$32:P$107,'Statistics NZ'!P$125:P$200)</f>
        <v>37735.320885485446</v>
      </c>
      <c r="Q49" s="121">
        <f>SUM('Statistics NZ'!Q$49,$H$13/5*(Q$9-Q$10)*1000)*'Economic Forecasts'!S$9*1000000/SUM('Statistics NZ'!Q$32:Q$107,'Statistics NZ'!Q$125:Q$200,SUM($E$13:$Q$14)*(Q$9-Q$10)*1000)</f>
        <v>37900.725105952544</v>
      </c>
      <c r="R49" s="205">
        <f>SUM('Statistics NZ'!R$49,$H$13/5*(R$9-R$10)*1000)*'Economic Forecasts'!T$9*1000000/SUM('Statistics NZ'!R$32:R$107,'Statistics NZ'!R$125:R$200,SUM($E$13:$Q$14)*(R$9-R$10)*1000)</f>
        <v>39437.357701870191</v>
      </c>
      <c r="S49" s="205">
        <f>SUM('Statistics NZ'!S$49,$H$13/5*(S$9-S$10)*1000)*'Economic Forecasts'!U$9*1000000/SUM('Statistics NZ'!S$32:S$107,'Statistics NZ'!S$125:S$200,SUM($E$13:$Q$14)*(S$9-S$10)*1000)</f>
        <v>39949.999159679879</v>
      </c>
      <c r="T49" s="205">
        <f>SUM('Statistics NZ'!T$49,$H$13/5*(T$9-T$10)*1000)*'Economic Forecasts'!V$9*1000000/SUM('Statistics NZ'!T$32:T$107,'Statistics NZ'!T$125:T$200,SUM($E$13:$Q$14)*(T$9-T$10)*1000)</f>
        <v>39703.101954364516</v>
      </c>
      <c r="U49" s="205">
        <f>SUM('Statistics NZ'!U$49,$H$13/5*(U$9-U$10)*1000)*'Economic Forecasts'!W$9*1000000/SUM('Statistics NZ'!U$32:U$107,'Statistics NZ'!U$125:U$200,SUM($E$13:$Q$14)*(U$9-U$10)*1000)</f>
        <v>39173.63366046545</v>
      </c>
      <c r="V49" s="111">
        <f>SUM(U$49,'Statistics NZ'!V$49-'Statistics NZ'!U$49,$H$13/5*(V$9-V$10)*1000)</f>
        <v>38218.813040665111</v>
      </c>
      <c r="W49" s="111">
        <f>SUM(V$49,'Statistics NZ'!W$49-'Statistics NZ'!V$49,$H$13/5*(W$9-W$10)*1000)</f>
        <v>38228.344998339817</v>
      </c>
      <c r="X49" s="111">
        <f>SUM(W$49,'Statistics NZ'!X$49-'Statistics NZ'!W$49,$H$13/5*(X$9-X$10)*1000)</f>
        <v>38052.229533489568</v>
      </c>
      <c r="Y49" s="111">
        <f>SUM(X$49,'Statistics NZ'!Y$49-'Statistics NZ'!X$49,$H$13/5*(Y$9-Y$10)*1000)</f>
        <v>37860.466646114357</v>
      </c>
      <c r="Z49" s="111">
        <f>SUM(Y$49,'Statistics NZ'!Z$49-'Statistics NZ'!Y$49,$H$13/5*(Z$9-Z$10)*1000)</f>
        <v>37953.056336214191</v>
      </c>
      <c r="AA49" s="111">
        <f>SUM(Z$49,'Statistics NZ'!AA$49-'Statistics NZ'!Z$49,$H$13/5*(AA$9-AA$10)*1000)</f>
        <v>37469.998603789063</v>
      </c>
      <c r="AB49" s="111">
        <f>SUM(AA$49,'Statistics NZ'!AB$49-'Statistics NZ'!AA$49,$H$13/5*(AB$9-AB$10)*1000)</f>
        <v>38311.29344883898</v>
      </c>
      <c r="AC49" s="111">
        <f>SUM(AB$49,'Statistics NZ'!AC$49-'Statistics NZ'!AB$49,$H$13/5*(AC$9-AC$10)*1000)</f>
        <v>37966.940871363935</v>
      </c>
      <c r="AD49" s="111">
        <f>SUM(AC$49,'Statistics NZ'!AD$49-'Statistics NZ'!AC$49,$H$13/5*(AD$9-AD$10)*1000)</f>
        <v>37016.940871363935</v>
      </c>
      <c r="AE49" s="111">
        <f>SUM(AD$49,'Statistics NZ'!AE$49-'Statistics NZ'!AD$49,$H$13/5*(AE$9-AE$10)*1000)</f>
        <v>36676.940871363935</v>
      </c>
      <c r="AF49" s="111">
        <f>SUM(AE$49,'Statistics NZ'!AF$49-'Statistics NZ'!AE$49,$H$13/5*(AF$9-AF$10)*1000)</f>
        <v>37486.940871363935</v>
      </c>
      <c r="AG49" s="111">
        <f>SUM(AF$49,'Statistics NZ'!AG$49-'Statistics NZ'!AF$49,$H$13/5*(AG$9-AG$10)*1000)</f>
        <v>37626.940871363935</v>
      </c>
      <c r="AH49" s="111">
        <f>SUM(AG$49,'Statistics NZ'!AH$49-'Statistics NZ'!AG$49,$H$13/5*(AH$9-AH$10)*1000)</f>
        <v>38436.940871363935</v>
      </c>
      <c r="AI49" s="111">
        <f>SUM(AH$49,'Statistics NZ'!AI$49-'Statistics NZ'!AH$49,$H$13/5*(AI$9-AI$10)*1000)</f>
        <v>39976.940871363935</v>
      </c>
      <c r="AJ49" s="111">
        <f>SUM(AI$49,'Statistics NZ'!AJ$49-'Statistics NZ'!AI$49,$H$13/5*(AJ$9-AJ$10)*1000)</f>
        <v>41266.940871363935</v>
      </c>
      <c r="AK49" s="111">
        <f>SUM(AJ$49,'Statistics NZ'!AK$49-'Statistics NZ'!AJ$49,$H$13/5*(AK$9-AK$10)*1000)</f>
        <v>41096.940871363935</v>
      </c>
      <c r="AL49" s="111">
        <f>SUM(AK$49,'Statistics NZ'!AL$49-'Statistics NZ'!AK$49,$H$13/5*(AL$9-AL$10)*1000)</f>
        <v>42126.940871363935</v>
      </c>
      <c r="AM49" s="111">
        <f>SUM(AL$49,'Statistics NZ'!AM$49-'Statistics NZ'!AL$49,$H$13/5*(AM$9-AM$10)*1000)</f>
        <v>42046.940871363935</v>
      </c>
      <c r="AN49" s="111">
        <f>SUM(AM$49,'Statistics NZ'!AN$49-'Statistics NZ'!AM$49,$H$13/5*(AN$9-AN$10)*1000)</f>
        <v>41936.940871363935</v>
      </c>
      <c r="AO49" s="111">
        <f>SUM(AN$49,'Statistics NZ'!AO$49-'Statistics NZ'!AN$49,$H$13/5*(AO$9-AO$10)*1000)</f>
        <v>41846.940871363935</v>
      </c>
      <c r="AP49" s="111">
        <f>SUM(AO$49,'Statistics NZ'!AP$49-'Statistics NZ'!AO$49,$H$13/5*(AP$9-AP$10)*1000)</f>
        <v>40736.940871363935</v>
      </c>
      <c r="AQ49" s="111">
        <f>SUM(AP$49,'Statistics NZ'!AQ$49-'Statistics NZ'!AP$49,$H$13/5*(AQ$9-AQ$10)*1000)</f>
        <v>40796.940871363935</v>
      </c>
      <c r="AR49" s="111">
        <f>SUM(AQ$49,'Statistics NZ'!AR$49-'Statistics NZ'!AQ$49,$H$13/5*(AR$9-AR$10)*1000)</f>
        <v>40426.940871363935</v>
      </c>
      <c r="AS49" s="111">
        <f>SUM(AR$49,'Statistics NZ'!AS$49-'Statistics NZ'!AR$49,$H$13/5*(AS$9-AS$10)*1000)</f>
        <v>40666.940871363935</v>
      </c>
      <c r="AT49" s="111">
        <f>SUM(AS$49,'Statistics NZ'!AT$49-'Statistics NZ'!AS$49,$H$13/5*(AT$9-AT$10)*1000)</f>
        <v>39846.940871363935</v>
      </c>
      <c r="AU49" s="111">
        <f>SUM(AT$49,'Statistics NZ'!AU$49-'Statistics NZ'!AT$49,$H$13/5*(AU$9-AU$10)*1000)</f>
        <v>39426.940871363935</v>
      </c>
      <c r="AV49" s="111">
        <f>SUM(AU$49,'Statistics NZ'!AV$49-'Statistics NZ'!AU$49,$H$13/5*(AV$9-AV$10)*1000)</f>
        <v>39576.940871363935</v>
      </c>
      <c r="AW49" s="111">
        <f>SUM(AV$49,'Statistics NZ'!AW$49-'Statistics NZ'!AV$49,$H$13/5*(AW$9-AW$10)*1000)</f>
        <v>39016.940871363935</v>
      </c>
      <c r="AX49" s="111">
        <f>SUM(AW$49,'Statistics NZ'!AX$49-'Statistics NZ'!AW$49,$H$13/5*(AX$9-AX$10)*1000)</f>
        <v>38986.940871363935</v>
      </c>
      <c r="AY49" s="111">
        <f>SUM(AX$49,'Statistics NZ'!AY$49-'Statistics NZ'!AX$49,$H$13/5*(AY$9-AY$10)*1000)</f>
        <v>38926.940871363935</v>
      </c>
      <c r="AZ49" s="111">
        <f>SUM(AY$49,'Statistics NZ'!AZ$49-'Statistics NZ'!AY$49,$H$13/5*(AZ$9-AZ$10)*1000)</f>
        <v>38856.940871363935</v>
      </c>
      <c r="BA49" s="111">
        <f>SUM(AZ$49,'Statistics NZ'!BA$49-'Statistics NZ'!AZ$49,$H$13/5*(BA$9-BA$10)*1000)</f>
        <v>38976.940871363935</v>
      </c>
      <c r="BB49" s="111">
        <f>SUM(BA$49,'Statistics NZ'!BB$49-'Statistics NZ'!BA$49,$H$13/5*(BB$9-BB$10)*1000)</f>
        <v>39056.940871363935</v>
      </c>
      <c r="BC49" s="111">
        <f>SUM(BB$49,'Statistics NZ'!BC$49-'Statistics NZ'!BB$49,$H$13/5*(BC$9-BC$10)*1000)</f>
        <v>39106.940871363935</v>
      </c>
      <c r="BD49" s="111">
        <f>SUM(BC$49,'Statistics NZ'!BD$49-'Statistics NZ'!BC$49,$H$13/5*(BD$9-BD$10)*1000)</f>
        <v>39146.940871363935</v>
      </c>
      <c r="BE49" s="111">
        <f>SUM(BD$49,'Statistics NZ'!BE$49-'Statistics NZ'!BD$49,$H$13/5*(BE$9-BE$10)*1000)</f>
        <v>39176.940871363935</v>
      </c>
      <c r="BF49" s="111">
        <f>SUM(BE$49,'Statistics NZ'!BF$49-'Statistics NZ'!BE$49,$H$13/5*(BF$9-BF$10)*1000)</f>
        <v>39196.940871363935</v>
      </c>
      <c r="BG49" s="111">
        <f>SUM(BF$49,'Statistics NZ'!BG$49-'Statistics NZ'!BF$49,$H$13/5*(BG$9-BG$10)*1000)</f>
        <v>39226.940871363935</v>
      </c>
      <c r="BH49" s="111">
        <f>SUM(BG$49,'Statistics NZ'!BH$49-'Statistics NZ'!BG$49,$H$13/5*(BH$9-BH$10)*1000)</f>
        <v>39256.940871363935</v>
      </c>
      <c r="BI49" s="111">
        <f>SUM(BH$49,'Statistics NZ'!BI$49-'Statistics NZ'!BH$49,$H$13/5*(BI$9-BI$10)*1000)</f>
        <v>39306.940871363935</v>
      </c>
      <c r="BJ49" s="111">
        <f>SUM(BI$49,'Statistics NZ'!BJ$49-'Statistics NZ'!BI$49,$H$13/5*(BJ$9-BJ$10)*1000)</f>
        <v>39366.940871363935</v>
      </c>
      <c r="BK49" s="111">
        <f>SUM(BJ$49,'Statistics NZ'!BK$49-'Statistics NZ'!BJ$49,$H$13/5*(BK$9-BK$10)*1000)</f>
        <v>39456.940871363935</v>
      </c>
      <c r="BL49" s="111">
        <f>SUM(BK$49,'Statistics NZ'!BL$49-'Statistics NZ'!BK$49,$H$13/5*(BL$9-BL$10)*1000)</f>
        <v>39566.940871363935</v>
      </c>
      <c r="BM49" s="195">
        <f>SUM(BL$49,'Statistics NZ'!BM$49-'Statistics NZ'!BL$49,$H$13/5*(BM$9-BM$10)*1000)</f>
        <v>39706.940871363935</v>
      </c>
      <c r="BN49" s="195">
        <f>SUM(BM$49,'Statistics NZ'!BN$49-'Statistics NZ'!BM$49,$H$13/5*(BN$9-BN$10)*1000)</f>
        <v>39856.940871363935</v>
      </c>
      <c r="BO49" s="195">
        <f>SUM(BN$49,'Statistics NZ'!BO$49-'Statistics NZ'!BN$49,$H$13/5*(BO$9-BO$10)*1000)</f>
        <v>40016.940871363935</v>
      </c>
      <c r="BP49" s="195">
        <f>SUM(BO$49,'Statistics NZ'!BP$49-'Statistics NZ'!BO$49,$H$13/5*(BP$9-BP$10)*1000)</f>
        <v>40176.940871363935</v>
      </c>
      <c r="BQ49" s="195">
        <f>SUM(BP$49,'Statistics NZ'!BQ$49-'Statistics NZ'!BP$49,$H$13/5*(BQ$9-BQ$10)*1000)</f>
        <v>40316.940871363935</v>
      </c>
    </row>
    <row r="50" spans="1:69">
      <c r="A50" s="105">
        <v>33</v>
      </c>
      <c r="B50" s="118">
        <f>'Statistics NZ'!B$50*'Economic Forecasts'!D$9*1000000/SUM('Statistics NZ'!B$32:B$107,'Statistics NZ'!B$125:B$200)</f>
        <v>30774.288661295017</v>
      </c>
      <c r="C50" s="118">
        <f>'Statistics NZ'!C$50*'Economic Forecasts'!E$9*1000000/SUM('Statistics NZ'!C$32:C$107,'Statistics NZ'!C$125:C$200)</f>
        <v>29851.226564562978</v>
      </c>
      <c r="D50" s="118">
        <f>'Statistics NZ'!D$50*'Economic Forecasts'!F$9*1000000/SUM('Statistics NZ'!D$32:D$107,'Statistics NZ'!D$125:D$200)</f>
        <v>28779.82426937436</v>
      </c>
      <c r="E50" s="118">
        <f>'Statistics NZ'!E$50*'Economic Forecasts'!G$9*1000000/SUM('Statistics NZ'!E$32:E$107,'Statistics NZ'!E$125:E$200)</f>
        <v>27536.419682310087</v>
      </c>
      <c r="F50" s="118">
        <f>'Statistics NZ'!F$50*'Economic Forecasts'!H$9*1000000/SUM('Statistics NZ'!F$32:F$107,'Statistics NZ'!F$125:F$200)</f>
        <v>27564.834874351131</v>
      </c>
      <c r="G50" s="118">
        <f>'Statistics NZ'!G$50*'Economic Forecasts'!I$9*1000000/SUM('Statistics NZ'!G$32:G$107,'Statistics NZ'!G$125:G$200)</f>
        <v>27144.673304042888</v>
      </c>
      <c r="H50" s="118">
        <f>'Statistics NZ'!H$50*'Economic Forecasts'!J$9*1000000/SUM('Statistics NZ'!H$32:H$107,'Statistics NZ'!H$125:H$200)</f>
        <v>27864.700171804117</v>
      </c>
      <c r="I50" s="118">
        <f>'Statistics NZ'!I$50*'Economic Forecasts'!K$9*1000000/SUM('Statistics NZ'!I$32:I$107,'Statistics NZ'!I$125:I$200)</f>
        <v>27692.491403245116</v>
      </c>
      <c r="J50" s="203">
        <f>'Statistics NZ'!J$50*'Economic Forecasts'!L$9*1000000/SUM('Statistics NZ'!J$32:J$107,'Statistics NZ'!J$125:J$200)</f>
        <v>28079.838144964848</v>
      </c>
      <c r="K50" s="203">
        <f>'Statistics NZ'!K$50*'Economic Forecasts'!M$9*1000000/SUM('Statistics NZ'!K$32:K$107,'Statistics NZ'!K$125:K$200)</f>
        <v>29200.830135747343</v>
      </c>
      <c r="L50" s="203">
        <f>'Statistics NZ'!L$50*'Economic Forecasts'!N$9*1000000/SUM('Statistics NZ'!L$32:L$107,'Statistics NZ'!L$125:L$200)</f>
        <v>30432.870942201105</v>
      </c>
      <c r="M50" s="203">
        <f>'Statistics NZ'!M$50*'Economic Forecasts'!O$9*1000000/SUM('Statistics NZ'!M$32:M$107,'Statistics NZ'!M$125:M$200)</f>
        <v>31737.91601529246</v>
      </c>
      <c r="N50" s="203">
        <f>'Statistics NZ'!N$50*'Economic Forecasts'!P$9*1000000/SUM('Statistics NZ'!N$32:N$107,'Statistics NZ'!N$125:N$200)</f>
        <v>33079.183838629076</v>
      </c>
      <c r="O50" s="203">
        <f>'Statistics NZ'!O$50*'Economic Forecasts'!Q$9*1000000/SUM('Statistics NZ'!O$32:O$107,'Statistics NZ'!O$125:O$200)</f>
        <v>34026.463513147399</v>
      </c>
      <c r="P50" s="203">
        <f>'Statistics NZ'!P$50*'Economic Forecasts'!R$9*1000000/SUM('Statistics NZ'!P$32:P$107,'Statistics NZ'!P$125:P$200)</f>
        <v>35513.853800390156</v>
      </c>
      <c r="Q50" s="121">
        <f>SUM('Statistics NZ'!Q$50,$H$13/5*(Q$9-Q$10)*1000)*'Economic Forecasts'!S$9*1000000/SUM('Statistics NZ'!Q$32:Q$107,'Statistics NZ'!Q$125:Q$200,SUM($E$13:$Q$14)*(Q$9-Q$10)*1000)</f>
        <v>37861.179413454571</v>
      </c>
      <c r="R50" s="205">
        <f>SUM('Statistics NZ'!R$50,$H$13/5*(R$9-R$10)*1000)*'Economic Forecasts'!T$9*1000000/SUM('Statistics NZ'!R$32:R$107,'Statistics NZ'!R$125:R$200,SUM($E$13:$Q$14)*(R$9-R$10)*1000)</f>
        <v>38083.088164449597</v>
      </c>
      <c r="S50" s="205">
        <f>SUM('Statistics NZ'!S$50,$H$13/5*(S$9-S$10)*1000)*'Economic Forecasts'!U$9*1000000/SUM('Statistics NZ'!S$32:S$107,'Statistics NZ'!S$125:S$200,SUM($E$13:$Q$14)*(S$9-S$10)*1000)</f>
        <v>39742.521343487926</v>
      </c>
      <c r="T50" s="205">
        <f>SUM('Statistics NZ'!T$50,$H$13/5*(T$9-T$10)*1000)*'Economic Forecasts'!V$9*1000000/SUM('Statistics NZ'!T$32:T$107,'Statistics NZ'!T$125:T$200,SUM($E$13:$Q$14)*(T$9-T$10)*1000)</f>
        <v>40453.927560393349</v>
      </c>
      <c r="U50" s="205">
        <f>SUM('Statistics NZ'!U$50,$H$13/5*(U$9-U$10)*1000)*'Economic Forecasts'!W$9*1000000/SUM('Statistics NZ'!U$32:U$107,'Statistics NZ'!U$125:U$200,SUM($E$13:$Q$14)*(U$9-U$10)*1000)</f>
        <v>40271.659557241052</v>
      </c>
      <c r="V50" s="111">
        <f>SUM(U$50,'Statistics NZ'!V$50-'Statistics NZ'!U$50,$H$13/5*(V$9-V$10)*1000)</f>
        <v>39816.838937440712</v>
      </c>
      <c r="W50" s="111">
        <f>SUM(V$50,'Statistics NZ'!W$50-'Statistics NZ'!V$50,$H$13/5*(W$9-W$10)*1000)</f>
        <v>38826.370895115419</v>
      </c>
      <c r="X50" s="111">
        <f>SUM(W$50,'Statistics NZ'!X$50-'Statistics NZ'!W$50,$H$13/5*(X$9-X$10)*1000)</f>
        <v>38810.25543026517</v>
      </c>
      <c r="Y50" s="111">
        <f>SUM(X$50,'Statistics NZ'!Y$50-'Statistics NZ'!X$50,$H$13/5*(Y$9-Y$10)*1000)</f>
        <v>38598.492542889959</v>
      </c>
      <c r="Z50" s="111">
        <f>SUM(Y$50,'Statistics NZ'!Z$50-'Statistics NZ'!Y$50,$H$13/5*(Z$9-Z$10)*1000)</f>
        <v>38361.082232989793</v>
      </c>
      <c r="AA50" s="111">
        <f>SUM(Z$50,'Statistics NZ'!AA$50-'Statistics NZ'!Z$50,$H$13/5*(AA$9-AA$10)*1000)</f>
        <v>38428.024500564665</v>
      </c>
      <c r="AB50" s="111">
        <f>SUM(AA$50,'Statistics NZ'!AB$50-'Statistics NZ'!AA$50,$H$13/5*(AB$9-AB$10)*1000)</f>
        <v>37909.319345614582</v>
      </c>
      <c r="AC50" s="111">
        <f>SUM(AB$50,'Statistics NZ'!AC$50-'Statistics NZ'!AB$50,$H$13/5*(AC$9-AC$10)*1000)</f>
        <v>38714.966768139537</v>
      </c>
      <c r="AD50" s="111">
        <f>SUM(AC$50,'Statistics NZ'!AD$50-'Statistics NZ'!AC$50,$H$13/5*(AD$9-AD$10)*1000)</f>
        <v>38334.966768139537</v>
      </c>
      <c r="AE50" s="111">
        <f>SUM(AD$50,'Statistics NZ'!AE$50-'Statistics NZ'!AD$50,$H$13/5*(AE$9-AE$10)*1000)</f>
        <v>37384.966768139537</v>
      </c>
      <c r="AF50" s="111">
        <f>SUM(AE$50,'Statistics NZ'!AF$50-'Statistics NZ'!AE$50,$H$13/5*(AF$9-AF$10)*1000)</f>
        <v>37044.966768139537</v>
      </c>
      <c r="AG50" s="111">
        <f>SUM(AF$50,'Statistics NZ'!AG$50-'Statistics NZ'!AF$50,$H$13/5*(AG$9-AG$10)*1000)</f>
        <v>37854.966768139537</v>
      </c>
      <c r="AH50" s="111">
        <f>SUM(AG$50,'Statistics NZ'!AH$50-'Statistics NZ'!AG$50,$H$13/5*(AH$9-AH$10)*1000)</f>
        <v>37994.966768139537</v>
      </c>
      <c r="AI50" s="111">
        <f>SUM(AH$50,'Statistics NZ'!AI$50-'Statistics NZ'!AH$50,$H$13/5*(AI$9-AI$10)*1000)</f>
        <v>38804.966768139537</v>
      </c>
      <c r="AJ50" s="111">
        <f>SUM(AI$50,'Statistics NZ'!AJ$50-'Statistics NZ'!AI$50,$H$13/5*(AJ$9-AJ$10)*1000)</f>
        <v>40344.966768139537</v>
      </c>
      <c r="AK50" s="111">
        <f>SUM(AJ$50,'Statistics NZ'!AK$50-'Statistics NZ'!AJ$50,$H$13/5*(AK$9-AK$10)*1000)</f>
        <v>41634.966768139537</v>
      </c>
      <c r="AL50" s="111">
        <f>SUM(AK$50,'Statistics NZ'!AL$50-'Statistics NZ'!AK$50,$H$13/5*(AL$9-AL$10)*1000)</f>
        <v>41464.966768139537</v>
      </c>
      <c r="AM50" s="111">
        <f>SUM(AL$50,'Statistics NZ'!AM$50-'Statistics NZ'!AL$50,$H$13/5*(AM$9-AM$10)*1000)</f>
        <v>42484.966768139537</v>
      </c>
      <c r="AN50" s="111">
        <f>SUM(AM$50,'Statistics NZ'!AN$50-'Statistics NZ'!AM$50,$H$13/5*(AN$9-AN$10)*1000)</f>
        <v>42404.966768139537</v>
      </c>
      <c r="AO50" s="111">
        <f>SUM(AN$50,'Statistics NZ'!AO$50-'Statistics NZ'!AN$50,$H$13/5*(AO$9-AO$10)*1000)</f>
        <v>42304.966768139537</v>
      </c>
      <c r="AP50" s="111">
        <f>SUM(AO$50,'Statistics NZ'!AP$50-'Statistics NZ'!AO$50,$H$13/5*(AP$9-AP$10)*1000)</f>
        <v>42214.966768139537</v>
      </c>
      <c r="AQ50" s="111">
        <f>SUM(AP$50,'Statistics NZ'!AQ$50-'Statistics NZ'!AP$50,$H$13/5*(AQ$9-AQ$10)*1000)</f>
        <v>41104.966768139537</v>
      </c>
      <c r="AR50" s="111">
        <f>SUM(AQ$50,'Statistics NZ'!AR$50-'Statistics NZ'!AQ$50,$H$13/5*(AR$9-AR$10)*1000)</f>
        <v>41154.966768139537</v>
      </c>
      <c r="AS50" s="111">
        <f>SUM(AR$50,'Statistics NZ'!AS$50-'Statistics NZ'!AR$50,$H$13/5*(AS$9-AS$10)*1000)</f>
        <v>40794.966768139537</v>
      </c>
      <c r="AT50" s="111">
        <f>SUM(AS$50,'Statistics NZ'!AT$50-'Statistics NZ'!AS$50,$H$13/5*(AT$9-AT$10)*1000)</f>
        <v>41034.966768139537</v>
      </c>
      <c r="AU50" s="111">
        <f>SUM(AT$50,'Statistics NZ'!AU$50-'Statistics NZ'!AT$50,$H$13/5*(AU$9-AU$10)*1000)</f>
        <v>40214.966768139537</v>
      </c>
      <c r="AV50" s="111">
        <f>SUM(AU$50,'Statistics NZ'!AV$50-'Statistics NZ'!AU$50,$H$13/5*(AV$9-AV$10)*1000)</f>
        <v>39794.966768139537</v>
      </c>
      <c r="AW50" s="111">
        <f>SUM(AV$50,'Statistics NZ'!AW$50-'Statistics NZ'!AV$50,$H$13/5*(AW$9-AW$10)*1000)</f>
        <v>39944.966768139537</v>
      </c>
      <c r="AX50" s="111">
        <f>SUM(AW$50,'Statistics NZ'!AX$50-'Statistics NZ'!AW$50,$H$13/5*(AX$9-AX$10)*1000)</f>
        <v>39384.966768139537</v>
      </c>
      <c r="AY50" s="111">
        <f>SUM(AX$50,'Statistics NZ'!AY$50-'Statistics NZ'!AX$50,$H$13/5*(AY$9-AY$10)*1000)</f>
        <v>39354.966768139537</v>
      </c>
      <c r="AZ50" s="111">
        <f>SUM(AY$50,'Statistics NZ'!AZ$50-'Statistics NZ'!AY$50,$H$13/5*(AZ$9-AZ$10)*1000)</f>
        <v>39294.966768139537</v>
      </c>
      <c r="BA50" s="111">
        <f>SUM(AZ$50,'Statistics NZ'!BA$50-'Statistics NZ'!AZ$50,$H$13/5*(BA$9-BA$10)*1000)</f>
        <v>39224.966768139537</v>
      </c>
      <c r="BB50" s="111">
        <f>SUM(BA$50,'Statistics NZ'!BB$50-'Statistics NZ'!BA$50,$H$13/5*(BB$9-BB$10)*1000)</f>
        <v>39344.966768139537</v>
      </c>
      <c r="BC50" s="111">
        <f>SUM(BB$50,'Statistics NZ'!BC$50-'Statistics NZ'!BB$50,$H$13/5*(BC$9-BC$10)*1000)</f>
        <v>39424.966768139537</v>
      </c>
      <c r="BD50" s="111">
        <f>SUM(BC$50,'Statistics NZ'!BD$50-'Statistics NZ'!BC$50,$H$13/5*(BD$9-BD$10)*1000)</f>
        <v>39474.966768139537</v>
      </c>
      <c r="BE50" s="111">
        <f>SUM(BD$50,'Statistics NZ'!BE$50-'Statistics NZ'!BD$50,$H$13/5*(BE$9-BE$10)*1000)</f>
        <v>39514.966768139537</v>
      </c>
      <c r="BF50" s="111">
        <f>SUM(BE$50,'Statistics NZ'!BF$50-'Statistics NZ'!BE$50,$H$13/5*(BF$9-BF$10)*1000)</f>
        <v>39544.966768139537</v>
      </c>
      <c r="BG50" s="111">
        <f>SUM(BF$50,'Statistics NZ'!BG$50-'Statistics NZ'!BF$50,$H$13/5*(BG$9-BG$10)*1000)</f>
        <v>39564.966768139537</v>
      </c>
      <c r="BH50" s="111">
        <f>SUM(BG$50,'Statistics NZ'!BH$50-'Statistics NZ'!BG$50,$H$13/5*(BH$9-BH$10)*1000)</f>
        <v>39594.966768139537</v>
      </c>
      <c r="BI50" s="111">
        <f>SUM(BH$50,'Statistics NZ'!BI$50-'Statistics NZ'!BH$50,$H$13/5*(BI$9-BI$10)*1000)</f>
        <v>39624.966768139537</v>
      </c>
      <c r="BJ50" s="111">
        <f>SUM(BI$50,'Statistics NZ'!BJ$50-'Statistics NZ'!BI$50,$H$13/5*(BJ$9-BJ$10)*1000)</f>
        <v>39674.966768139537</v>
      </c>
      <c r="BK50" s="111">
        <f>SUM(BJ$50,'Statistics NZ'!BK$50-'Statistics NZ'!BJ$50,$H$13/5*(BK$9-BK$10)*1000)</f>
        <v>39744.966768139537</v>
      </c>
      <c r="BL50" s="111">
        <f>SUM(BK$50,'Statistics NZ'!BL$50-'Statistics NZ'!BK$50,$H$13/5*(BL$9-BL$10)*1000)</f>
        <v>39824.966768139537</v>
      </c>
      <c r="BM50" s="195">
        <f>SUM(BL$50,'Statistics NZ'!BM$50-'Statistics NZ'!BL$50,$H$13/5*(BM$9-BM$10)*1000)</f>
        <v>39934.966768139537</v>
      </c>
      <c r="BN50" s="195">
        <f>SUM(BM$50,'Statistics NZ'!BN$50-'Statistics NZ'!BM$50,$H$13/5*(BN$9-BN$10)*1000)</f>
        <v>40074.966768139537</v>
      </c>
      <c r="BO50" s="195">
        <f>SUM(BN$50,'Statistics NZ'!BO$50-'Statistics NZ'!BN$50,$H$13/5*(BO$9-BO$10)*1000)</f>
        <v>40224.966768139537</v>
      </c>
      <c r="BP50" s="195">
        <f>SUM(BO$50,'Statistics NZ'!BP$50-'Statistics NZ'!BO$50,$H$13/5*(BP$9-BP$10)*1000)</f>
        <v>40384.966768139537</v>
      </c>
      <c r="BQ50" s="195">
        <f>SUM(BP$50,'Statistics NZ'!BQ$50-'Statistics NZ'!BP$50,$H$13/5*(BQ$9-BQ$10)*1000)</f>
        <v>40544.966768139537</v>
      </c>
    </row>
    <row r="51" spans="1:69">
      <c r="A51" s="105">
        <v>34</v>
      </c>
      <c r="B51" s="118">
        <f>'Statistics NZ'!B$51*'Economic Forecasts'!D$9*1000000/SUM('Statistics NZ'!B$32:B$107,'Statistics NZ'!B$125:B$200)</f>
        <v>32251.927361421218</v>
      </c>
      <c r="C51" s="118">
        <f>'Statistics NZ'!C$51*'Economic Forecasts'!E$9*1000000/SUM('Statistics NZ'!C$32:C$107,'Statistics NZ'!C$125:C$200)</f>
        <v>31073.667810932136</v>
      </c>
      <c r="D51" s="118">
        <f>'Statistics NZ'!D$51*'Economic Forecasts'!F$9*1000000/SUM('Statistics NZ'!D$32:D$107,'Statistics NZ'!D$125:D$200)</f>
        <v>30070.973919815471</v>
      </c>
      <c r="E51" s="118">
        <f>'Statistics NZ'!E$51*'Economic Forecasts'!G$9*1000000/SUM('Statistics NZ'!E$32:E$107,'Statistics NZ'!E$125:E$200)</f>
        <v>28974.301396765473</v>
      </c>
      <c r="F51" s="118">
        <f>'Statistics NZ'!F$51*'Economic Forecasts'!H$9*1000000/SUM('Statistics NZ'!F$32:F$107,'Statistics NZ'!F$125:F$200)</f>
        <v>27742.164047953102</v>
      </c>
      <c r="G51" s="118">
        <f>'Statistics NZ'!G$51*'Economic Forecasts'!I$9*1000000/SUM('Statistics NZ'!G$32:G$107,'Statistics NZ'!G$125:G$200)</f>
        <v>27617.611350719497</v>
      </c>
      <c r="H51" s="118">
        <f>'Statistics NZ'!H$51*'Economic Forecasts'!J$9*1000000/SUM('Statistics NZ'!H$32:H$107,'Statistics NZ'!H$125:H$200)</f>
        <v>27145.674681333381</v>
      </c>
      <c r="I51" s="118">
        <f>'Statistics NZ'!I$51*'Economic Forecasts'!K$9*1000000/SUM('Statistics NZ'!I$32:I$107,'Statistics NZ'!I$125:I$200)</f>
        <v>27840.105962963906</v>
      </c>
      <c r="J51" s="203">
        <f>'Statistics NZ'!J$51*'Economic Forecasts'!L$9*1000000/SUM('Statistics NZ'!J$32:J$107,'Statistics NZ'!J$125:J$200)</f>
        <v>28109.323449282278</v>
      </c>
      <c r="K51" s="203">
        <f>'Statistics NZ'!K$51*'Economic Forecasts'!M$9*1000000/SUM('Statistics NZ'!K$32:K$107,'Statistics NZ'!K$125:K$200)</f>
        <v>28719.389800400229</v>
      </c>
      <c r="L51" s="203">
        <f>'Statistics NZ'!L$51*'Economic Forecasts'!N$9*1000000/SUM('Statistics NZ'!L$32:L$107,'Statistics NZ'!L$125:L$200)</f>
        <v>30048.76674584323</v>
      </c>
      <c r="M51" s="203">
        <f>'Statistics NZ'!M$51*'Economic Forecasts'!O$9*1000000/SUM('Statistics NZ'!M$32:M$107,'Statistics NZ'!M$125:M$200)</f>
        <v>31235.546767378153</v>
      </c>
      <c r="N51" s="203">
        <f>'Statistics NZ'!N$51*'Economic Forecasts'!P$9*1000000/SUM('Statistics NZ'!N$32:N$107,'Statistics NZ'!N$125:N$200)</f>
        <v>32625.233225091804</v>
      </c>
      <c r="O51" s="203">
        <f>'Statistics NZ'!O$51*'Economic Forecasts'!Q$9*1000000/SUM('Statistics NZ'!O$32:O$107,'Statistics NZ'!O$125:O$200)</f>
        <v>33700.804204581887</v>
      </c>
      <c r="P51" s="203">
        <f>'Statistics NZ'!P$51*'Economic Forecasts'!R$9*1000000/SUM('Statistics NZ'!P$32:P$107,'Statistics NZ'!P$125:P$200)</f>
        <v>34931.335764742944</v>
      </c>
      <c r="Q51" s="121">
        <f>SUM('Statistics NZ'!Q$51,$H$13/5*(Q$9-Q$10)*1000)*'Economic Forecasts'!S$9*1000000/SUM('Statistics NZ'!Q$32:Q$107,'Statistics NZ'!Q$125:Q$200,SUM($E$13:$Q$14)*(Q$9-Q$10)*1000)</f>
        <v>35646.620633568207</v>
      </c>
      <c r="R51" s="205">
        <f>SUM('Statistics NZ'!R$51,$H$13/5*(R$9-R$10)*1000)*'Economic Forecasts'!T$9*1000000/SUM('Statistics NZ'!R$32:R$107,'Statistics NZ'!R$125:R$200,SUM($E$13:$Q$14)*(R$9-R$10)*1000)</f>
        <v>38053.432627133821</v>
      </c>
      <c r="S51" s="205">
        <f>SUM('Statistics NZ'!S$51,$H$13/5*(S$9-S$10)*1000)*'Economic Forecasts'!U$9*1000000/SUM('Statistics NZ'!S$32:S$107,'Statistics NZ'!S$125:S$200,SUM($E$13:$Q$14)*(S$9-S$10)*1000)</f>
        <v>38408.735382254024</v>
      </c>
      <c r="T51" s="205">
        <f>SUM('Statistics NZ'!T$51,$H$13/5*(T$9-T$10)*1000)*'Economic Forecasts'!V$9*1000000/SUM('Statistics NZ'!T$32:T$107,'Statistics NZ'!T$125:T$200,SUM($E$13:$Q$14)*(T$9-T$10)*1000)</f>
        <v>40226.704021726728</v>
      </c>
      <c r="U51" s="205">
        <f>SUM('Statistics NZ'!U$51,$H$13/5*(U$9-U$10)*1000)*'Economic Forecasts'!W$9*1000000/SUM('Statistics NZ'!U$32:U$107,'Statistics NZ'!U$125:U$200,SUM($E$13:$Q$14)*(U$9-U$10)*1000)</f>
        <v>40993.784696561925</v>
      </c>
      <c r="V51" s="111">
        <f>SUM(U$51,'Statistics NZ'!V$51-'Statistics NZ'!U$51,$H$13/5*(V$9-V$10)*1000)</f>
        <v>40898.964076761586</v>
      </c>
      <c r="W51" s="111">
        <f>SUM(V$51,'Statistics NZ'!W$51-'Statistics NZ'!V$51,$H$13/5*(W$9-W$10)*1000)</f>
        <v>40408.496034436292</v>
      </c>
      <c r="X51" s="111">
        <f>SUM(W$51,'Statistics NZ'!X$51-'Statistics NZ'!W$51,$H$13/5*(X$9-X$10)*1000)</f>
        <v>39382.380569586043</v>
      </c>
      <c r="Y51" s="111">
        <f>SUM(X$51,'Statistics NZ'!Y$51-'Statistics NZ'!X$51,$H$13/5*(Y$9-Y$10)*1000)</f>
        <v>39330.617682210832</v>
      </c>
      <c r="Z51" s="111">
        <f>SUM(Y$51,'Statistics NZ'!Z$51-'Statistics NZ'!Y$51,$H$13/5*(Z$9-Z$10)*1000)</f>
        <v>39083.207372310666</v>
      </c>
      <c r="AA51" s="111">
        <f>SUM(Z$51,'Statistics NZ'!AA$51-'Statistics NZ'!Z$51,$H$13/5*(AA$9-AA$10)*1000)</f>
        <v>38810.149639885538</v>
      </c>
      <c r="AB51" s="111">
        <f>SUM(AA$51,'Statistics NZ'!AB$51-'Statistics NZ'!AA$51,$H$13/5*(AB$9-AB$10)*1000)</f>
        <v>38841.444484935455</v>
      </c>
      <c r="AC51" s="111">
        <f>SUM(AB$51,'Statistics NZ'!AC$51-'Statistics NZ'!AB$51,$H$13/5*(AC$9-AC$10)*1000)</f>
        <v>38287.09190746041</v>
      </c>
      <c r="AD51" s="111">
        <f>SUM(AC$51,'Statistics NZ'!AD$51-'Statistics NZ'!AC$51,$H$13/5*(AD$9-AD$10)*1000)</f>
        <v>39057.09190746041</v>
      </c>
      <c r="AE51" s="111">
        <f>SUM(AD$51,'Statistics NZ'!AE$51-'Statistics NZ'!AD$51,$H$13/5*(AE$9-AE$10)*1000)</f>
        <v>38677.09190746041</v>
      </c>
      <c r="AF51" s="111">
        <f>SUM(AE$51,'Statistics NZ'!AF$51-'Statistics NZ'!AE$51,$H$13/5*(AF$9-AF$10)*1000)</f>
        <v>37727.09190746041</v>
      </c>
      <c r="AG51" s="111">
        <f>SUM(AF$51,'Statistics NZ'!AG$51-'Statistics NZ'!AF$51,$H$13/5*(AG$9-AG$10)*1000)</f>
        <v>37387.09190746041</v>
      </c>
      <c r="AH51" s="111">
        <f>SUM(AG$51,'Statistics NZ'!AH$51-'Statistics NZ'!AG$51,$H$13/5*(AH$9-AH$10)*1000)</f>
        <v>38197.09190746041</v>
      </c>
      <c r="AI51" s="111">
        <f>SUM(AH$51,'Statistics NZ'!AI$51-'Statistics NZ'!AH$51,$H$13/5*(AI$9-AI$10)*1000)</f>
        <v>38337.09190746041</v>
      </c>
      <c r="AJ51" s="111">
        <f>SUM(AI$51,'Statistics NZ'!AJ$51-'Statistics NZ'!AI$51,$H$13/5*(AJ$9-AJ$10)*1000)</f>
        <v>39147.09190746041</v>
      </c>
      <c r="AK51" s="111">
        <f>SUM(AJ$51,'Statistics NZ'!AK$51-'Statistics NZ'!AJ$51,$H$13/5*(AK$9-AK$10)*1000)</f>
        <v>40687.09190746041</v>
      </c>
      <c r="AL51" s="111">
        <f>SUM(AK$51,'Statistics NZ'!AL$51-'Statistics NZ'!AK$51,$H$13/5*(AL$9-AL$10)*1000)</f>
        <v>41977.09190746041</v>
      </c>
      <c r="AM51" s="111">
        <f>SUM(AL$51,'Statistics NZ'!AM$51-'Statistics NZ'!AL$51,$H$13/5*(AM$9-AM$10)*1000)</f>
        <v>41807.09190746041</v>
      </c>
      <c r="AN51" s="111">
        <f>SUM(AM$51,'Statistics NZ'!AN$51-'Statistics NZ'!AM$51,$H$13/5*(AN$9-AN$10)*1000)</f>
        <v>42837.09190746041</v>
      </c>
      <c r="AO51" s="111">
        <f>SUM(AN$51,'Statistics NZ'!AO$51-'Statistics NZ'!AN$51,$H$13/5*(AO$9-AO$10)*1000)</f>
        <v>42757.09190746041</v>
      </c>
      <c r="AP51" s="111">
        <f>SUM(AO$51,'Statistics NZ'!AP$51-'Statistics NZ'!AO$51,$H$13/5*(AP$9-AP$10)*1000)</f>
        <v>42647.09190746041</v>
      </c>
      <c r="AQ51" s="111">
        <f>SUM(AP$51,'Statistics NZ'!AQ$51-'Statistics NZ'!AP$51,$H$13/5*(AQ$9-AQ$10)*1000)</f>
        <v>42557.09190746041</v>
      </c>
      <c r="AR51" s="111">
        <f>SUM(AQ$51,'Statistics NZ'!AR$51-'Statistics NZ'!AQ$51,$H$13/5*(AR$9-AR$10)*1000)</f>
        <v>41447.09190746041</v>
      </c>
      <c r="AS51" s="111">
        <f>SUM(AR$51,'Statistics NZ'!AS$51-'Statistics NZ'!AR$51,$H$13/5*(AS$9-AS$10)*1000)</f>
        <v>41507.09190746041</v>
      </c>
      <c r="AT51" s="111">
        <f>SUM(AS$51,'Statistics NZ'!AT$51-'Statistics NZ'!AS$51,$H$13/5*(AT$9-AT$10)*1000)</f>
        <v>41137.09190746041</v>
      </c>
      <c r="AU51" s="111">
        <f>SUM(AT$51,'Statistics NZ'!AU$51-'Statistics NZ'!AT$51,$H$13/5*(AU$9-AU$10)*1000)</f>
        <v>41377.09190746041</v>
      </c>
      <c r="AV51" s="111">
        <f>SUM(AU$51,'Statistics NZ'!AV$51-'Statistics NZ'!AU$51,$H$13/5*(AV$9-AV$10)*1000)</f>
        <v>40557.09190746041</v>
      </c>
      <c r="AW51" s="111">
        <f>SUM(AV$51,'Statistics NZ'!AW$51-'Statistics NZ'!AV$51,$H$13/5*(AW$9-AW$10)*1000)</f>
        <v>40137.09190746041</v>
      </c>
      <c r="AX51" s="111">
        <f>SUM(AW$51,'Statistics NZ'!AX$51-'Statistics NZ'!AW$51,$H$13/5*(AX$9-AX$10)*1000)</f>
        <v>40297.09190746041</v>
      </c>
      <c r="AY51" s="111">
        <f>SUM(AX$51,'Statistics NZ'!AY$51-'Statistics NZ'!AX$51,$H$13/5*(AY$9-AY$10)*1000)</f>
        <v>39727.09190746041</v>
      </c>
      <c r="AZ51" s="111">
        <f>SUM(AY$51,'Statistics NZ'!AZ$51-'Statistics NZ'!AY$51,$H$13/5*(AZ$9-AZ$10)*1000)</f>
        <v>39697.09190746041</v>
      </c>
      <c r="BA51" s="111">
        <f>SUM(AZ$51,'Statistics NZ'!BA$51-'Statistics NZ'!AZ$51,$H$13/5*(BA$9-BA$10)*1000)</f>
        <v>39647.09190746041</v>
      </c>
      <c r="BB51" s="111">
        <f>SUM(BA$51,'Statistics NZ'!BB$51-'Statistics NZ'!BA$51,$H$13/5*(BB$9-BB$10)*1000)</f>
        <v>39577.09190746041</v>
      </c>
      <c r="BC51" s="111">
        <f>SUM(BB$51,'Statistics NZ'!BC$51-'Statistics NZ'!BB$51,$H$13/5*(BC$9-BC$10)*1000)</f>
        <v>39687.09190746041</v>
      </c>
      <c r="BD51" s="111">
        <f>SUM(BC$51,'Statistics NZ'!BD$51-'Statistics NZ'!BC$51,$H$13/5*(BD$9-BD$10)*1000)</f>
        <v>39767.09190746041</v>
      </c>
      <c r="BE51" s="111">
        <f>SUM(BD$51,'Statistics NZ'!BE$51-'Statistics NZ'!BD$51,$H$13/5*(BE$9-BE$10)*1000)</f>
        <v>39827.09190746041</v>
      </c>
      <c r="BF51" s="111">
        <f>SUM(BE$51,'Statistics NZ'!BF$51-'Statistics NZ'!BE$51,$H$13/5*(BF$9-BF$10)*1000)</f>
        <v>39867.09190746041</v>
      </c>
      <c r="BG51" s="111">
        <f>SUM(BF$51,'Statistics NZ'!BG$51-'Statistics NZ'!BF$51,$H$13/5*(BG$9-BG$10)*1000)</f>
        <v>39887.09190746041</v>
      </c>
      <c r="BH51" s="111">
        <f>SUM(BG$51,'Statistics NZ'!BH$51-'Statistics NZ'!BG$51,$H$13/5*(BH$9-BH$10)*1000)</f>
        <v>39917.09190746041</v>
      </c>
      <c r="BI51" s="111">
        <f>SUM(BH$51,'Statistics NZ'!BI$51-'Statistics NZ'!BH$51,$H$13/5*(BI$9-BI$10)*1000)</f>
        <v>39947.09190746041</v>
      </c>
      <c r="BJ51" s="111">
        <f>SUM(BI$51,'Statistics NZ'!BJ$51-'Statistics NZ'!BI$51,$H$13/5*(BJ$9-BJ$10)*1000)</f>
        <v>39977.09190746041</v>
      </c>
      <c r="BK51" s="111">
        <f>SUM(BJ$51,'Statistics NZ'!BK$51-'Statistics NZ'!BJ$51,$H$13/5*(BK$9-BK$10)*1000)</f>
        <v>40027.09190746041</v>
      </c>
      <c r="BL51" s="111">
        <f>SUM(BK$51,'Statistics NZ'!BL$51-'Statistics NZ'!BK$51,$H$13/5*(BL$9-BL$10)*1000)</f>
        <v>40087.09190746041</v>
      </c>
      <c r="BM51" s="195">
        <f>SUM(BL$51,'Statistics NZ'!BM$51-'Statistics NZ'!BL$51,$H$13/5*(BM$9-BM$10)*1000)</f>
        <v>40177.09190746041</v>
      </c>
      <c r="BN51" s="195">
        <f>SUM(BM$51,'Statistics NZ'!BN$51-'Statistics NZ'!BM$51,$H$13/5*(BN$9-BN$10)*1000)</f>
        <v>40287.09190746041</v>
      </c>
      <c r="BO51" s="195">
        <f>SUM(BN$51,'Statistics NZ'!BO$51-'Statistics NZ'!BN$51,$H$13/5*(BO$9-BO$10)*1000)</f>
        <v>40427.09190746041</v>
      </c>
      <c r="BP51" s="195">
        <f>SUM(BO$51,'Statistics NZ'!BP$51-'Statistics NZ'!BO$51,$H$13/5*(BP$9-BP$10)*1000)</f>
        <v>40567.09190746041</v>
      </c>
      <c r="BQ51" s="195">
        <f>SUM(BP$51,'Statistics NZ'!BQ$51-'Statistics NZ'!BP$51,$H$13/5*(BQ$9-BQ$10)*1000)</f>
        <v>40737.09190746041</v>
      </c>
    </row>
    <row r="52" spans="1:69">
      <c r="A52" s="105">
        <v>35</v>
      </c>
      <c r="B52" s="118">
        <f>'Statistics NZ'!B$52*'Economic Forecasts'!D$9*1000000/SUM('Statistics NZ'!B$32:B$107,'Statistics NZ'!B$125:B$200)</f>
        <v>32862.684690806716</v>
      </c>
      <c r="C52" s="118">
        <f>'Statistics NZ'!C$52*'Economic Forecasts'!E$9*1000000/SUM('Statistics NZ'!C$32:C$107,'Statistics NZ'!C$125:C$200)</f>
        <v>32572.144177449165</v>
      </c>
      <c r="D52" s="118">
        <f>'Statistics NZ'!D$52*'Economic Forecasts'!F$9*1000000/SUM('Statistics NZ'!D$32:D$107,'Statistics NZ'!D$125:D$200)</f>
        <v>31253.706424036336</v>
      </c>
      <c r="E52" s="118">
        <f>'Statistics NZ'!E$52*'Economic Forecasts'!G$9*1000000/SUM('Statistics NZ'!E$32:E$107,'Statistics NZ'!E$125:E$200)</f>
        <v>30333.395072072628</v>
      </c>
      <c r="F52" s="118">
        <f>'Statistics NZ'!F$52*'Economic Forecasts'!H$9*1000000/SUM('Statistics NZ'!F$32:F$107,'Statistics NZ'!F$125:F$200)</f>
        <v>29180.500678280219</v>
      </c>
      <c r="G52" s="118">
        <f>'Statistics NZ'!G$52*'Economic Forecasts'!I$9*1000000/SUM('Statistics NZ'!G$32:G$107,'Statistics NZ'!G$125:G$200)</f>
        <v>27824.521746140512</v>
      </c>
      <c r="H52" s="118">
        <f>'Statistics NZ'!H$52*'Economic Forecasts'!J$9*1000000/SUM('Statistics NZ'!H$32:H$107,'Statistics NZ'!H$125:H$200)</f>
        <v>27579.059908466428</v>
      </c>
      <c r="I52" s="118">
        <f>'Statistics NZ'!I$52*'Economic Forecasts'!K$9*1000000/SUM('Statistics NZ'!I$32:I$107,'Statistics NZ'!I$125:I$200)</f>
        <v>27190.601900201229</v>
      </c>
      <c r="J52" s="203">
        <f>'Statistics NZ'!J$52*'Economic Forecasts'!L$9*1000000/SUM('Statistics NZ'!J$32:J$107,'Statistics NZ'!J$125:J$200)</f>
        <v>28187.950927462087</v>
      </c>
      <c r="K52" s="203">
        <f>'Statistics NZ'!K$52*'Economic Forecasts'!M$9*1000000/SUM('Statistics NZ'!K$32:K$107,'Statistics NZ'!K$125:K$200)</f>
        <v>28591.660731838751</v>
      </c>
      <c r="L52" s="203">
        <f>'Statistics NZ'!L$52*'Economic Forecasts'!N$9*1000000/SUM('Statistics NZ'!L$32:L$107,'Statistics NZ'!L$125:L$200)</f>
        <v>29398.744259699124</v>
      </c>
      <c r="M52" s="203">
        <f>'Statistics NZ'!M$52*'Economic Forecasts'!O$9*1000000/SUM('Statistics NZ'!M$32:M$107,'Statistics NZ'!M$125:M$200)</f>
        <v>30811.980538744516</v>
      </c>
      <c r="N52" s="203">
        <f>'Statistics NZ'!N$52*'Economic Forecasts'!P$9*1000000/SUM('Statistics NZ'!N$32:N$107,'Statistics NZ'!N$125:N$200)</f>
        <v>32082.466187166803</v>
      </c>
      <c r="O52" s="203">
        <f>'Statistics NZ'!O$52*'Economic Forecasts'!Q$9*1000000/SUM('Statistics NZ'!O$32:O$107,'Statistics NZ'!O$125:O$200)</f>
        <v>33246.854865369365</v>
      </c>
      <c r="P52" s="203">
        <f>'Statistics NZ'!P$52*'Economic Forecasts'!R$9*1000000/SUM('Statistics NZ'!P$32:P$107,'Statistics NZ'!P$125:P$200)</f>
        <v>34575.901031127687</v>
      </c>
      <c r="Q52" s="121">
        <f>SUM('Statistics NZ'!Q$52,$I$13/5*(Q$9-Q$10)*1000)*'Economic Forecasts'!S$9*1000000/SUM('Statistics NZ'!Q$32:Q$107,'Statistics NZ'!Q$125:Q$200,SUM($E$13:$Q$14)*(Q$9-Q$10)*1000)</f>
        <v>35087.89148092379</v>
      </c>
      <c r="R52" s="205">
        <f>SUM('Statistics NZ'!R$52,$I$13/5*(R$9-R$10)*1000)*'Economic Forecasts'!T$9*1000000/SUM('Statistics NZ'!R$32:R$107,'Statistics NZ'!R$125:R$200,SUM($E$13:$Q$14)*(R$9-R$10)*1000)</f>
        <v>35868.355503699851</v>
      </c>
      <c r="S52" s="205">
        <f>SUM('Statistics NZ'!S$52,$I$13/5*(S$9-S$10)*1000)*'Economic Forecasts'!U$9*1000000/SUM('Statistics NZ'!S$32:S$107,'Statistics NZ'!S$125:S$200,SUM($E$13:$Q$14)*(S$9-S$10)*1000)</f>
        <v>38353.769804052965</v>
      </c>
      <c r="T52" s="205">
        <f>SUM('Statistics NZ'!T$52,$I$13/5*(T$9-T$10)*1000)*'Economic Forecasts'!V$9*1000000/SUM('Statistics NZ'!T$32:T$107,'Statistics NZ'!T$125:T$200,SUM($E$13:$Q$14)*(T$9-T$10)*1000)</f>
        <v>38766.379032061632</v>
      </c>
      <c r="U52" s="205">
        <f>SUM('Statistics NZ'!U$52,$I$13/5*(U$9-U$10)*1000)*'Economic Forecasts'!W$9*1000000/SUM('Statistics NZ'!U$32:U$107,'Statistics NZ'!U$125:U$200,SUM($E$13:$Q$14)*(U$9-U$10)*1000)</f>
        <v>40577.619174210151</v>
      </c>
      <c r="V52" s="111">
        <f>SUM(U$52,'Statistics NZ'!V$52-'Statistics NZ'!U$52,$I$13/5*(V$9-V$10)*1000)</f>
        <v>41317.728459338294</v>
      </c>
      <c r="W52" s="111">
        <f>SUM(V$52,'Statistics NZ'!W$52-'Statistics NZ'!V$52,$I$13/5*(W$9-W$10)*1000)</f>
        <v>41077.824083825421</v>
      </c>
      <c r="X52" s="111">
        <f>SUM(W$52,'Statistics NZ'!X$52-'Statistics NZ'!W$52,$I$13/5*(X$9-X$10)*1000)</f>
        <v>40467.906047671524</v>
      </c>
      <c r="Y52" s="111">
        <f>SUM(X$52,'Statistics NZ'!Y$52-'Statistics NZ'!X$52,$I$13/5*(Y$9-Y$10)*1000)</f>
        <v>39327.974350876611</v>
      </c>
      <c r="Z52" s="111">
        <f>SUM(Y$52,'Statistics NZ'!Z$52-'Statistics NZ'!Y$52,$I$13/5*(Z$9-Z$10)*1000)</f>
        <v>39168.028993440683</v>
      </c>
      <c r="AA52" s="111">
        <f>SUM(Z$52,'Statistics NZ'!AA$52-'Statistics NZ'!Z$52,$I$13/5*(AA$9-AA$10)*1000)</f>
        <v>38848.069975363738</v>
      </c>
      <c r="AB52" s="111">
        <f>SUM(AA$52,'Statistics NZ'!AB$52-'Statistics NZ'!AA$52,$I$13/5*(AB$9-AB$10)*1000)</f>
        <v>38508.09729664577</v>
      </c>
      <c r="AC52" s="111">
        <f>SUM(AB$52,'Statistics NZ'!AC$52-'Statistics NZ'!AB$52,$I$13/5*(AC$9-AC$10)*1000)</f>
        <v>38488.110957286786</v>
      </c>
      <c r="AD52" s="111">
        <f>SUM(AC$52,'Statistics NZ'!AD$52-'Statistics NZ'!AC$52,$I$13/5*(AD$9-AD$10)*1000)</f>
        <v>37898.110957286786</v>
      </c>
      <c r="AE52" s="111">
        <f>SUM(AD$52,'Statistics NZ'!AE$52-'Statistics NZ'!AD$52,$I$13/5*(AE$9-AE$10)*1000)</f>
        <v>38668.110957286786</v>
      </c>
      <c r="AF52" s="111">
        <f>SUM(AE$52,'Statistics NZ'!AF$52-'Statistics NZ'!AE$52,$I$13/5*(AF$9-AF$10)*1000)</f>
        <v>38288.110957286786</v>
      </c>
      <c r="AG52" s="111">
        <f>SUM(AF$52,'Statistics NZ'!AG$52-'Statistics NZ'!AF$52,$I$13/5*(AG$9-AG$10)*1000)</f>
        <v>37338.110957286786</v>
      </c>
      <c r="AH52" s="111">
        <f>SUM(AG$52,'Statistics NZ'!AH$52-'Statistics NZ'!AG$52,$I$13/5*(AH$9-AH$10)*1000)</f>
        <v>36998.110957286786</v>
      </c>
      <c r="AI52" s="111">
        <f>SUM(AH$52,'Statistics NZ'!AI$52-'Statistics NZ'!AH$52,$I$13/5*(AI$9-AI$10)*1000)</f>
        <v>37808.110957286786</v>
      </c>
      <c r="AJ52" s="111">
        <f>SUM(AI$52,'Statistics NZ'!AJ$52-'Statistics NZ'!AI$52,$I$13/5*(AJ$9-AJ$10)*1000)</f>
        <v>37948.110957286786</v>
      </c>
      <c r="AK52" s="111">
        <f>SUM(AJ$52,'Statistics NZ'!AK$52-'Statistics NZ'!AJ$52,$I$13/5*(AK$9-AK$10)*1000)</f>
        <v>38758.110957286786</v>
      </c>
      <c r="AL52" s="111">
        <f>SUM(AK$52,'Statistics NZ'!AL$52-'Statistics NZ'!AK$52,$I$13/5*(AL$9-AL$10)*1000)</f>
        <v>40298.110957286786</v>
      </c>
      <c r="AM52" s="111">
        <f>SUM(AL$52,'Statistics NZ'!AM$52-'Statistics NZ'!AL$52,$I$13/5*(AM$9-AM$10)*1000)</f>
        <v>41588.110957286786</v>
      </c>
      <c r="AN52" s="111">
        <f>SUM(AM$52,'Statistics NZ'!AN$52-'Statistics NZ'!AM$52,$I$13/5*(AN$9-AN$10)*1000)</f>
        <v>41418.110957286786</v>
      </c>
      <c r="AO52" s="111">
        <f>SUM(AN$52,'Statistics NZ'!AO$52-'Statistics NZ'!AN$52,$I$13/5*(AO$9-AO$10)*1000)</f>
        <v>42438.110957286786</v>
      </c>
      <c r="AP52" s="111">
        <f>SUM(AO$52,'Statistics NZ'!AP$52-'Statistics NZ'!AO$52,$I$13/5*(AP$9-AP$10)*1000)</f>
        <v>42358.110957286786</v>
      </c>
      <c r="AQ52" s="111">
        <f>SUM(AP$52,'Statistics NZ'!AQ$52-'Statistics NZ'!AP$52,$I$13/5*(AQ$9-AQ$10)*1000)</f>
        <v>42258.110957286786</v>
      </c>
      <c r="AR52" s="111">
        <f>SUM(AQ$52,'Statistics NZ'!AR$52-'Statistics NZ'!AQ$52,$I$13/5*(AR$9-AR$10)*1000)</f>
        <v>42168.110957286786</v>
      </c>
      <c r="AS52" s="111">
        <f>SUM(AR$52,'Statistics NZ'!AS$52-'Statistics NZ'!AR$52,$I$13/5*(AS$9-AS$10)*1000)</f>
        <v>41058.110957286786</v>
      </c>
      <c r="AT52" s="111">
        <f>SUM(AS$52,'Statistics NZ'!AT$52-'Statistics NZ'!AS$52,$I$13/5*(AT$9-AT$10)*1000)</f>
        <v>41118.110957286786</v>
      </c>
      <c r="AU52" s="111">
        <f>SUM(AT$52,'Statistics NZ'!AU$52-'Statistics NZ'!AT$52,$I$13/5*(AU$9-AU$10)*1000)</f>
        <v>40748.110957286786</v>
      </c>
      <c r="AV52" s="111">
        <f>SUM(AU$52,'Statistics NZ'!AV$52-'Statistics NZ'!AU$52,$I$13/5*(AV$9-AV$10)*1000)</f>
        <v>40988.110957286786</v>
      </c>
      <c r="AW52" s="111">
        <f>SUM(AV$52,'Statistics NZ'!AW$52-'Statistics NZ'!AV$52,$I$13/5*(AW$9-AW$10)*1000)</f>
        <v>40168.110957286786</v>
      </c>
      <c r="AX52" s="111">
        <f>SUM(AW$52,'Statistics NZ'!AX$52-'Statistics NZ'!AW$52,$I$13/5*(AX$9-AX$10)*1000)</f>
        <v>39748.110957286786</v>
      </c>
      <c r="AY52" s="111">
        <f>SUM(AX$52,'Statistics NZ'!AY$52-'Statistics NZ'!AX$52,$I$13/5*(AY$9-AY$10)*1000)</f>
        <v>39908.110957286786</v>
      </c>
      <c r="AZ52" s="111">
        <f>SUM(AY$52,'Statistics NZ'!AZ$52-'Statistics NZ'!AY$52,$I$13/5*(AZ$9-AZ$10)*1000)</f>
        <v>39348.110957286786</v>
      </c>
      <c r="BA52" s="111">
        <f>SUM(AZ$52,'Statistics NZ'!BA$52-'Statistics NZ'!AZ$52,$I$13/5*(BA$9-BA$10)*1000)</f>
        <v>39308.110957286786</v>
      </c>
      <c r="BB52" s="111">
        <f>SUM(BA$52,'Statistics NZ'!BB$52-'Statistics NZ'!BA$52,$I$13/5*(BB$9-BB$10)*1000)</f>
        <v>39258.110957286786</v>
      </c>
      <c r="BC52" s="111">
        <f>SUM(BB$52,'Statistics NZ'!BC$52-'Statistics NZ'!BB$52,$I$13/5*(BC$9-BC$10)*1000)</f>
        <v>39188.110957286786</v>
      </c>
      <c r="BD52" s="111">
        <f>SUM(BC$52,'Statistics NZ'!BD$52-'Statistics NZ'!BC$52,$I$13/5*(BD$9-BD$10)*1000)</f>
        <v>39298.110957286786</v>
      </c>
      <c r="BE52" s="111">
        <f>SUM(BD$52,'Statistics NZ'!BE$52-'Statistics NZ'!BD$52,$I$13/5*(BE$9-BE$10)*1000)</f>
        <v>39388.110957286786</v>
      </c>
      <c r="BF52" s="111">
        <f>SUM(BE$52,'Statistics NZ'!BF$52-'Statistics NZ'!BE$52,$I$13/5*(BF$9-BF$10)*1000)</f>
        <v>39438.110957286786</v>
      </c>
      <c r="BG52" s="111">
        <f>SUM(BF$52,'Statistics NZ'!BG$52-'Statistics NZ'!BF$52,$I$13/5*(BG$9-BG$10)*1000)</f>
        <v>39478.110957286786</v>
      </c>
      <c r="BH52" s="111">
        <f>SUM(BG$52,'Statistics NZ'!BH$52-'Statistics NZ'!BG$52,$I$13/5*(BH$9-BH$10)*1000)</f>
        <v>39498.110957286786</v>
      </c>
      <c r="BI52" s="111">
        <f>SUM(BH$52,'Statistics NZ'!BI$52-'Statistics NZ'!BH$52,$I$13/5*(BI$9-BI$10)*1000)</f>
        <v>39528.110957286786</v>
      </c>
      <c r="BJ52" s="111">
        <f>SUM(BI$52,'Statistics NZ'!BJ$52-'Statistics NZ'!BI$52,$I$13/5*(BJ$9-BJ$10)*1000)</f>
        <v>39558.110957286786</v>
      </c>
      <c r="BK52" s="111">
        <f>SUM(BJ$52,'Statistics NZ'!BK$52-'Statistics NZ'!BJ$52,$I$13/5*(BK$9-BK$10)*1000)</f>
        <v>39588.110957286786</v>
      </c>
      <c r="BL52" s="111">
        <f>SUM(BK$52,'Statistics NZ'!BL$52-'Statistics NZ'!BK$52,$I$13/5*(BL$9-BL$10)*1000)</f>
        <v>39638.110957286786</v>
      </c>
      <c r="BM52" s="195">
        <f>SUM(BL$52,'Statistics NZ'!BM$52-'Statistics NZ'!BL$52,$I$13/5*(BM$9-BM$10)*1000)</f>
        <v>39698.110957286786</v>
      </c>
      <c r="BN52" s="195">
        <f>SUM(BM$52,'Statistics NZ'!BN$52-'Statistics NZ'!BM$52,$I$13/5*(BN$9-BN$10)*1000)</f>
        <v>39788.110957286786</v>
      </c>
      <c r="BO52" s="195">
        <f>SUM(BN$52,'Statistics NZ'!BO$52-'Statistics NZ'!BN$52,$I$13/5*(BO$9-BO$10)*1000)</f>
        <v>39898.110957286786</v>
      </c>
      <c r="BP52" s="195">
        <f>SUM(BO$52,'Statistics NZ'!BP$52-'Statistics NZ'!BO$52,$I$13/5*(BP$9-BP$10)*1000)</f>
        <v>40038.110957286786</v>
      </c>
      <c r="BQ52" s="195">
        <f>SUM(BP$52,'Statistics NZ'!BQ$52-'Statistics NZ'!BP$52,$I$13/5*(BQ$9-BQ$10)*1000)</f>
        <v>40188.110957286786</v>
      </c>
    </row>
    <row r="53" spans="1:69">
      <c r="A53" s="105">
        <v>36</v>
      </c>
      <c r="B53" s="118">
        <f>'Statistics NZ'!B$53*'Economic Forecasts'!D$9*1000000/SUM('Statistics NZ'!B$32:B$107,'Statistics NZ'!B$125:B$200)</f>
        <v>32035.20701873604</v>
      </c>
      <c r="C53" s="118">
        <f>'Statistics NZ'!C$53*'Economic Forecasts'!E$9*1000000/SUM('Statistics NZ'!C$32:C$107,'Statistics NZ'!C$125:C$200)</f>
        <v>33203.081594930023</v>
      </c>
      <c r="D53" s="118">
        <f>'Statistics NZ'!D$53*'Economic Forecasts'!F$9*1000000/SUM('Statistics NZ'!D$32:D$107,'Statistics NZ'!D$125:D$200)</f>
        <v>32751.834262716096</v>
      </c>
      <c r="E53" s="118">
        <f>'Statistics NZ'!E$53*'Economic Forecasts'!G$9*1000000/SUM('Statistics NZ'!E$32:E$107,'Statistics NZ'!E$125:E$200)</f>
        <v>31446.276125041528</v>
      </c>
      <c r="F53" s="118">
        <f>'Statistics NZ'!F$53*'Economic Forecasts'!H$9*1000000/SUM('Statistics NZ'!F$32:F$107,'Statistics NZ'!F$125:F$200)</f>
        <v>30520.321101050682</v>
      </c>
      <c r="G53" s="118">
        <f>'Statistics NZ'!G$53*'Economic Forecasts'!I$9*1000000/SUM('Statistics NZ'!G$32:G$107,'Statistics NZ'!G$125:G$200)</f>
        <v>29253.18876214277</v>
      </c>
      <c r="H53" s="118">
        <f>'Statistics NZ'!H$53*'Economic Forecasts'!J$9*1000000/SUM('Statistics NZ'!H$32:H$107,'Statistics NZ'!H$125:H$200)</f>
        <v>27785.902857779925</v>
      </c>
      <c r="I53" s="118">
        <f>'Statistics NZ'!I$53*'Economic Forecasts'!K$9*1000000/SUM('Statistics NZ'!I$32:I$107,'Statistics NZ'!I$125:I$200)</f>
        <v>27613.763638061755</v>
      </c>
      <c r="J53" s="203">
        <f>'Statistics NZ'!J$53*'Economic Forecasts'!L$9*1000000/SUM('Statistics NZ'!J$32:J$107,'Statistics NZ'!J$125:J$200)</f>
        <v>27490.132058616269</v>
      </c>
      <c r="K53" s="203">
        <f>'Statistics NZ'!K$53*'Economic Forecasts'!M$9*1000000/SUM('Statistics NZ'!K$32:K$107,'Statistics NZ'!K$125:K$200)</f>
        <v>28650.612609636351</v>
      </c>
      <c r="L53" s="203">
        <f>'Statistics NZ'!L$53*'Economic Forecasts'!N$9*1000000/SUM('Statistics NZ'!L$32:L$107,'Statistics NZ'!L$125:L$200)</f>
        <v>29300.256004222749</v>
      </c>
      <c r="M53" s="203">
        <f>'Statistics NZ'!M$53*'Economic Forecasts'!O$9*1000000/SUM('Statistics NZ'!M$32:M$107,'Statistics NZ'!M$125:M$200)</f>
        <v>30053.501478168</v>
      </c>
      <c r="N53" s="203">
        <f>'Statistics NZ'!N$53*'Economic Forecasts'!P$9*1000000/SUM('Statistics NZ'!N$32:N$107,'Statistics NZ'!N$125:N$200)</f>
        <v>31510.093674445896</v>
      </c>
      <c r="O53" s="203">
        <f>'Statistics NZ'!O$53*'Economic Forecasts'!Q$9*1000000/SUM('Statistics NZ'!O$32:O$107,'Statistics NZ'!O$125:O$200)</f>
        <v>32694.220887197604</v>
      </c>
      <c r="P53" s="203">
        <f>'Statistics NZ'!P$53*'Economic Forecasts'!R$9*1000000/SUM('Statistics NZ'!P$32:P$107,'Statistics NZ'!P$125:P$200)</f>
        <v>34013.129369570219</v>
      </c>
      <c r="Q53" s="121">
        <f>SUM('Statistics NZ'!Q$53,$I$13/5*(Q$9-Q$10)*1000)*'Economic Forecasts'!S$9*1000000/SUM('Statistics NZ'!Q$32:Q$107,'Statistics NZ'!Q$125:Q$200,SUM($E$13:$Q$14)*(Q$9-Q$10)*1000)</f>
        <v>34731.980248442051</v>
      </c>
      <c r="R53" s="205">
        <f>SUM('Statistics NZ'!R$53,$I$13/5*(R$9-R$10)*1000)*'Economic Forecasts'!T$9*1000000/SUM('Statistics NZ'!R$32:R$107,'Statistics NZ'!R$125:R$200,SUM($E$13:$Q$14)*(R$9-R$10)*1000)</f>
        <v>35285.129936489517</v>
      </c>
      <c r="S53" s="205">
        <f>SUM('Statistics NZ'!S$53,$I$13/5*(S$9-S$10)*1000)*'Economic Forecasts'!U$9*1000000/SUM('Statistics NZ'!S$32:S$107,'Statistics NZ'!S$125:S$200,SUM($E$13:$Q$14)*(S$9-S$10)*1000)</f>
        <v>36140.673098005587</v>
      </c>
      <c r="T53" s="205">
        <f>SUM('Statistics NZ'!T$53,$I$13/5*(T$9-T$10)*1000)*'Economic Forecasts'!V$9*1000000/SUM('Statistics NZ'!T$32:T$107,'Statistics NZ'!T$125:T$200,SUM($E$13:$Q$14)*(T$9-T$10)*1000)</f>
        <v>38697.224042032671</v>
      </c>
      <c r="U53" s="205">
        <f>SUM('Statistics NZ'!U$53,$I$13/5*(U$9-U$10)*1000)*'Economic Forecasts'!W$9*1000000/SUM('Statistics NZ'!U$32:U$107,'Statistics NZ'!U$125:U$200,SUM($E$13:$Q$14)*(U$9-U$10)*1000)</f>
        <v>39163.045271156909</v>
      </c>
      <c r="V53" s="111">
        <f>SUM(U$53,'Statistics NZ'!V$53-'Statistics NZ'!U$53,$I$13/5*(V$9-V$10)*1000)</f>
        <v>41023.154556285052</v>
      </c>
      <c r="W53" s="111">
        <f>SUM(V$53,'Statistics NZ'!W$53-'Statistics NZ'!V$53,$I$13/5*(W$9-W$10)*1000)</f>
        <v>41753.250180772178</v>
      </c>
      <c r="X53" s="111">
        <f>SUM(W$53,'Statistics NZ'!X$53-'Statistics NZ'!W$53,$I$13/5*(X$9-X$10)*1000)</f>
        <v>41483.332144618282</v>
      </c>
      <c r="Y53" s="111">
        <f>SUM(X$53,'Statistics NZ'!Y$53-'Statistics NZ'!X$53,$I$13/5*(Y$9-Y$10)*1000)</f>
        <v>40853.400447823369</v>
      </c>
      <c r="Z53" s="111">
        <f>SUM(Y$53,'Statistics NZ'!Z$53-'Statistics NZ'!Y$53,$I$13/5*(Z$9-Z$10)*1000)</f>
        <v>39693.455090387441</v>
      </c>
      <c r="AA53" s="111">
        <f>SUM(Z$53,'Statistics NZ'!AA$53-'Statistics NZ'!Z$53,$I$13/5*(AA$9-AA$10)*1000)</f>
        <v>39523.496072310496</v>
      </c>
      <c r="AB53" s="111">
        <f>SUM(AA$53,'Statistics NZ'!AB$53-'Statistics NZ'!AA$53,$I$13/5*(AB$9-AB$10)*1000)</f>
        <v>39173.523393592528</v>
      </c>
      <c r="AC53" s="111">
        <f>SUM(AB$53,'Statistics NZ'!AC$53-'Statistics NZ'!AB$53,$I$13/5*(AC$9-AC$10)*1000)</f>
        <v>38823.537054233544</v>
      </c>
      <c r="AD53" s="111">
        <f>SUM(AC$53,'Statistics NZ'!AD$53-'Statistics NZ'!AC$53,$I$13/5*(AD$9-AD$10)*1000)</f>
        <v>38773.537054233544</v>
      </c>
      <c r="AE53" s="111">
        <f>SUM(AD$53,'Statistics NZ'!AE$53-'Statistics NZ'!AD$53,$I$13/5*(AE$9-AE$10)*1000)</f>
        <v>38183.537054233544</v>
      </c>
      <c r="AF53" s="111">
        <f>SUM(AE$53,'Statistics NZ'!AF$53-'Statistics NZ'!AE$53,$I$13/5*(AF$9-AF$10)*1000)</f>
        <v>38963.537054233544</v>
      </c>
      <c r="AG53" s="111">
        <f>SUM(AF$53,'Statistics NZ'!AG$53-'Statistics NZ'!AF$53,$I$13/5*(AG$9-AG$10)*1000)</f>
        <v>38583.537054233544</v>
      </c>
      <c r="AH53" s="111">
        <f>SUM(AG$53,'Statistics NZ'!AH$53-'Statistics NZ'!AG$53,$I$13/5*(AH$9-AH$10)*1000)</f>
        <v>37633.537054233544</v>
      </c>
      <c r="AI53" s="111">
        <f>SUM(AH$53,'Statistics NZ'!AI$53-'Statistics NZ'!AH$53,$I$13/5*(AI$9-AI$10)*1000)</f>
        <v>37283.537054233544</v>
      </c>
      <c r="AJ53" s="111">
        <f>SUM(AI$53,'Statistics NZ'!AJ$53-'Statistics NZ'!AI$53,$I$13/5*(AJ$9-AJ$10)*1000)</f>
        <v>38103.537054233544</v>
      </c>
      <c r="AK53" s="111">
        <f>SUM(AJ$53,'Statistics NZ'!AK$53-'Statistics NZ'!AJ$53,$I$13/5*(AK$9-AK$10)*1000)</f>
        <v>38243.537054233544</v>
      </c>
      <c r="AL53" s="111">
        <f>SUM(AK$53,'Statistics NZ'!AL$53-'Statistics NZ'!AK$53,$I$13/5*(AL$9-AL$10)*1000)</f>
        <v>39053.537054233544</v>
      </c>
      <c r="AM53" s="111">
        <f>SUM(AL$53,'Statistics NZ'!AM$53-'Statistics NZ'!AL$53,$I$13/5*(AM$9-AM$10)*1000)</f>
        <v>40593.537054233544</v>
      </c>
      <c r="AN53" s="111">
        <f>SUM(AM$53,'Statistics NZ'!AN$53-'Statistics NZ'!AM$53,$I$13/5*(AN$9-AN$10)*1000)</f>
        <v>41873.537054233544</v>
      </c>
      <c r="AO53" s="111">
        <f>SUM(AN$53,'Statistics NZ'!AO$53-'Statistics NZ'!AN$53,$I$13/5*(AO$9-AO$10)*1000)</f>
        <v>41713.537054233544</v>
      </c>
      <c r="AP53" s="111">
        <f>SUM(AO$53,'Statistics NZ'!AP$53-'Statistics NZ'!AO$53,$I$13/5*(AP$9-AP$10)*1000)</f>
        <v>42733.537054233544</v>
      </c>
      <c r="AQ53" s="111">
        <f>SUM(AP$53,'Statistics NZ'!AQ$53-'Statistics NZ'!AP$53,$I$13/5*(AQ$9-AQ$10)*1000)</f>
        <v>42653.537054233544</v>
      </c>
      <c r="AR53" s="111">
        <f>SUM(AQ$53,'Statistics NZ'!AR$53-'Statistics NZ'!AQ$53,$I$13/5*(AR$9-AR$10)*1000)</f>
        <v>42553.537054233544</v>
      </c>
      <c r="AS53" s="111">
        <f>SUM(AR$53,'Statistics NZ'!AS$53-'Statistics NZ'!AR$53,$I$13/5*(AS$9-AS$10)*1000)</f>
        <v>42463.537054233544</v>
      </c>
      <c r="AT53" s="111">
        <f>SUM(AS$53,'Statistics NZ'!AT$53-'Statistics NZ'!AS$53,$I$13/5*(AT$9-AT$10)*1000)</f>
        <v>41353.537054233544</v>
      </c>
      <c r="AU53" s="111">
        <f>SUM(AT$53,'Statistics NZ'!AU$53-'Statistics NZ'!AT$53,$I$13/5*(AU$9-AU$10)*1000)</f>
        <v>41403.537054233544</v>
      </c>
      <c r="AV53" s="111">
        <f>SUM(AU$53,'Statistics NZ'!AV$53-'Statistics NZ'!AU$53,$I$13/5*(AV$9-AV$10)*1000)</f>
        <v>41043.537054233544</v>
      </c>
      <c r="AW53" s="111">
        <f>SUM(AV$53,'Statistics NZ'!AW$53-'Statistics NZ'!AV$53,$I$13/5*(AW$9-AW$10)*1000)</f>
        <v>41283.537054233544</v>
      </c>
      <c r="AX53" s="111">
        <f>SUM(AW$53,'Statistics NZ'!AX$53-'Statistics NZ'!AW$53,$I$13/5*(AX$9-AX$10)*1000)</f>
        <v>40463.537054233544</v>
      </c>
      <c r="AY53" s="111">
        <f>SUM(AX$53,'Statistics NZ'!AY$53-'Statistics NZ'!AX$53,$I$13/5*(AY$9-AY$10)*1000)</f>
        <v>40043.537054233544</v>
      </c>
      <c r="AZ53" s="111">
        <f>SUM(AY$53,'Statistics NZ'!AZ$53-'Statistics NZ'!AY$53,$I$13/5*(AZ$9-AZ$10)*1000)</f>
        <v>40193.537054233544</v>
      </c>
      <c r="BA53" s="111">
        <f>SUM(AZ$53,'Statistics NZ'!BA$53-'Statistics NZ'!AZ$53,$I$13/5*(BA$9-BA$10)*1000)</f>
        <v>39643.537054233544</v>
      </c>
      <c r="BB53" s="111">
        <f>SUM(BA$53,'Statistics NZ'!BB$53-'Statistics NZ'!BA$53,$I$13/5*(BB$9-BB$10)*1000)</f>
        <v>39603.537054233544</v>
      </c>
      <c r="BC53" s="111">
        <f>SUM(BB$53,'Statistics NZ'!BC$53-'Statistics NZ'!BB$53,$I$13/5*(BC$9-BC$10)*1000)</f>
        <v>39553.537054233544</v>
      </c>
      <c r="BD53" s="111">
        <f>SUM(BC$53,'Statistics NZ'!BD$53-'Statistics NZ'!BC$53,$I$13/5*(BD$9-BD$10)*1000)</f>
        <v>39483.537054233544</v>
      </c>
      <c r="BE53" s="111">
        <f>SUM(BD$53,'Statistics NZ'!BE$53-'Statistics NZ'!BD$53,$I$13/5*(BE$9-BE$10)*1000)</f>
        <v>39603.537054233544</v>
      </c>
      <c r="BF53" s="111">
        <f>SUM(BE$53,'Statistics NZ'!BF$53-'Statistics NZ'!BE$53,$I$13/5*(BF$9-BF$10)*1000)</f>
        <v>39683.537054233544</v>
      </c>
      <c r="BG53" s="111">
        <f>SUM(BF$53,'Statistics NZ'!BG$53-'Statistics NZ'!BF$53,$I$13/5*(BG$9-BG$10)*1000)</f>
        <v>39733.537054233544</v>
      </c>
      <c r="BH53" s="111">
        <f>SUM(BG$53,'Statistics NZ'!BH$53-'Statistics NZ'!BG$53,$I$13/5*(BH$9-BH$10)*1000)</f>
        <v>39773.537054233544</v>
      </c>
      <c r="BI53" s="111">
        <f>SUM(BH$53,'Statistics NZ'!BI$53-'Statistics NZ'!BH$53,$I$13/5*(BI$9-BI$10)*1000)</f>
        <v>39803.537054233544</v>
      </c>
      <c r="BJ53" s="111">
        <f>SUM(BI$53,'Statistics NZ'!BJ$53-'Statistics NZ'!BI$53,$I$13/5*(BJ$9-BJ$10)*1000)</f>
        <v>39823.537054233544</v>
      </c>
      <c r="BK53" s="111">
        <f>SUM(BJ$53,'Statistics NZ'!BK$53-'Statistics NZ'!BJ$53,$I$13/5*(BK$9-BK$10)*1000)</f>
        <v>39853.537054233544</v>
      </c>
      <c r="BL53" s="111">
        <f>SUM(BK$53,'Statistics NZ'!BL$53-'Statistics NZ'!BK$53,$I$13/5*(BL$9-BL$10)*1000)</f>
        <v>39883.537054233544</v>
      </c>
      <c r="BM53" s="195">
        <f>SUM(BL$53,'Statistics NZ'!BM$53-'Statistics NZ'!BL$53,$I$13/5*(BM$9-BM$10)*1000)</f>
        <v>39933.537054233544</v>
      </c>
      <c r="BN53" s="195">
        <f>SUM(BM$53,'Statistics NZ'!BN$53-'Statistics NZ'!BM$53,$I$13/5*(BN$9-BN$10)*1000)</f>
        <v>40003.537054233544</v>
      </c>
      <c r="BO53" s="195">
        <f>SUM(BN$53,'Statistics NZ'!BO$53-'Statistics NZ'!BN$53,$I$13/5*(BO$9-BO$10)*1000)</f>
        <v>40083.537054233544</v>
      </c>
      <c r="BP53" s="195">
        <f>SUM(BO$53,'Statistics NZ'!BP$53-'Statistics NZ'!BO$53,$I$13/5*(BP$9-BP$10)*1000)</f>
        <v>40203.537054233544</v>
      </c>
      <c r="BQ53" s="195">
        <f>SUM(BP$53,'Statistics NZ'!BQ$53-'Statistics NZ'!BP$53,$I$13/5*(BQ$9-BQ$10)*1000)</f>
        <v>40333.537054233544</v>
      </c>
    </row>
    <row r="54" spans="1:69">
      <c r="A54" s="105">
        <v>37</v>
      </c>
      <c r="B54" s="118">
        <f>'Statistics NZ'!B$54*'Economic Forecasts'!D$9*1000000/SUM('Statistics NZ'!B$32:B$107,'Statistics NZ'!B$125:B$200)</f>
        <v>32379.989382098825</v>
      </c>
      <c r="C54" s="118">
        <f>'Statistics NZ'!C$54*'Economic Forecasts'!E$9*1000000/SUM('Statistics NZ'!C$32:C$107,'Statistics NZ'!C$125:C$200)</f>
        <v>32286.250660153157</v>
      </c>
      <c r="D54" s="118">
        <f>'Statistics NZ'!D$54*'Economic Forecasts'!F$9*1000000/SUM('Statistics NZ'!D$32:D$107,'Statistics NZ'!D$125:D$200)</f>
        <v>33362.912723230213</v>
      </c>
      <c r="E54" s="118">
        <f>'Statistics NZ'!E$54*'Economic Forecasts'!G$9*1000000/SUM('Statistics NZ'!E$32:E$107,'Statistics NZ'!E$125:E$200)</f>
        <v>32923.551859071034</v>
      </c>
      <c r="F54" s="118">
        <f>'Statistics NZ'!F$54*'Economic Forecasts'!H$9*1000000/SUM('Statistics NZ'!F$32:F$107,'Statistics NZ'!F$125:F$200)</f>
        <v>31623.702625685179</v>
      </c>
      <c r="G54" s="118">
        <f>'Statistics NZ'!G$54*'Economic Forecasts'!I$9*1000000/SUM('Statistics NZ'!G$32:G$107,'Statistics NZ'!G$125:G$200)</f>
        <v>30534.062638558589</v>
      </c>
      <c r="H54" s="118">
        <f>'Statistics NZ'!H$54*'Economic Forecasts'!J$9*1000000/SUM('Statistics NZ'!H$32:H$107,'Statistics NZ'!H$125:H$200)</f>
        <v>29253.502831480466</v>
      </c>
      <c r="I54" s="118">
        <f>'Statistics NZ'!I$54*'Economic Forecasts'!K$9*1000000/SUM('Statistics NZ'!I$32:I$107,'Statistics NZ'!I$125:I$200)</f>
        <v>27849.946933611827</v>
      </c>
      <c r="J54" s="203">
        <f>'Statistics NZ'!J$54*'Economic Forecasts'!L$9*1000000/SUM('Statistics NZ'!J$32:J$107,'Statistics NZ'!J$125:J$200)</f>
        <v>27902.926319060276</v>
      </c>
      <c r="K54" s="203">
        <f>'Statistics NZ'!K$54*'Economic Forecasts'!M$9*1000000/SUM('Statistics NZ'!K$32:K$107,'Statistics NZ'!K$125:K$200)</f>
        <v>27854.762259368679</v>
      </c>
      <c r="L54" s="203">
        <f>'Statistics NZ'!L$54*'Economic Forecasts'!N$9*1000000/SUM('Statistics NZ'!L$32:L$107,'Statistics NZ'!L$125:L$200)</f>
        <v>29290.407178675112</v>
      </c>
      <c r="M54" s="203">
        <f>'Statistics NZ'!M$54*'Economic Forecasts'!O$9*1000000/SUM('Statistics NZ'!M$32:M$107,'Statistics NZ'!M$125:M$200)</f>
        <v>29925.446571836903</v>
      </c>
      <c r="N54" s="203">
        <f>'Statistics NZ'!N$54*'Economic Forecasts'!P$9*1000000/SUM('Statistics NZ'!N$32:N$107,'Statistics NZ'!N$125:N$200)</f>
        <v>30671.271888561805</v>
      </c>
      <c r="O54" s="203">
        <f>'Statistics NZ'!O$54*'Economic Forecasts'!Q$9*1000000/SUM('Statistics NZ'!O$32:O$107,'Statistics NZ'!O$125:O$200)</f>
        <v>32121.849981233983</v>
      </c>
      <c r="P54" s="203">
        <f>'Statistics NZ'!P$54*'Economic Forecasts'!R$9*1000000/SUM('Statistics NZ'!P$32:P$107,'Statistics NZ'!P$125:P$200)</f>
        <v>33440.484520967875</v>
      </c>
      <c r="Q54" s="121">
        <f>SUM('Statistics NZ'!Q$54,$I$13/5*(Q$9-Q$10)*1000)*'Economic Forecasts'!S$9*1000000/SUM('Statistics NZ'!Q$32:Q$107,'Statistics NZ'!Q$125:Q$200,SUM($E$13:$Q$14)*(Q$9-Q$10)*1000)</f>
        <v>34148.68128409698</v>
      </c>
      <c r="R54" s="205">
        <f>SUM('Statistics NZ'!R$54,$I$13/5*(R$9-R$10)*1000)*'Economic Forecasts'!T$9*1000000/SUM('Statistics NZ'!R$32:R$107,'Statistics NZ'!R$125:R$200,SUM($E$13:$Q$14)*(R$9-R$10)*1000)</f>
        <v>34909.493130489653</v>
      </c>
      <c r="S54" s="205">
        <f>SUM('Statistics NZ'!S$54,$I$13/5*(S$9-S$10)*1000)*'Economic Forecasts'!U$9*1000000/SUM('Statistics NZ'!S$32:S$107,'Statistics NZ'!S$125:S$200,SUM($E$13:$Q$14)*(S$9-S$10)*1000)</f>
        <v>35537.999441448046</v>
      </c>
      <c r="T54" s="205">
        <f>SUM('Statistics NZ'!T$54,$I$13/5*(T$9-T$10)*1000)*'Economic Forecasts'!V$9*1000000/SUM('Statistics NZ'!T$32:T$107,'Statistics NZ'!T$125:T$200,SUM($E$13:$Q$14)*(T$9-T$10)*1000)</f>
        <v>36464.505792525873</v>
      </c>
      <c r="U54" s="205">
        <f>SUM('Statistics NZ'!U$54,$I$13/5*(U$9-U$10)*1000)*'Economic Forecasts'!W$9*1000000/SUM('Statistics NZ'!U$32:U$107,'Statistics NZ'!U$125:U$200,SUM($E$13:$Q$14)*(U$9-U$10)*1000)</f>
        <v>39074.016144391317</v>
      </c>
      <c r="V54" s="111">
        <f>SUM(U$54,'Statistics NZ'!V$54-'Statistics NZ'!U$54,$I$13/5*(V$9-V$10)*1000)</f>
        <v>39574.125429519459</v>
      </c>
      <c r="W54" s="111">
        <f>SUM(V$54,'Statistics NZ'!W$54-'Statistics NZ'!V$54,$I$13/5*(W$9-W$10)*1000)</f>
        <v>41414.221054006586</v>
      </c>
      <c r="X54" s="111">
        <f>SUM(W$54,'Statistics NZ'!X$54-'Statistics NZ'!W$54,$I$13/5*(X$9-X$10)*1000)</f>
        <v>42124.30301785269</v>
      </c>
      <c r="Y54" s="111">
        <f>SUM(X$54,'Statistics NZ'!Y$54-'Statistics NZ'!X$54,$I$13/5*(Y$9-Y$10)*1000)</f>
        <v>41834.371321057777</v>
      </c>
      <c r="Z54" s="111">
        <f>SUM(Y$54,'Statistics NZ'!Z$54-'Statistics NZ'!Y$54,$I$13/5*(Z$9-Z$10)*1000)</f>
        <v>41184.425963621848</v>
      </c>
      <c r="AA54" s="111">
        <f>SUM(Z$54,'Statistics NZ'!AA$54-'Statistics NZ'!Z$54,$I$13/5*(AA$9-AA$10)*1000)</f>
        <v>40014.466945544904</v>
      </c>
      <c r="AB54" s="111">
        <f>SUM(AA$54,'Statistics NZ'!AB$54-'Statistics NZ'!AA$54,$I$13/5*(AB$9-AB$10)*1000)</f>
        <v>39814.494266826936</v>
      </c>
      <c r="AC54" s="111">
        <f>SUM(AB$54,'Statistics NZ'!AC$54-'Statistics NZ'!AB$54,$I$13/5*(AC$9-AC$10)*1000)</f>
        <v>39444.507927467952</v>
      </c>
      <c r="AD54" s="111">
        <f>SUM(AC$54,'Statistics NZ'!AD$54-'Statistics NZ'!AC$54,$I$13/5*(AD$9-AD$10)*1000)</f>
        <v>39074.507927467952</v>
      </c>
      <c r="AE54" s="111">
        <f>SUM(AD$54,'Statistics NZ'!AE$54-'Statistics NZ'!AD$54,$I$13/5*(AE$9-AE$10)*1000)</f>
        <v>39024.507927467952</v>
      </c>
      <c r="AF54" s="111">
        <f>SUM(AE$54,'Statistics NZ'!AF$54-'Statistics NZ'!AE$54,$I$13/5*(AF$9-AF$10)*1000)</f>
        <v>38434.507927467952</v>
      </c>
      <c r="AG54" s="111">
        <f>SUM(AF$54,'Statistics NZ'!AG$54-'Statistics NZ'!AF$54,$I$13/5*(AG$9-AG$10)*1000)</f>
        <v>39214.507927467952</v>
      </c>
      <c r="AH54" s="111">
        <f>SUM(AG$54,'Statistics NZ'!AH$54-'Statistics NZ'!AG$54,$I$13/5*(AH$9-AH$10)*1000)</f>
        <v>38834.507927467952</v>
      </c>
      <c r="AI54" s="111">
        <f>SUM(AH$54,'Statistics NZ'!AI$54-'Statistics NZ'!AH$54,$I$13/5*(AI$9-AI$10)*1000)</f>
        <v>37884.507927467952</v>
      </c>
      <c r="AJ54" s="111">
        <f>SUM(AI$54,'Statistics NZ'!AJ$54-'Statistics NZ'!AI$54,$I$13/5*(AJ$9-AJ$10)*1000)</f>
        <v>37544.507927467952</v>
      </c>
      <c r="AK54" s="111">
        <f>SUM(AJ$54,'Statistics NZ'!AK$54-'Statistics NZ'!AJ$54,$I$13/5*(AK$9-AK$10)*1000)</f>
        <v>38354.507927467952</v>
      </c>
      <c r="AL54" s="111">
        <f>SUM(AK$54,'Statistics NZ'!AL$54-'Statistics NZ'!AK$54,$I$13/5*(AL$9-AL$10)*1000)</f>
        <v>38494.507927467952</v>
      </c>
      <c r="AM54" s="111">
        <f>SUM(AL$54,'Statistics NZ'!AM$54-'Statistics NZ'!AL$54,$I$13/5*(AM$9-AM$10)*1000)</f>
        <v>39304.507927467952</v>
      </c>
      <c r="AN54" s="111">
        <f>SUM(AM$54,'Statistics NZ'!AN$54-'Statistics NZ'!AM$54,$I$13/5*(AN$9-AN$10)*1000)</f>
        <v>40844.507927467952</v>
      </c>
      <c r="AO54" s="111">
        <f>SUM(AN$54,'Statistics NZ'!AO$54-'Statistics NZ'!AN$54,$I$13/5*(AO$9-AO$10)*1000)</f>
        <v>42134.507927467952</v>
      </c>
      <c r="AP54" s="111">
        <f>SUM(AO$54,'Statistics NZ'!AP$54-'Statistics NZ'!AO$54,$I$13/5*(AP$9-AP$10)*1000)</f>
        <v>41964.507927467952</v>
      </c>
      <c r="AQ54" s="111">
        <f>SUM(AP$54,'Statistics NZ'!AQ$54-'Statistics NZ'!AP$54,$I$13/5*(AQ$9-AQ$10)*1000)</f>
        <v>42984.507927467952</v>
      </c>
      <c r="AR54" s="111">
        <f>SUM(AQ$54,'Statistics NZ'!AR$54-'Statistics NZ'!AQ$54,$I$13/5*(AR$9-AR$10)*1000)</f>
        <v>42914.507927467952</v>
      </c>
      <c r="AS54" s="111">
        <f>SUM(AR$54,'Statistics NZ'!AS$54-'Statistics NZ'!AR$54,$I$13/5*(AS$9-AS$10)*1000)</f>
        <v>42804.507927467952</v>
      </c>
      <c r="AT54" s="111">
        <f>SUM(AS$54,'Statistics NZ'!AT$54-'Statistics NZ'!AS$54,$I$13/5*(AT$9-AT$10)*1000)</f>
        <v>42714.507927467952</v>
      </c>
      <c r="AU54" s="111">
        <f>SUM(AT$54,'Statistics NZ'!AU$54-'Statistics NZ'!AT$54,$I$13/5*(AU$9-AU$10)*1000)</f>
        <v>41604.507927467952</v>
      </c>
      <c r="AV54" s="111">
        <f>SUM(AU$54,'Statistics NZ'!AV$54-'Statistics NZ'!AU$54,$I$13/5*(AV$9-AV$10)*1000)</f>
        <v>41664.507927467952</v>
      </c>
      <c r="AW54" s="111">
        <f>SUM(AV$54,'Statistics NZ'!AW$54-'Statistics NZ'!AV$54,$I$13/5*(AW$9-AW$10)*1000)</f>
        <v>41304.507927467952</v>
      </c>
      <c r="AX54" s="111">
        <f>SUM(AW$54,'Statistics NZ'!AX$54-'Statistics NZ'!AW$54,$I$13/5*(AX$9-AX$10)*1000)</f>
        <v>41534.507927467952</v>
      </c>
      <c r="AY54" s="111">
        <f>SUM(AX$54,'Statistics NZ'!AY$54-'Statistics NZ'!AX$54,$I$13/5*(AY$9-AY$10)*1000)</f>
        <v>40724.507927467952</v>
      </c>
      <c r="AZ54" s="111">
        <f>SUM(AY$54,'Statistics NZ'!AZ$54-'Statistics NZ'!AY$54,$I$13/5*(AZ$9-AZ$10)*1000)</f>
        <v>40304.507927467952</v>
      </c>
      <c r="BA54" s="111">
        <f>SUM(AZ$54,'Statistics NZ'!BA$54-'Statistics NZ'!AZ$54,$I$13/5*(BA$9-BA$10)*1000)</f>
        <v>40454.507927467952</v>
      </c>
      <c r="BB54" s="111">
        <f>SUM(BA$54,'Statistics NZ'!BB$54-'Statistics NZ'!BA$54,$I$13/5*(BB$9-BB$10)*1000)</f>
        <v>39894.507927467952</v>
      </c>
      <c r="BC54" s="111">
        <f>SUM(BB$54,'Statistics NZ'!BC$54-'Statistics NZ'!BB$54,$I$13/5*(BC$9-BC$10)*1000)</f>
        <v>39864.507927467952</v>
      </c>
      <c r="BD54" s="111">
        <f>SUM(BC$54,'Statistics NZ'!BD$54-'Statistics NZ'!BC$54,$I$13/5*(BD$9-BD$10)*1000)</f>
        <v>39814.507927467952</v>
      </c>
      <c r="BE54" s="111">
        <f>SUM(BD$54,'Statistics NZ'!BE$54-'Statistics NZ'!BD$54,$I$13/5*(BE$9-BE$10)*1000)</f>
        <v>39744.507927467952</v>
      </c>
      <c r="BF54" s="111">
        <f>SUM(BE$54,'Statistics NZ'!BF$54-'Statistics NZ'!BE$54,$I$13/5*(BF$9-BF$10)*1000)</f>
        <v>39854.507927467952</v>
      </c>
      <c r="BG54" s="111">
        <f>SUM(BF$54,'Statistics NZ'!BG$54-'Statistics NZ'!BF$54,$I$13/5*(BG$9-BG$10)*1000)</f>
        <v>39934.507927467952</v>
      </c>
      <c r="BH54" s="111">
        <f>SUM(BG$54,'Statistics NZ'!BH$54-'Statistics NZ'!BG$54,$I$13/5*(BH$9-BH$10)*1000)</f>
        <v>39994.507927467952</v>
      </c>
      <c r="BI54" s="111">
        <f>SUM(BH$54,'Statistics NZ'!BI$54-'Statistics NZ'!BH$54,$I$13/5*(BI$9-BI$10)*1000)</f>
        <v>40034.507927467952</v>
      </c>
      <c r="BJ54" s="111">
        <f>SUM(BI$54,'Statistics NZ'!BJ$54-'Statistics NZ'!BI$54,$I$13/5*(BJ$9-BJ$10)*1000)</f>
        <v>40054.507927467952</v>
      </c>
      <c r="BK54" s="111">
        <f>SUM(BJ$54,'Statistics NZ'!BK$54-'Statistics NZ'!BJ$54,$I$13/5*(BK$9-BK$10)*1000)</f>
        <v>40084.507927467952</v>
      </c>
      <c r="BL54" s="111">
        <f>SUM(BK$54,'Statistics NZ'!BL$54-'Statistics NZ'!BK$54,$I$13/5*(BL$9-BL$10)*1000)</f>
        <v>40114.507927467952</v>
      </c>
      <c r="BM54" s="195">
        <f>SUM(BL$54,'Statistics NZ'!BM$54-'Statistics NZ'!BL$54,$I$13/5*(BM$9-BM$10)*1000)</f>
        <v>40144.507927467952</v>
      </c>
      <c r="BN54" s="195">
        <f>SUM(BM$54,'Statistics NZ'!BN$54-'Statistics NZ'!BM$54,$I$13/5*(BN$9-BN$10)*1000)</f>
        <v>40194.507927467952</v>
      </c>
      <c r="BO54" s="195">
        <f>SUM(BN$54,'Statistics NZ'!BO$54-'Statistics NZ'!BN$54,$I$13/5*(BO$9-BO$10)*1000)</f>
        <v>40264.507927467952</v>
      </c>
      <c r="BP54" s="195">
        <f>SUM(BO$54,'Statistics NZ'!BP$54-'Statistics NZ'!BO$54,$I$13/5*(BP$9-BP$10)*1000)</f>
        <v>40344.507927467952</v>
      </c>
      <c r="BQ54" s="195">
        <f>SUM(BP$54,'Statistics NZ'!BQ$54-'Statistics NZ'!BP$54,$I$13/5*(BQ$9-BQ$10)*1000)</f>
        <v>40464.507927467952</v>
      </c>
    </row>
    <row r="55" spans="1:69">
      <c r="A55" s="105">
        <v>38</v>
      </c>
      <c r="B55" s="118">
        <f>'Statistics NZ'!B$55*'Economic Forecasts'!D$9*1000000/SUM('Statistics NZ'!B$32:B$107,'Statistics NZ'!B$125:B$200)</f>
        <v>31966.250546063489</v>
      </c>
      <c r="C55" s="118">
        <f>'Statistics NZ'!C$55*'Economic Forecasts'!E$9*1000000/SUM('Statistics NZ'!C$32:C$107,'Statistics NZ'!C$125:C$200)</f>
        <v>32611.577766041722</v>
      </c>
      <c r="D55" s="118">
        <f>'Statistics NZ'!D$55*'Economic Forecasts'!F$9*1000000/SUM('Statistics NZ'!D$32:D$107,'Statistics NZ'!D$125:D$200)</f>
        <v>32357.590094642474</v>
      </c>
      <c r="E55" s="118">
        <f>'Statistics NZ'!E$55*'Economic Forecasts'!G$9*1000000/SUM('Statistics NZ'!E$32:E$107,'Statistics NZ'!E$125:E$200)</f>
        <v>33484.916638002251</v>
      </c>
      <c r="F55" s="118">
        <f>'Statistics NZ'!F$55*'Economic Forecasts'!H$9*1000000/SUM('Statistics NZ'!F$32:F$107,'Statistics NZ'!F$125:F$200)</f>
        <v>33081.742497523621</v>
      </c>
      <c r="G55" s="118">
        <f>'Statistics NZ'!G$55*'Economic Forecasts'!I$9*1000000/SUM('Statistics NZ'!G$32:G$107,'Statistics NZ'!G$125:G$200)</f>
        <v>31716.407755250108</v>
      </c>
      <c r="H55" s="118">
        <f>'Statistics NZ'!H$55*'Economic Forecasts'!J$9*1000000/SUM('Statistics NZ'!H$32:H$107,'Statistics NZ'!H$125:H$200)</f>
        <v>30494.560527361449</v>
      </c>
      <c r="I55" s="118">
        <f>'Statistics NZ'!I$55*'Economic Forecasts'!K$9*1000000/SUM('Statistics NZ'!I$32:I$107,'Statistics NZ'!I$125:I$200)</f>
        <v>29316.251560151806</v>
      </c>
      <c r="J55" s="203">
        <f>'Statistics NZ'!J$55*'Economic Forecasts'!L$9*1000000/SUM('Statistics NZ'!J$32:J$107,'Statistics NZ'!J$125:J$200)</f>
        <v>28040.524405874945</v>
      </c>
      <c r="K55" s="203">
        <f>'Statistics NZ'!K$55*'Economic Forecasts'!M$9*1000000/SUM('Statistics NZ'!K$32:K$107,'Statistics NZ'!K$125:K$200)</f>
        <v>28316.551968783253</v>
      </c>
      <c r="L55" s="203">
        <f>'Statistics NZ'!L$55*'Economic Forecasts'!N$9*1000000/SUM('Statistics NZ'!L$32:L$107,'Statistics NZ'!L$125:L$200)</f>
        <v>28472.954658221162</v>
      </c>
      <c r="M55" s="203">
        <f>'Statistics NZ'!M$55*'Economic Forecasts'!O$9*1000000/SUM('Statistics NZ'!M$32:M$107,'Statistics NZ'!M$125:M$200)</f>
        <v>29817.092420325975</v>
      </c>
      <c r="N55" s="203">
        <f>'Statistics NZ'!N$55*'Economic Forecasts'!P$9*1000000/SUM('Statistics NZ'!N$32:N$107,'Statistics NZ'!N$125:N$200)</f>
        <v>30503.507531384985</v>
      </c>
      <c r="O55" s="203">
        <f>'Statistics NZ'!O$55*'Economic Forecasts'!Q$9*1000000/SUM('Statistics NZ'!O$32:O$107,'Statistics NZ'!O$125:O$200)</f>
        <v>31243.55669449671</v>
      </c>
      <c r="P55" s="203">
        <f>'Statistics NZ'!P$55*'Economic Forecasts'!R$9*1000000/SUM('Statistics NZ'!P$32:P$107,'Statistics NZ'!P$125:P$200)</f>
        <v>32828.346924186058</v>
      </c>
      <c r="Q55" s="121">
        <f>SUM('Statistics NZ'!Q$55,$I$13/5*(Q$9-Q$10)*1000)*'Economic Forecasts'!S$9*1000000/SUM('Statistics NZ'!Q$32:Q$107,'Statistics NZ'!Q$125:Q$200,SUM($E$13:$Q$14)*(Q$9-Q$10)*1000)</f>
        <v>33565.382319751909</v>
      </c>
      <c r="R55" s="205">
        <f>SUM('Statistics NZ'!R$55,$I$13/5*(R$9-R$10)*1000)*'Economic Forecasts'!T$9*1000000/SUM('Statistics NZ'!R$32:R$107,'Statistics NZ'!R$125:R$200,SUM($E$13:$Q$14)*(R$9-R$10)*1000)</f>
        <v>34316.38238417406</v>
      </c>
      <c r="S55" s="205">
        <f>SUM('Statistics NZ'!S$55,$I$13/5*(S$9-S$10)*1000)*'Economic Forecasts'!U$9*1000000/SUM('Statistics NZ'!S$32:S$107,'Statistics NZ'!S$125:S$200,SUM($E$13:$Q$14)*(S$9-S$10)*1000)</f>
        <v>35142.803601082451</v>
      </c>
      <c r="T55" s="205">
        <f>SUM('Statistics NZ'!T$55,$I$13/5*(T$9-T$10)*1000)*'Economic Forecasts'!V$9*1000000/SUM('Statistics NZ'!T$32:T$107,'Statistics NZ'!T$125:T$200,SUM($E$13:$Q$14)*(T$9-T$10)*1000)</f>
        <v>35832.231597975275</v>
      </c>
      <c r="U55" s="205">
        <f>SUM('Statistics NZ'!U$55,$I$13/5*(U$9-U$10)*1000)*'Economic Forecasts'!W$9*1000000/SUM('Statistics NZ'!U$32:U$107,'Statistics NZ'!U$125:U$200,SUM($E$13:$Q$14)*(U$9-U$10)*1000)</f>
        <v>36808.719474466896</v>
      </c>
      <c r="V55" s="111">
        <f>SUM(U$55,'Statistics NZ'!V$55-'Statistics NZ'!U$55,$I$13/5*(V$9-V$10)*1000)</f>
        <v>39478.828759595039</v>
      </c>
      <c r="W55" s="111">
        <f>SUM(V$55,'Statistics NZ'!W$55-'Statistics NZ'!V$55,$I$13/5*(W$9-W$10)*1000)</f>
        <v>39958.924384082165</v>
      </c>
      <c r="X55" s="111">
        <f>SUM(W$55,'Statistics NZ'!X$55-'Statistics NZ'!W$55,$I$13/5*(X$9-X$10)*1000)</f>
        <v>41779.006347928269</v>
      </c>
      <c r="Y55" s="111">
        <f>SUM(X$55,'Statistics NZ'!Y$55-'Statistics NZ'!X$55,$I$13/5*(Y$9-Y$10)*1000)</f>
        <v>42459.074651133356</v>
      </c>
      <c r="Z55" s="111">
        <f>SUM(Y$55,'Statistics NZ'!Z$55-'Statistics NZ'!Y$55,$I$13/5*(Z$9-Z$10)*1000)</f>
        <v>42159.129293697428</v>
      </c>
      <c r="AA55" s="111">
        <f>SUM(Z$55,'Statistics NZ'!AA$55-'Statistics NZ'!Z$55,$I$13/5*(AA$9-AA$10)*1000)</f>
        <v>41479.170275620483</v>
      </c>
      <c r="AB55" s="111">
        <f>SUM(AA$55,'Statistics NZ'!AB$55-'Statistics NZ'!AA$55,$I$13/5*(AB$9-AB$10)*1000)</f>
        <v>40289.197596902515</v>
      </c>
      <c r="AC55" s="111">
        <f>SUM(AB$55,'Statistics NZ'!AC$55-'Statistics NZ'!AB$55,$I$13/5*(AC$9-AC$10)*1000)</f>
        <v>40069.211257543531</v>
      </c>
      <c r="AD55" s="111">
        <f>SUM(AC$55,'Statistics NZ'!AD$55-'Statistics NZ'!AC$55,$I$13/5*(AD$9-AD$10)*1000)</f>
        <v>39689.211257543531</v>
      </c>
      <c r="AE55" s="111">
        <f>SUM(AD$55,'Statistics NZ'!AE$55-'Statistics NZ'!AD$55,$I$13/5*(AE$9-AE$10)*1000)</f>
        <v>39319.211257543531</v>
      </c>
      <c r="AF55" s="111">
        <f>SUM(AE$55,'Statistics NZ'!AF$55-'Statistics NZ'!AE$55,$I$13/5*(AF$9-AF$10)*1000)</f>
        <v>39269.211257543531</v>
      </c>
      <c r="AG55" s="111">
        <f>SUM(AF$55,'Statistics NZ'!AG$55-'Statistics NZ'!AF$55,$I$13/5*(AG$9-AG$10)*1000)</f>
        <v>38679.211257543531</v>
      </c>
      <c r="AH55" s="111">
        <f>SUM(AG$55,'Statistics NZ'!AH$55-'Statistics NZ'!AG$55,$I$13/5*(AH$9-AH$10)*1000)</f>
        <v>39459.211257543531</v>
      </c>
      <c r="AI55" s="111">
        <f>SUM(AH$55,'Statistics NZ'!AI$55-'Statistics NZ'!AH$55,$I$13/5*(AI$9-AI$10)*1000)</f>
        <v>39079.211257543531</v>
      </c>
      <c r="AJ55" s="111">
        <f>SUM(AI$55,'Statistics NZ'!AJ$55-'Statistics NZ'!AI$55,$I$13/5*(AJ$9-AJ$10)*1000)</f>
        <v>38129.211257543531</v>
      </c>
      <c r="AK55" s="111">
        <f>SUM(AJ$55,'Statistics NZ'!AK$55-'Statistics NZ'!AJ$55,$I$13/5*(AK$9-AK$10)*1000)</f>
        <v>37789.211257543531</v>
      </c>
      <c r="AL55" s="111">
        <f>SUM(AK$55,'Statistics NZ'!AL$55-'Statistics NZ'!AK$55,$I$13/5*(AL$9-AL$10)*1000)</f>
        <v>38599.211257543531</v>
      </c>
      <c r="AM55" s="111">
        <f>SUM(AL$55,'Statistics NZ'!AM$55-'Statistics NZ'!AL$55,$I$13/5*(AM$9-AM$10)*1000)</f>
        <v>38739.211257543531</v>
      </c>
      <c r="AN55" s="111">
        <f>SUM(AM$55,'Statistics NZ'!AN$55-'Statistics NZ'!AM$55,$I$13/5*(AN$9-AN$10)*1000)</f>
        <v>39549.211257543531</v>
      </c>
      <c r="AO55" s="111">
        <f>SUM(AN$55,'Statistics NZ'!AO$55-'Statistics NZ'!AN$55,$I$13/5*(AO$9-AO$10)*1000)</f>
        <v>41089.211257543531</v>
      </c>
      <c r="AP55" s="111">
        <f>SUM(AO$55,'Statistics NZ'!AP$55-'Statistics NZ'!AO$55,$I$13/5*(AP$9-AP$10)*1000)</f>
        <v>42379.211257543531</v>
      </c>
      <c r="AQ55" s="111">
        <f>SUM(AP$55,'Statistics NZ'!AQ$55-'Statistics NZ'!AP$55,$I$13/5*(AQ$9-AQ$10)*1000)</f>
        <v>42209.211257543531</v>
      </c>
      <c r="AR55" s="111">
        <f>SUM(AQ$55,'Statistics NZ'!AR$55-'Statistics NZ'!AQ$55,$I$13/5*(AR$9-AR$10)*1000)</f>
        <v>43229.211257543531</v>
      </c>
      <c r="AS55" s="111">
        <f>SUM(AR$55,'Statistics NZ'!AS$55-'Statistics NZ'!AR$55,$I$13/5*(AS$9-AS$10)*1000)</f>
        <v>43149.211257543531</v>
      </c>
      <c r="AT55" s="111">
        <f>SUM(AS$55,'Statistics NZ'!AT$55-'Statistics NZ'!AS$55,$I$13/5*(AT$9-AT$10)*1000)</f>
        <v>43049.211257543531</v>
      </c>
      <c r="AU55" s="111">
        <f>SUM(AT$55,'Statistics NZ'!AU$55-'Statistics NZ'!AT$55,$I$13/5*(AU$9-AU$10)*1000)</f>
        <v>42959.211257543531</v>
      </c>
      <c r="AV55" s="111">
        <f>SUM(AU$55,'Statistics NZ'!AV$55-'Statistics NZ'!AU$55,$I$13/5*(AV$9-AV$10)*1000)</f>
        <v>41849.211257543531</v>
      </c>
      <c r="AW55" s="111">
        <f>SUM(AV$55,'Statistics NZ'!AW$55-'Statistics NZ'!AV$55,$I$13/5*(AW$9-AW$10)*1000)</f>
        <v>41909.211257543531</v>
      </c>
      <c r="AX55" s="111">
        <f>SUM(AW$55,'Statistics NZ'!AX$55-'Statistics NZ'!AW$55,$I$13/5*(AX$9-AX$10)*1000)</f>
        <v>41549.211257543531</v>
      </c>
      <c r="AY55" s="111">
        <f>SUM(AX$55,'Statistics NZ'!AY$55-'Statistics NZ'!AX$55,$I$13/5*(AY$9-AY$10)*1000)</f>
        <v>41789.211257543531</v>
      </c>
      <c r="AZ55" s="111">
        <f>SUM(AY$55,'Statistics NZ'!AZ$55-'Statistics NZ'!AY$55,$I$13/5*(AZ$9-AZ$10)*1000)</f>
        <v>40969.211257543531</v>
      </c>
      <c r="BA55" s="111">
        <f>SUM(AZ$55,'Statistics NZ'!BA$55-'Statistics NZ'!AZ$55,$I$13/5*(BA$9-BA$10)*1000)</f>
        <v>40549.211257543531</v>
      </c>
      <c r="BB55" s="111">
        <f>SUM(BA$55,'Statistics NZ'!BB$55-'Statistics NZ'!BA$55,$I$13/5*(BB$9-BB$10)*1000)</f>
        <v>40699.211257543531</v>
      </c>
      <c r="BC55" s="111">
        <f>SUM(BB$55,'Statistics NZ'!BC$55-'Statistics NZ'!BB$55,$I$13/5*(BC$9-BC$10)*1000)</f>
        <v>40139.211257543531</v>
      </c>
      <c r="BD55" s="111">
        <f>SUM(BC$55,'Statistics NZ'!BD$55-'Statistics NZ'!BC$55,$I$13/5*(BD$9-BD$10)*1000)</f>
        <v>40109.211257543531</v>
      </c>
      <c r="BE55" s="111">
        <f>SUM(BD$55,'Statistics NZ'!BE$55-'Statistics NZ'!BD$55,$I$13/5*(BE$9-BE$10)*1000)</f>
        <v>40059.211257543531</v>
      </c>
      <c r="BF55" s="111">
        <f>SUM(BE$55,'Statistics NZ'!BF$55-'Statistics NZ'!BE$55,$I$13/5*(BF$9-BF$10)*1000)</f>
        <v>39989.211257543531</v>
      </c>
      <c r="BG55" s="111">
        <f>SUM(BF$55,'Statistics NZ'!BG$55-'Statistics NZ'!BF$55,$I$13/5*(BG$9-BG$10)*1000)</f>
        <v>40109.211257543531</v>
      </c>
      <c r="BH55" s="111">
        <f>SUM(BG$55,'Statistics NZ'!BH$55-'Statistics NZ'!BG$55,$I$13/5*(BH$9-BH$10)*1000)</f>
        <v>40189.211257543531</v>
      </c>
      <c r="BI55" s="111">
        <f>SUM(BH$55,'Statistics NZ'!BI$55-'Statistics NZ'!BH$55,$I$13/5*(BI$9-BI$10)*1000)</f>
        <v>40239.211257543531</v>
      </c>
      <c r="BJ55" s="111">
        <f>SUM(BI$55,'Statistics NZ'!BJ$55-'Statistics NZ'!BI$55,$I$13/5*(BJ$9-BJ$10)*1000)</f>
        <v>40279.211257543531</v>
      </c>
      <c r="BK55" s="111">
        <f>SUM(BJ$55,'Statistics NZ'!BK$55-'Statistics NZ'!BJ$55,$I$13/5*(BK$9-BK$10)*1000)</f>
        <v>40309.211257543531</v>
      </c>
      <c r="BL55" s="111">
        <f>SUM(BK$55,'Statistics NZ'!BL$55-'Statistics NZ'!BK$55,$I$13/5*(BL$9-BL$10)*1000)</f>
        <v>40329.211257543531</v>
      </c>
      <c r="BM55" s="195">
        <f>SUM(BL$55,'Statistics NZ'!BM$55-'Statistics NZ'!BL$55,$I$13/5*(BM$9-BM$10)*1000)</f>
        <v>40359.211257543531</v>
      </c>
      <c r="BN55" s="195">
        <f>SUM(BM$55,'Statistics NZ'!BN$55-'Statistics NZ'!BM$55,$I$13/5*(BN$9-BN$10)*1000)</f>
        <v>40399.211257543531</v>
      </c>
      <c r="BO55" s="195">
        <f>SUM(BN$55,'Statistics NZ'!BO$55-'Statistics NZ'!BN$55,$I$13/5*(BO$9-BO$10)*1000)</f>
        <v>40439.211257543531</v>
      </c>
      <c r="BP55" s="195">
        <f>SUM(BO$55,'Statistics NZ'!BP$55-'Statistics NZ'!BO$55,$I$13/5*(BP$9-BP$10)*1000)</f>
        <v>40509.211257543531</v>
      </c>
      <c r="BQ55" s="195">
        <f>SUM(BP$55,'Statistics NZ'!BQ$55-'Statistics NZ'!BP$55,$I$13/5*(BQ$9-BQ$10)*1000)</f>
        <v>40599.211257543531</v>
      </c>
    </row>
    <row r="56" spans="1:69">
      <c r="A56" s="105">
        <v>39</v>
      </c>
      <c r="B56" s="118">
        <f>'Statistics NZ'!B$56*'Economic Forecasts'!D$9*1000000/SUM('Statistics NZ'!B$32:B$107,'Statistics NZ'!B$125:B$200)</f>
        <v>31739.679278710806</v>
      </c>
      <c r="C56" s="118">
        <f>'Statistics NZ'!C$56*'Economic Forecasts'!E$9*1000000/SUM('Statistics NZ'!C$32:C$107,'Statistics NZ'!C$125:C$200)</f>
        <v>32098.941114338522</v>
      </c>
      <c r="D56" s="118">
        <f>'Statistics NZ'!D$56*'Economic Forecasts'!F$9*1000000/SUM('Statistics NZ'!D$32:D$107,'Statistics NZ'!D$125:D$200)</f>
        <v>32722.265950110574</v>
      </c>
      <c r="E56" s="118">
        <f>'Statistics NZ'!E$56*'Economic Forecasts'!G$9*1000000/SUM('Statistics NZ'!E$32:E$107,'Statistics NZ'!E$125:E$200)</f>
        <v>32460.672129075123</v>
      </c>
      <c r="F56" s="118">
        <f>'Statistics NZ'!F$56*'Economic Forecasts'!H$9*1000000/SUM('Statistics NZ'!F$32:F$107,'Statistics NZ'!F$125:F$200)</f>
        <v>33633.433259840866</v>
      </c>
      <c r="G56" s="118">
        <f>'Statistics NZ'!G$56*'Economic Forecasts'!I$9*1000000/SUM('Statistics NZ'!G$32:G$107,'Statistics NZ'!G$125:G$200)</f>
        <v>33105.663267362652</v>
      </c>
      <c r="H56" s="118">
        <f>'Statistics NZ'!H$56*'Economic Forecasts'!J$9*1000000/SUM('Statistics NZ'!H$32:H$107,'Statistics NZ'!H$125:H$200)</f>
        <v>31794.716208760579</v>
      </c>
      <c r="I56" s="118">
        <f>'Statistics NZ'!I$56*'Economic Forecasts'!K$9*1000000/SUM('Statistics NZ'!I$32:I$107,'Statistics NZ'!I$125:I$200)</f>
        <v>30575.895803085488</v>
      </c>
      <c r="J56" s="203">
        <f>'Statistics NZ'!J$56*'Economic Forecasts'!L$9*1000000/SUM('Statistics NZ'!J$32:J$107,'Statistics NZ'!J$125:J$200)</f>
        <v>29495.13275220144</v>
      </c>
      <c r="K56" s="203">
        <f>'Statistics NZ'!K$56*'Economic Forecasts'!M$9*1000000/SUM('Statistics NZ'!K$32:K$107,'Statistics NZ'!K$125:K$200)</f>
        <v>28326.377281749523</v>
      </c>
      <c r="L56" s="203">
        <f>'Statistics NZ'!L$56*'Economic Forecasts'!N$9*1000000/SUM('Statistics NZ'!L$32:L$107,'Statistics NZ'!L$125:L$200)</f>
        <v>28827.512377936131</v>
      </c>
      <c r="M56" s="203">
        <f>'Statistics NZ'!M$56*'Economic Forecasts'!O$9*1000000/SUM('Statistics NZ'!M$32:M$107,'Statistics NZ'!M$125:M$200)</f>
        <v>28979.810340468783</v>
      </c>
      <c r="N56" s="203">
        <f>'Statistics NZ'!N$56*'Economic Forecasts'!P$9*1000000/SUM('Statistics NZ'!N$32:N$107,'Statistics NZ'!N$125:N$200)</f>
        <v>30296.269207813621</v>
      </c>
      <c r="O56" s="203">
        <f>'Statistics NZ'!O$56*'Economic Forecasts'!Q$9*1000000/SUM('Statistics NZ'!O$32:O$107,'Statistics NZ'!O$125:O$200)</f>
        <v>30986.976633202674</v>
      </c>
      <c r="P56" s="203">
        <f>'Statistics NZ'!P$56*'Economic Forecasts'!R$9*1000000/SUM('Statistics NZ'!P$32:P$107,'Statistics NZ'!P$125:P$200)</f>
        <v>31880.520967878729</v>
      </c>
      <c r="Q56" s="121">
        <f>SUM('Statistics NZ'!Q$56,$I$13/5*(Q$9-Q$10)*1000)*'Economic Forecasts'!S$9*1000000/SUM('Statistics NZ'!Q$32:Q$107,'Statistics NZ'!Q$125:Q$200,SUM($E$13:$Q$14)*(Q$9-Q$10)*1000)</f>
        <v>32952.424086033359</v>
      </c>
      <c r="R56" s="205">
        <f>SUM('Statistics NZ'!R$56,$I$13/5*(R$9-R$10)*1000)*'Economic Forecasts'!T$9*1000000/SUM('Statistics NZ'!R$32:R$107,'Statistics NZ'!R$125:R$200,SUM($E$13:$Q$14)*(R$9-R$10)*1000)</f>
        <v>33713.386458753215</v>
      </c>
      <c r="S56" s="205">
        <f>SUM('Statistics NZ'!S$56,$I$13/5*(S$9-S$10)*1000)*'Economic Forecasts'!U$9*1000000/SUM('Statistics NZ'!S$32:S$107,'Statistics NZ'!S$125:S$200,SUM($E$13:$Q$14)*(S$9-S$10)*1000)</f>
        <v>34530.250048515765</v>
      </c>
      <c r="T56" s="205">
        <f>SUM('Statistics NZ'!T$56,$I$13/5*(T$9-T$10)*1000)*'Economic Forecasts'!V$9*1000000/SUM('Statistics NZ'!T$32:T$107,'Statistics NZ'!T$125:T$200,SUM($E$13:$Q$14)*(T$9-T$10)*1000)</f>
        <v>35397.543089221726</v>
      </c>
      <c r="U56" s="205">
        <f>SUM('Statistics NZ'!U$56,$I$13/5*(U$9-U$10)*1000)*'Economic Forecasts'!W$9*1000000/SUM('Statistics NZ'!U$32:U$107,'Statistics NZ'!U$125:U$200,SUM($E$13:$Q$14)*(U$9-U$10)*1000)</f>
        <v>36136.054961126894</v>
      </c>
      <c r="V56" s="111">
        <f>SUM(U$56,'Statistics NZ'!V$56-'Statistics NZ'!U$56,$I$13/5*(V$9-V$10)*1000)</f>
        <v>37156.164246255037</v>
      </c>
      <c r="W56" s="111">
        <f>SUM(V$56,'Statistics NZ'!W$56-'Statistics NZ'!V$56,$I$13/5*(W$9-W$10)*1000)</f>
        <v>39806.259870742164</v>
      </c>
      <c r="X56" s="111">
        <f>SUM(W$56,'Statistics NZ'!X$56-'Statistics NZ'!W$56,$I$13/5*(X$9-X$10)*1000)</f>
        <v>40266.341834588267</v>
      </c>
      <c r="Y56" s="111">
        <f>SUM(X$56,'Statistics NZ'!Y$56-'Statistics NZ'!X$56,$I$13/5*(Y$9-Y$10)*1000)</f>
        <v>42066.410137793355</v>
      </c>
      <c r="Z56" s="111">
        <f>SUM(Y$56,'Statistics NZ'!Z$56-'Statistics NZ'!Y$56,$I$13/5*(Z$9-Z$10)*1000)</f>
        <v>42726.464780357426</v>
      </c>
      <c r="AA56" s="111">
        <f>SUM(Z$56,'Statistics NZ'!AA$56-'Statistics NZ'!Z$56,$I$13/5*(AA$9-AA$10)*1000)</f>
        <v>42406.505762280482</v>
      </c>
      <c r="AB56" s="111">
        <f>SUM(AA$56,'Statistics NZ'!AB$56-'Statistics NZ'!AA$56,$I$13/5*(AB$9-AB$10)*1000)</f>
        <v>41716.533083562514</v>
      </c>
      <c r="AC56" s="111">
        <f>SUM(AB$56,'Statistics NZ'!AC$56-'Statistics NZ'!AB$56,$I$13/5*(AC$9-AC$10)*1000)</f>
        <v>40506.54674420353</v>
      </c>
      <c r="AD56" s="111">
        <f>SUM(AC$56,'Statistics NZ'!AD$56-'Statistics NZ'!AC$56,$I$13/5*(AD$9-AD$10)*1000)</f>
        <v>40266.54674420353</v>
      </c>
      <c r="AE56" s="111">
        <f>SUM(AD$56,'Statistics NZ'!AE$56-'Statistics NZ'!AD$56,$I$13/5*(AE$9-AE$10)*1000)</f>
        <v>39886.54674420353</v>
      </c>
      <c r="AF56" s="111">
        <f>SUM(AE$56,'Statistics NZ'!AF$56-'Statistics NZ'!AE$56,$I$13/5*(AF$9-AF$10)*1000)</f>
        <v>39506.54674420353</v>
      </c>
      <c r="AG56" s="111">
        <f>SUM(AF$56,'Statistics NZ'!AG$56-'Statistics NZ'!AF$56,$I$13/5*(AG$9-AG$10)*1000)</f>
        <v>39466.54674420353</v>
      </c>
      <c r="AH56" s="111">
        <f>SUM(AG$56,'Statistics NZ'!AH$56-'Statistics NZ'!AG$56,$I$13/5*(AH$9-AH$10)*1000)</f>
        <v>38876.54674420353</v>
      </c>
      <c r="AI56" s="111">
        <f>SUM(AH$56,'Statistics NZ'!AI$56-'Statistics NZ'!AH$56,$I$13/5*(AI$9-AI$10)*1000)</f>
        <v>39646.54674420353</v>
      </c>
      <c r="AJ56" s="111">
        <f>SUM(AI$56,'Statistics NZ'!AJ$56-'Statistics NZ'!AI$56,$I$13/5*(AJ$9-AJ$10)*1000)</f>
        <v>39266.54674420353</v>
      </c>
      <c r="AK56" s="111">
        <f>SUM(AJ$56,'Statistics NZ'!AK$56-'Statistics NZ'!AJ$56,$I$13/5*(AK$9-AK$10)*1000)</f>
        <v>38326.54674420353</v>
      </c>
      <c r="AL56" s="111">
        <f>SUM(AK$56,'Statistics NZ'!AL$56-'Statistics NZ'!AK$56,$I$13/5*(AL$9-AL$10)*1000)</f>
        <v>37986.54674420353</v>
      </c>
      <c r="AM56" s="111">
        <f>SUM(AL$56,'Statistics NZ'!AM$56-'Statistics NZ'!AL$56,$I$13/5*(AM$9-AM$10)*1000)</f>
        <v>38796.54674420353</v>
      </c>
      <c r="AN56" s="111">
        <f>SUM(AM$56,'Statistics NZ'!AN$56-'Statistics NZ'!AM$56,$I$13/5*(AN$9-AN$10)*1000)</f>
        <v>38936.54674420353</v>
      </c>
      <c r="AO56" s="111">
        <f>SUM(AN$56,'Statistics NZ'!AO$56-'Statistics NZ'!AN$56,$I$13/5*(AO$9-AO$10)*1000)</f>
        <v>39746.54674420353</v>
      </c>
      <c r="AP56" s="111">
        <f>SUM(AO$56,'Statistics NZ'!AP$56-'Statistics NZ'!AO$56,$I$13/5*(AP$9-AP$10)*1000)</f>
        <v>41286.54674420353</v>
      </c>
      <c r="AQ56" s="111">
        <f>SUM(AP$56,'Statistics NZ'!AQ$56-'Statistics NZ'!AP$56,$I$13/5*(AQ$9-AQ$10)*1000)</f>
        <v>42566.54674420353</v>
      </c>
      <c r="AR56" s="111">
        <f>SUM(AQ$56,'Statistics NZ'!AR$56-'Statistics NZ'!AQ$56,$I$13/5*(AR$9-AR$10)*1000)</f>
        <v>42406.54674420353</v>
      </c>
      <c r="AS56" s="111">
        <f>SUM(AR$56,'Statistics NZ'!AS$56-'Statistics NZ'!AR$56,$I$13/5*(AS$9-AS$10)*1000)</f>
        <v>43426.54674420353</v>
      </c>
      <c r="AT56" s="111">
        <f>SUM(AS$56,'Statistics NZ'!AT$56-'Statistics NZ'!AS$56,$I$13/5*(AT$9-AT$10)*1000)</f>
        <v>43346.54674420353</v>
      </c>
      <c r="AU56" s="111">
        <f>SUM(AT$56,'Statistics NZ'!AU$56-'Statistics NZ'!AT$56,$I$13/5*(AU$9-AU$10)*1000)</f>
        <v>43246.54674420353</v>
      </c>
      <c r="AV56" s="111">
        <f>SUM(AU$56,'Statistics NZ'!AV$56-'Statistics NZ'!AU$56,$I$13/5*(AV$9-AV$10)*1000)</f>
        <v>43156.54674420353</v>
      </c>
      <c r="AW56" s="111">
        <f>SUM(AV$56,'Statistics NZ'!AW$56-'Statistics NZ'!AV$56,$I$13/5*(AW$9-AW$10)*1000)</f>
        <v>42046.54674420353</v>
      </c>
      <c r="AX56" s="111">
        <f>SUM(AW$56,'Statistics NZ'!AX$56-'Statistics NZ'!AW$56,$I$13/5*(AX$9-AX$10)*1000)</f>
        <v>42106.54674420353</v>
      </c>
      <c r="AY56" s="111">
        <f>SUM(AX$56,'Statistics NZ'!AY$56-'Statistics NZ'!AX$56,$I$13/5*(AY$9-AY$10)*1000)</f>
        <v>41746.54674420353</v>
      </c>
      <c r="AZ56" s="111">
        <f>SUM(AY$56,'Statistics NZ'!AZ$56-'Statistics NZ'!AY$56,$I$13/5*(AZ$9-AZ$10)*1000)</f>
        <v>41986.54674420353</v>
      </c>
      <c r="BA56" s="111">
        <f>SUM(AZ$56,'Statistics NZ'!BA$56-'Statistics NZ'!AZ$56,$I$13/5*(BA$9-BA$10)*1000)</f>
        <v>41166.54674420353</v>
      </c>
      <c r="BB56" s="111">
        <f>SUM(BA$56,'Statistics NZ'!BB$56-'Statistics NZ'!BA$56,$I$13/5*(BB$9-BB$10)*1000)</f>
        <v>40746.54674420353</v>
      </c>
      <c r="BC56" s="111">
        <f>SUM(BB$56,'Statistics NZ'!BC$56-'Statistics NZ'!BB$56,$I$13/5*(BC$9-BC$10)*1000)</f>
        <v>40896.54674420353</v>
      </c>
      <c r="BD56" s="111">
        <f>SUM(BC$56,'Statistics NZ'!BD$56-'Statistics NZ'!BC$56,$I$13/5*(BD$9-BD$10)*1000)</f>
        <v>40346.54674420353</v>
      </c>
      <c r="BE56" s="111">
        <f>SUM(BD$56,'Statistics NZ'!BE$56-'Statistics NZ'!BD$56,$I$13/5*(BE$9-BE$10)*1000)</f>
        <v>40306.54674420353</v>
      </c>
      <c r="BF56" s="111">
        <f>SUM(BE$56,'Statistics NZ'!BF$56-'Statistics NZ'!BE$56,$I$13/5*(BF$9-BF$10)*1000)</f>
        <v>40256.54674420353</v>
      </c>
      <c r="BG56" s="111">
        <f>SUM(BF$56,'Statistics NZ'!BG$56-'Statistics NZ'!BF$56,$I$13/5*(BG$9-BG$10)*1000)</f>
        <v>40186.54674420353</v>
      </c>
      <c r="BH56" s="111">
        <f>SUM(BG$56,'Statistics NZ'!BH$56-'Statistics NZ'!BG$56,$I$13/5*(BH$9-BH$10)*1000)</f>
        <v>40306.54674420353</v>
      </c>
      <c r="BI56" s="111">
        <f>SUM(BH$56,'Statistics NZ'!BI$56-'Statistics NZ'!BH$56,$I$13/5*(BI$9-BI$10)*1000)</f>
        <v>40386.54674420353</v>
      </c>
      <c r="BJ56" s="111">
        <f>SUM(BI$56,'Statistics NZ'!BJ$56-'Statistics NZ'!BI$56,$I$13/5*(BJ$9-BJ$10)*1000)</f>
        <v>40446.54674420353</v>
      </c>
      <c r="BK56" s="111">
        <f>SUM(BJ$56,'Statistics NZ'!BK$56-'Statistics NZ'!BJ$56,$I$13/5*(BK$9-BK$10)*1000)</f>
        <v>40476.54674420353</v>
      </c>
      <c r="BL56" s="111">
        <f>SUM(BK$56,'Statistics NZ'!BL$56-'Statistics NZ'!BK$56,$I$13/5*(BL$9-BL$10)*1000)</f>
        <v>40506.54674420353</v>
      </c>
      <c r="BM56" s="195">
        <f>SUM(BL$56,'Statistics NZ'!BM$56-'Statistics NZ'!BL$56,$I$13/5*(BM$9-BM$10)*1000)</f>
        <v>40536.54674420353</v>
      </c>
      <c r="BN56" s="195">
        <f>SUM(BM$56,'Statistics NZ'!BN$56-'Statistics NZ'!BM$56,$I$13/5*(BN$9-BN$10)*1000)</f>
        <v>40556.54674420353</v>
      </c>
      <c r="BO56" s="195">
        <f>SUM(BN$56,'Statistics NZ'!BO$56-'Statistics NZ'!BN$56,$I$13/5*(BO$9-BO$10)*1000)</f>
        <v>40596.54674420353</v>
      </c>
      <c r="BP56" s="195">
        <f>SUM(BO$56,'Statistics NZ'!BP$56-'Statistics NZ'!BO$56,$I$13/5*(BP$9-BP$10)*1000)</f>
        <v>40646.54674420353</v>
      </c>
      <c r="BQ56" s="195">
        <f>SUM(BP$56,'Statistics NZ'!BQ$56-'Statistics NZ'!BP$56,$I$13/5*(BQ$9-BQ$10)*1000)</f>
        <v>40706.54674420353</v>
      </c>
    </row>
    <row r="57" spans="1:69">
      <c r="A57" s="105">
        <v>40</v>
      </c>
      <c r="B57" s="118">
        <f>'Statistics NZ'!B$57*'Economic Forecasts'!D$9*1000000/SUM('Statistics NZ'!B$32:B$107,'Statistics NZ'!B$125:B$200)</f>
        <v>31542.660785360644</v>
      </c>
      <c r="C57" s="118">
        <f>'Statistics NZ'!C$57*'Economic Forecasts'!E$9*1000000/SUM('Statistics NZ'!C$32:C$107,'Statistics NZ'!C$125:C$200)</f>
        <v>31921.489965672037</v>
      </c>
      <c r="D57" s="118">
        <f>'Statistics NZ'!D$57*'Economic Forecasts'!F$9*1000000/SUM('Statistics NZ'!D$32:D$107,'Statistics NZ'!D$125:D$200)</f>
        <v>32209.748531614867</v>
      </c>
      <c r="E57" s="118">
        <f>'Statistics NZ'!E$57*'Economic Forecasts'!G$9*1000000/SUM('Statistics NZ'!E$32:E$107,'Statistics NZ'!E$125:E$200)</f>
        <v>32795.521295455146</v>
      </c>
      <c r="F57" s="118">
        <f>'Statistics NZ'!F$57*'Economic Forecasts'!H$9*1000000/SUM('Statistics NZ'!F$32:F$107,'Statistics NZ'!F$125:F$200)</f>
        <v>32608.864701251696</v>
      </c>
      <c r="G57" s="118">
        <f>'Statistics NZ'!G$57*'Economic Forecasts'!I$9*1000000/SUM('Statistics NZ'!G$32:G$107,'Statistics NZ'!G$125:G$200)</f>
        <v>33686.982949735982</v>
      </c>
      <c r="H57" s="118">
        <f>'Statistics NZ'!H$57*'Economic Forecasts'!J$9*1000000/SUM('Statistics NZ'!H$32:H$107,'Statistics NZ'!H$125:H$200)</f>
        <v>33045.623568894596</v>
      </c>
      <c r="I57" s="118">
        <f>'Statistics NZ'!I$57*'Economic Forecasts'!K$9*1000000/SUM('Statistics NZ'!I$32:I$107,'Statistics NZ'!I$125:I$200)</f>
        <v>31845.381016667092</v>
      </c>
      <c r="J57" s="203">
        <f>'Statistics NZ'!J$57*'Economic Forecasts'!L$9*1000000/SUM('Statistics NZ'!J$32:J$107,'Statistics NZ'!J$125:J$200)</f>
        <v>30821.971446485739</v>
      </c>
      <c r="K57" s="203">
        <f>'Statistics NZ'!K$57*'Economic Forecasts'!M$9*1000000/SUM('Statistics NZ'!K$32:K$107,'Statistics NZ'!K$125:K$200)</f>
        <v>29800.174226689665</v>
      </c>
      <c r="L57" s="203">
        <f>'Statistics NZ'!L$57*'Economic Forecasts'!N$9*1000000/SUM('Statistics NZ'!L$32:L$107,'Statistics NZ'!L$125:L$200)</f>
        <v>28797.965901293217</v>
      </c>
      <c r="M57" s="203">
        <f>'Statistics NZ'!M$57*'Economic Forecasts'!O$9*1000000/SUM('Statistics NZ'!M$32:M$107,'Statistics NZ'!M$125:M$200)</f>
        <v>29295.022417591488</v>
      </c>
      <c r="N57" s="203">
        <f>'Statistics NZ'!N$57*'Economic Forecasts'!P$9*1000000/SUM('Statistics NZ'!N$32:N$107,'Statistics NZ'!N$125:N$200)</f>
        <v>29477.184405126805</v>
      </c>
      <c r="O57" s="203">
        <f>'Statistics NZ'!O$57*'Economic Forecasts'!Q$9*1000000/SUM('Statistics NZ'!O$32:O$107,'Statistics NZ'!O$125:O$200)</f>
        <v>30740.265035804565</v>
      </c>
      <c r="P57" s="203">
        <f>'Statistics NZ'!P$57*'Economic Forecasts'!R$9*1000000/SUM('Statistics NZ'!P$32:P$107,'Statistics NZ'!P$125:P$200)</f>
        <v>31594.19854357756</v>
      </c>
      <c r="Q57" s="121">
        <f>SUM('Statistics NZ'!Q$57,$J$13/5*(Q$9-Q$10)*1000)*'Economic Forecasts'!S$9*1000000/SUM('Statistics NZ'!Q$32:Q$107,'Statistics NZ'!Q$125:Q$200,SUM($E$13:$Q$14)*(Q$9-Q$10)*1000)</f>
        <v>31990.477075937059</v>
      </c>
      <c r="R57" s="205">
        <f>SUM('Statistics NZ'!R$57,$J$13/5*(R$9-R$10)*1000)*'Economic Forecasts'!T$9*1000000/SUM('Statistics NZ'!R$32:R$107,'Statistics NZ'!R$125:R$200,SUM($E$13:$Q$14)*(R$9-R$10)*1000)</f>
        <v>33089.842344758559</v>
      </c>
      <c r="S57" s="205">
        <f>SUM('Statistics NZ'!S$57,$J$13/5*(S$9-S$10)*1000)*'Economic Forecasts'!U$9*1000000/SUM('Statistics NZ'!S$32:S$107,'Statistics NZ'!S$125:S$200,SUM($E$13:$Q$14)*(S$9-S$10)*1000)</f>
        <v>33910.414510865623</v>
      </c>
      <c r="T57" s="205">
        <f>SUM('Statistics NZ'!T$57,$J$13/5*(T$9-T$10)*1000)*'Economic Forecasts'!V$9*1000000/SUM('Statistics NZ'!T$32:T$107,'Statistics NZ'!T$125:T$200,SUM($E$13:$Q$14)*(T$9-T$10)*1000)</f>
        <v>34728.861223594766</v>
      </c>
      <c r="U57" s="205">
        <f>SUM('Statistics NZ'!U$57,$J$13/5*(U$9-U$10)*1000)*'Economic Forecasts'!W$9*1000000/SUM('Statistics NZ'!U$32:U$107,'Statistics NZ'!U$125:U$200,SUM($E$13:$Q$14)*(U$9-U$10)*1000)</f>
        <v>35615.398214564841</v>
      </c>
      <c r="V57" s="111">
        <f>SUM(U$57,'Statistics NZ'!V$57-'Statistics NZ'!U$57,$J$13/5*(V$9-V$10)*1000)</f>
        <v>36336.543437101907</v>
      </c>
      <c r="W57" s="111">
        <f>SUM(V$57,'Statistics NZ'!W$57-'Statistics NZ'!V$57,$J$13/5*(W$9-W$10)*1000)</f>
        <v>37285.045506821843</v>
      </c>
      <c r="X57" s="111">
        <f>SUM(W$57,'Statistics NZ'!X$57-'Statistics NZ'!W$57,$J$13/5*(X$9-X$10)*1000)</f>
        <v>39870.904423724642</v>
      </c>
      <c r="Y57" s="111">
        <f>SUM(X$57,'Statistics NZ'!Y$57-'Statistics NZ'!X$57,$J$13/5*(Y$9-Y$10)*1000)</f>
        <v>40274.120187810309</v>
      </c>
      <c r="Z57" s="111">
        <f>SUM(Y$57,'Statistics NZ'!Z$57-'Statistics NZ'!Y$57,$J$13/5*(Z$9-Z$10)*1000)</f>
        <v>42014.692799078846</v>
      </c>
      <c r="AA57" s="111">
        <f>SUM(Z$57,'Statistics NZ'!AA$57-'Statistics NZ'!Z$57,$J$13/5*(AA$9-AA$10)*1000)</f>
        <v>42642.622257530245</v>
      </c>
      <c r="AB57" s="111">
        <f>SUM(AA$57,'Statistics NZ'!AB$57-'Statistics NZ'!AA$57,$J$13/5*(AB$9-AB$10)*1000)</f>
        <v>42287.908563164514</v>
      </c>
      <c r="AC57" s="111">
        <f>SUM(AB$57,'Statistics NZ'!AC$57-'Statistics NZ'!AB$57,$J$13/5*(AC$9-AC$10)*1000)</f>
        <v>41560.551715981645</v>
      </c>
      <c r="AD57" s="111">
        <f>SUM(AC$57,'Statistics NZ'!AD$57-'Statistics NZ'!AC$57,$J$13/5*(AD$9-AD$10)*1000)</f>
        <v>40330.551715981645</v>
      </c>
      <c r="AE57" s="111">
        <f>SUM(AD$57,'Statistics NZ'!AE$57-'Statistics NZ'!AD$57,$J$13/5*(AE$9-AE$10)*1000)</f>
        <v>40100.551715981645</v>
      </c>
      <c r="AF57" s="111">
        <f>SUM(AE$57,'Statistics NZ'!AF$57-'Statistics NZ'!AE$57,$J$13/5*(AF$9-AF$10)*1000)</f>
        <v>39720.551715981645</v>
      </c>
      <c r="AG57" s="111">
        <f>SUM(AF$57,'Statistics NZ'!AG$57-'Statistics NZ'!AF$57,$J$13/5*(AG$9-AG$10)*1000)</f>
        <v>39340.551715981645</v>
      </c>
      <c r="AH57" s="111">
        <f>SUM(AG$57,'Statistics NZ'!AH$57-'Statistics NZ'!AG$57,$J$13/5*(AH$9-AH$10)*1000)</f>
        <v>39300.551715981645</v>
      </c>
      <c r="AI57" s="111">
        <f>SUM(AH$57,'Statistics NZ'!AI$57-'Statistics NZ'!AH$57,$J$13/5*(AI$9-AI$10)*1000)</f>
        <v>38710.551715981645</v>
      </c>
      <c r="AJ57" s="111">
        <f>SUM(AI$57,'Statistics NZ'!AJ$57-'Statistics NZ'!AI$57,$J$13/5*(AJ$9-AJ$10)*1000)</f>
        <v>39480.551715981645</v>
      </c>
      <c r="AK57" s="111">
        <f>SUM(AJ$57,'Statistics NZ'!AK$57-'Statistics NZ'!AJ$57,$J$13/5*(AK$9-AK$10)*1000)</f>
        <v>39110.551715981645</v>
      </c>
      <c r="AL57" s="111">
        <f>SUM(AK$57,'Statistics NZ'!AL$57-'Statistics NZ'!AK$57,$J$13/5*(AL$9-AL$10)*1000)</f>
        <v>38160.551715981645</v>
      </c>
      <c r="AM57" s="111">
        <f>SUM(AL$57,'Statistics NZ'!AM$57-'Statistics NZ'!AL$57,$J$13/5*(AM$9-AM$10)*1000)</f>
        <v>37820.551715981645</v>
      </c>
      <c r="AN57" s="111">
        <f>SUM(AM$57,'Statistics NZ'!AN$57-'Statistics NZ'!AM$57,$J$13/5*(AN$9-AN$10)*1000)</f>
        <v>38630.551715981645</v>
      </c>
      <c r="AO57" s="111">
        <f>SUM(AN$57,'Statistics NZ'!AO$57-'Statistics NZ'!AN$57,$J$13/5*(AO$9-AO$10)*1000)</f>
        <v>38770.551715981645</v>
      </c>
      <c r="AP57" s="111">
        <f>SUM(AO$57,'Statistics NZ'!AP$57-'Statistics NZ'!AO$57,$J$13/5*(AP$9-AP$10)*1000)</f>
        <v>39580.551715981645</v>
      </c>
      <c r="AQ57" s="111">
        <f>SUM(AP$57,'Statistics NZ'!AQ$57-'Statistics NZ'!AP$57,$J$13/5*(AQ$9-AQ$10)*1000)</f>
        <v>41120.551715981645</v>
      </c>
      <c r="AR57" s="111">
        <f>SUM(AQ$57,'Statistics NZ'!AR$57-'Statistics NZ'!AQ$57,$J$13/5*(AR$9-AR$10)*1000)</f>
        <v>42400.551715981645</v>
      </c>
      <c r="AS57" s="111">
        <f>SUM(AR$57,'Statistics NZ'!AS$57-'Statistics NZ'!AR$57,$J$13/5*(AS$9-AS$10)*1000)</f>
        <v>42240.551715981645</v>
      </c>
      <c r="AT57" s="111">
        <f>SUM(AS$57,'Statistics NZ'!AT$57-'Statistics NZ'!AS$57,$J$13/5*(AT$9-AT$10)*1000)</f>
        <v>43260.551715981645</v>
      </c>
      <c r="AU57" s="111">
        <f>SUM(AT$57,'Statistics NZ'!AU$57-'Statistics NZ'!AT$57,$J$13/5*(AU$9-AU$10)*1000)</f>
        <v>43180.551715981645</v>
      </c>
      <c r="AV57" s="111">
        <f>SUM(AU$57,'Statistics NZ'!AV$57-'Statistics NZ'!AU$57,$J$13/5*(AV$9-AV$10)*1000)</f>
        <v>43080.551715981645</v>
      </c>
      <c r="AW57" s="111">
        <f>SUM(AV$57,'Statistics NZ'!AW$57-'Statistics NZ'!AV$57,$J$13/5*(AW$9-AW$10)*1000)</f>
        <v>42990.551715981645</v>
      </c>
      <c r="AX57" s="111">
        <f>SUM(AW$57,'Statistics NZ'!AX$57-'Statistics NZ'!AW$57,$J$13/5*(AX$9-AX$10)*1000)</f>
        <v>41880.551715981645</v>
      </c>
      <c r="AY57" s="111">
        <f>SUM(AX$57,'Statistics NZ'!AY$57-'Statistics NZ'!AX$57,$J$13/5*(AY$9-AY$10)*1000)</f>
        <v>41940.551715981645</v>
      </c>
      <c r="AZ57" s="111">
        <f>SUM(AY$57,'Statistics NZ'!AZ$57-'Statistics NZ'!AY$57,$J$13/5*(AZ$9-AZ$10)*1000)</f>
        <v>41580.551715981645</v>
      </c>
      <c r="BA57" s="111">
        <f>SUM(AZ$57,'Statistics NZ'!BA$57-'Statistics NZ'!AZ$57,$J$13/5*(BA$9-BA$10)*1000)</f>
        <v>41820.551715981645</v>
      </c>
      <c r="BB57" s="111">
        <f>SUM(BA$57,'Statistics NZ'!BB$57-'Statistics NZ'!BA$57,$J$13/5*(BB$9-BB$10)*1000)</f>
        <v>41010.551715981645</v>
      </c>
      <c r="BC57" s="111">
        <f>SUM(BB$57,'Statistics NZ'!BC$57-'Statistics NZ'!BB$57,$J$13/5*(BC$9-BC$10)*1000)</f>
        <v>40590.551715981645</v>
      </c>
      <c r="BD57" s="111">
        <f>SUM(BC$57,'Statistics NZ'!BD$57-'Statistics NZ'!BC$57,$J$13/5*(BD$9-BD$10)*1000)</f>
        <v>40740.551715981645</v>
      </c>
      <c r="BE57" s="111">
        <f>SUM(BD$57,'Statistics NZ'!BE$57-'Statistics NZ'!BD$57,$J$13/5*(BE$9-BE$10)*1000)</f>
        <v>40180.551715981645</v>
      </c>
      <c r="BF57" s="111">
        <f>SUM(BE$57,'Statistics NZ'!BF$57-'Statistics NZ'!BE$57,$J$13/5*(BF$9-BF$10)*1000)</f>
        <v>40150.551715981645</v>
      </c>
      <c r="BG57" s="111">
        <f>SUM(BF$57,'Statistics NZ'!BG$57-'Statistics NZ'!BF$57,$J$13/5*(BG$9-BG$10)*1000)</f>
        <v>40100.551715981645</v>
      </c>
      <c r="BH57" s="111">
        <f>SUM(BG$57,'Statistics NZ'!BH$57-'Statistics NZ'!BG$57,$J$13/5*(BH$9-BH$10)*1000)</f>
        <v>40030.551715981645</v>
      </c>
      <c r="BI57" s="111">
        <f>SUM(BH$57,'Statistics NZ'!BI$57-'Statistics NZ'!BH$57,$J$13/5*(BI$9-BI$10)*1000)</f>
        <v>40150.551715981645</v>
      </c>
      <c r="BJ57" s="111">
        <f>SUM(BI$57,'Statistics NZ'!BJ$57-'Statistics NZ'!BI$57,$J$13/5*(BJ$9-BJ$10)*1000)</f>
        <v>40230.551715981645</v>
      </c>
      <c r="BK57" s="111">
        <f>SUM(BJ$57,'Statistics NZ'!BK$57-'Statistics NZ'!BJ$57,$J$13/5*(BK$9-BK$10)*1000)</f>
        <v>40280.551715981645</v>
      </c>
      <c r="BL57" s="111">
        <f>SUM(BK$57,'Statistics NZ'!BL$57-'Statistics NZ'!BK$57,$J$13/5*(BL$9-BL$10)*1000)</f>
        <v>40320.551715981645</v>
      </c>
      <c r="BM57" s="195">
        <f>SUM(BL$57,'Statistics NZ'!BM$57-'Statistics NZ'!BL$57,$J$13/5*(BM$9-BM$10)*1000)</f>
        <v>40350.551715981645</v>
      </c>
      <c r="BN57" s="195">
        <f>SUM(BM$57,'Statistics NZ'!BN$57-'Statistics NZ'!BM$57,$J$13/5*(BN$9-BN$10)*1000)</f>
        <v>40370.551715981645</v>
      </c>
      <c r="BO57" s="195">
        <f>SUM(BN$57,'Statistics NZ'!BO$57-'Statistics NZ'!BN$57,$J$13/5*(BO$9-BO$10)*1000)</f>
        <v>40400.551715981645</v>
      </c>
      <c r="BP57" s="195">
        <f>SUM(BO$57,'Statistics NZ'!BP$57-'Statistics NZ'!BO$57,$J$13/5*(BP$9-BP$10)*1000)</f>
        <v>40440.551715981645</v>
      </c>
      <c r="BQ57" s="195">
        <f>SUM(BP$57,'Statistics NZ'!BQ$57-'Statistics NZ'!BP$57,$J$13/5*(BQ$9-BQ$10)*1000)</f>
        <v>40490.551715981645</v>
      </c>
    </row>
    <row r="58" spans="1:69">
      <c r="A58" s="105">
        <v>41</v>
      </c>
      <c r="B58" s="118">
        <f>'Statistics NZ'!B$58*'Economic Forecasts'!D$9*1000000/SUM('Statistics NZ'!B$32:B$107,'Statistics NZ'!B$125:B$200)</f>
        <v>31936.697772060965</v>
      </c>
      <c r="C58" s="118">
        <f>'Statistics NZ'!C$58*'Economic Forecasts'!E$9*1000000/SUM('Statistics NZ'!C$32:C$107,'Statistics NZ'!C$125:C$200)</f>
        <v>31655.313242672299</v>
      </c>
      <c r="D58" s="118">
        <f>'Statistics NZ'!D$58*'Economic Forecasts'!F$9*1000000/SUM('Statistics NZ'!D$32:D$107,'Statistics NZ'!D$125:D$200)</f>
        <v>31973.202030770695</v>
      </c>
      <c r="E58" s="118">
        <f>'Statistics NZ'!E$58*'Economic Forecasts'!G$9*1000000/SUM('Statistics NZ'!E$32:E$107,'Statistics NZ'!E$125:E$200)</f>
        <v>32244.005021417463</v>
      </c>
      <c r="F58" s="118">
        <f>'Statistics NZ'!F$58*'Economic Forecasts'!H$9*1000000/SUM('Statistics NZ'!F$32:F$107,'Statistics NZ'!F$125:F$200)</f>
        <v>32874.858461654658</v>
      </c>
      <c r="G58" s="118">
        <f>'Statistics NZ'!G$58*'Economic Forecasts'!I$9*1000000/SUM('Statistics NZ'!G$32:G$107,'Statistics NZ'!G$125:G$200)</f>
        <v>32613.019468741182</v>
      </c>
      <c r="H58" s="118">
        <f>'Statistics NZ'!H$58*'Economic Forecasts'!J$9*1000000/SUM('Statistics NZ'!H$32:H$107,'Statistics NZ'!H$125:H$200)</f>
        <v>33676.002081088111</v>
      </c>
      <c r="I58" s="118">
        <f>'Statistics NZ'!I$58*'Economic Forecasts'!K$9*1000000/SUM('Statistics NZ'!I$32:I$107,'Statistics NZ'!I$125:I$200)</f>
        <v>33016.456523769491</v>
      </c>
      <c r="J58" s="203">
        <f>'Statistics NZ'!J$58*'Economic Forecasts'!L$9*1000000/SUM('Statistics NZ'!J$32:J$107,'Statistics NZ'!J$125:J$200)</f>
        <v>31912.92770623061</v>
      </c>
      <c r="K58" s="203">
        <f>'Statistics NZ'!K$58*'Economic Forecasts'!M$9*1000000/SUM('Statistics NZ'!K$32:K$107,'Statistics NZ'!K$125:K$200)</f>
        <v>31146.242103068329</v>
      </c>
      <c r="L58" s="203">
        <f>'Statistics NZ'!L$58*'Economic Forecasts'!N$9*1000000/SUM('Statistics NZ'!L$32:L$107,'Statistics NZ'!L$125:L$200)</f>
        <v>30285.138558986535</v>
      </c>
      <c r="M58" s="203">
        <f>'Statistics NZ'!M$58*'Economic Forecasts'!O$9*1000000/SUM('Statistics NZ'!M$32:M$107,'Statistics NZ'!M$125:M$200)</f>
        <v>29186.66826608056</v>
      </c>
      <c r="N58" s="203">
        <f>'Statistics NZ'!N$58*'Economic Forecasts'!P$9*1000000/SUM('Statistics NZ'!N$32:N$107,'Statistics NZ'!N$125:N$200)</f>
        <v>29694.291220296804</v>
      </c>
      <c r="O58" s="203">
        <f>'Statistics NZ'!O$58*'Economic Forecasts'!Q$9*1000000/SUM('Statistics NZ'!O$32:O$107,'Statistics NZ'!O$125:O$200)</f>
        <v>29861.971749067292</v>
      </c>
      <c r="P58" s="203">
        <f>'Statistics NZ'!P$58*'Economic Forecasts'!R$9*1000000/SUM('Statistics NZ'!P$32:P$107,'Statistics NZ'!P$125:P$200)</f>
        <v>31268.383371096916</v>
      </c>
      <c r="Q58" s="121">
        <f>SUM('Statistics NZ'!Q$58,$J$13/5*(Q$9-Q$10)*1000)*'Economic Forecasts'!S$9*1000000/SUM('Statistics NZ'!Q$32:Q$107,'Statistics NZ'!Q$125:Q$200,SUM($E$13:$Q$14)*(Q$9-Q$10)*1000)</f>
        <v>31693.884382202272</v>
      </c>
      <c r="R58" s="205">
        <f>SUM('Statistics NZ'!R$58,$J$13/5*(R$9-R$10)*1000)*'Economic Forecasts'!T$9*1000000/SUM('Statistics NZ'!R$32:R$107,'Statistics NZ'!R$125:R$200,SUM($E$13:$Q$14)*(R$9-R$10)*1000)</f>
        <v>32111.209613337844</v>
      </c>
      <c r="S58" s="205">
        <f>SUM('Statistics NZ'!S$58,$J$13/5*(S$9-S$10)*1000)*'Economic Forecasts'!U$9*1000000/SUM('Statistics NZ'!S$32:S$107,'Statistics NZ'!S$125:S$200,SUM($E$13:$Q$14)*(S$9-S$10)*1000)</f>
        <v>33258.341374262389</v>
      </c>
      <c r="T58" s="205">
        <f>SUM('Statistics NZ'!T$58,$J$13/5*(T$9-T$10)*1000)*'Economic Forecasts'!V$9*1000000/SUM('Statistics NZ'!T$32:T$107,'Statistics NZ'!T$125:T$200,SUM($E$13:$Q$14)*(T$9-T$10)*1000)</f>
        <v>34076.828460464458</v>
      </c>
      <c r="U58" s="205">
        <f>SUM('Statistics NZ'!U$58,$J$13/5*(U$9-U$10)*1000)*'Economic Forecasts'!W$9*1000000/SUM('Statistics NZ'!U$32:U$107,'Statistics NZ'!U$125:U$200,SUM($E$13:$Q$14)*(U$9-U$10)*1000)</f>
        <v>34942.733701224832</v>
      </c>
      <c r="V58" s="111">
        <f>SUM(U$58,'Statistics NZ'!V$58-'Statistics NZ'!U$58,$J$13/5*(V$9-V$10)*1000)</f>
        <v>35843.878923761898</v>
      </c>
      <c r="W58" s="111">
        <f>SUM(V$58,'Statistics NZ'!W$58-'Statistics NZ'!V$58,$J$13/5*(W$9-W$10)*1000)</f>
        <v>36552.380993481835</v>
      </c>
      <c r="X58" s="111">
        <f>SUM(W$58,'Statistics NZ'!X$58-'Statistics NZ'!W$58,$J$13/5*(X$9-X$10)*1000)</f>
        <v>37488.239910384633</v>
      </c>
      <c r="Y58" s="111">
        <f>SUM(X$58,'Statistics NZ'!Y$58-'Statistics NZ'!X$58,$J$13/5*(Y$9-Y$10)*1000)</f>
        <v>40061.4556744703</v>
      </c>
      <c r="Z58" s="111">
        <f>SUM(Y$58,'Statistics NZ'!Z$58-'Statistics NZ'!Y$58,$J$13/5*(Z$9-Z$10)*1000)</f>
        <v>40452.028285738837</v>
      </c>
      <c r="AA58" s="111">
        <f>SUM(Z$58,'Statistics NZ'!AA$58-'Statistics NZ'!Z$58,$J$13/5*(AA$9-AA$10)*1000)</f>
        <v>42189.957744190237</v>
      </c>
      <c r="AB58" s="111">
        <f>SUM(AA$58,'Statistics NZ'!AB$58-'Statistics NZ'!AA$58,$J$13/5*(AB$9-AB$10)*1000)</f>
        <v>42795.244049824505</v>
      </c>
      <c r="AC58" s="111">
        <f>SUM(AB$58,'Statistics NZ'!AC$58-'Statistics NZ'!AB$58,$J$13/5*(AC$9-AC$10)*1000)</f>
        <v>42427.887202641636</v>
      </c>
      <c r="AD58" s="111">
        <f>SUM(AC$58,'Statistics NZ'!AD$58-'Statistics NZ'!AC$58,$J$13/5*(AD$9-AD$10)*1000)</f>
        <v>41697.887202641636</v>
      </c>
      <c r="AE58" s="111">
        <f>SUM(AD$58,'Statistics NZ'!AE$58-'Statistics NZ'!AD$58,$J$13/5*(AE$9-AE$10)*1000)</f>
        <v>40467.887202641636</v>
      </c>
      <c r="AF58" s="111">
        <f>SUM(AE$58,'Statistics NZ'!AF$58-'Statistics NZ'!AE$58,$J$13/5*(AF$9-AF$10)*1000)</f>
        <v>40227.887202641636</v>
      </c>
      <c r="AG58" s="111">
        <f>SUM(AF$58,'Statistics NZ'!AG$58-'Statistics NZ'!AF$58,$J$13/5*(AG$9-AG$10)*1000)</f>
        <v>39847.887202641636</v>
      </c>
      <c r="AH58" s="111">
        <f>SUM(AG$58,'Statistics NZ'!AH$58-'Statistics NZ'!AG$58,$J$13/5*(AH$9-AH$10)*1000)</f>
        <v>39477.887202641636</v>
      </c>
      <c r="AI58" s="111">
        <f>SUM(AH$58,'Statistics NZ'!AI$58-'Statistics NZ'!AH$58,$J$13/5*(AI$9-AI$10)*1000)</f>
        <v>39427.887202641636</v>
      </c>
      <c r="AJ58" s="111">
        <f>SUM(AI$58,'Statistics NZ'!AJ$58-'Statistics NZ'!AI$58,$J$13/5*(AJ$9-AJ$10)*1000)</f>
        <v>38847.887202641636</v>
      </c>
      <c r="AK58" s="111">
        <f>SUM(AJ$58,'Statistics NZ'!AK$58-'Statistics NZ'!AJ$58,$J$13/5*(AK$9-AK$10)*1000)</f>
        <v>39617.887202641636</v>
      </c>
      <c r="AL58" s="111">
        <f>SUM(AK$58,'Statistics NZ'!AL$58-'Statistics NZ'!AK$58,$J$13/5*(AL$9-AL$10)*1000)</f>
        <v>39237.887202641636</v>
      </c>
      <c r="AM58" s="111">
        <f>SUM(AL$58,'Statistics NZ'!AM$58-'Statistics NZ'!AL$58,$J$13/5*(AM$9-AM$10)*1000)</f>
        <v>38297.887202641636</v>
      </c>
      <c r="AN58" s="111">
        <f>SUM(AM$58,'Statistics NZ'!AN$58-'Statistics NZ'!AM$58,$J$13/5*(AN$9-AN$10)*1000)</f>
        <v>37957.887202641636</v>
      </c>
      <c r="AO58" s="111">
        <f>SUM(AN$58,'Statistics NZ'!AO$58-'Statistics NZ'!AN$58,$J$13/5*(AO$9-AO$10)*1000)</f>
        <v>38767.887202641636</v>
      </c>
      <c r="AP58" s="111">
        <f>SUM(AO$58,'Statistics NZ'!AP$58-'Statistics NZ'!AO$58,$J$13/5*(AP$9-AP$10)*1000)</f>
        <v>38907.887202641636</v>
      </c>
      <c r="AQ58" s="111">
        <f>SUM(AP$58,'Statistics NZ'!AQ$58-'Statistics NZ'!AP$58,$J$13/5*(AQ$9-AQ$10)*1000)</f>
        <v>39717.887202641636</v>
      </c>
      <c r="AR58" s="111">
        <f>SUM(AQ$58,'Statistics NZ'!AR$58-'Statistics NZ'!AQ$58,$J$13/5*(AR$9-AR$10)*1000)</f>
        <v>41257.887202641636</v>
      </c>
      <c r="AS58" s="111">
        <f>SUM(AR$58,'Statistics NZ'!AS$58-'Statistics NZ'!AR$58,$J$13/5*(AS$9-AS$10)*1000)</f>
        <v>42537.887202641636</v>
      </c>
      <c r="AT58" s="111">
        <f>SUM(AS$58,'Statistics NZ'!AT$58-'Statistics NZ'!AS$58,$J$13/5*(AT$9-AT$10)*1000)</f>
        <v>42377.887202641636</v>
      </c>
      <c r="AU58" s="111">
        <f>SUM(AT$58,'Statistics NZ'!AU$58-'Statistics NZ'!AT$58,$J$13/5*(AU$9-AU$10)*1000)</f>
        <v>43397.887202641636</v>
      </c>
      <c r="AV58" s="111">
        <f>SUM(AU$58,'Statistics NZ'!AV$58-'Statistics NZ'!AU$58,$J$13/5*(AV$9-AV$10)*1000)</f>
        <v>43317.887202641636</v>
      </c>
      <c r="AW58" s="111">
        <f>SUM(AV$58,'Statistics NZ'!AW$58-'Statistics NZ'!AV$58,$J$13/5*(AW$9-AW$10)*1000)</f>
        <v>43217.887202641636</v>
      </c>
      <c r="AX58" s="111">
        <f>SUM(AW$58,'Statistics NZ'!AX$58-'Statistics NZ'!AW$58,$J$13/5*(AX$9-AX$10)*1000)</f>
        <v>43127.887202641636</v>
      </c>
      <c r="AY58" s="111">
        <f>SUM(AX$58,'Statistics NZ'!AY$58-'Statistics NZ'!AX$58,$J$13/5*(AY$9-AY$10)*1000)</f>
        <v>42017.887202641636</v>
      </c>
      <c r="AZ58" s="111">
        <f>SUM(AY$58,'Statistics NZ'!AZ$58-'Statistics NZ'!AY$58,$J$13/5*(AZ$9-AZ$10)*1000)</f>
        <v>42077.887202641636</v>
      </c>
      <c r="BA58" s="111">
        <f>SUM(AZ$58,'Statistics NZ'!BA$58-'Statistics NZ'!AZ$58,$J$13/5*(BA$9-BA$10)*1000)</f>
        <v>41717.887202641636</v>
      </c>
      <c r="BB58" s="111">
        <f>SUM(BA$58,'Statistics NZ'!BB$58-'Statistics NZ'!BA$58,$J$13/5*(BB$9-BB$10)*1000)</f>
        <v>41957.887202641636</v>
      </c>
      <c r="BC58" s="111">
        <f>SUM(BB$58,'Statistics NZ'!BC$58-'Statistics NZ'!BB$58,$J$13/5*(BC$9-BC$10)*1000)</f>
        <v>41147.887202641636</v>
      </c>
      <c r="BD58" s="111">
        <f>SUM(BC$58,'Statistics NZ'!BD$58-'Statistics NZ'!BC$58,$J$13/5*(BD$9-BD$10)*1000)</f>
        <v>40727.887202641636</v>
      </c>
      <c r="BE58" s="111">
        <f>SUM(BD$58,'Statistics NZ'!BE$58-'Statistics NZ'!BD$58,$J$13/5*(BE$9-BE$10)*1000)</f>
        <v>40877.887202641636</v>
      </c>
      <c r="BF58" s="111">
        <f>SUM(BE$58,'Statistics NZ'!BF$58-'Statistics NZ'!BE$58,$J$13/5*(BF$9-BF$10)*1000)</f>
        <v>40317.887202641636</v>
      </c>
      <c r="BG58" s="111">
        <f>SUM(BF$58,'Statistics NZ'!BG$58-'Statistics NZ'!BF$58,$J$13/5*(BG$9-BG$10)*1000)</f>
        <v>40287.887202641636</v>
      </c>
      <c r="BH58" s="111">
        <f>SUM(BG$58,'Statistics NZ'!BH$58-'Statistics NZ'!BG$58,$J$13/5*(BH$9-BH$10)*1000)</f>
        <v>40237.887202641636</v>
      </c>
      <c r="BI58" s="111">
        <f>SUM(BH$58,'Statistics NZ'!BI$58-'Statistics NZ'!BH$58,$J$13/5*(BI$9-BI$10)*1000)</f>
        <v>40167.887202641636</v>
      </c>
      <c r="BJ58" s="111">
        <f>SUM(BI$58,'Statistics NZ'!BJ$58-'Statistics NZ'!BI$58,$J$13/5*(BJ$9-BJ$10)*1000)</f>
        <v>40287.887202641636</v>
      </c>
      <c r="BK58" s="111">
        <f>SUM(BJ$58,'Statistics NZ'!BK$58-'Statistics NZ'!BJ$58,$J$13/5*(BK$9-BK$10)*1000)</f>
        <v>40367.887202641636</v>
      </c>
      <c r="BL58" s="111">
        <f>SUM(BK$58,'Statistics NZ'!BL$58-'Statistics NZ'!BK$58,$J$13/5*(BL$9-BL$10)*1000)</f>
        <v>40427.887202641636</v>
      </c>
      <c r="BM58" s="195">
        <f>SUM(BL$58,'Statistics NZ'!BM$58-'Statistics NZ'!BL$58,$J$13/5*(BM$9-BM$10)*1000)</f>
        <v>40457.887202641636</v>
      </c>
      <c r="BN58" s="195">
        <f>SUM(BM$58,'Statistics NZ'!BN$58-'Statistics NZ'!BM$58,$J$13/5*(BN$9-BN$10)*1000)</f>
        <v>40487.887202641636</v>
      </c>
      <c r="BO58" s="195">
        <f>SUM(BN$58,'Statistics NZ'!BO$58-'Statistics NZ'!BN$58,$J$13/5*(BO$9-BO$10)*1000)</f>
        <v>40517.887202641636</v>
      </c>
      <c r="BP58" s="195">
        <f>SUM(BO$58,'Statistics NZ'!BP$58-'Statistics NZ'!BO$58,$J$13/5*(BP$9-BP$10)*1000)</f>
        <v>40547.887202641636</v>
      </c>
      <c r="BQ58" s="195">
        <f>SUM(BP$58,'Statistics NZ'!BQ$58-'Statistics NZ'!BP$58,$J$13/5*(BQ$9-BQ$10)*1000)</f>
        <v>40577.887202641636</v>
      </c>
    </row>
    <row r="59" spans="1:69">
      <c r="A59" s="105">
        <v>42</v>
      </c>
      <c r="B59" s="118">
        <f>'Statistics NZ'!B$59*'Economic Forecasts'!D$9*1000000/SUM('Statistics NZ'!B$32:B$107,'Statistics NZ'!B$125:B$200)</f>
        <v>33010.448560819335</v>
      </c>
      <c r="C59" s="118">
        <f>'Statistics NZ'!C$59*'Economic Forecasts'!E$9*1000000/SUM('Statistics NZ'!C$32:C$107,'Statistics NZ'!C$125:C$200)</f>
        <v>32049.649128597834</v>
      </c>
      <c r="D59" s="118">
        <f>'Statistics NZ'!D$59*'Economic Forecasts'!F$9*1000000/SUM('Statistics NZ'!D$32:D$107,'Statistics NZ'!D$125:D$200)</f>
        <v>31697.23111311916</v>
      </c>
      <c r="E59" s="118">
        <f>'Statistics NZ'!E$59*'Economic Forecasts'!G$9*1000000/SUM('Statistics NZ'!E$32:E$107,'Statistics NZ'!E$125:E$200)</f>
        <v>31968.246884398621</v>
      </c>
      <c r="F59" s="118">
        <f>'Statistics NZ'!F$59*'Economic Forecasts'!H$9*1000000/SUM('Statistics NZ'!F$32:F$107,'Statistics NZ'!F$125:F$200)</f>
        <v>32313.316078581742</v>
      </c>
      <c r="G59" s="118">
        <f>'Statistics NZ'!G$59*'Economic Forecasts'!I$9*1000000/SUM('Statistics NZ'!G$32:G$107,'Statistics NZ'!G$125:G$200)</f>
        <v>32869.194244024344</v>
      </c>
      <c r="H59" s="118">
        <f>'Statistics NZ'!H$59*'Economic Forecasts'!J$9*1000000/SUM('Statistics NZ'!H$32:H$107,'Statistics NZ'!H$125:H$200)</f>
        <v>32553.140356243413</v>
      </c>
      <c r="I59" s="118">
        <f>'Statistics NZ'!I$59*'Economic Forecasts'!K$9*1000000/SUM('Statistics NZ'!I$32:I$107,'Statistics NZ'!I$125:I$200)</f>
        <v>33695.483498475936</v>
      </c>
      <c r="J59" s="203">
        <f>'Statistics NZ'!J$59*'Economic Forecasts'!L$9*1000000/SUM('Statistics NZ'!J$32:J$107,'Statistics NZ'!J$125:J$200)</f>
        <v>33200.452661425014</v>
      </c>
      <c r="K59" s="203">
        <f>'Statistics NZ'!K$59*'Economic Forecasts'!M$9*1000000/SUM('Statistics NZ'!K$32:K$107,'Statistics NZ'!K$125:K$200)</f>
        <v>32128.773399695088</v>
      </c>
      <c r="L59" s="203">
        <f>'Statistics NZ'!L$59*'Economic Forecasts'!N$9*1000000/SUM('Statistics NZ'!L$32:L$107,'Statistics NZ'!L$125:L$200)</f>
        <v>31585.183531274739</v>
      </c>
      <c r="M59" s="203">
        <f>'Statistics NZ'!M$59*'Economic Forecasts'!O$9*1000000/SUM('Statistics NZ'!M$32:M$107,'Statistics NZ'!M$125:M$200)</f>
        <v>30654.374500183159</v>
      </c>
      <c r="N59" s="203">
        <f>'Statistics NZ'!N$59*'Economic Forecasts'!P$9*1000000/SUM('Statistics NZ'!N$32:N$107,'Statistics NZ'!N$125:N$200)</f>
        <v>29526.526863119987</v>
      </c>
      <c r="O59" s="203">
        <f>'Statistics NZ'!O$59*'Economic Forecasts'!Q$9*1000000/SUM('Statistics NZ'!O$32:O$107,'Statistics NZ'!O$125:O$200)</f>
        <v>30009.998707506158</v>
      </c>
      <c r="P59" s="203">
        <f>'Statistics NZ'!P$59*'Economic Forecasts'!R$9*1000000/SUM('Statistics NZ'!P$32:P$107,'Statistics NZ'!P$125:P$200)</f>
        <v>30340.303788879326</v>
      </c>
      <c r="Q59" s="121">
        <f>SUM('Statistics NZ'!Q$59,$J$13/5*(Q$9-Q$10)*1000)*'Economic Forecasts'!S$9*1000000/SUM('Statistics NZ'!Q$32:Q$107,'Statistics NZ'!Q$125:Q$200,SUM($E$13:$Q$14)*(Q$9-Q$10)*1000)</f>
        <v>31367.632419094014</v>
      </c>
      <c r="R59" s="205">
        <f>SUM('Statistics NZ'!R$59,$J$13/5*(R$9-R$10)*1000)*'Economic Forecasts'!T$9*1000000/SUM('Statistics NZ'!R$32:R$107,'Statistics NZ'!R$125:R$200,SUM($E$13:$Q$14)*(R$9-R$10)*1000)</f>
        <v>31804.769061074789</v>
      </c>
      <c r="S59" s="205">
        <f>SUM('Statistics NZ'!S$59,$J$13/5*(S$9-S$10)*1000)*'Economic Forecasts'!U$9*1000000/SUM('Statistics NZ'!S$32:S$107,'Statistics NZ'!S$125:S$200,SUM($E$13:$Q$14)*(S$9-S$10)*1000)</f>
        <v>32250.591981330101</v>
      </c>
      <c r="T59" s="205">
        <f>SUM('Statistics NZ'!T$59,$J$13/5*(T$9-T$10)*1000)*'Economic Forecasts'!V$9*1000000/SUM('Statistics NZ'!T$32:T$107,'Statistics NZ'!T$125:T$200,SUM($E$13:$Q$14)*(T$9-T$10)*1000)</f>
        <v>33385.278560174746</v>
      </c>
      <c r="U59" s="205">
        <f>SUM('Statistics NZ'!U$59,$J$13/5*(U$9-U$10)*1000)*'Economic Forecasts'!W$9*1000000/SUM('Statistics NZ'!U$32:U$107,'Statistics NZ'!U$125:U$200,SUM($E$13:$Q$14)*(U$9-U$10)*1000)</f>
        <v>34260.177062688657</v>
      </c>
      <c r="V59" s="111">
        <f>SUM(U$59,'Statistics NZ'!V$59-'Statistics NZ'!U$59,$J$13/5*(V$9-V$10)*1000)</f>
        <v>35141.322285225724</v>
      </c>
      <c r="W59" s="111">
        <f>SUM(V$59,'Statistics NZ'!W$59-'Statistics NZ'!V$59,$J$13/5*(W$9-W$10)*1000)</f>
        <v>36029.82435494566</v>
      </c>
      <c r="X59" s="111">
        <f>SUM(W$59,'Statistics NZ'!X$59-'Statistics NZ'!W$59,$J$13/5*(X$9-X$10)*1000)</f>
        <v>36715.683271848458</v>
      </c>
      <c r="Y59" s="111">
        <f>SUM(X$59,'Statistics NZ'!Y$59-'Statistics NZ'!X$59,$J$13/5*(Y$9-Y$10)*1000)</f>
        <v>37638.899035934126</v>
      </c>
      <c r="Z59" s="111">
        <f>SUM(Y$59,'Statistics NZ'!Z$59-'Statistics NZ'!Y$59,$J$13/5*(Z$9-Z$10)*1000)</f>
        <v>40199.471647202663</v>
      </c>
      <c r="AA59" s="111">
        <f>SUM(Z$59,'Statistics NZ'!AA$59-'Statistics NZ'!Z$59,$J$13/5*(AA$9-AA$10)*1000)</f>
        <v>40577.401105654062</v>
      </c>
      <c r="AB59" s="111">
        <f>SUM(AA$59,'Statistics NZ'!AB$59-'Statistics NZ'!AA$59,$J$13/5*(AB$9-AB$10)*1000)</f>
        <v>42302.687411288331</v>
      </c>
      <c r="AC59" s="111">
        <f>SUM(AB$59,'Statistics NZ'!AC$59-'Statistics NZ'!AB$59,$J$13/5*(AC$9-AC$10)*1000)</f>
        <v>42895.330564105461</v>
      </c>
      <c r="AD59" s="111">
        <f>SUM(AC$59,'Statistics NZ'!AD$59-'Statistics NZ'!AC$59,$J$13/5*(AD$9-AD$10)*1000)</f>
        <v>42515.330564105461</v>
      </c>
      <c r="AE59" s="111">
        <f>SUM(AD$59,'Statistics NZ'!AE$59-'Statistics NZ'!AD$59,$J$13/5*(AE$9-AE$10)*1000)</f>
        <v>41785.330564105461</v>
      </c>
      <c r="AF59" s="111">
        <f>SUM(AE$59,'Statistics NZ'!AF$59-'Statistics NZ'!AE$59,$J$13/5*(AF$9-AF$10)*1000)</f>
        <v>40555.330564105461</v>
      </c>
      <c r="AG59" s="111">
        <f>SUM(AF$59,'Statistics NZ'!AG$59-'Statistics NZ'!AF$59,$J$13/5*(AG$9-AG$10)*1000)</f>
        <v>40325.330564105461</v>
      </c>
      <c r="AH59" s="111">
        <f>SUM(AG$59,'Statistics NZ'!AH$59-'Statistics NZ'!AG$59,$J$13/5*(AH$9-AH$10)*1000)</f>
        <v>39945.330564105461</v>
      </c>
      <c r="AI59" s="111">
        <f>SUM(AH$59,'Statistics NZ'!AI$59-'Statistics NZ'!AH$59,$J$13/5*(AI$9-AI$10)*1000)</f>
        <v>39565.330564105461</v>
      </c>
      <c r="AJ59" s="111">
        <f>SUM(AI$59,'Statistics NZ'!AJ$59-'Statistics NZ'!AI$59,$J$13/5*(AJ$9-AJ$10)*1000)</f>
        <v>39525.330564105461</v>
      </c>
      <c r="AK59" s="111">
        <f>SUM(AJ$59,'Statistics NZ'!AK$59-'Statistics NZ'!AJ$59,$J$13/5*(AK$9-AK$10)*1000)</f>
        <v>38935.330564105461</v>
      </c>
      <c r="AL59" s="111">
        <f>SUM(AK$59,'Statistics NZ'!AL$59-'Statistics NZ'!AK$59,$J$13/5*(AL$9-AL$10)*1000)</f>
        <v>39715.330564105461</v>
      </c>
      <c r="AM59" s="111">
        <f>SUM(AL$59,'Statistics NZ'!AM$59-'Statistics NZ'!AL$59,$J$13/5*(AM$9-AM$10)*1000)</f>
        <v>39335.330564105461</v>
      </c>
      <c r="AN59" s="111">
        <f>SUM(AM$59,'Statistics NZ'!AN$59-'Statistics NZ'!AM$59,$J$13/5*(AN$9-AN$10)*1000)</f>
        <v>38395.330564105461</v>
      </c>
      <c r="AO59" s="111">
        <f>SUM(AN$59,'Statistics NZ'!AO$59-'Statistics NZ'!AN$59,$J$13/5*(AO$9-AO$10)*1000)</f>
        <v>38055.330564105461</v>
      </c>
      <c r="AP59" s="111">
        <f>SUM(AO$59,'Statistics NZ'!AP$59-'Statistics NZ'!AO$59,$J$13/5*(AP$9-AP$10)*1000)</f>
        <v>38865.330564105461</v>
      </c>
      <c r="AQ59" s="111">
        <f>SUM(AP$59,'Statistics NZ'!AQ$59-'Statistics NZ'!AP$59,$J$13/5*(AQ$9-AQ$10)*1000)</f>
        <v>39005.330564105461</v>
      </c>
      <c r="AR59" s="111">
        <f>SUM(AQ$59,'Statistics NZ'!AR$59-'Statistics NZ'!AQ$59,$J$13/5*(AR$9-AR$10)*1000)</f>
        <v>39815.330564105461</v>
      </c>
      <c r="AS59" s="111">
        <f>SUM(AR$59,'Statistics NZ'!AS$59-'Statistics NZ'!AR$59,$J$13/5*(AS$9-AS$10)*1000)</f>
        <v>41355.330564105461</v>
      </c>
      <c r="AT59" s="111">
        <f>SUM(AS$59,'Statistics NZ'!AT$59-'Statistics NZ'!AS$59,$J$13/5*(AT$9-AT$10)*1000)</f>
        <v>42635.330564105461</v>
      </c>
      <c r="AU59" s="111">
        <f>SUM(AT$59,'Statistics NZ'!AU$59-'Statistics NZ'!AT$59,$J$13/5*(AU$9-AU$10)*1000)</f>
        <v>42475.330564105461</v>
      </c>
      <c r="AV59" s="111">
        <f>SUM(AU$59,'Statistics NZ'!AV$59-'Statistics NZ'!AU$59,$J$13/5*(AV$9-AV$10)*1000)</f>
        <v>43495.330564105461</v>
      </c>
      <c r="AW59" s="111">
        <f>SUM(AV$59,'Statistics NZ'!AW$59-'Statistics NZ'!AV$59,$J$13/5*(AW$9-AW$10)*1000)</f>
        <v>43415.330564105461</v>
      </c>
      <c r="AX59" s="111">
        <f>SUM(AW$59,'Statistics NZ'!AX$59-'Statistics NZ'!AW$59,$J$13/5*(AX$9-AX$10)*1000)</f>
        <v>43315.330564105461</v>
      </c>
      <c r="AY59" s="111">
        <f>SUM(AX$59,'Statistics NZ'!AY$59-'Statistics NZ'!AX$59,$J$13/5*(AY$9-AY$10)*1000)</f>
        <v>43225.330564105461</v>
      </c>
      <c r="AZ59" s="111">
        <f>SUM(AY$59,'Statistics NZ'!AZ$59-'Statistics NZ'!AY$59,$J$13/5*(AZ$9-AZ$10)*1000)</f>
        <v>42115.330564105461</v>
      </c>
      <c r="BA59" s="111">
        <f>SUM(AZ$59,'Statistics NZ'!BA$59-'Statistics NZ'!AZ$59,$J$13/5*(BA$9-BA$10)*1000)</f>
        <v>42175.330564105461</v>
      </c>
      <c r="BB59" s="111">
        <f>SUM(BA$59,'Statistics NZ'!BB$59-'Statistics NZ'!BA$59,$J$13/5*(BB$9-BB$10)*1000)</f>
        <v>41815.330564105461</v>
      </c>
      <c r="BC59" s="111">
        <f>SUM(BB$59,'Statistics NZ'!BC$59-'Statistics NZ'!BB$59,$J$13/5*(BC$9-BC$10)*1000)</f>
        <v>42055.330564105461</v>
      </c>
      <c r="BD59" s="111">
        <f>SUM(BC$59,'Statistics NZ'!BD$59-'Statistics NZ'!BC$59,$J$13/5*(BD$9-BD$10)*1000)</f>
        <v>41245.330564105461</v>
      </c>
      <c r="BE59" s="111">
        <f>SUM(BD$59,'Statistics NZ'!BE$59-'Statistics NZ'!BD$59,$J$13/5*(BE$9-BE$10)*1000)</f>
        <v>40825.330564105461</v>
      </c>
      <c r="BF59" s="111">
        <f>SUM(BE$59,'Statistics NZ'!BF$59-'Statistics NZ'!BE$59,$J$13/5*(BF$9-BF$10)*1000)</f>
        <v>40975.330564105461</v>
      </c>
      <c r="BG59" s="111">
        <f>SUM(BF$59,'Statistics NZ'!BG$59-'Statistics NZ'!BF$59,$J$13/5*(BG$9-BG$10)*1000)</f>
        <v>40425.330564105461</v>
      </c>
      <c r="BH59" s="111">
        <f>SUM(BG$59,'Statistics NZ'!BH$59-'Statistics NZ'!BG$59,$J$13/5*(BH$9-BH$10)*1000)</f>
        <v>40395.330564105461</v>
      </c>
      <c r="BI59" s="111">
        <f>SUM(BH$59,'Statistics NZ'!BI$59-'Statistics NZ'!BH$59,$J$13/5*(BI$9-BI$10)*1000)</f>
        <v>40335.330564105461</v>
      </c>
      <c r="BJ59" s="111">
        <f>SUM(BI$59,'Statistics NZ'!BJ$59-'Statistics NZ'!BI$59,$J$13/5*(BJ$9-BJ$10)*1000)</f>
        <v>40275.330564105461</v>
      </c>
      <c r="BK59" s="111">
        <f>SUM(BJ$59,'Statistics NZ'!BK$59-'Statistics NZ'!BJ$59,$J$13/5*(BK$9-BK$10)*1000)</f>
        <v>40385.330564105461</v>
      </c>
      <c r="BL59" s="111">
        <f>SUM(BK$59,'Statistics NZ'!BL$59-'Statistics NZ'!BK$59,$J$13/5*(BL$9-BL$10)*1000)</f>
        <v>40475.330564105461</v>
      </c>
      <c r="BM59" s="195">
        <f>SUM(BL$59,'Statistics NZ'!BM$59-'Statistics NZ'!BL$59,$J$13/5*(BM$9-BM$10)*1000)</f>
        <v>40525.330564105461</v>
      </c>
      <c r="BN59" s="195">
        <f>SUM(BM$59,'Statistics NZ'!BN$59-'Statistics NZ'!BM$59,$J$13/5*(BN$9-BN$10)*1000)</f>
        <v>40565.330564105461</v>
      </c>
      <c r="BO59" s="195">
        <f>SUM(BN$59,'Statistics NZ'!BO$59-'Statistics NZ'!BN$59,$J$13/5*(BO$9-BO$10)*1000)</f>
        <v>40595.330564105461</v>
      </c>
      <c r="BP59" s="195">
        <f>SUM(BO$59,'Statistics NZ'!BP$59-'Statistics NZ'!BO$59,$J$13/5*(BP$9-BP$10)*1000)</f>
        <v>40615.330564105461</v>
      </c>
      <c r="BQ59" s="195">
        <f>SUM(BP$59,'Statistics NZ'!BQ$59-'Statistics NZ'!BP$59,$J$13/5*(BQ$9-BQ$10)*1000)</f>
        <v>40645.330564105461</v>
      </c>
    </row>
    <row r="60" spans="1:69">
      <c r="A60" s="105">
        <v>43</v>
      </c>
      <c r="B60" s="118">
        <f>'Statistics NZ'!B$60*'Economic Forecasts'!D$9*1000000/SUM('Statistics NZ'!B$32:B$107,'Statistics NZ'!B$125:B$200)</f>
        <v>33906.882705562566</v>
      </c>
      <c r="C60" s="118">
        <f>'Statistics NZ'!C$60*'Economic Forecasts'!E$9*1000000/SUM('Statistics NZ'!C$32:C$107,'Statistics NZ'!C$125:C$200)</f>
        <v>33134.072814893058</v>
      </c>
      <c r="D60" s="118">
        <f>'Statistics NZ'!D$60*'Economic Forecasts'!F$9*1000000/SUM('Statistics NZ'!D$32:D$107,'Statistics NZ'!D$125:D$200)</f>
        <v>31983.058134972536</v>
      </c>
      <c r="E60" s="118">
        <f>'Statistics NZ'!E$60*'Economic Forecasts'!G$9*1000000/SUM('Statistics NZ'!E$32:E$107,'Statistics NZ'!E$125:E$200)</f>
        <v>31653.094727805659</v>
      </c>
      <c r="F60" s="118">
        <f>'Statistics NZ'!F$60*'Economic Forecasts'!H$9*1000000/SUM('Statistics NZ'!F$32:F$107,'Statistics NZ'!F$125:F$200)</f>
        <v>32057.173938934448</v>
      </c>
      <c r="G60" s="118">
        <f>'Statistics NZ'!G$60*'Economic Forecasts'!I$9*1000000/SUM('Statistics NZ'!G$32:G$107,'Statistics NZ'!G$125:G$200)</f>
        <v>32268.168809706152</v>
      </c>
      <c r="H60" s="118">
        <f>'Statistics NZ'!H$60*'Economic Forecasts'!J$9*1000000/SUM('Statistics NZ'!H$32:H$107,'Statistics NZ'!H$125:H$200)</f>
        <v>32769.832969809926</v>
      </c>
      <c r="I60" s="118">
        <f>'Statistics NZ'!I$60*'Economic Forecasts'!K$9*1000000/SUM('Statistics NZ'!I$32:I$107,'Statistics NZ'!I$125:I$200)</f>
        <v>32544.089932669365</v>
      </c>
      <c r="J60" s="203">
        <f>'Statistics NZ'!J$60*'Economic Forecasts'!L$9*1000000/SUM('Statistics NZ'!J$32:J$107,'Statistics NZ'!J$125:J$200)</f>
        <v>33790.158747773588</v>
      </c>
      <c r="K60" s="203">
        <f>'Statistics NZ'!K$60*'Economic Forecasts'!M$9*1000000/SUM('Statistics NZ'!K$32:K$107,'Statistics NZ'!K$125:K$200)</f>
        <v>33435.540024208683</v>
      </c>
      <c r="L60" s="203">
        <f>'Statistics NZ'!L$60*'Economic Forecasts'!N$9*1000000/SUM('Statistics NZ'!L$32:L$107,'Statistics NZ'!L$125:L$200)</f>
        <v>32442.031353919239</v>
      </c>
      <c r="M60" s="203">
        <f>'Statistics NZ'!M$60*'Economic Forecasts'!O$9*1000000/SUM('Statistics NZ'!M$32:M$107,'Statistics NZ'!M$125:M$200)</f>
        <v>31905.372431263899</v>
      </c>
      <c r="N60" s="203">
        <f>'Statistics NZ'!N$60*'Economic Forecasts'!P$9*1000000/SUM('Statistics NZ'!N$32:N$107,'Statistics NZ'!N$125:N$200)</f>
        <v>30917.984178527713</v>
      </c>
      <c r="O60" s="203">
        <f>'Statistics NZ'!O$60*'Economic Forecasts'!Q$9*1000000/SUM('Statistics NZ'!O$32:O$107,'Statistics NZ'!O$125:O$200)</f>
        <v>29832.36635737952</v>
      </c>
      <c r="P60" s="203">
        <f>'Statistics NZ'!P$60*'Economic Forecasts'!R$9*1000000/SUM('Statistics NZ'!P$32:P$107,'Statistics NZ'!P$125:P$200)</f>
        <v>30429.162472283137</v>
      </c>
      <c r="Q60" s="121">
        <f>SUM('Statistics NZ'!Q$60,$J$13/5*(Q$9-Q$10)*1000)*'Economic Forecasts'!S$9*1000000/SUM('Statistics NZ'!Q$32:Q$107,'Statistics NZ'!Q$125:Q$200,SUM($E$13:$Q$14)*(Q$9-Q$10)*1000)</f>
        <v>30428.422222267207</v>
      </c>
      <c r="R60" s="205">
        <f>SUM('Statistics NZ'!R$60,$J$13/5*(R$9-R$10)*1000)*'Economic Forecasts'!T$9*1000000/SUM('Statistics NZ'!R$32:R$107,'Statistics NZ'!R$125:R$200,SUM($E$13:$Q$14)*(R$9-R$10)*1000)</f>
        <v>31458.787792390693</v>
      </c>
      <c r="S60" s="205">
        <f>SUM('Statistics NZ'!S$60,$J$13/5*(S$9-S$10)*1000)*'Economic Forecasts'!U$9*1000000/SUM('Statistics NZ'!S$32:S$107,'Statistics NZ'!S$125:S$200,SUM($E$13:$Q$14)*(S$9-S$10)*1000)</f>
        <v>31924.55541302848</v>
      </c>
      <c r="T60" s="205">
        <f>SUM('Statistics NZ'!T$60,$J$13/5*(T$9-T$10)*1000)*'Economic Forecasts'!V$9*1000000/SUM('Statistics NZ'!T$32:T$107,'Statistics NZ'!T$125:T$200,SUM($E$13:$Q$14)*(T$9-T$10)*1000)</f>
        <v>32357.832994030028</v>
      </c>
      <c r="U60" s="205">
        <f>SUM('Statistics NZ'!U$60,$J$13/5*(U$9-U$10)*1000)*'Economic Forecasts'!W$9*1000000/SUM('Statistics NZ'!U$32:U$107,'Statistics NZ'!U$125:U$200,SUM($E$13:$Q$14)*(U$9-U$10)*1000)</f>
        <v>33538.05192336777</v>
      </c>
      <c r="V60" s="111">
        <f>SUM(U$60,'Statistics NZ'!V$60-'Statistics NZ'!U$60,$J$13/5*(V$9-V$10)*1000)</f>
        <v>34419.197145904836</v>
      </c>
      <c r="W60" s="111">
        <f>SUM(V$60,'Statistics NZ'!W$60-'Statistics NZ'!V$60,$J$13/5*(W$9-W$10)*1000)</f>
        <v>35287.699215624772</v>
      </c>
      <c r="X60" s="111">
        <f>SUM(W$60,'Statistics NZ'!X$60-'Statistics NZ'!W$60,$J$13/5*(X$9-X$10)*1000)</f>
        <v>36163.558132527571</v>
      </c>
      <c r="Y60" s="111">
        <f>SUM(X$60,'Statistics NZ'!Y$60-'Statistics NZ'!X$60,$J$13/5*(Y$9-Y$10)*1000)</f>
        <v>36846.773896613238</v>
      </c>
      <c r="Z60" s="111">
        <f>SUM(Y$60,'Statistics NZ'!Z$60-'Statistics NZ'!Y$60,$J$13/5*(Z$9-Z$10)*1000)</f>
        <v>37757.346507881775</v>
      </c>
      <c r="AA60" s="111">
        <f>SUM(Z$60,'Statistics NZ'!AA$60-'Statistics NZ'!Z$60,$J$13/5*(AA$9-AA$10)*1000)</f>
        <v>40295.275966333174</v>
      </c>
      <c r="AB60" s="111">
        <f>SUM(AA$60,'Statistics NZ'!AB$60-'Statistics NZ'!AA$60,$J$13/5*(AB$9-AB$10)*1000)</f>
        <v>40670.562271967443</v>
      </c>
      <c r="AC60" s="111">
        <f>SUM(AB$60,'Statistics NZ'!AC$60-'Statistics NZ'!AB$60,$J$13/5*(AC$9-AC$10)*1000)</f>
        <v>42373.205424784574</v>
      </c>
      <c r="AD60" s="111">
        <f>SUM(AC$60,'Statistics NZ'!AD$60-'Statistics NZ'!AC$60,$J$13/5*(AD$9-AD$10)*1000)</f>
        <v>42953.205424784574</v>
      </c>
      <c r="AE60" s="111">
        <f>SUM(AD$60,'Statistics NZ'!AE$60-'Statistics NZ'!AD$60,$J$13/5*(AE$9-AE$10)*1000)</f>
        <v>42573.205424784574</v>
      </c>
      <c r="AF60" s="111">
        <f>SUM(AE$60,'Statistics NZ'!AF$60-'Statistics NZ'!AE$60,$J$13/5*(AF$9-AF$10)*1000)</f>
        <v>41853.205424784574</v>
      </c>
      <c r="AG60" s="111">
        <f>SUM(AF$60,'Statistics NZ'!AG$60-'Statistics NZ'!AF$60,$J$13/5*(AG$9-AG$10)*1000)</f>
        <v>40623.205424784574</v>
      </c>
      <c r="AH60" s="111">
        <f>SUM(AG$60,'Statistics NZ'!AH$60-'Statistics NZ'!AG$60,$J$13/5*(AH$9-AH$10)*1000)</f>
        <v>40383.205424784574</v>
      </c>
      <c r="AI60" s="111">
        <f>SUM(AH$60,'Statistics NZ'!AI$60-'Statistics NZ'!AH$60,$J$13/5*(AI$9-AI$10)*1000)</f>
        <v>40003.205424784574</v>
      </c>
      <c r="AJ60" s="111">
        <f>SUM(AI$60,'Statistics NZ'!AJ$60-'Statistics NZ'!AI$60,$J$13/5*(AJ$9-AJ$10)*1000)</f>
        <v>39633.205424784574</v>
      </c>
      <c r="AK60" s="111">
        <f>SUM(AJ$60,'Statistics NZ'!AK$60-'Statistics NZ'!AJ$60,$J$13/5*(AK$9-AK$10)*1000)</f>
        <v>39593.205424784574</v>
      </c>
      <c r="AL60" s="111">
        <f>SUM(AK$60,'Statistics NZ'!AL$60-'Statistics NZ'!AK$60,$J$13/5*(AL$9-AL$10)*1000)</f>
        <v>39003.205424784574</v>
      </c>
      <c r="AM60" s="111">
        <f>SUM(AL$60,'Statistics NZ'!AM$60-'Statistics NZ'!AL$60,$J$13/5*(AM$9-AM$10)*1000)</f>
        <v>39783.205424784574</v>
      </c>
      <c r="AN60" s="111">
        <f>SUM(AM$60,'Statistics NZ'!AN$60-'Statistics NZ'!AM$60,$J$13/5*(AN$9-AN$10)*1000)</f>
        <v>39403.205424784574</v>
      </c>
      <c r="AO60" s="111">
        <f>SUM(AN$60,'Statistics NZ'!AO$60-'Statistics NZ'!AN$60,$J$13/5*(AO$9-AO$10)*1000)</f>
        <v>38463.205424784574</v>
      </c>
      <c r="AP60" s="111">
        <f>SUM(AO$60,'Statistics NZ'!AP$60-'Statistics NZ'!AO$60,$J$13/5*(AP$9-AP$10)*1000)</f>
        <v>38123.205424784574</v>
      </c>
      <c r="AQ60" s="111">
        <f>SUM(AP$60,'Statistics NZ'!AQ$60-'Statistics NZ'!AP$60,$J$13/5*(AQ$9-AQ$10)*1000)</f>
        <v>38933.205424784574</v>
      </c>
      <c r="AR60" s="111">
        <f>SUM(AQ$60,'Statistics NZ'!AR$60-'Statistics NZ'!AQ$60,$J$13/5*(AR$9-AR$10)*1000)</f>
        <v>39073.205424784574</v>
      </c>
      <c r="AS60" s="111">
        <f>SUM(AR$60,'Statistics NZ'!AS$60-'Statistics NZ'!AR$60,$J$13/5*(AS$9-AS$10)*1000)</f>
        <v>39883.205424784574</v>
      </c>
      <c r="AT60" s="111">
        <f>SUM(AS$60,'Statistics NZ'!AT$60-'Statistics NZ'!AS$60,$J$13/5*(AT$9-AT$10)*1000)</f>
        <v>41423.205424784574</v>
      </c>
      <c r="AU60" s="111">
        <f>SUM(AT$60,'Statistics NZ'!AU$60-'Statistics NZ'!AT$60,$J$13/5*(AU$9-AU$10)*1000)</f>
        <v>42703.205424784574</v>
      </c>
      <c r="AV60" s="111">
        <f>SUM(AU$60,'Statistics NZ'!AV$60-'Statistics NZ'!AU$60,$J$13/5*(AV$9-AV$10)*1000)</f>
        <v>42543.205424784574</v>
      </c>
      <c r="AW60" s="111">
        <f>SUM(AV$60,'Statistics NZ'!AW$60-'Statistics NZ'!AV$60,$J$13/5*(AW$9-AW$10)*1000)</f>
        <v>43563.205424784574</v>
      </c>
      <c r="AX60" s="111">
        <f>SUM(AW$60,'Statistics NZ'!AX$60-'Statistics NZ'!AW$60,$J$13/5*(AX$9-AX$10)*1000)</f>
        <v>43483.205424784574</v>
      </c>
      <c r="AY60" s="111">
        <f>SUM(AX$60,'Statistics NZ'!AY$60-'Statistics NZ'!AX$60,$J$13/5*(AY$9-AY$10)*1000)</f>
        <v>43383.205424784574</v>
      </c>
      <c r="AZ60" s="111">
        <f>SUM(AY$60,'Statistics NZ'!AZ$60-'Statistics NZ'!AY$60,$J$13/5*(AZ$9-AZ$10)*1000)</f>
        <v>43293.205424784574</v>
      </c>
      <c r="BA60" s="111">
        <f>SUM(AZ$60,'Statistics NZ'!BA$60-'Statistics NZ'!AZ$60,$J$13/5*(BA$9-BA$10)*1000)</f>
        <v>42193.205424784574</v>
      </c>
      <c r="BB60" s="111">
        <f>SUM(BA$60,'Statistics NZ'!BB$60-'Statistics NZ'!BA$60,$J$13/5*(BB$9-BB$10)*1000)</f>
        <v>42253.205424784574</v>
      </c>
      <c r="BC60" s="111">
        <f>SUM(BB$60,'Statistics NZ'!BC$60-'Statistics NZ'!BB$60,$J$13/5*(BC$9-BC$10)*1000)</f>
        <v>41893.205424784574</v>
      </c>
      <c r="BD60" s="111">
        <f>SUM(BC$60,'Statistics NZ'!BD$60-'Statistics NZ'!BC$60,$J$13/5*(BD$9-BD$10)*1000)</f>
        <v>42133.205424784574</v>
      </c>
      <c r="BE60" s="111">
        <f>SUM(BD$60,'Statistics NZ'!BE$60-'Statistics NZ'!BD$60,$J$13/5*(BE$9-BE$10)*1000)</f>
        <v>41323.205424784574</v>
      </c>
      <c r="BF60" s="111">
        <f>SUM(BE$60,'Statistics NZ'!BF$60-'Statistics NZ'!BE$60,$J$13/5*(BF$9-BF$10)*1000)</f>
        <v>40903.205424784574</v>
      </c>
      <c r="BG60" s="111">
        <f>SUM(BF$60,'Statistics NZ'!BG$60-'Statistics NZ'!BF$60,$J$13/5*(BG$9-BG$10)*1000)</f>
        <v>41053.205424784574</v>
      </c>
      <c r="BH60" s="111">
        <f>SUM(BG$60,'Statistics NZ'!BH$60-'Statistics NZ'!BG$60,$J$13/5*(BH$9-BH$10)*1000)</f>
        <v>40503.205424784574</v>
      </c>
      <c r="BI60" s="111">
        <f>SUM(BH$60,'Statistics NZ'!BI$60-'Statistics NZ'!BH$60,$J$13/5*(BI$9-BI$10)*1000)</f>
        <v>40463.205424784574</v>
      </c>
      <c r="BJ60" s="111">
        <f>SUM(BI$60,'Statistics NZ'!BJ$60-'Statistics NZ'!BI$60,$J$13/5*(BJ$9-BJ$10)*1000)</f>
        <v>40413.205424784574</v>
      </c>
      <c r="BK60" s="111">
        <f>SUM(BJ$60,'Statistics NZ'!BK$60-'Statistics NZ'!BJ$60,$J$13/5*(BK$9-BK$10)*1000)</f>
        <v>40343.205424784574</v>
      </c>
      <c r="BL60" s="111">
        <f>SUM(BK$60,'Statistics NZ'!BL$60-'Statistics NZ'!BK$60,$J$13/5*(BL$9-BL$10)*1000)</f>
        <v>40463.205424784574</v>
      </c>
      <c r="BM60" s="195">
        <f>SUM(BL$60,'Statistics NZ'!BM$60-'Statistics NZ'!BL$60,$J$13/5*(BM$9-BM$10)*1000)</f>
        <v>40543.205424784574</v>
      </c>
      <c r="BN60" s="195">
        <f>SUM(BM$60,'Statistics NZ'!BN$60-'Statistics NZ'!BM$60,$J$13/5*(BN$9-BN$10)*1000)</f>
        <v>40603.205424784574</v>
      </c>
      <c r="BO60" s="195">
        <f>SUM(BN$60,'Statistics NZ'!BO$60-'Statistics NZ'!BN$60,$J$13/5*(BO$9-BO$10)*1000)</f>
        <v>40643.205424784574</v>
      </c>
      <c r="BP60" s="195">
        <f>SUM(BO$60,'Statistics NZ'!BP$60-'Statistics NZ'!BO$60,$J$13/5*(BP$9-BP$10)*1000)</f>
        <v>40673.205424784574</v>
      </c>
      <c r="BQ60" s="195">
        <f>SUM(BP$60,'Statistics NZ'!BQ$60-'Statistics NZ'!BP$60,$J$13/5*(BQ$9-BQ$10)*1000)</f>
        <v>40693.205424784574</v>
      </c>
    </row>
    <row r="61" spans="1:69">
      <c r="A61" s="105">
        <v>44</v>
      </c>
      <c r="B61" s="118">
        <f>'Statistics NZ'!B$61*'Economic Forecasts'!D$9*1000000/SUM('Statistics NZ'!B$32:B$107,'Statistics NZ'!B$125:B$200)</f>
        <v>33660.60958887486</v>
      </c>
      <c r="C61" s="118">
        <f>'Statistics NZ'!C$61*'Economic Forecasts'!E$9*1000000/SUM('Statistics NZ'!C$32:C$107,'Statistics NZ'!C$125:C$200)</f>
        <v>34001.611763929235</v>
      </c>
      <c r="D61" s="118">
        <f>'Statistics NZ'!D$61*'Economic Forecasts'!F$9*1000000/SUM('Statistics NZ'!D$32:D$107,'Statistics NZ'!D$125:D$200)</f>
        <v>33077.085701376833</v>
      </c>
      <c r="E61" s="118">
        <f>'Statistics NZ'!E$61*'Economic Forecasts'!G$9*1000000/SUM('Statistics NZ'!E$32:E$107,'Statistics NZ'!E$125:E$200)</f>
        <v>31948.549874611559</v>
      </c>
      <c r="F61" s="118">
        <f>'Statistics NZ'!F$61*'Economic Forecasts'!H$9*1000000/SUM('Statistics NZ'!F$32:F$107,'Statistics NZ'!F$125:F$200)</f>
        <v>31682.812350219167</v>
      </c>
      <c r="G61" s="118">
        <f>'Statistics NZ'!G$61*'Economic Forecasts'!I$9*1000000/SUM('Statistics NZ'!G$32:G$107,'Statistics NZ'!G$125:G$200)</f>
        <v>32051.405538312709</v>
      </c>
      <c r="H61" s="118">
        <f>'Statistics NZ'!H$61*'Economic Forecasts'!J$9*1000000/SUM('Statistics NZ'!H$32:H$107,'Statistics NZ'!H$125:H$200)</f>
        <v>32188.702778881532</v>
      </c>
      <c r="I61" s="118">
        <f>'Statistics NZ'!I$61*'Economic Forecasts'!K$9*1000000/SUM('Statistics NZ'!I$32:I$107,'Statistics NZ'!I$125:I$200)</f>
        <v>32652.340609796476</v>
      </c>
      <c r="J61" s="203">
        <f>'Statistics NZ'!J$61*'Economic Forecasts'!L$9*1000000/SUM('Statistics NZ'!J$32:J$107,'Statistics NZ'!J$125:J$200)</f>
        <v>32650.060314166338</v>
      </c>
      <c r="K61" s="203">
        <f>'Statistics NZ'!K$61*'Economic Forecasts'!M$9*1000000/SUM('Statistics NZ'!K$32:K$107,'Statistics NZ'!K$125:K$200)</f>
        <v>34005.408176252204</v>
      </c>
      <c r="L61" s="203">
        <f>'Statistics NZ'!L$61*'Economic Forecasts'!N$9*1000000/SUM('Statistics NZ'!L$32:L$107,'Statistics NZ'!L$125:L$200)</f>
        <v>33811.018105040901</v>
      </c>
      <c r="M61" s="203">
        <f>'Statistics NZ'!M$61*'Economic Forecasts'!O$9*1000000/SUM('Statistics NZ'!M$32:M$107,'Statistics NZ'!M$125:M$200)</f>
        <v>32722.953756300918</v>
      </c>
      <c r="N61" s="203">
        <f>'Statistics NZ'!N$61*'Economic Forecasts'!P$9*1000000/SUM('Statistics NZ'!N$32:N$107,'Statistics NZ'!N$125:N$200)</f>
        <v>32240.362052744986</v>
      </c>
      <c r="O61" s="203">
        <f>'Statistics NZ'!O$61*'Economic Forecasts'!Q$9*1000000/SUM('Statistics NZ'!O$32:O$107,'Statistics NZ'!O$125:O$200)</f>
        <v>31154.740519433391</v>
      </c>
      <c r="P61" s="203">
        <f>'Statistics NZ'!P$61*'Economic Forecasts'!R$9*1000000/SUM('Statistics NZ'!P$32:P$107,'Statistics NZ'!P$125:P$200)</f>
        <v>30221.825544340911</v>
      </c>
      <c r="Q61" s="121">
        <f>SUM('Statistics NZ'!Q$61,$J$13/5*(Q$9-Q$10)*1000)*'Economic Forecasts'!S$9*1000000/SUM('Statistics NZ'!Q$32:Q$107,'Statistics NZ'!Q$125:Q$200,SUM($E$13:$Q$14)*(Q$9-Q$10)*1000)</f>
        <v>30507.513607263147</v>
      </c>
      <c r="R61" s="205">
        <f>SUM('Statistics NZ'!R$61,$J$13/5*(R$9-R$10)*1000)*'Economic Forecasts'!T$9*1000000/SUM('Statistics NZ'!R$32:R$107,'Statistics NZ'!R$125:R$200,SUM($E$13:$Q$14)*(R$9-R$10)*1000)</f>
        <v>30509.810598285752</v>
      </c>
      <c r="S61" s="205">
        <f>SUM('Statistics NZ'!S$61,$J$13/5*(S$9-S$10)*1000)*'Economic Forecasts'!U$9*1000000/SUM('Statistics NZ'!S$32:S$107,'Statistics NZ'!S$125:S$200,SUM($E$13:$Q$14)*(S$9-S$10)*1000)</f>
        <v>31568.879156699437</v>
      </c>
      <c r="T61" s="205">
        <f>SUM('Statistics NZ'!T$61,$J$13/5*(T$9-T$10)*1000)*'Economic Forecasts'!V$9*1000000/SUM('Statistics NZ'!T$32:T$107,'Statistics NZ'!T$125:T$200,SUM($E$13:$Q$14)*(T$9-T$10)*1000)</f>
        <v>32002.17875959531</v>
      </c>
      <c r="U61" s="205">
        <f>SUM('Statistics NZ'!U$61,$J$13/5*(U$9-U$10)*1000)*'Economic Forecasts'!W$9*1000000/SUM('Statistics NZ'!U$32:U$107,'Statistics NZ'!U$125:U$200,SUM($E$13:$Q$14)*(U$9-U$10)*1000)</f>
        <v>32469.702402180697</v>
      </c>
      <c r="V61" s="111">
        <f>SUM(U$61,'Statistics NZ'!V$61-'Statistics NZ'!U$61,$J$13/5*(V$9-V$10)*1000)</f>
        <v>33670.847624717768</v>
      </c>
      <c r="W61" s="111">
        <f>SUM(V$61,'Statistics NZ'!W$61-'Statistics NZ'!V$61,$J$13/5*(W$9-W$10)*1000)</f>
        <v>34549.349694437704</v>
      </c>
      <c r="X61" s="111">
        <f>SUM(W$61,'Statistics NZ'!X$61-'Statistics NZ'!W$61,$J$13/5*(X$9-X$10)*1000)</f>
        <v>35405.208611340502</v>
      </c>
      <c r="Y61" s="111">
        <f>SUM(X$61,'Statistics NZ'!Y$61-'Statistics NZ'!X$61,$J$13/5*(Y$9-Y$10)*1000)</f>
        <v>36268.42437542617</v>
      </c>
      <c r="Z61" s="111">
        <f>SUM(Y$61,'Statistics NZ'!Z$61-'Statistics NZ'!Y$61,$J$13/5*(Z$9-Z$10)*1000)</f>
        <v>36928.996986694707</v>
      </c>
      <c r="AA61" s="111">
        <f>SUM(Z$61,'Statistics NZ'!AA$61-'Statistics NZ'!Z$61,$J$13/5*(AA$9-AA$10)*1000)</f>
        <v>37826.926445146106</v>
      </c>
      <c r="AB61" s="111">
        <f>SUM(AA$61,'Statistics NZ'!AB$61-'Statistics NZ'!AA$61,$J$13/5*(AB$9-AB$10)*1000)</f>
        <v>40362.212750780374</v>
      </c>
      <c r="AC61" s="111">
        <f>SUM(AB$61,'Statistics NZ'!AC$61-'Statistics NZ'!AB$61,$J$13/5*(AC$9-AC$10)*1000)</f>
        <v>40714.855903597505</v>
      </c>
      <c r="AD61" s="111">
        <f>SUM(AC$61,'Statistics NZ'!AD$61-'Statistics NZ'!AC$61,$J$13/5*(AD$9-AD$10)*1000)</f>
        <v>42404.855903597505</v>
      </c>
      <c r="AE61" s="111">
        <f>SUM(AD$61,'Statistics NZ'!AE$61-'Statistics NZ'!AD$61,$J$13/5*(AE$9-AE$10)*1000)</f>
        <v>42984.855903597505</v>
      </c>
      <c r="AF61" s="111">
        <f>SUM(AE$61,'Statistics NZ'!AF$61-'Statistics NZ'!AE$61,$J$13/5*(AF$9-AF$10)*1000)</f>
        <v>42614.855903597505</v>
      </c>
      <c r="AG61" s="111">
        <f>SUM(AF$61,'Statistics NZ'!AG$61-'Statistics NZ'!AF$61,$J$13/5*(AG$9-AG$10)*1000)</f>
        <v>41884.855903597505</v>
      </c>
      <c r="AH61" s="111">
        <f>SUM(AG$61,'Statistics NZ'!AH$61-'Statistics NZ'!AG$61,$J$13/5*(AH$9-AH$10)*1000)</f>
        <v>40654.855903597505</v>
      </c>
      <c r="AI61" s="111">
        <f>SUM(AH$61,'Statistics NZ'!AI$61-'Statistics NZ'!AH$61,$J$13/5*(AI$9-AI$10)*1000)</f>
        <v>40424.855903597505</v>
      </c>
      <c r="AJ61" s="111">
        <f>SUM(AI$61,'Statistics NZ'!AJ$61-'Statistics NZ'!AI$61,$J$13/5*(AJ$9-AJ$10)*1000)</f>
        <v>40044.855903597505</v>
      </c>
      <c r="AK61" s="111">
        <f>SUM(AJ$61,'Statistics NZ'!AK$61-'Statistics NZ'!AJ$61,$J$13/5*(AK$9-AK$10)*1000)</f>
        <v>39674.855903597505</v>
      </c>
      <c r="AL61" s="111">
        <f>SUM(AK$61,'Statistics NZ'!AL$61-'Statistics NZ'!AK$61,$J$13/5*(AL$9-AL$10)*1000)</f>
        <v>39634.855903597505</v>
      </c>
      <c r="AM61" s="111">
        <f>SUM(AL$61,'Statistics NZ'!AM$61-'Statistics NZ'!AL$61,$J$13/5*(AM$9-AM$10)*1000)</f>
        <v>39044.855903597505</v>
      </c>
      <c r="AN61" s="111">
        <f>SUM(AM$61,'Statistics NZ'!AN$61-'Statistics NZ'!AM$61,$J$13/5*(AN$9-AN$10)*1000)</f>
        <v>39824.855903597505</v>
      </c>
      <c r="AO61" s="111">
        <f>SUM(AN$61,'Statistics NZ'!AO$61-'Statistics NZ'!AN$61,$J$13/5*(AO$9-AO$10)*1000)</f>
        <v>39444.855903597505</v>
      </c>
      <c r="AP61" s="111">
        <f>SUM(AO$61,'Statistics NZ'!AP$61-'Statistics NZ'!AO$61,$J$13/5*(AP$9-AP$10)*1000)</f>
        <v>38504.855903597505</v>
      </c>
      <c r="AQ61" s="111">
        <f>SUM(AP$61,'Statistics NZ'!AQ$61-'Statistics NZ'!AP$61,$J$13/5*(AQ$9-AQ$10)*1000)</f>
        <v>38164.855903597505</v>
      </c>
      <c r="AR61" s="111">
        <f>SUM(AQ$61,'Statistics NZ'!AR$61-'Statistics NZ'!AQ$61,$J$13/5*(AR$9-AR$10)*1000)</f>
        <v>38974.855903597505</v>
      </c>
      <c r="AS61" s="111">
        <f>SUM(AR$61,'Statistics NZ'!AS$61-'Statistics NZ'!AR$61,$J$13/5*(AS$9-AS$10)*1000)</f>
        <v>39124.855903597505</v>
      </c>
      <c r="AT61" s="111">
        <f>SUM(AS$61,'Statistics NZ'!AT$61-'Statistics NZ'!AS$61,$J$13/5*(AT$9-AT$10)*1000)</f>
        <v>39934.855903597505</v>
      </c>
      <c r="AU61" s="111">
        <f>SUM(AT$61,'Statistics NZ'!AU$61-'Statistics NZ'!AT$61,$J$13/5*(AU$9-AU$10)*1000)</f>
        <v>41464.855903597505</v>
      </c>
      <c r="AV61" s="111">
        <f>SUM(AU$61,'Statistics NZ'!AV$61-'Statistics NZ'!AU$61,$J$13/5*(AV$9-AV$10)*1000)</f>
        <v>42744.855903597505</v>
      </c>
      <c r="AW61" s="111">
        <f>SUM(AV$61,'Statistics NZ'!AW$61-'Statistics NZ'!AV$61,$J$13/5*(AW$9-AW$10)*1000)</f>
        <v>42584.855903597505</v>
      </c>
      <c r="AX61" s="111">
        <f>SUM(AW$61,'Statistics NZ'!AX$61-'Statistics NZ'!AW$61,$J$13/5*(AX$9-AX$10)*1000)</f>
        <v>43604.855903597505</v>
      </c>
      <c r="AY61" s="111">
        <f>SUM(AX$61,'Statistics NZ'!AY$61-'Statistics NZ'!AX$61,$J$13/5*(AY$9-AY$10)*1000)</f>
        <v>43524.855903597505</v>
      </c>
      <c r="AZ61" s="111">
        <f>SUM(AY$61,'Statistics NZ'!AZ$61-'Statistics NZ'!AY$61,$J$13/5*(AZ$9-AZ$10)*1000)</f>
        <v>43424.855903597505</v>
      </c>
      <c r="BA61" s="111">
        <f>SUM(AZ$61,'Statistics NZ'!BA$61-'Statistics NZ'!AZ$61,$J$13/5*(BA$9-BA$10)*1000)</f>
        <v>43334.855903597505</v>
      </c>
      <c r="BB61" s="111">
        <f>SUM(BA$61,'Statistics NZ'!BB$61-'Statistics NZ'!BA$61,$J$13/5*(BB$9-BB$10)*1000)</f>
        <v>42234.855903597505</v>
      </c>
      <c r="BC61" s="111">
        <f>SUM(BB$61,'Statistics NZ'!BC$61-'Statistics NZ'!BB$61,$J$13/5*(BC$9-BC$10)*1000)</f>
        <v>42294.855903597505</v>
      </c>
      <c r="BD61" s="111">
        <f>SUM(BC$61,'Statistics NZ'!BD$61-'Statistics NZ'!BC$61,$J$13/5*(BD$9-BD$10)*1000)</f>
        <v>41934.855903597505</v>
      </c>
      <c r="BE61" s="111">
        <f>SUM(BD$61,'Statistics NZ'!BE$61-'Statistics NZ'!BD$61,$J$13/5*(BE$9-BE$10)*1000)</f>
        <v>42174.855903597505</v>
      </c>
      <c r="BF61" s="111">
        <f>SUM(BE$61,'Statistics NZ'!BF$61-'Statistics NZ'!BE$61,$J$13/5*(BF$9-BF$10)*1000)</f>
        <v>41364.855903597505</v>
      </c>
      <c r="BG61" s="111">
        <f>SUM(BF$61,'Statistics NZ'!BG$61-'Statistics NZ'!BF$61,$J$13/5*(BG$9-BG$10)*1000)</f>
        <v>40954.855903597505</v>
      </c>
      <c r="BH61" s="111">
        <f>SUM(BG$61,'Statistics NZ'!BH$61-'Statistics NZ'!BG$61,$J$13/5*(BH$9-BH$10)*1000)</f>
        <v>41104.855903597505</v>
      </c>
      <c r="BI61" s="111">
        <f>SUM(BH$61,'Statistics NZ'!BI$61-'Statistics NZ'!BH$61,$J$13/5*(BI$9-BI$10)*1000)</f>
        <v>40544.855903597505</v>
      </c>
      <c r="BJ61" s="111">
        <f>SUM(BI$61,'Statistics NZ'!BJ$61-'Statistics NZ'!BI$61,$J$13/5*(BJ$9-BJ$10)*1000)</f>
        <v>40514.855903597505</v>
      </c>
      <c r="BK61" s="111">
        <f>SUM(BJ$61,'Statistics NZ'!BK$61-'Statistics NZ'!BJ$61,$J$13/5*(BK$9-BK$10)*1000)</f>
        <v>40464.855903597505</v>
      </c>
      <c r="BL61" s="111">
        <f>SUM(BK$61,'Statistics NZ'!BL$61-'Statistics NZ'!BK$61,$J$13/5*(BL$9-BL$10)*1000)</f>
        <v>40394.855903597505</v>
      </c>
      <c r="BM61" s="195">
        <f>SUM(BL$61,'Statistics NZ'!BM$61-'Statistics NZ'!BL$61,$J$13/5*(BM$9-BM$10)*1000)</f>
        <v>40514.855903597505</v>
      </c>
      <c r="BN61" s="195">
        <f>SUM(BM$61,'Statistics NZ'!BN$61-'Statistics NZ'!BM$61,$J$13/5*(BN$9-BN$10)*1000)</f>
        <v>40594.855903597505</v>
      </c>
      <c r="BO61" s="195">
        <f>SUM(BN$61,'Statistics NZ'!BO$61-'Statistics NZ'!BN$61,$J$13/5*(BO$9-BO$10)*1000)</f>
        <v>40654.855903597505</v>
      </c>
      <c r="BP61" s="195">
        <f>SUM(BO$61,'Statistics NZ'!BP$61-'Statistics NZ'!BO$61,$J$13/5*(BP$9-BP$10)*1000)</f>
        <v>40694.855903597505</v>
      </c>
      <c r="BQ61" s="195">
        <f>SUM(BP$61,'Statistics NZ'!BQ$61-'Statistics NZ'!BP$61,$J$13/5*(BQ$9-BQ$10)*1000)</f>
        <v>40724.855903597505</v>
      </c>
    </row>
    <row r="62" spans="1:69">
      <c r="A62" s="105">
        <v>45</v>
      </c>
      <c r="B62" s="118">
        <f>'Statistics NZ'!B$62*'Economic Forecasts'!D$9*1000000/SUM('Statistics NZ'!B$32:B$107,'Statistics NZ'!B$125:B$200)</f>
        <v>33010.448560819335</v>
      </c>
      <c r="C62" s="118">
        <f>'Statistics NZ'!C$62*'Economic Forecasts'!E$9*1000000/SUM('Statistics NZ'!C$32:C$107,'Statistics NZ'!C$125:C$200)</f>
        <v>33686.143055188804</v>
      </c>
      <c r="D62" s="118">
        <f>'Statistics NZ'!D$62*'Economic Forecasts'!F$9*1000000/SUM('Statistics NZ'!D$32:D$107,'Statistics NZ'!D$125:D$200)</f>
        <v>33875.430141725919</v>
      </c>
      <c r="E62" s="118">
        <f>'Statistics NZ'!E$62*'Economic Forecasts'!G$9*1000000/SUM('Statistics NZ'!E$32:E$107,'Statistics NZ'!E$125:E$200)</f>
        <v>33002.339898219274</v>
      </c>
      <c r="F62" s="118">
        <f>'Statistics NZ'!F$62*'Economic Forecasts'!H$9*1000000/SUM('Statistics NZ'!F$32:F$107,'Statistics NZ'!F$125:F$200)</f>
        <v>31909.399627599469</v>
      </c>
      <c r="G62" s="118">
        <f>'Statistics NZ'!G$62*'Economic Forecasts'!I$9*1000000/SUM('Statistics NZ'!G$32:G$107,'Statistics NZ'!G$125:G$200)</f>
        <v>31617.878995525814</v>
      </c>
      <c r="H62" s="118">
        <f>'Statistics NZ'!H$62*'Economic Forecasts'!J$9*1000000/SUM('Statistics NZ'!H$32:H$107,'Statistics NZ'!H$125:H$200)</f>
        <v>31952.31083680896</v>
      </c>
      <c r="I62" s="118">
        <f>'Statistics NZ'!I$62*'Economic Forecasts'!K$9*1000000/SUM('Statistics NZ'!I$32:I$107,'Statistics NZ'!I$125:I$200)</f>
        <v>32130.769165456753</v>
      </c>
      <c r="J62" s="203">
        <f>'Statistics NZ'!J$62*'Economic Forecasts'!L$9*1000000/SUM('Statistics NZ'!J$32:J$107,'Statistics NZ'!J$125:J$200)</f>
        <v>32709.030922801197</v>
      </c>
      <c r="K62" s="203">
        <f>'Statistics NZ'!K$62*'Economic Forecasts'!M$9*1000000/SUM('Statistics NZ'!K$32:K$107,'Statistics NZ'!K$125:K$200)</f>
        <v>32816.545307333821</v>
      </c>
      <c r="L62" s="203">
        <f>'Statistics NZ'!L$62*'Economic Forecasts'!N$9*1000000/SUM('Statistics NZ'!L$32:L$107,'Statistics NZ'!L$125:L$200)</f>
        <v>34323.15703351808</v>
      </c>
      <c r="M62" s="203">
        <f>'Statistics NZ'!M$62*'Economic Forecasts'!O$9*1000000/SUM('Statistics NZ'!M$32:M$107,'Statistics NZ'!M$125:M$200)</f>
        <v>34102.006593712758</v>
      </c>
      <c r="N62" s="203">
        <f>'Statistics NZ'!N$62*'Economic Forecasts'!P$9*1000000/SUM('Statistics NZ'!N$32:N$107,'Statistics NZ'!N$125:N$200)</f>
        <v>33010.104397438619</v>
      </c>
      <c r="O62" s="203">
        <f>'Statistics NZ'!O$62*'Economic Forecasts'!Q$9*1000000/SUM('Statistics NZ'!O$32:O$107,'Statistics NZ'!O$125:O$200)</f>
        <v>32437.640825903563</v>
      </c>
      <c r="P62" s="203">
        <f>'Statistics NZ'!P$62*'Economic Forecasts'!R$9*1000000/SUM('Statistics NZ'!P$32:P$107,'Statistics NZ'!P$125:P$200)</f>
        <v>31534.959421308355</v>
      </c>
      <c r="Q62" s="121">
        <f>SUM('Statistics NZ'!Q$62,$K$13/5*(Q$9-Q$10)*1000)*'Economic Forecasts'!S$9*1000000/SUM('Statistics NZ'!Q$32:Q$107,'Statistics NZ'!Q$125:Q$200,SUM($E$13:$Q$14)*(Q$9-Q$10)*1000)</f>
        <v>30309.030169172271</v>
      </c>
      <c r="R62" s="205">
        <f>SUM('Statistics NZ'!R$62,$K$13/5*(R$9-R$10)*1000)*'Economic Forecasts'!T$9*1000000/SUM('Statistics NZ'!R$32:R$107,'Statistics NZ'!R$125:R$200,SUM($E$13:$Q$14)*(R$9-R$10)*1000)</f>
        <v>30591.020402685233</v>
      </c>
      <c r="S62" s="205">
        <f>SUM('Statistics NZ'!S$62,$K$13/5*(S$9-S$10)*1000)*'Economic Forecasts'!U$9*1000000/SUM('Statistics NZ'!S$32:S$107,'Statistics NZ'!S$125:S$200,SUM($E$13:$Q$14)*(S$9-S$10)*1000)</f>
        <v>30591.043643750498</v>
      </c>
      <c r="T62" s="205">
        <f>SUM('Statistics NZ'!T$62,$K$13/5*(T$9-T$10)*1000)*'Economic Forecasts'!V$9*1000000/SUM('Statistics NZ'!T$32:T$107,'Statistics NZ'!T$125:T$200,SUM($E$13:$Q$14)*(T$9-T$10)*1000)</f>
        <v>31568.861125737672</v>
      </c>
      <c r="U62" s="205">
        <f>SUM('Statistics NZ'!U$62,$K$13/5*(U$9-U$10)*1000)*'Economic Forecasts'!W$9*1000000/SUM('Statistics NZ'!U$32:U$107,'Statistics NZ'!U$125:U$200,SUM($E$13:$Q$14)*(U$9-U$10)*1000)</f>
        <v>32007.243300079957</v>
      </c>
      <c r="V62" s="111">
        <f>SUM(U$62,'Statistics NZ'!V$62-'Statistics NZ'!U$62,$K$13/5*(V$9-V$10)*1000)</f>
        <v>32410.608723766301</v>
      </c>
      <c r="W62" s="111">
        <f>SUM(V$62,'Statistics NZ'!W$62-'Statistics NZ'!V$62,$K$13/5*(W$9-W$10)*1000)</f>
        <v>33531.053469491853</v>
      </c>
      <c r="X62" s="111">
        <f>SUM(W$62,'Statistics NZ'!X$62-'Statistics NZ'!W$62,$K$13/5*(X$9-X$10)*1000)</f>
        <v>34328.577537256613</v>
      </c>
      <c r="Y62" s="111">
        <f>SUM(X$62,'Statistics NZ'!Y$62-'Statistics NZ'!X$62,$K$13/5*(Y$9-Y$10)*1000)</f>
        <v>35133.180927060581</v>
      </c>
      <c r="Z62" s="111">
        <f>SUM(Y$62,'Statistics NZ'!Z$62-'Statistics NZ'!Y$62,$K$13/5*(Z$9-Z$10)*1000)</f>
        <v>35934.863638903749</v>
      </c>
      <c r="AA62" s="111">
        <f>SUM(Z$62,'Statistics NZ'!AA$62-'Statistics NZ'!Z$62,$K$13/5*(AA$9-AA$10)*1000)</f>
        <v>36563.625672786126</v>
      </c>
      <c r="AB62" s="111">
        <f>SUM(AA$62,'Statistics NZ'!AB$62-'Statistics NZ'!AA$62,$K$13/5*(AB$9-AB$10)*1000)</f>
        <v>37429.46702870771</v>
      </c>
      <c r="AC62" s="111">
        <f>SUM(AB$62,'Statistics NZ'!AC$62-'Statistics NZ'!AB$62,$K$13/5*(AC$9-AC$10)*1000)</f>
        <v>39932.387706668502</v>
      </c>
      <c r="AD62" s="111">
        <f>SUM(AC$62,'Statistics NZ'!AD$62-'Statistics NZ'!AC$62,$K$13/5*(AD$9-AD$10)*1000)</f>
        <v>40272.387706668502</v>
      </c>
      <c r="AE62" s="111">
        <f>SUM(AD$62,'Statistics NZ'!AE$62-'Statistics NZ'!AD$62,$K$13/5*(AE$9-AE$10)*1000)</f>
        <v>41972.387706668502</v>
      </c>
      <c r="AF62" s="111">
        <f>SUM(AE$62,'Statistics NZ'!AF$62-'Statistics NZ'!AE$62,$K$13/5*(AF$9-AF$10)*1000)</f>
        <v>42552.387706668502</v>
      </c>
      <c r="AG62" s="111">
        <f>SUM(AF$62,'Statistics NZ'!AG$62-'Statistics NZ'!AF$62,$K$13/5*(AG$9-AG$10)*1000)</f>
        <v>42172.387706668502</v>
      </c>
      <c r="AH62" s="111">
        <f>SUM(AG$62,'Statistics NZ'!AH$62-'Statistics NZ'!AG$62,$K$13/5*(AH$9-AH$10)*1000)</f>
        <v>41452.387706668502</v>
      </c>
      <c r="AI62" s="111">
        <f>SUM(AH$62,'Statistics NZ'!AI$62-'Statistics NZ'!AH$62,$K$13/5*(AI$9-AI$10)*1000)</f>
        <v>40222.387706668502</v>
      </c>
      <c r="AJ62" s="111">
        <f>SUM(AI$62,'Statistics NZ'!AJ$62-'Statistics NZ'!AI$62,$K$13/5*(AJ$9-AJ$10)*1000)</f>
        <v>39992.387706668502</v>
      </c>
      <c r="AK62" s="111">
        <f>SUM(AJ$62,'Statistics NZ'!AK$62-'Statistics NZ'!AJ$62,$K$13/5*(AK$9-AK$10)*1000)</f>
        <v>39612.387706668502</v>
      </c>
      <c r="AL62" s="111">
        <f>SUM(AK$62,'Statistics NZ'!AL$62-'Statistics NZ'!AK$62,$K$13/5*(AL$9-AL$10)*1000)</f>
        <v>39242.387706668502</v>
      </c>
      <c r="AM62" s="111">
        <f>SUM(AL$62,'Statistics NZ'!AM$62-'Statistics NZ'!AL$62,$K$13/5*(AM$9-AM$10)*1000)</f>
        <v>39202.387706668502</v>
      </c>
      <c r="AN62" s="111">
        <f>SUM(AM$62,'Statistics NZ'!AN$62-'Statistics NZ'!AM$62,$K$13/5*(AN$9-AN$10)*1000)</f>
        <v>38612.387706668502</v>
      </c>
      <c r="AO62" s="111">
        <f>SUM(AN$62,'Statistics NZ'!AO$62-'Statistics NZ'!AN$62,$K$13/5*(AO$9-AO$10)*1000)</f>
        <v>39392.387706668502</v>
      </c>
      <c r="AP62" s="111">
        <f>SUM(AO$62,'Statistics NZ'!AP$62-'Statistics NZ'!AO$62,$K$13/5*(AP$9-AP$10)*1000)</f>
        <v>39012.387706668502</v>
      </c>
      <c r="AQ62" s="111">
        <f>SUM(AP$62,'Statistics NZ'!AQ$62-'Statistics NZ'!AP$62,$K$13/5*(AQ$9-AQ$10)*1000)</f>
        <v>38072.387706668502</v>
      </c>
      <c r="AR62" s="111">
        <f>SUM(AQ$62,'Statistics NZ'!AR$62-'Statistics NZ'!AQ$62,$K$13/5*(AR$9-AR$10)*1000)</f>
        <v>37732.387706668502</v>
      </c>
      <c r="AS62" s="111">
        <f>SUM(AR$62,'Statistics NZ'!AS$62-'Statistics NZ'!AR$62,$K$13/5*(AS$9-AS$10)*1000)</f>
        <v>38552.387706668502</v>
      </c>
      <c r="AT62" s="111">
        <f>SUM(AS$62,'Statistics NZ'!AT$62-'Statistics NZ'!AS$62,$K$13/5*(AT$9-AT$10)*1000)</f>
        <v>38692.387706668502</v>
      </c>
      <c r="AU62" s="111">
        <f>SUM(AT$62,'Statistics NZ'!AU$62-'Statistics NZ'!AT$62,$K$13/5*(AU$9-AU$10)*1000)</f>
        <v>39502.387706668502</v>
      </c>
      <c r="AV62" s="111">
        <f>SUM(AU$62,'Statistics NZ'!AV$62-'Statistics NZ'!AU$62,$K$13/5*(AV$9-AV$10)*1000)</f>
        <v>41032.387706668502</v>
      </c>
      <c r="AW62" s="111">
        <f>SUM(AV$62,'Statistics NZ'!AW$62-'Statistics NZ'!AV$62,$K$13/5*(AW$9-AW$10)*1000)</f>
        <v>42322.387706668502</v>
      </c>
      <c r="AX62" s="111">
        <f>SUM(AW$62,'Statistics NZ'!AX$62-'Statistics NZ'!AW$62,$K$13/5*(AX$9-AX$10)*1000)</f>
        <v>42152.387706668502</v>
      </c>
      <c r="AY62" s="111">
        <f>SUM(AX$62,'Statistics NZ'!AY$62-'Statistics NZ'!AX$62,$K$13/5*(AY$9-AY$10)*1000)</f>
        <v>43182.387706668502</v>
      </c>
      <c r="AZ62" s="111">
        <f>SUM(AY$62,'Statistics NZ'!AZ$62-'Statistics NZ'!AY$62,$K$13/5*(AZ$9-AZ$10)*1000)</f>
        <v>43102.387706668502</v>
      </c>
      <c r="BA62" s="111">
        <f>SUM(AZ$62,'Statistics NZ'!BA$62-'Statistics NZ'!AZ$62,$K$13/5*(BA$9-BA$10)*1000)</f>
        <v>43002.387706668502</v>
      </c>
      <c r="BB62" s="111">
        <f>SUM(BA$62,'Statistics NZ'!BB$62-'Statistics NZ'!BA$62,$K$13/5*(BB$9-BB$10)*1000)</f>
        <v>42912.387706668502</v>
      </c>
      <c r="BC62" s="111">
        <f>SUM(BB$62,'Statistics NZ'!BC$62-'Statistics NZ'!BB$62,$K$13/5*(BC$9-BC$10)*1000)</f>
        <v>41812.387706668502</v>
      </c>
      <c r="BD62" s="111">
        <f>SUM(BC$62,'Statistics NZ'!BD$62-'Statistics NZ'!BC$62,$K$13/5*(BD$9-BD$10)*1000)</f>
        <v>41872.387706668502</v>
      </c>
      <c r="BE62" s="111">
        <f>SUM(BD$62,'Statistics NZ'!BE$62-'Statistics NZ'!BD$62,$K$13/5*(BE$9-BE$10)*1000)</f>
        <v>41512.387706668502</v>
      </c>
      <c r="BF62" s="111">
        <f>SUM(BE$62,'Statistics NZ'!BF$62-'Statistics NZ'!BE$62,$K$13/5*(BF$9-BF$10)*1000)</f>
        <v>41752.387706668502</v>
      </c>
      <c r="BG62" s="111">
        <f>SUM(BF$62,'Statistics NZ'!BG$62-'Statistics NZ'!BF$62,$K$13/5*(BG$9-BG$10)*1000)</f>
        <v>40942.387706668502</v>
      </c>
      <c r="BH62" s="111">
        <f>SUM(BG$62,'Statistics NZ'!BH$62-'Statistics NZ'!BG$62,$K$13/5*(BH$9-BH$10)*1000)</f>
        <v>40532.387706668502</v>
      </c>
      <c r="BI62" s="111">
        <f>SUM(BH$62,'Statistics NZ'!BI$62-'Statistics NZ'!BH$62,$K$13/5*(BI$9-BI$10)*1000)</f>
        <v>40682.387706668502</v>
      </c>
      <c r="BJ62" s="111">
        <f>SUM(BI$62,'Statistics NZ'!BJ$62-'Statistics NZ'!BI$62,$K$13/5*(BJ$9-BJ$10)*1000)</f>
        <v>40122.387706668502</v>
      </c>
      <c r="BK62" s="111">
        <f>SUM(BJ$62,'Statistics NZ'!BK$62-'Statistics NZ'!BJ$62,$K$13/5*(BK$9-BK$10)*1000)</f>
        <v>40092.387706668502</v>
      </c>
      <c r="BL62" s="111">
        <f>SUM(BK$62,'Statistics NZ'!BL$62-'Statistics NZ'!BK$62,$K$13/5*(BL$9-BL$10)*1000)</f>
        <v>40042.387706668502</v>
      </c>
      <c r="BM62" s="195">
        <f>SUM(BL$62,'Statistics NZ'!BM$62-'Statistics NZ'!BL$62,$K$13/5*(BM$9-BM$10)*1000)</f>
        <v>39972.387706668502</v>
      </c>
      <c r="BN62" s="195">
        <f>SUM(BM$62,'Statistics NZ'!BN$62-'Statistics NZ'!BM$62,$K$13/5*(BN$9-BN$10)*1000)</f>
        <v>40092.387706668502</v>
      </c>
      <c r="BO62" s="195">
        <f>SUM(BN$62,'Statistics NZ'!BO$62-'Statistics NZ'!BN$62,$K$13/5*(BO$9-BO$10)*1000)</f>
        <v>40172.387706668502</v>
      </c>
      <c r="BP62" s="195">
        <f>SUM(BO$62,'Statistics NZ'!BP$62-'Statistics NZ'!BO$62,$K$13/5*(BP$9-BP$10)*1000)</f>
        <v>40232.387706668502</v>
      </c>
      <c r="BQ62" s="195">
        <f>SUM(BP$62,'Statistics NZ'!BQ$62-'Statistics NZ'!BP$62,$K$13/5*(BQ$9-BQ$10)*1000)</f>
        <v>40272.387706668502</v>
      </c>
    </row>
    <row r="63" spans="1:69">
      <c r="A63" s="105">
        <v>46</v>
      </c>
      <c r="B63" s="118">
        <f>'Statistics NZ'!B$63*'Economic Forecasts'!D$9*1000000/SUM('Statistics NZ'!B$32:B$107,'Statistics NZ'!B$125:B$200)</f>
        <v>31444.151538685561</v>
      </c>
      <c r="C63" s="118">
        <f>'Statistics NZ'!C$63*'Economic Forecasts'!E$9*1000000/SUM('Statistics NZ'!C$32:C$107,'Statistics NZ'!C$125:C$200)</f>
        <v>33005.913651967254</v>
      </c>
      <c r="D63" s="118">
        <f>'Statistics NZ'!D$63*'Economic Forecasts'!F$9*1000000/SUM('Statistics NZ'!D$32:D$107,'Statistics NZ'!D$125:D$200)</f>
        <v>33619.171432478062</v>
      </c>
      <c r="E63" s="118">
        <f>'Statistics NZ'!E$63*'Economic Forecasts'!G$9*1000000/SUM('Statistics NZ'!E$32:E$107,'Statistics NZ'!E$125:E$200)</f>
        <v>33760.674775021093</v>
      </c>
      <c r="F63" s="118">
        <f>'Statistics NZ'!F$63*'Economic Forecasts'!H$9*1000000/SUM('Statistics NZ'!F$32:F$107,'Statistics NZ'!F$125:F$200)</f>
        <v>32983.226289966973</v>
      </c>
      <c r="G63" s="118">
        <f>'Statistics NZ'!G$63*'Economic Forecasts'!I$9*1000000/SUM('Statistics NZ'!G$32:G$107,'Statistics NZ'!G$125:G$200)</f>
        <v>31805.083639001976</v>
      </c>
      <c r="H63" s="118">
        <f>'Statistics NZ'!H$63*'Economic Forecasts'!J$9*1000000/SUM('Statistics NZ'!H$32:H$107,'Statistics NZ'!H$125:H$200)</f>
        <v>31440.128295651728</v>
      </c>
      <c r="I63" s="118">
        <f>'Statistics NZ'!I$63*'Economic Forecasts'!K$9*1000000/SUM('Statistics NZ'!I$32:I$107,'Statistics NZ'!I$125:I$200)</f>
        <v>31874.903928610845</v>
      </c>
      <c r="J63" s="203">
        <f>'Statistics NZ'!J$63*'Economic Forecasts'!L$9*1000000/SUM('Statistics NZ'!J$32:J$107,'Statistics NZ'!J$125:J$200)</f>
        <v>32178.295445087471</v>
      </c>
      <c r="K63" s="203">
        <f>'Statistics NZ'!K$63*'Economic Forecasts'!M$9*1000000/SUM('Statistics NZ'!K$32:K$107,'Statistics NZ'!K$125:K$200)</f>
        <v>32796.894681401289</v>
      </c>
      <c r="L63" s="203">
        <f>'Statistics NZ'!L$63*'Economic Forecasts'!N$9*1000000/SUM('Statistics NZ'!L$32:L$107,'Statistics NZ'!L$125:L$200)</f>
        <v>33042.80971232515</v>
      </c>
      <c r="M63" s="203">
        <f>'Statistics NZ'!M$63*'Economic Forecasts'!O$9*1000000/SUM('Statistics NZ'!M$32:M$107,'Statistics NZ'!M$125:M$200)</f>
        <v>34505.872067526223</v>
      </c>
      <c r="N63" s="203">
        <f>'Statistics NZ'!N$63*'Economic Forecasts'!P$9*1000000/SUM('Statistics NZ'!N$32:N$107,'Statistics NZ'!N$125:N$200)</f>
        <v>34362.087746451798</v>
      </c>
      <c r="O63" s="203">
        <f>'Statistics NZ'!O$63*'Economic Forecasts'!Q$9*1000000/SUM('Statistics NZ'!O$32:O$107,'Statistics NZ'!O$125:O$200)</f>
        <v>33148.170226410126</v>
      </c>
      <c r="P63" s="203">
        <f>'Statistics NZ'!P$63*'Economic Forecasts'!R$9*1000000/SUM('Statistics NZ'!P$32:P$107,'Statistics NZ'!P$125:P$200)</f>
        <v>32759.234614871981</v>
      </c>
      <c r="Q63" s="121">
        <f>SUM('Statistics NZ'!Q$63,$K$13/5*(Q$9-Q$10)*1000)*'Economic Forecasts'!S$9*1000000/SUM('Statistics NZ'!Q$32:Q$107,'Statistics NZ'!Q$125:Q$200,SUM($E$13:$Q$14)*(Q$9-Q$10)*1000)</f>
        <v>31614.038021605305</v>
      </c>
      <c r="R63" s="205">
        <f>SUM('Statistics NZ'!R$63,$K$13/5*(R$9-R$10)*1000)*'Economic Forecasts'!T$9*1000000/SUM('Statistics NZ'!R$32:R$107,'Statistics NZ'!R$125:R$200,SUM($E$13:$Q$14)*(R$9-R$10)*1000)</f>
        <v>30373.546462369519</v>
      </c>
      <c r="S63" s="205">
        <f>SUM('Statistics NZ'!S$63,$K$13/5*(S$9-S$10)*1000)*'Economic Forecasts'!U$9*1000000/SUM('Statistics NZ'!S$32:S$107,'Statistics NZ'!S$125:S$200,SUM($E$13:$Q$14)*(S$9-S$10)*1000)</f>
        <v>30650.323019805342</v>
      </c>
      <c r="T63" s="205">
        <f>SUM('Statistics NZ'!T$63,$K$13/5*(T$9-T$10)*1000)*'Economic Forecasts'!V$9*1000000/SUM('Statistics NZ'!T$32:T$107,'Statistics NZ'!T$125:T$200,SUM($E$13:$Q$14)*(T$9-T$10)*1000)</f>
        <v>30571.053412462508</v>
      </c>
      <c r="U63" s="205">
        <f>SUM('Statistics NZ'!U$63,$K$13/5*(U$9-U$10)*1000)*'Economic Forecasts'!W$9*1000000/SUM('Statistics NZ'!U$32:U$107,'Statistics NZ'!U$125:U$200,SUM($E$13:$Q$14)*(U$9-U$10)*1000)</f>
        <v>31591.774041840545</v>
      </c>
      <c r="V63" s="111">
        <f>SUM(U$63,'Statistics NZ'!V$63-'Statistics NZ'!U$63,$K$13/5*(V$9-V$10)*1000)</f>
        <v>32005.139465526889</v>
      </c>
      <c r="W63" s="111">
        <f>SUM(V$63,'Statistics NZ'!W$63-'Statistics NZ'!V$63,$K$13/5*(W$9-W$10)*1000)</f>
        <v>32405.584211252437</v>
      </c>
      <c r="X63" s="111">
        <f>SUM(W$63,'Statistics NZ'!X$63-'Statistics NZ'!W$63,$K$13/5*(X$9-X$10)*1000)</f>
        <v>33523.1082790172</v>
      </c>
      <c r="Y63" s="111">
        <f>SUM(X$63,'Statistics NZ'!Y$63-'Statistics NZ'!X$63,$K$13/5*(Y$9-Y$10)*1000)</f>
        <v>34317.711668821168</v>
      </c>
      <c r="Z63" s="111">
        <f>SUM(Y$63,'Statistics NZ'!Z$63-'Statistics NZ'!Y$63,$K$13/5*(Z$9-Z$10)*1000)</f>
        <v>35109.394380664336</v>
      </c>
      <c r="AA63" s="111">
        <f>SUM(Z$63,'Statistics NZ'!AA$63-'Statistics NZ'!Z$63,$K$13/5*(AA$9-AA$10)*1000)</f>
        <v>35918.156414546713</v>
      </c>
      <c r="AB63" s="111">
        <f>SUM(AA$63,'Statistics NZ'!AB$63-'Statistics NZ'!AA$63,$K$13/5*(AB$9-AB$10)*1000)</f>
        <v>36543.997770468297</v>
      </c>
      <c r="AC63" s="111">
        <f>SUM(AB$63,'Statistics NZ'!AC$63-'Statistics NZ'!AB$63,$K$13/5*(AC$9-AC$10)*1000)</f>
        <v>37406.918448429089</v>
      </c>
      <c r="AD63" s="111">
        <f>SUM(AC$63,'Statistics NZ'!AD$63-'Statistics NZ'!AC$63,$K$13/5*(AD$9-AD$10)*1000)</f>
        <v>39906.918448429089</v>
      </c>
      <c r="AE63" s="111">
        <f>SUM(AD$63,'Statistics NZ'!AE$63-'Statistics NZ'!AD$63,$K$13/5*(AE$9-AE$10)*1000)</f>
        <v>40246.918448429089</v>
      </c>
      <c r="AF63" s="111">
        <f>SUM(AE$63,'Statistics NZ'!AF$63-'Statistics NZ'!AE$63,$K$13/5*(AF$9-AF$10)*1000)</f>
        <v>41936.918448429089</v>
      </c>
      <c r="AG63" s="111">
        <f>SUM(AF$63,'Statistics NZ'!AG$63-'Statistics NZ'!AF$63,$K$13/5*(AG$9-AG$10)*1000)</f>
        <v>42516.918448429089</v>
      </c>
      <c r="AH63" s="111">
        <f>SUM(AG$63,'Statistics NZ'!AH$63-'Statistics NZ'!AG$63,$K$13/5*(AH$9-AH$10)*1000)</f>
        <v>42146.918448429089</v>
      </c>
      <c r="AI63" s="111">
        <f>SUM(AH$63,'Statistics NZ'!AI$63-'Statistics NZ'!AH$63,$K$13/5*(AI$9-AI$10)*1000)</f>
        <v>41416.918448429089</v>
      </c>
      <c r="AJ63" s="111">
        <f>SUM(AI$63,'Statistics NZ'!AJ$63-'Statistics NZ'!AI$63,$K$13/5*(AJ$9-AJ$10)*1000)</f>
        <v>40196.918448429089</v>
      </c>
      <c r="AK63" s="111">
        <f>SUM(AJ$63,'Statistics NZ'!AK$63-'Statistics NZ'!AJ$63,$K$13/5*(AK$9-AK$10)*1000)</f>
        <v>39966.918448429089</v>
      </c>
      <c r="AL63" s="111">
        <f>SUM(AK$63,'Statistics NZ'!AL$63-'Statistics NZ'!AK$63,$K$13/5*(AL$9-AL$10)*1000)</f>
        <v>39586.918448429089</v>
      </c>
      <c r="AM63" s="111">
        <f>SUM(AL$63,'Statistics NZ'!AM$63-'Statistics NZ'!AL$63,$K$13/5*(AM$9-AM$10)*1000)</f>
        <v>39216.918448429089</v>
      </c>
      <c r="AN63" s="111">
        <f>SUM(AM$63,'Statistics NZ'!AN$63-'Statistics NZ'!AM$63,$K$13/5*(AN$9-AN$10)*1000)</f>
        <v>39176.918448429089</v>
      </c>
      <c r="AO63" s="111">
        <f>SUM(AN$63,'Statistics NZ'!AO$63-'Statistics NZ'!AN$63,$K$13/5*(AO$9-AO$10)*1000)</f>
        <v>38596.918448429089</v>
      </c>
      <c r="AP63" s="111">
        <f>SUM(AO$63,'Statistics NZ'!AP$63-'Statistics NZ'!AO$63,$K$13/5*(AP$9-AP$10)*1000)</f>
        <v>39366.918448429089</v>
      </c>
      <c r="AQ63" s="111">
        <f>SUM(AP$63,'Statistics NZ'!AQ$63-'Statistics NZ'!AP$63,$K$13/5*(AQ$9-AQ$10)*1000)</f>
        <v>38996.918448429089</v>
      </c>
      <c r="AR63" s="111">
        <f>SUM(AQ$63,'Statistics NZ'!AR$63-'Statistics NZ'!AQ$63,$K$13/5*(AR$9-AR$10)*1000)</f>
        <v>38056.918448429089</v>
      </c>
      <c r="AS63" s="111">
        <f>SUM(AR$63,'Statistics NZ'!AS$63-'Statistics NZ'!AR$63,$K$13/5*(AS$9-AS$10)*1000)</f>
        <v>37716.918448429089</v>
      </c>
      <c r="AT63" s="111">
        <f>SUM(AS$63,'Statistics NZ'!AT$63-'Statistics NZ'!AS$63,$K$13/5*(AT$9-AT$10)*1000)</f>
        <v>38526.918448429089</v>
      </c>
      <c r="AU63" s="111">
        <f>SUM(AT$63,'Statistics NZ'!AU$63-'Statistics NZ'!AT$63,$K$13/5*(AU$9-AU$10)*1000)</f>
        <v>38676.918448429089</v>
      </c>
      <c r="AV63" s="111">
        <f>SUM(AU$63,'Statistics NZ'!AV$63-'Statistics NZ'!AU$63,$K$13/5*(AV$9-AV$10)*1000)</f>
        <v>39486.918448429089</v>
      </c>
      <c r="AW63" s="111">
        <f>SUM(AV$63,'Statistics NZ'!AW$63-'Statistics NZ'!AV$63,$K$13/5*(AW$9-AW$10)*1000)</f>
        <v>41016.918448429089</v>
      </c>
      <c r="AX63" s="111">
        <f>SUM(AW$63,'Statistics NZ'!AX$63-'Statistics NZ'!AW$63,$K$13/5*(AX$9-AX$10)*1000)</f>
        <v>42296.918448429089</v>
      </c>
      <c r="AY63" s="111">
        <f>SUM(AX$63,'Statistics NZ'!AY$63-'Statistics NZ'!AX$63,$K$13/5*(AY$9-AY$10)*1000)</f>
        <v>42136.918448429089</v>
      </c>
      <c r="AZ63" s="111">
        <f>SUM(AY$63,'Statistics NZ'!AZ$63-'Statistics NZ'!AY$63,$K$13/5*(AZ$9-AZ$10)*1000)</f>
        <v>43156.918448429089</v>
      </c>
      <c r="BA63" s="111">
        <f>SUM(AZ$63,'Statistics NZ'!BA$63-'Statistics NZ'!AZ$63,$K$13/5*(BA$9-BA$10)*1000)</f>
        <v>43086.918448429089</v>
      </c>
      <c r="BB63" s="111">
        <f>SUM(BA$63,'Statistics NZ'!BB$63-'Statistics NZ'!BA$63,$K$13/5*(BB$9-BB$10)*1000)</f>
        <v>42986.918448429089</v>
      </c>
      <c r="BC63" s="111">
        <f>SUM(BB$63,'Statistics NZ'!BC$63-'Statistics NZ'!BB$63,$K$13/5*(BC$9-BC$10)*1000)</f>
        <v>42896.918448429089</v>
      </c>
      <c r="BD63" s="111">
        <f>SUM(BC$63,'Statistics NZ'!BD$63-'Statistics NZ'!BC$63,$K$13/5*(BD$9-BD$10)*1000)</f>
        <v>41796.918448429089</v>
      </c>
      <c r="BE63" s="111">
        <f>SUM(BD$63,'Statistics NZ'!BE$63-'Statistics NZ'!BD$63,$K$13/5*(BE$9-BE$10)*1000)</f>
        <v>41856.918448429089</v>
      </c>
      <c r="BF63" s="111">
        <f>SUM(BE$63,'Statistics NZ'!BF$63-'Statistics NZ'!BE$63,$K$13/5*(BF$9-BF$10)*1000)</f>
        <v>41496.918448429089</v>
      </c>
      <c r="BG63" s="111">
        <f>SUM(BF$63,'Statistics NZ'!BG$63-'Statistics NZ'!BF$63,$K$13/5*(BG$9-BG$10)*1000)</f>
        <v>41736.918448429089</v>
      </c>
      <c r="BH63" s="111">
        <f>SUM(BG$63,'Statistics NZ'!BH$63-'Statistics NZ'!BG$63,$K$13/5*(BH$9-BH$10)*1000)</f>
        <v>40926.918448429089</v>
      </c>
      <c r="BI63" s="111">
        <f>SUM(BH$63,'Statistics NZ'!BI$63-'Statistics NZ'!BH$63,$K$13/5*(BI$9-BI$10)*1000)</f>
        <v>40516.918448429089</v>
      </c>
      <c r="BJ63" s="111">
        <f>SUM(BI$63,'Statistics NZ'!BJ$63-'Statistics NZ'!BI$63,$K$13/5*(BJ$9-BJ$10)*1000)</f>
        <v>40666.918448429089</v>
      </c>
      <c r="BK63" s="111">
        <f>SUM(BJ$63,'Statistics NZ'!BK$63-'Statistics NZ'!BJ$63,$K$13/5*(BK$9-BK$10)*1000)</f>
        <v>40116.918448429089</v>
      </c>
      <c r="BL63" s="111">
        <f>SUM(BK$63,'Statistics NZ'!BL$63-'Statistics NZ'!BK$63,$K$13/5*(BL$9-BL$10)*1000)</f>
        <v>40086.918448429089</v>
      </c>
      <c r="BM63" s="195">
        <f>SUM(BL$63,'Statistics NZ'!BM$63-'Statistics NZ'!BL$63,$K$13/5*(BM$9-BM$10)*1000)</f>
        <v>40026.918448429089</v>
      </c>
      <c r="BN63" s="195">
        <f>SUM(BM$63,'Statistics NZ'!BN$63-'Statistics NZ'!BM$63,$K$13/5*(BN$9-BN$10)*1000)</f>
        <v>39966.918448429089</v>
      </c>
      <c r="BO63" s="195">
        <f>SUM(BN$63,'Statistics NZ'!BO$63-'Statistics NZ'!BN$63,$K$13/5*(BO$9-BO$10)*1000)</f>
        <v>40086.918448429089</v>
      </c>
      <c r="BP63" s="195">
        <f>SUM(BO$63,'Statistics NZ'!BP$63-'Statistics NZ'!BO$63,$K$13/5*(BP$9-BP$10)*1000)</f>
        <v>40166.918448429089</v>
      </c>
      <c r="BQ63" s="195">
        <f>SUM(BP$63,'Statistics NZ'!BQ$63-'Statistics NZ'!BP$63,$K$13/5*(BQ$9-BQ$10)*1000)</f>
        <v>40226.918448429089</v>
      </c>
    </row>
    <row r="64" spans="1:69">
      <c r="A64" s="105">
        <v>47</v>
      </c>
      <c r="B64" s="118">
        <f>'Statistics NZ'!B$64*'Economic Forecasts'!D$9*1000000/SUM('Statistics NZ'!B$32:B$107,'Statistics NZ'!B$125:B$200)</f>
        <v>30902.350681972621</v>
      </c>
      <c r="C64" s="118">
        <f>'Statistics NZ'!C$64*'Economic Forecasts'!E$9*1000000/SUM('Statistics NZ'!C$32:C$107,'Statistics NZ'!C$125:C$200)</f>
        <v>31448.286902561395</v>
      </c>
      <c r="D64" s="118">
        <f>'Statistics NZ'!D$64*'Economic Forecasts'!F$9*1000000/SUM('Statistics NZ'!D$32:D$107,'Statistics NZ'!D$125:D$200)</f>
        <v>32929.244138349226</v>
      </c>
      <c r="E64" s="118">
        <f>'Statistics NZ'!E$64*'Economic Forecasts'!G$9*1000000/SUM('Statistics NZ'!E$32:E$107,'Statistics NZ'!E$125:E$200)</f>
        <v>33514.462152682841</v>
      </c>
      <c r="F64" s="118">
        <f>'Statistics NZ'!F$64*'Economic Forecasts'!H$9*1000000/SUM('Statistics NZ'!F$32:F$107,'Statistics NZ'!F$125:F$200)</f>
        <v>33731.94946739752</v>
      </c>
      <c r="G64" s="118">
        <f>'Statistics NZ'!G$64*'Economic Forecasts'!I$9*1000000/SUM('Statistics NZ'!G$32:G$107,'Statistics NZ'!G$125:G$200)</f>
        <v>32908.605747914065</v>
      </c>
      <c r="H64" s="118">
        <f>'Statistics NZ'!H$64*'Economic Forecasts'!J$9*1000000/SUM('Statistics NZ'!H$32:H$107,'Statistics NZ'!H$125:H$200)</f>
        <v>31627.271916459176</v>
      </c>
      <c r="I64" s="118">
        <f>'Statistics NZ'!I$64*'Economic Forecasts'!K$9*1000000/SUM('Statistics NZ'!I$32:I$107,'Statistics NZ'!I$125:I$200)</f>
        <v>31284.445689735687</v>
      </c>
      <c r="J64" s="203">
        <f>'Statistics NZ'!J$64*'Economic Forecasts'!L$9*1000000/SUM('Statistics NZ'!J$32:J$107,'Statistics NZ'!J$125:J$200)</f>
        <v>31814.643358505851</v>
      </c>
      <c r="K64" s="203">
        <f>'Statistics NZ'!K$64*'Economic Forecasts'!M$9*1000000/SUM('Statistics NZ'!K$32:K$107,'Statistics NZ'!K$125:K$200)</f>
        <v>32266.327781222833</v>
      </c>
      <c r="L64" s="203">
        <f>'Statistics NZ'!L$64*'Economic Forecasts'!N$9*1000000/SUM('Statistics NZ'!L$32:L$107,'Statistics NZ'!L$125:L$200)</f>
        <v>33042.80971232515</v>
      </c>
      <c r="M64" s="203">
        <f>'Statistics NZ'!M$64*'Economic Forecasts'!O$9*1000000/SUM('Statistics NZ'!M$32:M$107,'Statistics NZ'!M$125:M$200)</f>
        <v>33176.071117164807</v>
      </c>
      <c r="N64" s="203">
        <f>'Statistics NZ'!N$64*'Economic Forecasts'!P$9*1000000/SUM('Statistics NZ'!N$32:N$107,'Statistics NZ'!N$125:N$200)</f>
        <v>34648.274002812257</v>
      </c>
      <c r="O64" s="203">
        <f>'Statistics NZ'!O$64*'Economic Forecasts'!Q$9*1000000/SUM('Statistics NZ'!O$32:O$107,'Statistics NZ'!O$125:O$200)</f>
        <v>34450.807460672149</v>
      </c>
      <c r="P64" s="203">
        <f>'Statistics NZ'!P$64*'Economic Forecasts'!R$9*1000000/SUM('Statistics NZ'!P$32:P$107,'Statistics NZ'!P$125:P$200)</f>
        <v>33440.484520967875</v>
      </c>
      <c r="Q64" s="121">
        <f>SUM('Statistics NZ'!Q$64,$K$13/5*(Q$9-Q$10)*1000)*'Economic Forecasts'!S$9*1000000/SUM('Statistics NZ'!Q$32:Q$107,'Statistics NZ'!Q$125:Q$200,SUM($E$13:$Q$14)*(Q$9-Q$10)*1000)</f>
        <v>32830.068065917912</v>
      </c>
      <c r="R64" s="205">
        <f>SUM('Statistics NZ'!R$64,$K$13/5*(R$9-R$10)*1000)*'Economic Forecasts'!T$9*1000000/SUM('Statistics NZ'!R$32:R$107,'Statistics NZ'!R$125:R$200,SUM($E$13:$Q$14)*(R$9-R$10)*1000)</f>
        <v>31658.619746053293</v>
      </c>
      <c r="S64" s="205">
        <f>SUM('Statistics NZ'!S$64,$K$13/5*(S$9-S$10)*1000)*'Economic Forecasts'!U$9*1000000/SUM('Statistics NZ'!S$32:S$107,'Statistics NZ'!S$125:S$200,SUM($E$13:$Q$14)*(S$9-S$10)*1000)</f>
        <v>30423.085411595115</v>
      </c>
      <c r="T64" s="205">
        <f>SUM('Statistics NZ'!T$64,$K$13/5*(T$9-T$10)*1000)*'Economic Forecasts'!V$9*1000000/SUM('Statistics NZ'!T$32:T$107,'Statistics NZ'!T$125:T$200,SUM($E$13:$Q$14)*(T$9-T$10)*1000)</f>
        <v>30600.691265332069</v>
      </c>
      <c r="U64" s="205">
        <f>SUM('Statistics NZ'!U$64,$K$13/5*(U$9-U$10)*1000)*'Economic Forecasts'!W$9*1000000/SUM('Statistics NZ'!U$32:U$107,'Statistics NZ'!U$125:U$200,SUM($E$13:$Q$14)*(U$9-U$10)*1000)</f>
        <v>30572.885146634366</v>
      </c>
      <c r="V64" s="111">
        <f>SUM(U$64,'Statistics NZ'!V$64-'Statistics NZ'!U$64,$K$13/5*(V$9-V$10)*1000)</f>
        <v>31566.25057032071</v>
      </c>
      <c r="W64" s="111">
        <f>SUM(V$64,'Statistics NZ'!W$64-'Statistics NZ'!V$64,$K$13/5*(W$9-W$10)*1000)</f>
        <v>31976.695316046258</v>
      </c>
      <c r="X64" s="111">
        <f>SUM(W$64,'Statistics NZ'!X$64-'Statistics NZ'!W$64,$K$13/5*(X$9-X$10)*1000)</f>
        <v>32374.219383811014</v>
      </c>
      <c r="Y64" s="111">
        <f>SUM(X$64,'Statistics NZ'!Y$64-'Statistics NZ'!X$64,$K$13/5*(Y$9-Y$10)*1000)</f>
        <v>33488.822773614978</v>
      </c>
      <c r="Z64" s="111">
        <f>SUM(Y$64,'Statistics NZ'!Z$64-'Statistics NZ'!Y$64,$K$13/5*(Z$9-Z$10)*1000)</f>
        <v>34280.505485458147</v>
      </c>
      <c r="AA64" s="111">
        <f>SUM(Z$64,'Statistics NZ'!AA$64-'Statistics NZ'!Z$64,$K$13/5*(AA$9-AA$10)*1000)</f>
        <v>35079.267519340523</v>
      </c>
      <c r="AB64" s="111">
        <f>SUM(AA$64,'Statistics NZ'!AB$64-'Statistics NZ'!AA$64,$K$13/5*(AB$9-AB$10)*1000)</f>
        <v>35875.108875262107</v>
      </c>
      <c r="AC64" s="111">
        <f>SUM(AB$64,'Statistics NZ'!AC$64-'Statistics NZ'!AB$64,$K$13/5*(AC$9-AC$10)*1000)</f>
        <v>36498.029553222899</v>
      </c>
      <c r="AD64" s="111">
        <f>SUM(AC$64,'Statistics NZ'!AD$64-'Statistics NZ'!AC$64,$K$13/5*(AD$9-AD$10)*1000)</f>
        <v>37358.029553222899</v>
      </c>
      <c r="AE64" s="111">
        <f>SUM(AD$64,'Statistics NZ'!AE$64-'Statistics NZ'!AD$64,$K$13/5*(AE$9-AE$10)*1000)</f>
        <v>39858.029553222899</v>
      </c>
      <c r="AF64" s="111">
        <f>SUM(AE$64,'Statistics NZ'!AF$64-'Statistics NZ'!AE$64,$K$13/5*(AF$9-AF$10)*1000)</f>
        <v>40198.029553222899</v>
      </c>
      <c r="AG64" s="111">
        <f>SUM(AF$64,'Statistics NZ'!AG$64-'Statistics NZ'!AF$64,$K$13/5*(AG$9-AG$10)*1000)</f>
        <v>41888.029553222899</v>
      </c>
      <c r="AH64" s="111">
        <f>SUM(AG$64,'Statistics NZ'!AH$64-'Statistics NZ'!AG$64,$K$13/5*(AH$9-AH$10)*1000)</f>
        <v>42468.029553222899</v>
      </c>
      <c r="AI64" s="111">
        <f>SUM(AH$64,'Statistics NZ'!AI$64-'Statistics NZ'!AH$64,$K$13/5*(AI$9-AI$10)*1000)</f>
        <v>42098.029553222899</v>
      </c>
      <c r="AJ64" s="111">
        <f>SUM(AI$64,'Statistics NZ'!AJ$64-'Statistics NZ'!AI$64,$K$13/5*(AJ$9-AJ$10)*1000)</f>
        <v>41368.029553222899</v>
      </c>
      <c r="AK64" s="111">
        <f>SUM(AJ$64,'Statistics NZ'!AK$64-'Statistics NZ'!AJ$64,$K$13/5*(AK$9-AK$10)*1000)</f>
        <v>40148.029553222899</v>
      </c>
      <c r="AL64" s="111">
        <f>SUM(AK$64,'Statistics NZ'!AL$64-'Statistics NZ'!AK$64,$K$13/5*(AL$9-AL$10)*1000)</f>
        <v>39918.029553222899</v>
      </c>
      <c r="AM64" s="111">
        <f>SUM(AL$64,'Statistics NZ'!AM$64-'Statistics NZ'!AL$64,$K$13/5*(AM$9-AM$10)*1000)</f>
        <v>39548.029553222899</v>
      </c>
      <c r="AN64" s="111">
        <f>SUM(AM$64,'Statistics NZ'!AN$64-'Statistics NZ'!AM$64,$K$13/5*(AN$9-AN$10)*1000)</f>
        <v>39178.029553222899</v>
      </c>
      <c r="AO64" s="111">
        <f>SUM(AN$64,'Statistics NZ'!AO$64-'Statistics NZ'!AN$64,$K$13/5*(AO$9-AO$10)*1000)</f>
        <v>39138.029553222899</v>
      </c>
      <c r="AP64" s="111">
        <f>SUM(AO$64,'Statistics NZ'!AP$64-'Statistics NZ'!AO$64,$K$13/5*(AP$9-AP$10)*1000)</f>
        <v>38558.029553222899</v>
      </c>
      <c r="AQ64" s="111">
        <f>SUM(AP$64,'Statistics NZ'!AQ$64-'Statistics NZ'!AP$64,$K$13/5*(AQ$9-AQ$10)*1000)</f>
        <v>39328.029553222899</v>
      </c>
      <c r="AR64" s="111">
        <f>SUM(AQ$64,'Statistics NZ'!AR$64-'Statistics NZ'!AQ$64,$K$13/5*(AR$9-AR$10)*1000)</f>
        <v>38958.029553222899</v>
      </c>
      <c r="AS64" s="111">
        <f>SUM(AR$64,'Statistics NZ'!AS$64-'Statistics NZ'!AR$64,$K$13/5*(AS$9-AS$10)*1000)</f>
        <v>38018.029553222899</v>
      </c>
      <c r="AT64" s="111">
        <f>SUM(AS$64,'Statistics NZ'!AT$64-'Statistics NZ'!AS$64,$K$13/5*(AT$9-AT$10)*1000)</f>
        <v>37678.029553222899</v>
      </c>
      <c r="AU64" s="111">
        <f>SUM(AT$64,'Statistics NZ'!AU$64-'Statistics NZ'!AT$64,$K$13/5*(AU$9-AU$10)*1000)</f>
        <v>38488.029553222899</v>
      </c>
      <c r="AV64" s="111">
        <f>SUM(AU$64,'Statistics NZ'!AV$64-'Statistics NZ'!AU$64,$K$13/5*(AV$9-AV$10)*1000)</f>
        <v>38638.029553222899</v>
      </c>
      <c r="AW64" s="111">
        <f>SUM(AV$64,'Statistics NZ'!AW$64-'Statistics NZ'!AV$64,$K$13/5*(AW$9-AW$10)*1000)</f>
        <v>39448.029553222899</v>
      </c>
      <c r="AX64" s="111">
        <f>SUM(AW$64,'Statistics NZ'!AX$64-'Statistics NZ'!AW$64,$K$13/5*(AX$9-AX$10)*1000)</f>
        <v>40978.029553222899</v>
      </c>
      <c r="AY64" s="111">
        <f>SUM(AX$64,'Statistics NZ'!AY$64-'Statistics NZ'!AX$64,$K$13/5*(AY$9-AY$10)*1000)</f>
        <v>42258.029553222899</v>
      </c>
      <c r="AZ64" s="111">
        <f>SUM(AY$64,'Statistics NZ'!AZ$64-'Statistics NZ'!AY$64,$K$13/5*(AZ$9-AZ$10)*1000)</f>
        <v>42098.029553222899</v>
      </c>
      <c r="BA64" s="111">
        <f>SUM(AZ$64,'Statistics NZ'!BA$64-'Statistics NZ'!AZ$64,$K$13/5*(BA$9-BA$10)*1000)</f>
        <v>43118.029553222899</v>
      </c>
      <c r="BB64" s="111">
        <f>SUM(BA$64,'Statistics NZ'!BB$64-'Statistics NZ'!BA$64,$K$13/5*(BB$9-BB$10)*1000)</f>
        <v>43048.029553222899</v>
      </c>
      <c r="BC64" s="111">
        <f>SUM(BB$64,'Statistics NZ'!BC$64-'Statistics NZ'!BB$64,$K$13/5*(BC$9-BC$10)*1000)</f>
        <v>42948.029553222899</v>
      </c>
      <c r="BD64" s="111">
        <f>SUM(BC$64,'Statistics NZ'!BD$64-'Statistics NZ'!BC$64,$K$13/5*(BD$9-BD$10)*1000)</f>
        <v>42858.029553222899</v>
      </c>
      <c r="BE64" s="111">
        <f>SUM(BD$64,'Statistics NZ'!BE$64-'Statistics NZ'!BD$64,$K$13/5*(BE$9-BE$10)*1000)</f>
        <v>41758.029553222899</v>
      </c>
      <c r="BF64" s="111">
        <f>SUM(BE$64,'Statistics NZ'!BF$64-'Statistics NZ'!BE$64,$K$13/5*(BF$9-BF$10)*1000)</f>
        <v>41818.029553222899</v>
      </c>
      <c r="BG64" s="111">
        <f>SUM(BF$64,'Statistics NZ'!BG$64-'Statistics NZ'!BF$64,$K$13/5*(BG$9-BG$10)*1000)</f>
        <v>41458.029553222899</v>
      </c>
      <c r="BH64" s="111">
        <f>SUM(BG$64,'Statistics NZ'!BH$64-'Statistics NZ'!BG$64,$K$13/5*(BH$9-BH$10)*1000)</f>
        <v>41708.029553222899</v>
      </c>
      <c r="BI64" s="111">
        <f>SUM(BH$64,'Statistics NZ'!BI$64-'Statistics NZ'!BH$64,$K$13/5*(BI$9-BI$10)*1000)</f>
        <v>40898.029553222899</v>
      </c>
      <c r="BJ64" s="111">
        <f>SUM(BI$64,'Statistics NZ'!BJ$64-'Statistics NZ'!BI$64,$K$13/5*(BJ$9-BJ$10)*1000)</f>
        <v>40478.029553222899</v>
      </c>
      <c r="BK64" s="111">
        <f>SUM(BJ$64,'Statistics NZ'!BK$64-'Statistics NZ'!BJ$64,$K$13/5*(BK$9-BK$10)*1000)</f>
        <v>40638.029553222899</v>
      </c>
      <c r="BL64" s="111">
        <f>SUM(BK$64,'Statistics NZ'!BL$64-'Statistics NZ'!BK$64,$K$13/5*(BL$9-BL$10)*1000)</f>
        <v>40078.029553222899</v>
      </c>
      <c r="BM64" s="195">
        <f>SUM(BL$64,'Statistics NZ'!BM$64-'Statistics NZ'!BL$64,$K$13/5*(BM$9-BM$10)*1000)</f>
        <v>40048.029553222899</v>
      </c>
      <c r="BN64" s="195">
        <f>SUM(BM$64,'Statistics NZ'!BN$64-'Statistics NZ'!BM$64,$K$13/5*(BN$9-BN$10)*1000)</f>
        <v>39998.029553222899</v>
      </c>
      <c r="BO64" s="195">
        <f>SUM(BN$64,'Statistics NZ'!BO$64-'Statistics NZ'!BN$64,$K$13/5*(BO$9-BO$10)*1000)</f>
        <v>39938.029553222899</v>
      </c>
      <c r="BP64" s="195">
        <f>SUM(BO$64,'Statistics NZ'!BP$64-'Statistics NZ'!BO$64,$K$13/5*(BP$9-BP$10)*1000)</f>
        <v>40058.029553222899</v>
      </c>
      <c r="BQ64" s="195">
        <f>SUM(BP$64,'Statistics NZ'!BQ$64-'Statistics NZ'!BP$64,$K$13/5*(BQ$9-BQ$10)*1000)</f>
        <v>40138.029553222899</v>
      </c>
    </row>
    <row r="65" spans="1:69">
      <c r="A65" s="105">
        <v>48</v>
      </c>
      <c r="B65" s="118">
        <f>'Statistics NZ'!B$65*'Economic Forecasts'!D$9*1000000/SUM('Statistics NZ'!B$32:B$107,'Statistics NZ'!B$125:B$200)</f>
        <v>29523.221228521503</v>
      </c>
      <c r="C65" s="118">
        <f>'Statistics NZ'!C$65*'Economic Forecasts'!E$9*1000000/SUM('Statistics NZ'!C$32:C$107,'Statistics NZ'!C$125:C$200)</f>
        <v>30876.499867969364</v>
      </c>
      <c r="D65" s="118">
        <f>'Statistics NZ'!D$65*'Economic Forecasts'!F$9*1000000/SUM('Statistics NZ'!D$32:D$107,'Statistics NZ'!D$125:D$200)</f>
        <v>31322.699153449219</v>
      </c>
      <c r="E65" s="118">
        <f>'Statistics NZ'!E$65*'Economic Forecasts'!G$9*1000000/SUM('Statistics NZ'!E$32:E$107,'Statistics NZ'!E$125:E$200)</f>
        <v>32815.218305242204</v>
      </c>
      <c r="F65" s="118">
        <f>'Statistics NZ'!F$65*'Economic Forecasts'!H$9*1000000/SUM('Statistics NZ'!F$32:F$107,'Statistics NZ'!F$125:F$200)</f>
        <v>33456.104086238898</v>
      </c>
      <c r="G65" s="118">
        <f>'Statistics NZ'!G$65*'Economic Forecasts'!I$9*1000000/SUM('Statistics NZ'!G$32:G$107,'Statistics NZ'!G$125:G$200)</f>
        <v>33627.865693901404</v>
      </c>
      <c r="H65" s="118">
        <f>'Statistics NZ'!H$65*'Economic Forecasts'!J$9*1000000/SUM('Statistics NZ'!H$32:H$107,'Statistics NZ'!H$125:H$200)</f>
        <v>32691.035655785738</v>
      </c>
      <c r="I65" s="118">
        <f>'Statistics NZ'!I$65*'Economic Forecasts'!K$9*1000000/SUM('Statistics NZ'!I$32:I$107,'Statistics NZ'!I$125:I$200)</f>
        <v>31461.58316139823</v>
      </c>
      <c r="J65" s="203">
        <f>'Statistics NZ'!J$65*'Economic Forecasts'!L$9*1000000/SUM('Statistics NZ'!J$32:J$107,'Statistics NZ'!J$125:J$200)</f>
        <v>31205.280402612319</v>
      </c>
      <c r="K65" s="203">
        <f>'Statistics NZ'!K$65*'Economic Forecasts'!M$9*1000000/SUM('Statistics NZ'!K$32:K$107,'Statistics NZ'!K$125:K$200)</f>
        <v>31883.1405755384</v>
      </c>
      <c r="L65" s="203">
        <f>'Statistics NZ'!L$65*'Economic Forecasts'!N$9*1000000/SUM('Statistics NZ'!L$32:L$107,'Statistics NZ'!L$125:L$200)</f>
        <v>32520.821958300337</v>
      </c>
      <c r="M65" s="203">
        <f>'Statistics NZ'!M$65*'Economic Forecasts'!O$9*1000000/SUM('Statistics NZ'!M$32:M$107,'Statistics NZ'!M$125:M$200)</f>
        <v>33215.472626805145</v>
      </c>
      <c r="N65" s="203">
        <f>'Statistics NZ'!N$65*'Economic Forecasts'!P$9*1000000/SUM('Statistics NZ'!N$32:N$107,'Statistics NZ'!N$125:N$200)</f>
        <v>33296.290653799078</v>
      </c>
      <c r="O65" s="203">
        <f>'Statistics NZ'!O$65*'Economic Forecasts'!Q$9*1000000/SUM('Statistics NZ'!O$32:O$107,'Statistics NZ'!O$125:O$200)</f>
        <v>34806.072160925425</v>
      </c>
      <c r="P65" s="203">
        <f>'Statistics NZ'!P$65*'Economic Forecasts'!R$9*1000000/SUM('Statistics NZ'!P$32:P$107,'Statistics NZ'!P$125:P$200)</f>
        <v>34635.140153396904</v>
      </c>
      <c r="Q65" s="121">
        <f>SUM('Statistics NZ'!Q$65,$K$13/5*(Q$9-Q$10)*1000)*'Economic Forecasts'!S$9*1000000/SUM('Statistics NZ'!Q$32:Q$107,'Statistics NZ'!Q$125:Q$200,SUM($E$13:$Q$14)*(Q$9-Q$10)*1000)</f>
        <v>33512.231261507906</v>
      </c>
      <c r="R65" s="205">
        <f>SUM('Statistics NZ'!R$65,$K$13/5*(R$9-R$10)*1000)*'Economic Forecasts'!T$9*1000000/SUM('Statistics NZ'!R$32:R$107,'Statistics NZ'!R$125:R$200,SUM($E$13:$Q$14)*(R$9-R$10)*1000)</f>
        <v>32864.611596894989</v>
      </c>
      <c r="S65" s="205">
        <f>SUM('Statistics NZ'!S$65,$K$13/5*(S$9-S$10)*1000)*'Economic Forecasts'!U$9*1000000/SUM('Statistics NZ'!S$32:S$107,'Statistics NZ'!S$125:S$200,SUM($E$13:$Q$14)*(S$9-S$10)*1000)</f>
        <v>31687.712100765046</v>
      </c>
      <c r="T65" s="205">
        <f>SUM('Statistics NZ'!T$65,$K$13/5*(T$9-T$10)*1000)*'Economic Forecasts'!V$9*1000000/SUM('Statistics NZ'!T$32:T$107,'Statistics NZ'!T$125:T$200,SUM($E$13:$Q$14)*(T$9-T$10)*1000)</f>
        <v>30353.709158085745</v>
      </c>
      <c r="U65" s="205">
        <f>SUM('Statistics NZ'!U$65,$K$13/5*(U$9-U$10)*1000)*'Economic Forecasts'!W$9*1000000/SUM('Statistics NZ'!U$32:U$107,'Statistics NZ'!U$125:U$200,SUM($E$13:$Q$14)*(U$9-U$10)*1000)</f>
        <v>30582.777271830546</v>
      </c>
      <c r="V65" s="111">
        <f>SUM(U$65,'Statistics NZ'!V$65-'Statistics NZ'!U$65,$K$13/5*(V$9-V$10)*1000)</f>
        <v>30516.14269551689</v>
      </c>
      <c r="W65" s="111">
        <f>SUM(V$65,'Statistics NZ'!W$65-'Statistics NZ'!V$65,$K$13/5*(W$9-W$10)*1000)</f>
        <v>31506.587441242438</v>
      </c>
      <c r="X65" s="111">
        <f>SUM(W$65,'Statistics NZ'!X$65-'Statistics NZ'!W$65,$K$13/5*(X$9-X$10)*1000)</f>
        <v>31914.111509007194</v>
      </c>
      <c r="Y65" s="111">
        <f>SUM(X$65,'Statistics NZ'!Y$65-'Statistics NZ'!X$65,$K$13/5*(Y$9-Y$10)*1000)</f>
        <v>32318.714898811158</v>
      </c>
      <c r="Z65" s="111">
        <f>SUM(Y$65,'Statistics NZ'!Z$65-'Statistics NZ'!Y$65,$K$13/5*(Z$9-Z$10)*1000)</f>
        <v>33420.397610654327</v>
      </c>
      <c r="AA65" s="111">
        <f>SUM(Z$65,'Statistics NZ'!AA$65-'Statistics NZ'!Z$65,$K$13/5*(AA$9-AA$10)*1000)</f>
        <v>34209.159644536703</v>
      </c>
      <c r="AB65" s="111">
        <f>SUM(AA$65,'Statistics NZ'!AB$65-'Statistics NZ'!AA$65,$K$13/5*(AB$9-AB$10)*1000)</f>
        <v>35005.001000458287</v>
      </c>
      <c r="AC65" s="111">
        <f>SUM(AB$65,'Statistics NZ'!AC$65-'Statistics NZ'!AB$65,$K$13/5*(AC$9-AC$10)*1000)</f>
        <v>35797.921678419079</v>
      </c>
      <c r="AD65" s="111">
        <f>SUM(AC$65,'Statistics NZ'!AD$65-'Statistics NZ'!AC$65,$K$13/5*(AD$9-AD$10)*1000)</f>
        <v>36417.921678419079</v>
      </c>
      <c r="AE65" s="111">
        <f>SUM(AD$65,'Statistics NZ'!AE$65-'Statistics NZ'!AD$65,$K$13/5*(AE$9-AE$10)*1000)</f>
        <v>37277.921678419079</v>
      </c>
      <c r="AF65" s="111">
        <f>SUM(AE$65,'Statistics NZ'!AF$65-'Statistics NZ'!AE$65,$K$13/5*(AF$9-AF$10)*1000)</f>
        <v>39767.921678419079</v>
      </c>
      <c r="AG65" s="111">
        <f>SUM(AF$65,'Statistics NZ'!AG$65-'Statistics NZ'!AF$65,$K$13/5*(AG$9-AG$10)*1000)</f>
        <v>40117.921678419079</v>
      </c>
      <c r="AH65" s="111">
        <f>SUM(AG$65,'Statistics NZ'!AH$65-'Statistics NZ'!AG$65,$K$13/5*(AH$9-AH$10)*1000)</f>
        <v>41807.921678419079</v>
      </c>
      <c r="AI65" s="111">
        <f>SUM(AH$65,'Statistics NZ'!AI$65-'Statistics NZ'!AH$65,$K$13/5*(AI$9-AI$10)*1000)</f>
        <v>42387.921678419079</v>
      </c>
      <c r="AJ65" s="111">
        <f>SUM(AI$65,'Statistics NZ'!AJ$65-'Statistics NZ'!AI$65,$K$13/5*(AJ$9-AJ$10)*1000)</f>
        <v>42017.921678419079</v>
      </c>
      <c r="AK65" s="111">
        <f>SUM(AJ$65,'Statistics NZ'!AK$65-'Statistics NZ'!AJ$65,$K$13/5*(AK$9-AK$10)*1000)</f>
        <v>41287.921678419079</v>
      </c>
      <c r="AL65" s="111">
        <f>SUM(AK$65,'Statistics NZ'!AL$65-'Statistics NZ'!AK$65,$K$13/5*(AL$9-AL$10)*1000)</f>
        <v>40077.921678419079</v>
      </c>
      <c r="AM65" s="111">
        <f>SUM(AL$65,'Statistics NZ'!AM$65-'Statistics NZ'!AL$65,$K$13/5*(AM$9-AM$10)*1000)</f>
        <v>39847.921678419079</v>
      </c>
      <c r="AN65" s="111">
        <f>SUM(AM$65,'Statistics NZ'!AN$65-'Statistics NZ'!AM$65,$K$13/5*(AN$9-AN$10)*1000)</f>
        <v>39467.921678419079</v>
      </c>
      <c r="AO65" s="111">
        <f>SUM(AN$65,'Statistics NZ'!AO$65-'Statistics NZ'!AN$65,$K$13/5*(AO$9-AO$10)*1000)</f>
        <v>39097.921678419079</v>
      </c>
      <c r="AP65" s="111">
        <f>SUM(AO$65,'Statistics NZ'!AP$65-'Statistics NZ'!AO$65,$K$13/5*(AP$9-AP$10)*1000)</f>
        <v>39057.921678419079</v>
      </c>
      <c r="AQ65" s="111">
        <f>SUM(AP$65,'Statistics NZ'!AQ$65-'Statistics NZ'!AP$65,$K$13/5*(AQ$9-AQ$10)*1000)</f>
        <v>38477.921678419079</v>
      </c>
      <c r="AR65" s="111">
        <f>SUM(AQ$65,'Statistics NZ'!AR$65-'Statistics NZ'!AQ$65,$K$13/5*(AR$9-AR$10)*1000)</f>
        <v>39257.921678419079</v>
      </c>
      <c r="AS65" s="111">
        <f>SUM(AR$65,'Statistics NZ'!AS$65-'Statistics NZ'!AR$65,$K$13/5*(AS$9-AS$10)*1000)</f>
        <v>38887.921678419079</v>
      </c>
      <c r="AT65" s="111">
        <f>SUM(AS$65,'Statistics NZ'!AT$65-'Statistics NZ'!AS$65,$K$13/5*(AT$9-AT$10)*1000)</f>
        <v>37947.921678419079</v>
      </c>
      <c r="AU65" s="111">
        <f>SUM(AT$65,'Statistics NZ'!AU$65-'Statistics NZ'!AT$65,$K$13/5*(AU$9-AU$10)*1000)</f>
        <v>37607.921678419079</v>
      </c>
      <c r="AV65" s="111">
        <f>SUM(AU$65,'Statistics NZ'!AV$65-'Statistics NZ'!AU$65,$K$13/5*(AV$9-AV$10)*1000)</f>
        <v>38417.921678419079</v>
      </c>
      <c r="AW65" s="111">
        <f>SUM(AV$65,'Statistics NZ'!AW$65-'Statistics NZ'!AV$65,$K$13/5*(AW$9-AW$10)*1000)</f>
        <v>38567.921678419079</v>
      </c>
      <c r="AX65" s="111">
        <f>SUM(AW$65,'Statistics NZ'!AX$65-'Statistics NZ'!AW$65,$K$13/5*(AX$9-AX$10)*1000)</f>
        <v>39377.921678419079</v>
      </c>
      <c r="AY65" s="111">
        <f>SUM(AX$65,'Statistics NZ'!AY$65-'Statistics NZ'!AX$65,$K$13/5*(AY$9-AY$10)*1000)</f>
        <v>40907.921678419079</v>
      </c>
      <c r="AZ65" s="111">
        <f>SUM(AY$65,'Statistics NZ'!AZ$65-'Statistics NZ'!AY$65,$K$13/5*(AZ$9-AZ$10)*1000)</f>
        <v>42187.921678419079</v>
      </c>
      <c r="BA65" s="111">
        <f>SUM(AZ$65,'Statistics NZ'!BA$65-'Statistics NZ'!AZ$65,$K$13/5*(BA$9-BA$10)*1000)</f>
        <v>42027.921678419079</v>
      </c>
      <c r="BB65" s="111">
        <f>SUM(BA$65,'Statistics NZ'!BB$65-'Statistics NZ'!BA$65,$K$13/5*(BB$9-BB$10)*1000)</f>
        <v>43047.921678419079</v>
      </c>
      <c r="BC65" s="111">
        <f>SUM(BB$65,'Statistics NZ'!BC$65-'Statistics NZ'!BB$65,$K$13/5*(BC$9-BC$10)*1000)</f>
        <v>42977.921678419079</v>
      </c>
      <c r="BD65" s="111">
        <f>SUM(BC$65,'Statistics NZ'!BD$65-'Statistics NZ'!BC$65,$K$13/5*(BD$9-BD$10)*1000)</f>
        <v>42877.921678419079</v>
      </c>
      <c r="BE65" s="111">
        <f>SUM(BD$65,'Statistics NZ'!BE$65-'Statistics NZ'!BD$65,$K$13/5*(BE$9-BE$10)*1000)</f>
        <v>42787.921678419079</v>
      </c>
      <c r="BF65" s="111">
        <f>SUM(BE$65,'Statistics NZ'!BF$65-'Statistics NZ'!BE$65,$K$13/5*(BF$9-BF$10)*1000)</f>
        <v>41697.921678419079</v>
      </c>
      <c r="BG65" s="111">
        <f>SUM(BF$65,'Statistics NZ'!BG$65-'Statistics NZ'!BF$65,$K$13/5*(BG$9-BG$10)*1000)</f>
        <v>41757.921678419079</v>
      </c>
      <c r="BH65" s="111">
        <f>SUM(BG$65,'Statistics NZ'!BH$65-'Statistics NZ'!BG$65,$K$13/5*(BH$9-BH$10)*1000)</f>
        <v>41397.921678419079</v>
      </c>
      <c r="BI65" s="111">
        <f>SUM(BH$65,'Statistics NZ'!BI$65-'Statistics NZ'!BH$65,$K$13/5*(BI$9-BI$10)*1000)</f>
        <v>41637.921678419079</v>
      </c>
      <c r="BJ65" s="111">
        <f>SUM(BI$65,'Statistics NZ'!BJ$65-'Statistics NZ'!BI$65,$K$13/5*(BJ$9-BJ$10)*1000)</f>
        <v>40827.921678419079</v>
      </c>
      <c r="BK65" s="111">
        <f>SUM(BJ$65,'Statistics NZ'!BK$65-'Statistics NZ'!BJ$65,$K$13/5*(BK$9-BK$10)*1000)</f>
        <v>40417.921678419079</v>
      </c>
      <c r="BL65" s="111">
        <f>SUM(BK$65,'Statistics NZ'!BL$65-'Statistics NZ'!BK$65,$K$13/5*(BL$9-BL$10)*1000)</f>
        <v>40577.921678419079</v>
      </c>
      <c r="BM65" s="195">
        <f>SUM(BL$65,'Statistics NZ'!BM$65-'Statistics NZ'!BL$65,$K$13/5*(BM$9-BM$10)*1000)</f>
        <v>40017.921678419079</v>
      </c>
      <c r="BN65" s="195">
        <f>SUM(BM$65,'Statistics NZ'!BN$65-'Statistics NZ'!BM$65,$K$13/5*(BN$9-BN$10)*1000)</f>
        <v>39987.921678419079</v>
      </c>
      <c r="BO65" s="195">
        <f>SUM(BN$65,'Statistics NZ'!BO$65-'Statistics NZ'!BN$65,$K$13/5*(BO$9-BO$10)*1000)</f>
        <v>39937.921678419079</v>
      </c>
      <c r="BP65" s="195">
        <f>SUM(BO$65,'Statistics NZ'!BP$65-'Statistics NZ'!BO$65,$K$13/5*(BP$9-BP$10)*1000)</f>
        <v>39877.921678419079</v>
      </c>
      <c r="BQ65" s="195">
        <f>SUM(BP$65,'Statistics NZ'!BQ$65-'Statistics NZ'!BP$65,$K$13/5*(BQ$9-BQ$10)*1000)</f>
        <v>39997.921678419079</v>
      </c>
    </row>
    <row r="66" spans="1:69">
      <c r="A66" s="105">
        <v>49</v>
      </c>
      <c r="B66" s="118">
        <f>'Statistics NZ'!B$66*'Economic Forecasts'!D$9*1000000/SUM('Statistics NZ'!B$32:B$107,'Statistics NZ'!B$125:B$200)</f>
        <v>28843.50742646345</v>
      </c>
      <c r="C66" s="118">
        <f>'Statistics NZ'!C$66*'Economic Forecasts'!E$9*1000000/SUM('Statistics NZ'!C$32:C$107,'Statistics NZ'!C$125:C$200)</f>
        <v>29417.457090044889</v>
      </c>
      <c r="D66" s="118">
        <f>'Statistics NZ'!D$66*'Economic Forecasts'!F$9*1000000/SUM('Statistics NZ'!D$32:D$107,'Statistics NZ'!D$125:D$200)</f>
        <v>30780.613422347993</v>
      </c>
      <c r="E66" s="118">
        <f>'Statistics NZ'!E$66*'Economic Forecasts'!G$9*1000000/SUM('Statistics NZ'!E$32:E$107,'Statistics NZ'!E$125:E$200)</f>
        <v>31219.760512490335</v>
      </c>
      <c r="F66" s="118">
        <f>'Statistics NZ'!F$66*'Economic Forecasts'!H$9*1000000/SUM('Statistics NZ'!F$32:F$107,'Statistics NZ'!F$125:F$200)</f>
        <v>32766.490633342339</v>
      </c>
      <c r="G66" s="118">
        <f>'Statistics NZ'!G$66*'Economic Forecasts'!I$9*1000000/SUM('Statistics NZ'!G$32:G$107,'Statistics NZ'!G$125:G$200)</f>
        <v>33332.279414728524</v>
      </c>
      <c r="H66" s="118">
        <f>'Statistics NZ'!H$66*'Economic Forecasts'!J$9*1000000/SUM('Statistics NZ'!H$32:H$107,'Statistics NZ'!H$125:H$200)</f>
        <v>33419.910810509493</v>
      </c>
      <c r="I66" s="118">
        <f>'Statistics NZ'!I$66*'Economic Forecasts'!K$9*1000000/SUM('Statistics NZ'!I$32:I$107,'Statistics NZ'!I$125:I$200)</f>
        <v>32573.612844613119</v>
      </c>
      <c r="J66" s="203">
        <f>'Statistics NZ'!J$66*'Economic Forecasts'!L$9*1000000/SUM('Statistics NZ'!J$32:J$107,'Statistics NZ'!J$125:J$200)</f>
        <v>31470.648141469181</v>
      </c>
      <c r="K66" s="203">
        <f>'Statistics NZ'!K$66*'Economic Forecasts'!M$9*1000000/SUM('Statistics NZ'!K$32:K$107,'Statistics NZ'!K$125:K$200)</f>
        <v>31234.669919764732</v>
      </c>
      <c r="L66" s="203">
        <f>'Statistics NZ'!L$66*'Economic Forecasts'!N$9*1000000/SUM('Statistics NZ'!L$32:L$107,'Statistics NZ'!L$125:L$200)</f>
        <v>32018.531855370806</v>
      </c>
      <c r="M66" s="203">
        <f>'Statistics NZ'!M$66*'Economic Forecasts'!O$9*1000000/SUM('Statistics NZ'!M$32:M$107,'Statistics NZ'!M$125:M$200)</f>
        <v>32673.701869250493</v>
      </c>
      <c r="N66" s="203">
        <f>'Statistics NZ'!N$66*'Economic Forecasts'!P$9*1000000/SUM('Statistics NZ'!N$32:N$107,'Statistics NZ'!N$125:N$200)</f>
        <v>33385.107078186804</v>
      </c>
      <c r="O66" s="203">
        <f>'Statistics NZ'!O$66*'Economic Forecasts'!Q$9*1000000/SUM('Statistics NZ'!O$32:O$107,'Statistics NZ'!O$125:O$200)</f>
        <v>33315.93411264084</v>
      </c>
      <c r="P66" s="203">
        <f>'Statistics NZ'!P$66*'Economic Forecasts'!R$9*1000000/SUM('Statistics NZ'!P$32:P$107,'Statistics NZ'!P$125:P$200)</f>
        <v>35049.814009281356</v>
      </c>
      <c r="Q66" s="121">
        <f>SUM('Statistics NZ'!Q$66,$K$13/5*(Q$9-Q$10)*1000)*'Economic Forecasts'!S$9*1000000/SUM('Statistics NZ'!Q$32:Q$107,'Statistics NZ'!Q$125:Q$200,SUM($E$13:$Q$14)*(Q$9-Q$10)*1000)</f>
        <v>34698.602036447031</v>
      </c>
      <c r="R66" s="205">
        <f>SUM('Statistics NZ'!R$66,$K$13/5*(R$9-R$10)*1000)*'Economic Forecasts'!T$9*1000000/SUM('Statistics NZ'!R$32:R$107,'Statistics NZ'!R$125:R$200,SUM($E$13:$Q$14)*(R$9-R$10)*1000)</f>
        <v>33526.918596947398</v>
      </c>
      <c r="S66" s="205">
        <f>SUM('Statistics NZ'!S$66,$K$13/5*(S$9-S$10)*1000)*'Economic Forecasts'!U$9*1000000/SUM('Statistics NZ'!S$32:S$107,'Statistics NZ'!S$125:S$200,SUM($E$13:$Q$14)*(S$9-S$10)*1000)</f>
        <v>32893.059413880132</v>
      </c>
      <c r="T66" s="205">
        <f>SUM('Statistics NZ'!T$66,$K$13/5*(T$9-T$10)*1000)*'Economic Forecasts'!V$9*1000000/SUM('Statistics NZ'!T$32:T$107,'Statistics NZ'!T$125:T$200,SUM($E$13:$Q$14)*(T$9-T$10)*1000)</f>
        <v>31608.378262897088</v>
      </c>
      <c r="U66" s="205">
        <f>SUM('Statistics NZ'!U$66,$K$13/5*(U$9-U$10)*1000)*'Economic Forecasts'!W$9*1000000/SUM('Statistics NZ'!U$32:U$107,'Statistics NZ'!U$125:U$200,SUM($E$13:$Q$14)*(U$9-U$10)*1000)</f>
        <v>30305.797766337608</v>
      </c>
      <c r="V66" s="111">
        <f>SUM(U$66,'Statistics NZ'!V$66-'Statistics NZ'!U$66,$K$13/5*(V$9-V$10)*1000)</f>
        <v>30509.163190023952</v>
      </c>
      <c r="W66" s="111">
        <f>SUM(V$66,'Statistics NZ'!W$66-'Statistics NZ'!V$66,$K$13/5*(W$9-W$10)*1000)</f>
        <v>30449.6079357495</v>
      </c>
      <c r="X66" s="111">
        <f>SUM(W$66,'Statistics NZ'!X$66-'Statistics NZ'!W$66,$K$13/5*(X$9-X$10)*1000)</f>
        <v>31437.132003514256</v>
      </c>
      <c r="Y66" s="111">
        <f>SUM(X$66,'Statistics NZ'!Y$66-'Statistics NZ'!X$66,$K$13/5*(Y$9-Y$10)*1000)</f>
        <v>31841.73539331822</v>
      </c>
      <c r="Z66" s="111">
        <f>SUM(Y$66,'Statistics NZ'!Z$66-'Statistics NZ'!Y$66,$K$13/5*(Z$9-Z$10)*1000)</f>
        <v>32243.418105161392</v>
      </c>
      <c r="AA66" s="111">
        <f>SUM(Z$66,'Statistics NZ'!AA$66-'Statistics NZ'!Z$66,$K$13/5*(AA$9-AA$10)*1000)</f>
        <v>33342.180139043769</v>
      </c>
      <c r="AB66" s="111">
        <f>SUM(AA$66,'Statistics NZ'!AB$66-'Statistics NZ'!AA$66,$K$13/5*(AB$9-AB$10)*1000)</f>
        <v>34128.021494965353</v>
      </c>
      <c r="AC66" s="111">
        <f>SUM(AB$66,'Statistics NZ'!AC$66-'Statistics NZ'!AB$66,$K$13/5*(AC$9-AC$10)*1000)</f>
        <v>34910.942172926145</v>
      </c>
      <c r="AD66" s="111">
        <f>SUM(AC$66,'Statistics NZ'!AD$66-'Statistics NZ'!AC$66,$K$13/5*(AD$9-AD$10)*1000)</f>
        <v>35710.942172926145</v>
      </c>
      <c r="AE66" s="111">
        <f>SUM(AD$66,'Statistics NZ'!AE$66-'Statistics NZ'!AD$66,$K$13/5*(AE$9-AE$10)*1000)</f>
        <v>36330.942172926145</v>
      </c>
      <c r="AF66" s="111">
        <f>SUM(AE$66,'Statistics NZ'!AF$66-'Statistics NZ'!AE$66,$K$13/5*(AF$9-AF$10)*1000)</f>
        <v>37190.942172926145</v>
      </c>
      <c r="AG66" s="111">
        <f>SUM(AF$66,'Statistics NZ'!AG$66-'Statistics NZ'!AF$66,$K$13/5*(AG$9-AG$10)*1000)</f>
        <v>39680.942172926145</v>
      </c>
      <c r="AH66" s="111">
        <f>SUM(AG$66,'Statistics NZ'!AH$66-'Statistics NZ'!AG$66,$K$13/5*(AH$9-AH$10)*1000)</f>
        <v>40020.942172926145</v>
      </c>
      <c r="AI66" s="111">
        <f>SUM(AH$66,'Statistics NZ'!AI$66-'Statistics NZ'!AH$66,$K$13/5*(AI$9-AI$10)*1000)</f>
        <v>41710.942172926145</v>
      </c>
      <c r="AJ66" s="111">
        <f>SUM(AI$66,'Statistics NZ'!AJ$66-'Statistics NZ'!AI$66,$K$13/5*(AJ$9-AJ$10)*1000)</f>
        <v>42300.942172926145</v>
      </c>
      <c r="AK66" s="111">
        <f>SUM(AJ$66,'Statistics NZ'!AK$66-'Statistics NZ'!AJ$66,$K$13/5*(AK$9-AK$10)*1000)</f>
        <v>41920.942172926145</v>
      </c>
      <c r="AL66" s="111">
        <f>SUM(AK$66,'Statistics NZ'!AL$66-'Statistics NZ'!AK$66,$K$13/5*(AL$9-AL$10)*1000)</f>
        <v>41200.942172926145</v>
      </c>
      <c r="AM66" s="111">
        <f>SUM(AL$66,'Statistics NZ'!AM$66-'Statistics NZ'!AL$66,$K$13/5*(AM$9-AM$10)*1000)</f>
        <v>39990.942172926145</v>
      </c>
      <c r="AN66" s="111">
        <f>SUM(AM$66,'Statistics NZ'!AN$66-'Statistics NZ'!AM$66,$K$13/5*(AN$9-AN$10)*1000)</f>
        <v>39760.942172926145</v>
      </c>
      <c r="AO66" s="111">
        <f>SUM(AN$66,'Statistics NZ'!AO$66-'Statistics NZ'!AN$66,$K$13/5*(AO$9-AO$10)*1000)</f>
        <v>39380.942172926145</v>
      </c>
      <c r="AP66" s="111">
        <f>SUM(AO$66,'Statistics NZ'!AP$66-'Statistics NZ'!AO$66,$K$13/5*(AP$9-AP$10)*1000)</f>
        <v>39020.942172926145</v>
      </c>
      <c r="AQ66" s="111">
        <f>SUM(AP$66,'Statistics NZ'!AQ$66-'Statistics NZ'!AP$66,$K$13/5*(AQ$9-AQ$10)*1000)</f>
        <v>38980.942172926145</v>
      </c>
      <c r="AR66" s="111">
        <f>SUM(AQ$66,'Statistics NZ'!AR$66-'Statistics NZ'!AQ$66,$K$13/5*(AR$9-AR$10)*1000)</f>
        <v>38400.942172926145</v>
      </c>
      <c r="AS66" s="111">
        <f>SUM(AR$66,'Statistics NZ'!AS$66-'Statistics NZ'!AR$66,$K$13/5*(AS$9-AS$10)*1000)</f>
        <v>39170.942172926145</v>
      </c>
      <c r="AT66" s="111">
        <f>SUM(AS$66,'Statistics NZ'!AT$66-'Statistics NZ'!AS$66,$K$13/5*(AT$9-AT$10)*1000)</f>
        <v>38800.942172926145</v>
      </c>
      <c r="AU66" s="111">
        <f>SUM(AT$66,'Statistics NZ'!AU$66-'Statistics NZ'!AT$66,$K$13/5*(AU$9-AU$10)*1000)</f>
        <v>37870.942172926145</v>
      </c>
      <c r="AV66" s="111">
        <f>SUM(AU$66,'Statistics NZ'!AV$66-'Statistics NZ'!AU$66,$K$13/5*(AV$9-AV$10)*1000)</f>
        <v>37530.942172926145</v>
      </c>
      <c r="AW66" s="111">
        <f>SUM(AV$66,'Statistics NZ'!AW$66-'Statistics NZ'!AV$66,$K$13/5*(AW$9-AW$10)*1000)</f>
        <v>38340.942172926145</v>
      </c>
      <c r="AX66" s="111">
        <f>SUM(AW$66,'Statistics NZ'!AX$66-'Statistics NZ'!AW$66,$K$13/5*(AX$9-AX$10)*1000)</f>
        <v>38490.942172926145</v>
      </c>
      <c r="AY66" s="111">
        <f>SUM(AX$66,'Statistics NZ'!AY$66-'Statistics NZ'!AX$66,$K$13/5*(AY$9-AY$10)*1000)</f>
        <v>39300.942172926145</v>
      </c>
      <c r="AZ66" s="111">
        <f>SUM(AY$66,'Statistics NZ'!AZ$66-'Statistics NZ'!AY$66,$K$13/5*(AZ$9-AZ$10)*1000)</f>
        <v>40830.942172926145</v>
      </c>
      <c r="BA66" s="111">
        <f>SUM(AZ$66,'Statistics NZ'!BA$66-'Statistics NZ'!AZ$66,$K$13/5*(BA$9-BA$10)*1000)</f>
        <v>42110.942172926145</v>
      </c>
      <c r="BB66" s="111">
        <f>SUM(BA$66,'Statistics NZ'!BB$66-'Statistics NZ'!BA$66,$K$13/5*(BB$9-BB$10)*1000)</f>
        <v>41950.942172926145</v>
      </c>
      <c r="BC66" s="111">
        <f>SUM(BB$66,'Statistics NZ'!BC$66-'Statistics NZ'!BB$66,$K$13/5*(BC$9-BC$10)*1000)</f>
        <v>42970.942172926145</v>
      </c>
      <c r="BD66" s="111">
        <f>SUM(BC$66,'Statistics NZ'!BD$66-'Statistics NZ'!BC$66,$K$13/5*(BD$9-BD$10)*1000)</f>
        <v>42900.942172926145</v>
      </c>
      <c r="BE66" s="111">
        <f>SUM(BD$66,'Statistics NZ'!BE$66-'Statistics NZ'!BD$66,$K$13/5*(BE$9-BE$10)*1000)</f>
        <v>42800.942172926145</v>
      </c>
      <c r="BF66" s="111">
        <f>SUM(BE$66,'Statistics NZ'!BF$66-'Statistics NZ'!BE$66,$K$13/5*(BF$9-BF$10)*1000)</f>
        <v>42720.942172926145</v>
      </c>
      <c r="BG66" s="111">
        <f>SUM(BF$66,'Statistics NZ'!BG$66-'Statistics NZ'!BF$66,$K$13/5*(BG$9-BG$10)*1000)</f>
        <v>41620.942172926145</v>
      </c>
      <c r="BH66" s="111">
        <f>SUM(BG$66,'Statistics NZ'!BH$66-'Statistics NZ'!BG$66,$K$13/5*(BH$9-BH$10)*1000)</f>
        <v>41680.942172926145</v>
      </c>
      <c r="BI66" s="111">
        <f>SUM(BH$66,'Statistics NZ'!BI$66-'Statistics NZ'!BH$66,$K$13/5*(BI$9-BI$10)*1000)</f>
        <v>41320.942172926145</v>
      </c>
      <c r="BJ66" s="111">
        <f>SUM(BI$66,'Statistics NZ'!BJ$66-'Statistics NZ'!BI$66,$K$13/5*(BJ$9-BJ$10)*1000)</f>
        <v>41570.942172926145</v>
      </c>
      <c r="BK66" s="111">
        <f>SUM(BJ$66,'Statistics NZ'!BK$66-'Statistics NZ'!BJ$66,$K$13/5*(BK$9-BK$10)*1000)</f>
        <v>40760.942172926145</v>
      </c>
      <c r="BL66" s="111">
        <f>SUM(BK$66,'Statistics NZ'!BL$66-'Statistics NZ'!BK$66,$K$13/5*(BL$9-BL$10)*1000)</f>
        <v>40350.942172926145</v>
      </c>
      <c r="BM66" s="195">
        <f>SUM(BL$66,'Statistics NZ'!BM$66-'Statistics NZ'!BL$66,$K$13/5*(BM$9-BM$10)*1000)</f>
        <v>40500.942172926145</v>
      </c>
      <c r="BN66" s="195">
        <f>SUM(BM$66,'Statistics NZ'!BN$66-'Statistics NZ'!BM$66,$K$13/5*(BN$9-BN$10)*1000)</f>
        <v>39950.942172926145</v>
      </c>
      <c r="BO66" s="195">
        <f>SUM(BN$66,'Statistics NZ'!BO$66-'Statistics NZ'!BN$66,$K$13/5*(BO$9-BO$10)*1000)</f>
        <v>39920.942172926145</v>
      </c>
      <c r="BP66" s="195">
        <f>SUM(BO$66,'Statistics NZ'!BP$66-'Statistics NZ'!BO$66,$K$13/5*(BP$9-BP$10)*1000)</f>
        <v>39870.942172926145</v>
      </c>
      <c r="BQ66" s="195">
        <f>SUM(BP$66,'Statistics NZ'!BQ$66-'Statistics NZ'!BP$66,$K$13/5*(BQ$9-BQ$10)*1000)</f>
        <v>39810.942172926145</v>
      </c>
    </row>
    <row r="67" spans="1:69">
      <c r="A67" s="105">
        <v>50</v>
      </c>
      <c r="B67" s="118">
        <f>'Statistics NZ'!B$67*'Economic Forecasts'!D$9*1000000/SUM('Statistics NZ'!B$32:B$107,'Statistics NZ'!B$125:B$200)</f>
        <v>28153.942699737891</v>
      </c>
      <c r="C67" s="118">
        <f>'Statistics NZ'!C$67*'Economic Forecasts'!E$9*1000000/SUM('Statistics NZ'!C$32:C$107,'Statistics NZ'!C$125:C$200)</f>
        <v>28786.519672564034</v>
      </c>
      <c r="D67" s="118">
        <f>'Statistics NZ'!D$67*'Economic Forecasts'!F$9*1000000/SUM('Statistics NZ'!D$32:D$107,'Statistics NZ'!D$125:D$200)</f>
        <v>29302.197792071911</v>
      </c>
      <c r="E67" s="118">
        <f>'Statistics NZ'!E$67*'Economic Forecasts'!G$9*1000000/SUM('Statistics NZ'!E$32:E$107,'Statistics NZ'!E$125:E$200)</f>
        <v>30678.09274334618</v>
      </c>
      <c r="F67" s="118">
        <f>'Statistics NZ'!F$67*'Economic Forecasts'!H$9*1000000/SUM('Statistics NZ'!F$32:F$107,'Statistics NZ'!F$125:F$200)</f>
        <v>31180.379691680246</v>
      </c>
      <c r="G67" s="118">
        <f>'Statistics NZ'!G$67*'Economic Forecasts'!I$9*1000000/SUM('Statistics NZ'!G$32:G$107,'Statistics NZ'!G$125:G$200)</f>
        <v>32603.166592768754</v>
      </c>
      <c r="H67" s="118">
        <f>'Statistics NZ'!H$67*'Economic Forecasts'!J$9*1000000/SUM('Statistics NZ'!H$32:H$107,'Statistics NZ'!H$125:H$200)</f>
        <v>33134.270547171807</v>
      </c>
      <c r="I67" s="118">
        <f>'Statistics NZ'!I$67*'Economic Forecasts'!K$9*1000000/SUM('Statistics NZ'!I$32:I$107,'Statistics NZ'!I$125:I$200)</f>
        <v>33252.639819319556</v>
      </c>
      <c r="J67" s="203">
        <f>'Statistics NZ'!J$67*'Economic Forecasts'!L$9*1000000/SUM('Statistics NZ'!J$32:J$107,'Statistics NZ'!J$125:J$200)</f>
        <v>32551.775966441575</v>
      </c>
      <c r="K67" s="203">
        <f>'Statistics NZ'!K$67*'Economic Forecasts'!M$9*1000000/SUM('Statistics NZ'!K$32:K$107,'Statistics NZ'!K$125:K$200)</f>
        <v>31588.38118655037</v>
      </c>
      <c r="L67" s="203">
        <f>'Statistics NZ'!L$67*'Economic Forecasts'!N$9*1000000/SUM('Statistics NZ'!L$32:L$107,'Statistics NZ'!L$125:L$200)</f>
        <v>31407.904671417262</v>
      </c>
      <c r="M67" s="203">
        <f>'Statistics NZ'!M$67*'Economic Forecasts'!O$9*1000000/SUM('Statistics NZ'!M$32:M$107,'Statistics NZ'!M$125:M$200)</f>
        <v>32062.978469825255</v>
      </c>
      <c r="N67" s="203">
        <f>'Statistics NZ'!N$67*'Economic Forecasts'!P$9*1000000/SUM('Statistics NZ'!N$32:N$107,'Statistics NZ'!N$125:N$200)</f>
        <v>32792.997582268625</v>
      </c>
      <c r="O67" s="203">
        <f>'Statistics NZ'!O$67*'Economic Forecasts'!Q$9*1000000/SUM('Statistics NZ'!O$32:O$107,'Statistics NZ'!O$125:O$200)</f>
        <v>33473.829534975623</v>
      </c>
      <c r="P67" s="203">
        <f>'Statistics NZ'!P$67*'Economic Forecasts'!R$9*1000000/SUM('Statistics NZ'!P$32:P$107,'Statistics NZ'!P$125:P$200)</f>
        <v>33558.962765506287</v>
      </c>
      <c r="Q67" s="121">
        <f>SUM('Statistics NZ'!Q$67,$L$13/5*(Q$9-Q$10)*1000)*'Economic Forecasts'!S$9*1000000/SUM('Statistics NZ'!Q$32:Q$107,'Statistics NZ'!Q$125:Q$200,SUM($E$13:$Q$14)*(Q$9-Q$10)*1000)</f>
        <v>35097.102357592827</v>
      </c>
      <c r="R67" s="205">
        <f>SUM('Statistics NZ'!R$67,$L$13/5*(R$9-R$10)*1000)*'Economic Forecasts'!T$9*1000000/SUM('Statistics NZ'!R$32:R$107,'Statistics NZ'!R$125:R$200,SUM($E$13:$Q$14)*(R$9-R$10)*1000)</f>
        <v>34707.258875226318</v>
      </c>
      <c r="S67" s="205">
        <f>SUM('Statistics NZ'!S$67,$L$13/5*(S$9-S$10)*1000)*'Economic Forecasts'!U$9*1000000/SUM('Statistics NZ'!S$32:S$107,'Statistics NZ'!S$125:S$200,SUM($E$13:$Q$14)*(S$9-S$10)*1000)</f>
        <v>33541.931090603888</v>
      </c>
      <c r="T67" s="205">
        <f>SUM('Statistics NZ'!T$67,$L$13/5*(T$9-T$10)*1000)*'Economic Forecasts'!V$9*1000000/SUM('Statistics NZ'!T$32:T$107,'Statistics NZ'!T$125:T$200,SUM($E$13:$Q$14)*(T$9-T$10)*1000)</f>
        <v>32777.88606938289</v>
      </c>
      <c r="U67" s="205">
        <f>SUM('Statistics NZ'!U$67,$L$13/5*(U$9-U$10)*1000)*'Economic Forecasts'!W$9*1000000/SUM('Statistics NZ'!U$32:U$107,'Statistics NZ'!U$125:U$200,SUM($E$13:$Q$14)*(U$9-U$10)*1000)</f>
        <v>31523.356737669379</v>
      </c>
      <c r="V67" s="111">
        <f>SUM(U$67,'Statistics NZ'!V$67-'Statistics NZ'!U$67,$L$13/5*(V$9-V$10)*1000)</f>
        <v>30160.799136445086</v>
      </c>
      <c r="W67" s="111">
        <f>SUM(V$67,'Statistics NZ'!W$67-'Statistics NZ'!V$67,$L$13/5*(W$9-W$10)*1000)</f>
        <v>30338.561235373829</v>
      </c>
      <c r="X67" s="111">
        <f>SUM(W$67,'Statistics NZ'!X$67-'Statistics NZ'!W$67,$L$13/5*(X$9-X$10)*1000)</f>
        <v>30256.643034455607</v>
      </c>
      <c r="Y67" s="111">
        <f>SUM(X$67,'Statistics NZ'!Y$67-'Statistics NZ'!X$67,$L$13/5*(Y$9-Y$10)*1000)</f>
        <v>31225.044533690423</v>
      </c>
      <c r="Z67" s="111">
        <f>SUM(Y$67,'Statistics NZ'!Z$67-'Statistics NZ'!Y$67,$L$13/5*(Z$9-Z$10)*1000)</f>
        <v>31613.765733078275</v>
      </c>
      <c r="AA67" s="111">
        <f>SUM(Z$67,'Statistics NZ'!AA$67-'Statistics NZ'!Z$67,$L$13/5*(AA$9-AA$10)*1000)</f>
        <v>32002.806632619166</v>
      </c>
      <c r="AB67" s="111">
        <f>SUM(AA$67,'Statistics NZ'!AB$67-'Statistics NZ'!AA$67,$L$13/5*(AB$9-AB$10)*1000)</f>
        <v>33092.167232313092</v>
      </c>
      <c r="AC67" s="111">
        <f>SUM(AB$67,'Statistics NZ'!AC$67-'Statistics NZ'!AB$67,$L$13/5*(AC$9-AC$10)*1000)</f>
        <v>33871.847532160056</v>
      </c>
      <c r="AD67" s="111">
        <f>SUM(AC$67,'Statistics NZ'!AD$67-'Statistics NZ'!AC$67,$L$13/5*(AD$9-AD$10)*1000)</f>
        <v>34651.847532160056</v>
      </c>
      <c r="AE67" s="111">
        <f>SUM(AD$67,'Statistics NZ'!AE$67-'Statistics NZ'!AD$67,$L$13/5*(AE$9-AE$10)*1000)</f>
        <v>35451.847532160056</v>
      </c>
      <c r="AF67" s="111">
        <f>SUM(AE$67,'Statistics NZ'!AF$67-'Statistics NZ'!AE$67,$L$13/5*(AF$9-AF$10)*1000)</f>
        <v>36071.847532160056</v>
      </c>
      <c r="AG67" s="111">
        <f>SUM(AF$67,'Statistics NZ'!AG$67-'Statistics NZ'!AF$67,$L$13/5*(AG$9-AG$10)*1000)</f>
        <v>36931.847532160056</v>
      </c>
      <c r="AH67" s="111">
        <f>SUM(AG$67,'Statistics NZ'!AH$67-'Statistics NZ'!AG$67,$L$13/5*(AH$9-AH$10)*1000)</f>
        <v>39421.847532160056</v>
      </c>
      <c r="AI67" s="111">
        <f>SUM(AH$67,'Statistics NZ'!AI$67-'Statistics NZ'!AH$67,$L$13/5*(AI$9-AI$10)*1000)</f>
        <v>39761.847532160056</v>
      </c>
      <c r="AJ67" s="111">
        <f>SUM(AI$67,'Statistics NZ'!AJ$67-'Statistics NZ'!AI$67,$L$13/5*(AJ$9-AJ$10)*1000)</f>
        <v>41451.847532160056</v>
      </c>
      <c r="AK67" s="111">
        <f>SUM(AJ$67,'Statistics NZ'!AK$67-'Statistics NZ'!AJ$67,$L$13/5*(AK$9-AK$10)*1000)</f>
        <v>42031.847532160056</v>
      </c>
      <c r="AL67" s="111">
        <f>SUM(AK$67,'Statistics NZ'!AL$67-'Statistics NZ'!AK$67,$L$13/5*(AL$9-AL$10)*1000)</f>
        <v>41661.847532160056</v>
      </c>
      <c r="AM67" s="111">
        <f>SUM(AL$67,'Statistics NZ'!AM$67-'Statistics NZ'!AL$67,$L$13/5*(AM$9-AM$10)*1000)</f>
        <v>40941.847532160056</v>
      </c>
      <c r="AN67" s="111">
        <f>SUM(AM$67,'Statistics NZ'!AN$67-'Statistics NZ'!AM$67,$L$13/5*(AN$9-AN$10)*1000)</f>
        <v>39731.847532160056</v>
      </c>
      <c r="AO67" s="111">
        <f>SUM(AN$67,'Statistics NZ'!AO$67-'Statistics NZ'!AN$67,$L$13/5*(AO$9-AO$10)*1000)</f>
        <v>39501.847532160056</v>
      </c>
      <c r="AP67" s="111">
        <f>SUM(AO$67,'Statistics NZ'!AP$67-'Statistics NZ'!AO$67,$L$13/5*(AP$9-AP$10)*1000)</f>
        <v>39131.847532160056</v>
      </c>
      <c r="AQ67" s="111">
        <f>SUM(AP$67,'Statistics NZ'!AQ$67-'Statistics NZ'!AP$67,$L$13/5*(AQ$9-AQ$10)*1000)</f>
        <v>38761.847532160056</v>
      </c>
      <c r="AR67" s="111">
        <f>SUM(AQ$67,'Statistics NZ'!AR$67-'Statistics NZ'!AQ$67,$L$13/5*(AR$9-AR$10)*1000)</f>
        <v>38721.847532160056</v>
      </c>
      <c r="AS67" s="111">
        <f>SUM(AR$67,'Statistics NZ'!AS$67-'Statistics NZ'!AR$67,$L$13/5*(AS$9-AS$10)*1000)</f>
        <v>38151.847532160056</v>
      </c>
      <c r="AT67" s="111">
        <f>SUM(AS$67,'Statistics NZ'!AT$67-'Statistics NZ'!AS$67,$L$13/5*(AT$9-AT$10)*1000)</f>
        <v>38921.847532160056</v>
      </c>
      <c r="AU67" s="111">
        <f>SUM(AT$67,'Statistics NZ'!AU$67-'Statistics NZ'!AT$67,$L$13/5*(AU$9-AU$10)*1000)</f>
        <v>38551.847532160056</v>
      </c>
      <c r="AV67" s="111">
        <f>SUM(AU$67,'Statistics NZ'!AV$67-'Statistics NZ'!AU$67,$L$13/5*(AV$9-AV$10)*1000)</f>
        <v>37621.847532160056</v>
      </c>
      <c r="AW67" s="111">
        <f>SUM(AV$67,'Statistics NZ'!AW$67-'Statistics NZ'!AV$67,$L$13/5*(AW$9-AW$10)*1000)</f>
        <v>37281.847532160056</v>
      </c>
      <c r="AX67" s="111">
        <f>SUM(AW$67,'Statistics NZ'!AX$67-'Statistics NZ'!AW$67,$L$13/5*(AX$9-AX$10)*1000)</f>
        <v>38091.847532160056</v>
      </c>
      <c r="AY67" s="111">
        <f>SUM(AX$67,'Statistics NZ'!AY$67-'Statistics NZ'!AX$67,$L$13/5*(AY$9-AY$10)*1000)</f>
        <v>38241.847532160056</v>
      </c>
      <c r="AZ67" s="111">
        <f>SUM(AY$67,'Statistics NZ'!AZ$67-'Statistics NZ'!AY$67,$L$13/5*(AZ$9-AZ$10)*1000)</f>
        <v>39051.847532160056</v>
      </c>
      <c r="BA67" s="111">
        <f>SUM(AZ$67,'Statistics NZ'!BA$67-'Statistics NZ'!AZ$67,$L$13/5*(BA$9-BA$10)*1000)</f>
        <v>40581.847532160056</v>
      </c>
      <c r="BB67" s="111">
        <f>SUM(BA$67,'Statistics NZ'!BB$67-'Statistics NZ'!BA$67,$L$13/5*(BB$9-BB$10)*1000)</f>
        <v>41861.847532160056</v>
      </c>
      <c r="BC67" s="111">
        <f>SUM(BB$67,'Statistics NZ'!BC$67-'Statistics NZ'!BB$67,$L$13/5*(BC$9-BC$10)*1000)</f>
        <v>41701.847532160056</v>
      </c>
      <c r="BD67" s="111">
        <f>SUM(BC$67,'Statistics NZ'!BD$67-'Statistics NZ'!BC$67,$L$13/5*(BD$9-BD$10)*1000)</f>
        <v>42721.847532160056</v>
      </c>
      <c r="BE67" s="111">
        <f>SUM(BD$67,'Statistics NZ'!BE$67-'Statistics NZ'!BD$67,$L$13/5*(BE$9-BE$10)*1000)</f>
        <v>42651.847532160056</v>
      </c>
      <c r="BF67" s="111">
        <f>SUM(BE$67,'Statistics NZ'!BF$67-'Statistics NZ'!BE$67,$L$13/5*(BF$9-BF$10)*1000)</f>
        <v>42551.847532160056</v>
      </c>
      <c r="BG67" s="111">
        <f>SUM(BF$67,'Statistics NZ'!BG$67-'Statistics NZ'!BF$67,$L$13/5*(BG$9-BG$10)*1000)</f>
        <v>42471.847532160056</v>
      </c>
      <c r="BH67" s="111">
        <f>SUM(BG$67,'Statistics NZ'!BH$67-'Statistics NZ'!BG$67,$L$13/5*(BH$9-BH$10)*1000)</f>
        <v>41371.847532160056</v>
      </c>
      <c r="BI67" s="111">
        <f>SUM(BH$67,'Statistics NZ'!BI$67-'Statistics NZ'!BH$67,$L$13/5*(BI$9-BI$10)*1000)</f>
        <v>41441.847532160056</v>
      </c>
      <c r="BJ67" s="111">
        <f>SUM(BI$67,'Statistics NZ'!BJ$67-'Statistics NZ'!BI$67,$L$13/5*(BJ$9-BJ$10)*1000)</f>
        <v>41081.847532160056</v>
      </c>
      <c r="BK67" s="111">
        <f>SUM(BJ$67,'Statistics NZ'!BK$67-'Statistics NZ'!BJ$67,$L$13/5*(BK$9-BK$10)*1000)</f>
        <v>41321.847532160056</v>
      </c>
      <c r="BL67" s="111">
        <f>SUM(BK$67,'Statistics NZ'!BL$67-'Statistics NZ'!BK$67,$L$13/5*(BL$9-BL$10)*1000)</f>
        <v>40521.847532160056</v>
      </c>
      <c r="BM67" s="195">
        <f>SUM(BL$67,'Statistics NZ'!BM$67-'Statistics NZ'!BL$67,$L$13/5*(BM$9-BM$10)*1000)</f>
        <v>40111.847532160056</v>
      </c>
      <c r="BN67" s="195">
        <f>SUM(BM$67,'Statistics NZ'!BN$67-'Statistics NZ'!BM$67,$L$13/5*(BN$9-BN$10)*1000)</f>
        <v>40261.847532160056</v>
      </c>
      <c r="BO67" s="195">
        <f>SUM(BN$67,'Statistics NZ'!BO$67-'Statistics NZ'!BN$67,$L$13/5*(BO$9-BO$10)*1000)</f>
        <v>39711.847532160056</v>
      </c>
      <c r="BP67" s="195">
        <f>SUM(BO$67,'Statistics NZ'!BP$67-'Statistics NZ'!BO$67,$L$13/5*(BP$9-BP$10)*1000)</f>
        <v>39681.847532160056</v>
      </c>
      <c r="BQ67" s="195">
        <f>SUM(BP$67,'Statistics NZ'!BQ$67-'Statistics NZ'!BP$67,$L$13/5*(BQ$9-BQ$10)*1000)</f>
        <v>39631.847532160056</v>
      </c>
    </row>
    <row r="68" spans="1:69">
      <c r="A68" s="105">
        <v>51</v>
      </c>
      <c r="B68" s="118">
        <f>'Statistics NZ'!B$68*'Economic Forecasts'!D$9*1000000/SUM('Statistics NZ'!B$32:B$107,'Statistics NZ'!B$125:B$200)</f>
        <v>27139.297458984565</v>
      </c>
      <c r="C68" s="118">
        <f>'Statistics NZ'!C$68*'Economic Forecasts'!E$9*1000000/SUM('Statistics NZ'!C$32:C$107,'Statistics NZ'!C$125:C$200)</f>
        <v>28086.573475046207</v>
      </c>
      <c r="D68" s="118">
        <f>'Statistics NZ'!D$68*'Economic Forecasts'!F$9*1000000/SUM('Statistics NZ'!D$32:D$107,'Statistics NZ'!D$125:D$200)</f>
        <v>28671.407123154117</v>
      </c>
      <c r="E68" s="118">
        <f>'Statistics NZ'!E$68*'Economic Forecasts'!G$9*1000000/SUM('Statistics NZ'!E$32:E$107,'Statistics NZ'!E$125:E$200)</f>
        <v>29161.422989742547</v>
      </c>
      <c r="F68" s="118">
        <f>'Statistics NZ'!F$68*'Economic Forecasts'!H$9*1000000/SUM('Statistics NZ'!F$32:F$107,'Statistics NZ'!F$125:F$200)</f>
        <v>30628.688929362997</v>
      </c>
      <c r="G68" s="118">
        <f>'Statistics NZ'!G$68*'Economic Forecasts'!I$9*1000000/SUM('Statistics NZ'!G$32:G$107,'Statistics NZ'!G$125:G$200)</f>
        <v>31056.265065097345</v>
      </c>
      <c r="H68" s="118">
        <f>'Statistics NZ'!H$68*'Economic Forecasts'!J$9*1000000/SUM('Statistics NZ'!H$32:H$107,'Statistics NZ'!H$125:H$200)</f>
        <v>32454.643713713169</v>
      </c>
      <c r="I68" s="118">
        <f>'Statistics NZ'!I$68*'Economic Forecasts'!K$9*1000000/SUM('Statistics NZ'!I$32:I$107,'Statistics NZ'!I$125:I$200)</f>
        <v>32967.251670529899</v>
      </c>
      <c r="J68" s="203">
        <f>'Statistics NZ'!J$68*'Economic Forecasts'!L$9*1000000/SUM('Statistics NZ'!J$32:J$107,'Statistics NZ'!J$125:J$200)</f>
        <v>33190.62422665253</v>
      </c>
      <c r="K68" s="203">
        <f>'Statistics NZ'!K$68*'Economic Forecasts'!M$9*1000000/SUM('Statistics NZ'!K$32:K$107,'Statistics NZ'!K$125:K$200)</f>
        <v>32620.039048008472</v>
      </c>
      <c r="L68" s="203">
        <f>'Statistics NZ'!L$68*'Economic Forecasts'!N$9*1000000/SUM('Statistics NZ'!L$32:L$107,'Statistics NZ'!L$125:L$200)</f>
        <v>31841.252995513329</v>
      </c>
      <c r="M68" s="203">
        <f>'Statistics NZ'!M$68*'Economic Forecasts'!O$9*1000000/SUM('Statistics NZ'!M$32:M$107,'Statistics NZ'!M$125:M$200)</f>
        <v>31491.656580040348</v>
      </c>
      <c r="N68" s="203">
        <f>'Statistics NZ'!N$68*'Economic Forecasts'!P$9*1000000/SUM('Statistics NZ'!N$32:N$107,'Statistics NZ'!N$125:N$200)</f>
        <v>32151.545628357257</v>
      </c>
      <c r="O68" s="203">
        <f>'Statistics NZ'!O$68*'Economic Forecasts'!Q$9*1000000/SUM('Statistics NZ'!O$32:O$107,'Statistics NZ'!O$125:O$200)</f>
        <v>32812.642453948691</v>
      </c>
      <c r="P68" s="203">
        <f>'Statistics NZ'!P$68*'Economic Forecasts'!R$9*1000000/SUM('Statistics NZ'!P$32:P$107,'Statistics NZ'!P$125:P$200)</f>
        <v>33736.680132313908</v>
      </c>
      <c r="Q68" s="121">
        <f>SUM('Statistics NZ'!Q$68,$L$13/5*(Q$9-Q$10)*1000)*'Economic Forecasts'!S$9*1000000/SUM('Statistics NZ'!Q$32:Q$107,'Statistics NZ'!Q$125:Q$200,SUM($E$13:$Q$14)*(Q$9-Q$10)*1000)</f>
        <v>33604.25246579443</v>
      </c>
      <c r="R68" s="205">
        <f>SUM('Statistics NZ'!R$68,$L$13/5*(R$9-R$10)*1000)*'Economic Forecasts'!T$9*1000000/SUM('Statistics NZ'!R$32:R$107,'Statistics NZ'!R$125:R$200,SUM($E$13:$Q$14)*(R$9-R$10)*1000)</f>
        <v>35102.666039436706</v>
      </c>
      <c r="S68" s="205">
        <f>SUM('Statistics NZ'!S$68,$L$13/5*(S$9-S$10)*1000)*'Economic Forecasts'!U$9*1000000/SUM('Statistics NZ'!S$32:S$107,'Statistics NZ'!S$125:S$200,SUM($E$13:$Q$14)*(S$9-S$10)*1000)</f>
        <v>34697.878923673277</v>
      </c>
      <c r="T68" s="205">
        <f>SUM('Statistics NZ'!T$68,$L$13/5*(T$9-T$10)*1000)*'Economic Forecasts'!V$9*1000000/SUM('Statistics NZ'!T$32:T$107,'Statistics NZ'!T$125:T$200,SUM($E$13:$Q$14)*(T$9-T$10)*1000)</f>
        <v>33429.918832513191</v>
      </c>
      <c r="U68" s="205">
        <f>SUM('Statistics NZ'!U$68,$L$13/5*(U$9-U$10)*1000)*'Economic Forecasts'!W$9*1000000/SUM('Statistics NZ'!U$32:U$107,'Statistics NZ'!U$125:U$200,SUM($E$13:$Q$14)*(U$9-U$10)*1000)</f>
        <v>32710.411761210569</v>
      </c>
      <c r="V68" s="111">
        <f>SUM(U$68,'Statistics NZ'!V$68-'Statistics NZ'!U$68,$L$13/5*(V$9-V$10)*1000)</f>
        <v>31407.854159986276</v>
      </c>
      <c r="W68" s="111">
        <f>SUM(V$68,'Statistics NZ'!W$68-'Statistics NZ'!V$68,$L$13/5*(W$9-W$10)*1000)</f>
        <v>30045.616258915019</v>
      </c>
      <c r="X68" s="111">
        <f>SUM(W$68,'Statistics NZ'!X$68-'Statistics NZ'!W$68,$L$13/5*(X$9-X$10)*1000)</f>
        <v>30223.698057996797</v>
      </c>
      <c r="Y68" s="111">
        <f>SUM(X$68,'Statistics NZ'!Y$68-'Statistics NZ'!X$68,$L$13/5*(Y$9-Y$10)*1000)</f>
        <v>30142.099557231613</v>
      </c>
      <c r="Z68" s="111">
        <f>SUM(Y$68,'Statistics NZ'!Z$68-'Statistics NZ'!Y$68,$L$13/5*(Z$9-Z$10)*1000)</f>
        <v>31110.820756619465</v>
      </c>
      <c r="AA68" s="111">
        <f>SUM(Z$68,'Statistics NZ'!AA$68-'Statistics NZ'!Z$68,$L$13/5*(AA$9-AA$10)*1000)</f>
        <v>31499.861656160356</v>
      </c>
      <c r="AB68" s="111">
        <f>SUM(AA$68,'Statistics NZ'!AB$68-'Statistics NZ'!AA$68,$L$13/5*(AB$9-AB$10)*1000)</f>
        <v>31889.222255854282</v>
      </c>
      <c r="AC68" s="111">
        <f>SUM(AB$68,'Statistics NZ'!AC$68-'Statistics NZ'!AB$68,$L$13/5*(AC$9-AC$10)*1000)</f>
        <v>32978.90255570125</v>
      </c>
      <c r="AD68" s="111">
        <f>SUM(AC$68,'Statistics NZ'!AD$68-'Statistics NZ'!AC$68,$L$13/5*(AD$9-AD$10)*1000)</f>
        <v>33758.90255570125</v>
      </c>
      <c r="AE68" s="111">
        <f>SUM(AD$68,'Statistics NZ'!AE$68-'Statistics NZ'!AD$68,$L$13/5*(AE$9-AE$10)*1000)</f>
        <v>34538.90255570125</v>
      </c>
      <c r="AF68" s="111">
        <f>SUM(AE$68,'Statistics NZ'!AF$68-'Statistics NZ'!AE$68,$L$13/5*(AF$9-AF$10)*1000)</f>
        <v>35338.90255570125</v>
      </c>
      <c r="AG68" s="111">
        <f>SUM(AF$68,'Statistics NZ'!AG$68-'Statistics NZ'!AF$68,$L$13/5*(AG$9-AG$10)*1000)</f>
        <v>35958.90255570125</v>
      </c>
      <c r="AH68" s="111">
        <f>SUM(AG$68,'Statistics NZ'!AH$68-'Statistics NZ'!AG$68,$L$13/5*(AH$9-AH$10)*1000)</f>
        <v>36818.90255570125</v>
      </c>
      <c r="AI68" s="111">
        <f>SUM(AH$68,'Statistics NZ'!AI$68-'Statistics NZ'!AH$68,$L$13/5*(AI$9-AI$10)*1000)</f>
        <v>39298.90255570125</v>
      </c>
      <c r="AJ68" s="111">
        <f>SUM(AI$68,'Statistics NZ'!AJ$68-'Statistics NZ'!AI$68,$L$13/5*(AJ$9-AJ$10)*1000)</f>
        <v>39648.90255570125</v>
      </c>
      <c r="AK68" s="111">
        <f>SUM(AJ$68,'Statistics NZ'!AK$68-'Statistics NZ'!AJ$68,$L$13/5*(AK$9-AK$10)*1000)</f>
        <v>41338.90255570125</v>
      </c>
      <c r="AL68" s="111">
        <f>SUM(AK$68,'Statistics NZ'!AL$68-'Statistics NZ'!AK$68,$L$13/5*(AL$9-AL$10)*1000)</f>
        <v>41918.90255570125</v>
      </c>
      <c r="AM68" s="111">
        <f>SUM(AL$68,'Statistics NZ'!AM$68-'Statistics NZ'!AL$68,$L$13/5*(AM$9-AM$10)*1000)</f>
        <v>41548.90255570125</v>
      </c>
      <c r="AN68" s="111">
        <f>SUM(AM$68,'Statistics NZ'!AN$68-'Statistics NZ'!AM$68,$L$13/5*(AN$9-AN$10)*1000)</f>
        <v>40828.90255570125</v>
      </c>
      <c r="AO68" s="111">
        <f>SUM(AN$68,'Statistics NZ'!AO$68-'Statistics NZ'!AN$68,$L$13/5*(AO$9-AO$10)*1000)</f>
        <v>39618.90255570125</v>
      </c>
      <c r="AP68" s="111">
        <f>SUM(AO$68,'Statistics NZ'!AP$68-'Statistics NZ'!AO$68,$L$13/5*(AP$9-AP$10)*1000)</f>
        <v>39398.90255570125</v>
      </c>
      <c r="AQ68" s="111">
        <f>SUM(AP$68,'Statistics NZ'!AQ$68-'Statistics NZ'!AP$68,$L$13/5*(AQ$9-AQ$10)*1000)</f>
        <v>39018.90255570125</v>
      </c>
      <c r="AR68" s="111">
        <f>SUM(AQ$68,'Statistics NZ'!AR$68-'Statistics NZ'!AQ$68,$L$13/5*(AR$9-AR$10)*1000)</f>
        <v>38658.90255570125</v>
      </c>
      <c r="AS68" s="111">
        <f>SUM(AR$68,'Statistics NZ'!AS$68-'Statistics NZ'!AR$68,$L$13/5*(AS$9-AS$10)*1000)</f>
        <v>38618.90255570125</v>
      </c>
      <c r="AT68" s="111">
        <f>SUM(AS$68,'Statistics NZ'!AT$68-'Statistics NZ'!AS$68,$L$13/5*(AT$9-AT$10)*1000)</f>
        <v>38048.90255570125</v>
      </c>
      <c r="AU68" s="111">
        <f>SUM(AT$68,'Statistics NZ'!AU$68-'Statistics NZ'!AT$68,$L$13/5*(AU$9-AU$10)*1000)</f>
        <v>38818.90255570125</v>
      </c>
      <c r="AV68" s="111">
        <f>SUM(AU$68,'Statistics NZ'!AV$68-'Statistics NZ'!AU$68,$L$13/5*(AV$9-AV$10)*1000)</f>
        <v>38448.90255570125</v>
      </c>
      <c r="AW68" s="111">
        <f>SUM(AV$68,'Statistics NZ'!AW$68-'Statistics NZ'!AV$68,$L$13/5*(AW$9-AW$10)*1000)</f>
        <v>37518.90255570125</v>
      </c>
      <c r="AX68" s="111">
        <f>SUM(AW$68,'Statistics NZ'!AX$68-'Statistics NZ'!AW$68,$L$13/5*(AX$9-AX$10)*1000)</f>
        <v>37188.90255570125</v>
      </c>
      <c r="AY68" s="111">
        <f>SUM(AX$68,'Statistics NZ'!AY$68-'Statistics NZ'!AX$68,$L$13/5*(AY$9-AY$10)*1000)</f>
        <v>37998.90255570125</v>
      </c>
      <c r="AZ68" s="111">
        <f>SUM(AY$68,'Statistics NZ'!AZ$68-'Statistics NZ'!AY$68,$L$13/5*(AZ$9-AZ$10)*1000)</f>
        <v>38148.90255570125</v>
      </c>
      <c r="BA68" s="111">
        <f>SUM(AZ$68,'Statistics NZ'!BA$68-'Statistics NZ'!AZ$68,$L$13/5*(BA$9-BA$10)*1000)</f>
        <v>38958.90255570125</v>
      </c>
      <c r="BB68" s="111">
        <f>SUM(BA$68,'Statistics NZ'!BB$68-'Statistics NZ'!BA$68,$L$13/5*(BB$9-BB$10)*1000)</f>
        <v>40478.90255570125</v>
      </c>
      <c r="BC68" s="111">
        <f>SUM(BB$68,'Statistics NZ'!BC$68-'Statistics NZ'!BB$68,$L$13/5*(BC$9-BC$10)*1000)</f>
        <v>41758.90255570125</v>
      </c>
      <c r="BD68" s="111">
        <f>SUM(BC$68,'Statistics NZ'!BD$68-'Statistics NZ'!BC$68,$L$13/5*(BD$9-BD$10)*1000)</f>
        <v>41608.90255570125</v>
      </c>
      <c r="BE68" s="111">
        <f>SUM(BD$68,'Statistics NZ'!BE$68-'Statistics NZ'!BD$68,$L$13/5*(BE$9-BE$10)*1000)</f>
        <v>42628.90255570125</v>
      </c>
      <c r="BF68" s="111">
        <f>SUM(BE$68,'Statistics NZ'!BF$68-'Statistics NZ'!BE$68,$L$13/5*(BF$9-BF$10)*1000)</f>
        <v>42558.90255570125</v>
      </c>
      <c r="BG68" s="111">
        <f>SUM(BF$68,'Statistics NZ'!BG$68-'Statistics NZ'!BF$68,$L$13/5*(BG$9-BG$10)*1000)</f>
        <v>42458.90255570125</v>
      </c>
      <c r="BH68" s="111">
        <f>SUM(BG$68,'Statistics NZ'!BH$68-'Statistics NZ'!BG$68,$L$13/5*(BH$9-BH$10)*1000)</f>
        <v>42378.90255570125</v>
      </c>
      <c r="BI68" s="111">
        <f>SUM(BH$68,'Statistics NZ'!BI$68-'Statistics NZ'!BH$68,$L$13/5*(BI$9-BI$10)*1000)</f>
        <v>41278.90255570125</v>
      </c>
      <c r="BJ68" s="111">
        <f>SUM(BI$68,'Statistics NZ'!BJ$68-'Statistics NZ'!BI$68,$L$13/5*(BJ$9-BJ$10)*1000)</f>
        <v>41348.90255570125</v>
      </c>
      <c r="BK68" s="111">
        <f>SUM(BJ$68,'Statistics NZ'!BK$68-'Statistics NZ'!BJ$68,$L$13/5*(BK$9-BK$10)*1000)</f>
        <v>40988.90255570125</v>
      </c>
      <c r="BL68" s="111">
        <f>SUM(BK$68,'Statistics NZ'!BL$68-'Statistics NZ'!BK$68,$L$13/5*(BL$9-BL$10)*1000)</f>
        <v>41228.90255570125</v>
      </c>
      <c r="BM68" s="195">
        <f>SUM(BL$68,'Statistics NZ'!BM$68-'Statistics NZ'!BL$68,$L$13/5*(BM$9-BM$10)*1000)</f>
        <v>40428.90255570125</v>
      </c>
      <c r="BN68" s="195">
        <f>SUM(BM$68,'Statistics NZ'!BN$68-'Statistics NZ'!BM$68,$L$13/5*(BN$9-BN$10)*1000)</f>
        <v>40018.90255570125</v>
      </c>
      <c r="BO68" s="195">
        <f>SUM(BN$68,'Statistics NZ'!BO$68-'Statistics NZ'!BN$68,$L$13/5*(BO$9-BO$10)*1000)</f>
        <v>40168.90255570125</v>
      </c>
      <c r="BP68" s="195">
        <f>SUM(BO$68,'Statistics NZ'!BP$68-'Statistics NZ'!BO$68,$L$13/5*(BP$9-BP$10)*1000)</f>
        <v>39618.90255570125</v>
      </c>
      <c r="BQ68" s="195">
        <f>SUM(BP$68,'Statistics NZ'!BQ$68-'Statistics NZ'!BP$68,$L$13/5*(BQ$9-BQ$10)*1000)</f>
        <v>39598.90255570125</v>
      </c>
    </row>
    <row r="69" spans="1:69">
      <c r="A69" s="105">
        <v>52</v>
      </c>
      <c r="B69" s="118">
        <f>'Statistics NZ'!B$69*'Economic Forecasts'!D$9*1000000/SUM('Statistics NZ'!B$32:B$107,'Statistics NZ'!B$125:B$200)</f>
        <v>26380.776259586444</v>
      </c>
      <c r="C69" s="118">
        <f>'Statistics NZ'!C$69*'Economic Forecasts'!E$9*1000000/SUM('Statistics NZ'!C$32:C$107,'Statistics NZ'!C$125:C$200)</f>
        <v>27041.583377343544</v>
      </c>
      <c r="D69" s="118">
        <f>'Statistics NZ'!D$69*'Economic Forecasts'!F$9*1000000/SUM('Statistics NZ'!D$32:D$107,'Statistics NZ'!D$125:D$200)</f>
        <v>27951.911516419757</v>
      </c>
      <c r="E69" s="118">
        <f>'Statistics NZ'!E$69*'Economic Forecasts'!G$9*1000000/SUM('Statistics NZ'!E$32:E$107,'Statistics NZ'!E$125:E$200)</f>
        <v>28531.118676556624</v>
      </c>
      <c r="F69" s="118">
        <f>'Statistics NZ'!F$69*'Economic Forecasts'!H$9*1000000/SUM('Statistics NZ'!F$32:F$107,'Statistics NZ'!F$125:F$200)</f>
        <v>29131.242574501892</v>
      </c>
      <c r="G69" s="118">
        <f>'Statistics NZ'!G$69*'Economic Forecasts'!I$9*1000000/SUM('Statistics NZ'!G$32:G$107,'Statistics NZ'!G$125:G$200)</f>
        <v>30514.356886613728</v>
      </c>
      <c r="H69" s="118">
        <f>'Statistics NZ'!H$69*'Economic Forecasts'!J$9*1000000/SUM('Statistics NZ'!H$32:H$107,'Statistics NZ'!H$125:H$200)</f>
        <v>30868.847768976353</v>
      </c>
      <c r="I69" s="118">
        <f>'Statistics NZ'!I$69*'Economic Forecasts'!K$9*1000000/SUM('Statistics NZ'!I$32:I$107,'Statistics NZ'!I$125:I$200)</f>
        <v>32248.860813231786</v>
      </c>
      <c r="J69" s="203">
        <f>'Statistics NZ'!J$69*'Economic Forecasts'!L$9*1000000/SUM('Statistics NZ'!J$32:J$107,'Statistics NZ'!J$125:J$200)</f>
        <v>32915.428053023199</v>
      </c>
      <c r="K69" s="203">
        <f>'Statistics NZ'!K$69*'Economic Forecasts'!M$9*1000000/SUM('Statistics NZ'!K$32:K$107,'Statistics NZ'!K$125:K$200)</f>
        <v>33239.033764883323</v>
      </c>
      <c r="L69" s="203">
        <f>'Statistics NZ'!L$69*'Economic Forecasts'!N$9*1000000/SUM('Statistics NZ'!L$32:L$107,'Statistics NZ'!L$125:L$200)</f>
        <v>32776.891422538924</v>
      </c>
      <c r="M69" s="203">
        <f>'Statistics NZ'!M$69*'Economic Forecasts'!O$9*1000000/SUM('Statistics NZ'!M$32:M$107,'Statistics NZ'!M$125:M$200)</f>
        <v>31944.773940904237</v>
      </c>
      <c r="N69" s="203">
        <f>'Statistics NZ'!N$69*'Economic Forecasts'!P$9*1000000/SUM('Statistics NZ'!N$32:N$107,'Statistics NZ'!N$125:N$200)</f>
        <v>31608.778590432259</v>
      </c>
      <c r="O69" s="203">
        <f>'Statistics NZ'!O$69*'Economic Forecasts'!Q$9*1000000/SUM('Statistics NZ'!O$32:O$107,'Statistics NZ'!O$125:O$200)</f>
        <v>32111.981517338059</v>
      </c>
      <c r="P69" s="203">
        <f>'Statistics NZ'!P$69*'Economic Forecasts'!R$9*1000000/SUM('Statistics NZ'!P$32:P$107,'Statistics NZ'!P$125:P$200)</f>
        <v>33104.796161442362</v>
      </c>
      <c r="Q69" s="121">
        <f>SUM('Statistics NZ'!Q$69,$L$13/5*(Q$9-Q$10)*1000)*'Economic Forecasts'!S$9*1000000/SUM('Statistics NZ'!Q$32:Q$107,'Statistics NZ'!Q$125:Q$200,SUM($E$13:$Q$14)*(Q$9-Q$10)*1000)</f>
        <v>33762.435235786303</v>
      </c>
      <c r="R69" s="205">
        <f>SUM('Statistics NZ'!R$69,$L$13/5*(R$9-R$10)*1000)*'Economic Forecasts'!T$9*1000000/SUM('Statistics NZ'!R$32:R$107,'Statistics NZ'!R$125:R$200,SUM($E$13:$Q$14)*(R$9-R$10)*1000)</f>
        <v>33590.233636331955</v>
      </c>
      <c r="S69" s="205">
        <f>SUM('Statistics NZ'!S$69,$L$13/5*(S$9-S$10)*1000)*'Economic Forecasts'!U$9*1000000/SUM('Statistics NZ'!S$32:S$107,'Statistics NZ'!S$125:S$200,SUM($E$13:$Q$14)*(S$9-S$10)*1000)</f>
        <v>35073.314972020598</v>
      </c>
      <c r="T69" s="205">
        <f>SUM('Statistics NZ'!T$69,$L$13/5*(T$9-T$10)*1000)*'Economic Forecasts'!V$9*1000000/SUM('Statistics NZ'!T$32:T$107,'Statistics NZ'!T$125:T$200,SUM($E$13:$Q$14)*(T$9-T$10)*1000)</f>
        <v>34595.674378715856</v>
      </c>
      <c r="U69" s="205">
        <f>SUM('Statistics NZ'!U$69,$L$13/5*(U$9-U$10)*1000)*'Economic Forecasts'!W$9*1000000/SUM('Statistics NZ'!U$32:U$107,'Statistics NZ'!U$125:U$200,SUM($E$13:$Q$14)*(U$9-U$10)*1000)</f>
        <v>33373.184149354391</v>
      </c>
      <c r="V69" s="111">
        <f>SUM(U$69,'Statistics NZ'!V$69-'Statistics NZ'!U$69,$L$13/5*(V$9-V$10)*1000)</f>
        <v>32610.626548130098</v>
      </c>
      <c r="W69" s="111">
        <f>SUM(V$69,'Statistics NZ'!W$69-'Statistics NZ'!V$69,$L$13/5*(W$9-W$10)*1000)</f>
        <v>31308.38864705884</v>
      </c>
      <c r="X69" s="111">
        <f>SUM(W$69,'Statistics NZ'!X$69-'Statistics NZ'!W$69,$L$13/5*(X$9-X$10)*1000)</f>
        <v>29946.470446140618</v>
      </c>
      <c r="Y69" s="111">
        <f>SUM(X$69,'Statistics NZ'!Y$69-'Statistics NZ'!X$69,$L$13/5*(Y$9-Y$10)*1000)</f>
        <v>30134.871945375435</v>
      </c>
      <c r="Z69" s="111">
        <f>SUM(Y$69,'Statistics NZ'!Z$69-'Statistics NZ'!Y$69,$L$13/5*(Z$9-Z$10)*1000)</f>
        <v>30043.593144763287</v>
      </c>
      <c r="AA69" s="111">
        <f>SUM(Z$69,'Statistics NZ'!AA$69-'Statistics NZ'!Z$69,$L$13/5*(AA$9-AA$10)*1000)</f>
        <v>31012.634044304177</v>
      </c>
      <c r="AB69" s="111">
        <f>SUM(AA$69,'Statistics NZ'!AB$69-'Statistics NZ'!AA$69,$L$13/5*(AB$9-AB$10)*1000)</f>
        <v>31401.994643998103</v>
      </c>
      <c r="AC69" s="111">
        <f>SUM(AB$69,'Statistics NZ'!AC$69-'Statistics NZ'!AB$69,$L$13/5*(AC$9-AC$10)*1000)</f>
        <v>31791.674943845068</v>
      </c>
      <c r="AD69" s="111">
        <f>SUM(AC$69,'Statistics NZ'!AD$69-'Statistics NZ'!AC$69,$L$13/5*(AD$9-AD$10)*1000)</f>
        <v>32881.674943845064</v>
      </c>
      <c r="AE69" s="111">
        <f>SUM(AD$69,'Statistics NZ'!AE$69-'Statistics NZ'!AD$69,$L$13/5*(AE$9-AE$10)*1000)</f>
        <v>33671.674943845064</v>
      </c>
      <c r="AF69" s="111">
        <f>SUM(AE$69,'Statistics NZ'!AF$69-'Statistics NZ'!AE$69,$L$13/5*(AF$9-AF$10)*1000)</f>
        <v>34451.674943845064</v>
      </c>
      <c r="AG69" s="111">
        <f>SUM(AF$69,'Statistics NZ'!AG$69-'Statistics NZ'!AF$69,$L$13/5*(AG$9-AG$10)*1000)</f>
        <v>35241.674943845064</v>
      </c>
      <c r="AH69" s="111">
        <f>SUM(AG$69,'Statistics NZ'!AH$69-'Statistics NZ'!AG$69,$L$13/5*(AH$9-AH$10)*1000)</f>
        <v>35861.674943845064</v>
      </c>
      <c r="AI69" s="111">
        <f>SUM(AH$69,'Statistics NZ'!AI$69-'Statistics NZ'!AH$69,$L$13/5*(AI$9-AI$10)*1000)</f>
        <v>36721.674943845064</v>
      </c>
      <c r="AJ69" s="111">
        <f>SUM(AI$69,'Statistics NZ'!AJ$69-'Statistics NZ'!AI$69,$L$13/5*(AJ$9-AJ$10)*1000)</f>
        <v>39201.674943845064</v>
      </c>
      <c r="AK69" s="111">
        <f>SUM(AJ$69,'Statistics NZ'!AK$69-'Statistics NZ'!AJ$69,$L$13/5*(AK$9-AK$10)*1000)</f>
        <v>39551.674943845064</v>
      </c>
      <c r="AL69" s="111">
        <f>SUM(AK$69,'Statistics NZ'!AL$69-'Statistics NZ'!AK$69,$L$13/5*(AL$9-AL$10)*1000)</f>
        <v>41231.674943845064</v>
      </c>
      <c r="AM69" s="111">
        <f>SUM(AL$69,'Statistics NZ'!AM$69-'Statistics NZ'!AL$69,$L$13/5*(AM$9-AM$10)*1000)</f>
        <v>41821.674943845064</v>
      </c>
      <c r="AN69" s="111">
        <f>SUM(AM$69,'Statistics NZ'!AN$69-'Statistics NZ'!AM$69,$L$13/5*(AN$9-AN$10)*1000)</f>
        <v>41451.674943845064</v>
      </c>
      <c r="AO69" s="111">
        <f>SUM(AN$69,'Statistics NZ'!AO$69-'Statistics NZ'!AN$69,$L$13/5*(AO$9-AO$10)*1000)</f>
        <v>40741.674943845064</v>
      </c>
      <c r="AP69" s="111">
        <f>SUM(AO$69,'Statistics NZ'!AP$69-'Statistics NZ'!AO$69,$L$13/5*(AP$9-AP$10)*1000)</f>
        <v>39531.674943845064</v>
      </c>
      <c r="AQ69" s="111">
        <f>SUM(AP$69,'Statistics NZ'!AQ$69-'Statistics NZ'!AP$69,$L$13/5*(AQ$9-AQ$10)*1000)</f>
        <v>39301.674943845064</v>
      </c>
      <c r="AR69" s="111">
        <f>SUM(AQ$69,'Statistics NZ'!AR$69-'Statistics NZ'!AQ$69,$L$13/5*(AR$9-AR$10)*1000)</f>
        <v>38931.674943845064</v>
      </c>
      <c r="AS69" s="111">
        <f>SUM(AR$69,'Statistics NZ'!AS$69-'Statistics NZ'!AR$69,$L$13/5*(AS$9-AS$10)*1000)</f>
        <v>38571.674943845064</v>
      </c>
      <c r="AT69" s="111">
        <f>SUM(AS$69,'Statistics NZ'!AT$69-'Statistics NZ'!AS$69,$L$13/5*(AT$9-AT$10)*1000)</f>
        <v>38531.674943845064</v>
      </c>
      <c r="AU69" s="111">
        <f>SUM(AT$69,'Statistics NZ'!AU$69-'Statistics NZ'!AT$69,$L$13/5*(AU$9-AU$10)*1000)</f>
        <v>37961.674943845064</v>
      </c>
      <c r="AV69" s="111">
        <f>SUM(AU$69,'Statistics NZ'!AV$69-'Statistics NZ'!AU$69,$L$13/5*(AV$9-AV$10)*1000)</f>
        <v>38731.674943845064</v>
      </c>
      <c r="AW69" s="111">
        <f>SUM(AV$69,'Statistics NZ'!AW$69-'Statistics NZ'!AV$69,$L$13/5*(AW$9-AW$10)*1000)</f>
        <v>38371.674943845064</v>
      </c>
      <c r="AX69" s="111">
        <f>SUM(AW$69,'Statistics NZ'!AX$69-'Statistics NZ'!AW$69,$L$13/5*(AX$9-AX$10)*1000)</f>
        <v>37441.674943845064</v>
      </c>
      <c r="AY69" s="111">
        <f>SUM(AX$69,'Statistics NZ'!AY$69-'Statistics NZ'!AX$69,$L$13/5*(AY$9-AY$10)*1000)</f>
        <v>37101.674943845064</v>
      </c>
      <c r="AZ69" s="111">
        <f>SUM(AY$69,'Statistics NZ'!AZ$69-'Statistics NZ'!AY$69,$L$13/5*(AZ$9-AZ$10)*1000)</f>
        <v>37921.674943845064</v>
      </c>
      <c r="BA69" s="111">
        <f>SUM(AZ$69,'Statistics NZ'!BA$69-'Statistics NZ'!AZ$69,$L$13/5*(BA$9-BA$10)*1000)</f>
        <v>38061.674943845064</v>
      </c>
      <c r="BB69" s="111">
        <f>SUM(BA$69,'Statistics NZ'!BB$69-'Statistics NZ'!BA$69,$L$13/5*(BB$9-BB$10)*1000)</f>
        <v>38871.674943845064</v>
      </c>
      <c r="BC69" s="111">
        <f>SUM(BB$69,'Statistics NZ'!BC$69-'Statistics NZ'!BB$69,$L$13/5*(BC$9-BC$10)*1000)</f>
        <v>40401.674943845064</v>
      </c>
      <c r="BD69" s="111">
        <f>SUM(BC$69,'Statistics NZ'!BD$69-'Statistics NZ'!BC$69,$L$13/5*(BD$9-BD$10)*1000)</f>
        <v>41681.674943845064</v>
      </c>
      <c r="BE69" s="111">
        <f>SUM(BD$69,'Statistics NZ'!BE$69-'Statistics NZ'!BD$69,$L$13/5*(BE$9-BE$10)*1000)</f>
        <v>41521.674943845064</v>
      </c>
      <c r="BF69" s="111">
        <f>SUM(BE$69,'Statistics NZ'!BF$69-'Statistics NZ'!BE$69,$L$13/5*(BF$9-BF$10)*1000)</f>
        <v>42541.674943845064</v>
      </c>
      <c r="BG69" s="111">
        <f>SUM(BF$69,'Statistics NZ'!BG$69-'Statistics NZ'!BF$69,$L$13/5*(BG$9-BG$10)*1000)</f>
        <v>42471.674943845064</v>
      </c>
      <c r="BH69" s="111">
        <f>SUM(BG$69,'Statistics NZ'!BH$69-'Statistics NZ'!BG$69,$L$13/5*(BH$9-BH$10)*1000)</f>
        <v>42381.674943845064</v>
      </c>
      <c r="BI69" s="111">
        <f>SUM(BH$69,'Statistics NZ'!BI$69-'Statistics NZ'!BH$69,$L$13/5*(BI$9-BI$10)*1000)</f>
        <v>42291.674943845064</v>
      </c>
      <c r="BJ69" s="111">
        <f>SUM(BI$69,'Statistics NZ'!BJ$69-'Statistics NZ'!BI$69,$L$13/5*(BJ$9-BJ$10)*1000)</f>
        <v>41201.674943845064</v>
      </c>
      <c r="BK69" s="111">
        <f>SUM(BJ$69,'Statistics NZ'!BK$69-'Statistics NZ'!BJ$69,$L$13/5*(BK$9-BK$10)*1000)</f>
        <v>41271.674943845064</v>
      </c>
      <c r="BL69" s="111">
        <f>SUM(BK$69,'Statistics NZ'!BL$69-'Statistics NZ'!BK$69,$L$13/5*(BL$9-BL$10)*1000)</f>
        <v>40911.674943845064</v>
      </c>
      <c r="BM69" s="195">
        <f>SUM(BL$69,'Statistics NZ'!BM$69-'Statistics NZ'!BL$69,$L$13/5*(BM$9-BM$10)*1000)</f>
        <v>41161.674943845064</v>
      </c>
      <c r="BN69" s="195">
        <f>SUM(BM$69,'Statistics NZ'!BN$69-'Statistics NZ'!BM$69,$L$13/5*(BN$9-BN$10)*1000)</f>
        <v>40351.674943845064</v>
      </c>
      <c r="BO69" s="195">
        <f>SUM(BN$69,'Statistics NZ'!BO$69-'Statistics NZ'!BN$69,$L$13/5*(BO$9-BO$10)*1000)</f>
        <v>39941.674943845064</v>
      </c>
      <c r="BP69" s="195">
        <f>SUM(BO$69,'Statistics NZ'!BP$69-'Statistics NZ'!BO$69,$L$13/5*(BP$9-BP$10)*1000)</f>
        <v>40101.674943845064</v>
      </c>
      <c r="BQ69" s="195">
        <f>SUM(BP$69,'Statistics NZ'!BQ$69-'Statistics NZ'!BP$69,$L$13/5*(BQ$9-BQ$10)*1000)</f>
        <v>39551.674943845064</v>
      </c>
    </row>
    <row r="70" spans="1:69">
      <c r="A70" s="105">
        <v>53</v>
      </c>
      <c r="B70" s="118">
        <f>'Statistics NZ'!B$70*'Economic Forecasts'!D$9*1000000/SUM('Statistics NZ'!B$32:B$107,'Statistics NZ'!B$125:B$200)</f>
        <v>25228.218073488006</v>
      </c>
      <c r="C70" s="118">
        <f>'Statistics NZ'!C$70*'Economic Forecasts'!E$9*1000000/SUM('Statistics NZ'!C$32:C$107,'Statistics NZ'!C$125:C$200)</f>
        <v>26331.778782677582</v>
      </c>
      <c r="D70" s="118">
        <f>'Statistics NZ'!D$70*'Economic Forecasts'!F$9*1000000/SUM('Statistics NZ'!D$32:D$107,'Statistics NZ'!D$125:D$200)</f>
        <v>26956.444992033863</v>
      </c>
      <c r="E70" s="118">
        <f>'Statistics NZ'!E$70*'Economic Forecasts'!G$9*1000000/SUM('Statistics NZ'!E$32:E$107,'Statistics NZ'!E$125:E$200)</f>
        <v>27841.723334009519</v>
      </c>
      <c r="F70" s="118">
        <f>'Statistics NZ'!F$70*'Economic Forecasts'!H$9*1000000/SUM('Statistics NZ'!F$32:F$107,'Statistics NZ'!F$125:F$200)</f>
        <v>28540.145329161976</v>
      </c>
      <c r="G70" s="118">
        <f>'Statistics NZ'!G$70*'Economic Forecasts'!I$9*1000000/SUM('Statistics NZ'!G$32:G$107,'Statistics NZ'!G$125:G$200)</f>
        <v>28977.308234914744</v>
      </c>
      <c r="H70" s="118">
        <f>'Statistics NZ'!H$70*'Economic Forecasts'!J$9*1000000/SUM('Statistics NZ'!H$32:H$107,'Statistics NZ'!H$125:H$200)</f>
        <v>30366.51489207214</v>
      </c>
      <c r="I70" s="118">
        <f>'Statistics NZ'!I$70*'Economic Forecasts'!K$9*1000000/SUM('Statistics NZ'!I$32:I$107,'Statistics NZ'!I$125:I$200)</f>
        <v>30743.192304100121</v>
      </c>
      <c r="J70" s="203">
        <f>'Statistics NZ'!J$70*'Economic Forecasts'!L$9*1000000/SUM('Statistics NZ'!J$32:J$107,'Statistics NZ'!J$125:J$200)</f>
        <v>32178.295445087471</v>
      </c>
      <c r="K70" s="203">
        <f>'Statistics NZ'!K$70*'Economic Forecasts'!M$9*1000000/SUM('Statistics NZ'!K$32:K$107,'Statistics NZ'!K$125:K$200)</f>
        <v>32924.623749962768</v>
      </c>
      <c r="L70" s="203">
        <f>'Statistics NZ'!L$70*'Economic Forecasts'!N$9*1000000/SUM('Statistics NZ'!L$32:L$107,'Statistics NZ'!L$125:L$200)</f>
        <v>33436.762734230666</v>
      </c>
      <c r="M70" s="203">
        <f>'Statistics NZ'!M$70*'Economic Forecasts'!O$9*1000000/SUM('Statistics NZ'!M$32:M$107,'Statistics NZ'!M$125:M$200)</f>
        <v>32860.859040042102</v>
      </c>
      <c r="N70" s="203">
        <f>'Statistics NZ'!N$70*'Economic Forecasts'!P$9*1000000/SUM('Statistics NZ'!N$32:N$107,'Statistics NZ'!N$125:N$200)</f>
        <v>32131.808645159985</v>
      </c>
      <c r="O70" s="203">
        <f>'Statistics NZ'!O$70*'Economic Forecasts'!Q$9*1000000/SUM('Statistics NZ'!O$32:O$107,'Statistics NZ'!O$125:O$200)</f>
        <v>31628.426786437762</v>
      </c>
      <c r="P70" s="203">
        <f>'Statistics NZ'!P$70*'Economic Forecasts'!R$9*1000000/SUM('Statistics NZ'!P$32:P$107,'Statistics NZ'!P$125:P$200)</f>
        <v>32374.180320122134</v>
      </c>
      <c r="Q70" s="121">
        <f>SUM('Statistics NZ'!Q$70,$L$13/5*(Q$9-Q$10)*1000)*'Economic Forecasts'!S$9*1000000/SUM('Statistics NZ'!Q$32:Q$107,'Statistics NZ'!Q$125:Q$200,SUM($E$13:$Q$14)*(Q$9-Q$10)*1000)</f>
        <v>33129.70415581877</v>
      </c>
      <c r="R70" s="205">
        <f>SUM('Statistics NZ'!R$70,$L$13/5*(R$9-R$10)*1000)*'Economic Forecasts'!T$9*1000000/SUM('Statistics NZ'!R$32:R$107,'Statistics NZ'!R$125:R$200,SUM($E$13:$Q$14)*(R$9-R$10)*1000)</f>
        <v>33738.511322910847</v>
      </c>
      <c r="S70" s="205">
        <f>SUM('Statistics NZ'!S$70,$L$13/5*(S$9-S$10)*1000)*'Economic Forecasts'!U$9*1000000/SUM('Statistics NZ'!S$32:S$107,'Statistics NZ'!S$125:S$200,SUM($E$13:$Q$14)*(S$9-S$10)*1000)</f>
        <v>33561.690882622162</v>
      </c>
      <c r="T70" s="205">
        <f>SUM('Statistics NZ'!T$70,$L$13/5*(T$9-T$10)*1000)*'Economic Forecasts'!V$9*1000000/SUM('Statistics NZ'!T$32:T$107,'Statistics NZ'!T$125:T$200,SUM($E$13:$Q$14)*(T$9-T$10)*1000)</f>
        <v>34980.966466020123</v>
      </c>
      <c r="U70" s="205">
        <f>SUM('Statistics NZ'!U$70,$L$13/5*(U$9-U$10)*1000)*'Economic Forecasts'!W$9*1000000/SUM('Statistics NZ'!U$32:U$107,'Statistics NZ'!U$125:U$200,SUM($E$13:$Q$14)*(U$9-U$10)*1000)</f>
        <v>34550.347047699397</v>
      </c>
      <c r="V70" s="111">
        <f>SUM(U$70,'Statistics NZ'!V$70-'Statistics NZ'!U$70,$L$13/5*(V$9-V$10)*1000)</f>
        <v>33267.789446475101</v>
      </c>
      <c r="W70" s="111">
        <f>SUM(V$70,'Statistics NZ'!W$70-'Statistics NZ'!V$70,$L$13/5*(W$9-W$10)*1000)</f>
        <v>32505.551545403843</v>
      </c>
      <c r="X70" s="111">
        <f>SUM(W$70,'Statistics NZ'!X$70-'Statistics NZ'!W$70,$L$13/5*(X$9-X$10)*1000)</f>
        <v>31213.633344485621</v>
      </c>
      <c r="Y70" s="111">
        <f>SUM(X$70,'Statistics NZ'!Y$70-'Statistics NZ'!X$70,$L$13/5*(Y$9-Y$10)*1000)</f>
        <v>29862.034843720437</v>
      </c>
      <c r="Z70" s="111">
        <f>SUM(Y$70,'Statistics NZ'!Z$70-'Statistics NZ'!Y$70,$L$13/5*(Z$9-Z$10)*1000)</f>
        <v>30040.756043108289</v>
      </c>
      <c r="AA70" s="111">
        <f>SUM(Z$70,'Statistics NZ'!AA$70-'Statistics NZ'!Z$70,$L$13/5*(AA$9-AA$10)*1000)</f>
        <v>29959.79694264918</v>
      </c>
      <c r="AB70" s="111">
        <f>SUM(AA$70,'Statistics NZ'!AB$70-'Statistics NZ'!AA$70,$L$13/5*(AB$9-AB$10)*1000)</f>
        <v>30929.157542343106</v>
      </c>
      <c r="AC70" s="111">
        <f>SUM(AB$70,'Statistics NZ'!AC$70-'Statistics NZ'!AB$70,$L$13/5*(AC$9-AC$10)*1000)</f>
        <v>31318.837842190071</v>
      </c>
      <c r="AD70" s="111">
        <f>SUM(AC$70,'Statistics NZ'!AD$70-'Statistics NZ'!AC$70,$L$13/5*(AD$9-AD$10)*1000)</f>
        <v>31708.837842190071</v>
      </c>
      <c r="AE70" s="111">
        <f>SUM(AD$70,'Statistics NZ'!AE$70-'Statistics NZ'!AD$70,$L$13/5*(AE$9-AE$10)*1000)</f>
        <v>32798.837842190071</v>
      </c>
      <c r="AF70" s="111">
        <f>SUM(AE$70,'Statistics NZ'!AF$70-'Statistics NZ'!AE$70,$L$13/5*(AF$9-AF$10)*1000)</f>
        <v>33578.837842190071</v>
      </c>
      <c r="AG70" s="111">
        <f>SUM(AF$70,'Statistics NZ'!AG$70-'Statistics NZ'!AF$70,$L$13/5*(AG$9-AG$10)*1000)</f>
        <v>34358.837842190071</v>
      </c>
      <c r="AH70" s="111">
        <f>SUM(AG$70,'Statistics NZ'!AH$70-'Statistics NZ'!AG$70,$L$13/5*(AH$9-AH$10)*1000)</f>
        <v>35158.837842190071</v>
      </c>
      <c r="AI70" s="111">
        <f>SUM(AH$70,'Statistics NZ'!AI$70-'Statistics NZ'!AH$70,$L$13/5*(AI$9-AI$10)*1000)</f>
        <v>35778.837842190071</v>
      </c>
      <c r="AJ70" s="111">
        <f>SUM(AI$70,'Statistics NZ'!AJ$70-'Statistics NZ'!AI$70,$L$13/5*(AJ$9-AJ$10)*1000)</f>
        <v>36628.837842190071</v>
      </c>
      <c r="AK70" s="111">
        <f>SUM(AJ$70,'Statistics NZ'!AK$70-'Statistics NZ'!AJ$70,$L$13/5*(AK$9-AK$10)*1000)</f>
        <v>39118.837842190071</v>
      </c>
      <c r="AL70" s="111">
        <f>SUM(AK$70,'Statistics NZ'!AL$70-'Statistics NZ'!AK$70,$L$13/5*(AL$9-AL$10)*1000)</f>
        <v>39458.837842190071</v>
      </c>
      <c r="AM70" s="111">
        <f>SUM(AL$70,'Statistics NZ'!AM$70-'Statistics NZ'!AL$70,$L$13/5*(AM$9-AM$10)*1000)</f>
        <v>41148.837842190071</v>
      </c>
      <c r="AN70" s="111">
        <f>SUM(AM$70,'Statistics NZ'!AN$70-'Statistics NZ'!AM$70,$L$13/5*(AN$9-AN$10)*1000)</f>
        <v>41728.837842190071</v>
      </c>
      <c r="AO70" s="111">
        <f>SUM(AN$70,'Statistics NZ'!AO$70-'Statistics NZ'!AN$70,$L$13/5*(AO$9-AO$10)*1000)</f>
        <v>41358.837842190071</v>
      </c>
      <c r="AP70" s="111">
        <f>SUM(AO$70,'Statistics NZ'!AP$70-'Statistics NZ'!AO$70,$L$13/5*(AP$9-AP$10)*1000)</f>
        <v>40648.837842190071</v>
      </c>
      <c r="AQ70" s="111">
        <f>SUM(AP$70,'Statistics NZ'!AQ$70-'Statistics NZ'!AP$70,$L$13/5*(AQ$9-AQ$10)*1000)</f>
        <v>39448.837842190071</v>
      </c>
      <c r="AR70" s="111">
        <f>SUM(AQ$70,'Statistics NZ'!AR$70-'Statistics NZ'!AQ$70,$L$13/5*(AR$9-AR$10)*1000)</f>
        <v>39218.837842190071</v>
      </c>
      <c r="AS70" s="111">
        <f>SUM(AR$70,'Statistics NZ'!AS$70-'Statistics NZ'!AR$70,$L$13/5*(AS$9-AS$10)*1000)</f>
        <v>38848.837842190071</v>
      </c>
      <c r="AT70" s="111">
        <f>SUM(AS$70,'Statistics NZ'!AT$70-'Statistics NZ'!AS$70,$L$13/5*(AT$9-AT$10)*1000)</f>
        <v>38488.837842190071</v>
      </c>
      <c r="AU70" s="111">
        <f>SUM(AT$70,'Statistics NZ'!AU$70-'Statistics NZ'!AT$70,$L$13/5*(AU$9-AU$10)*1000)</f>
        <v>38458.837842190071</v>
      </c>
      <c r="AV70" s="111">
        <f>SUM(AU$70,'Statistics NZ'!AV$70-'Statistics NZ'!AU$70,$L$13/5*(AV$9-AV$10)*1000)</f>
        <v>37888.837842190071</v>
      </c>
      <c r="AW70" s="111">
        <f>SUM(AV$70,'Statistics NZ'!AW$70-'Statistics NZ'!AV$70,$L$13/5*(AW$9-AW$10)*1000)</f>
        <v>38658.837842190071</v>
      </c>
      <c r="AX70" s="111">
        <f>SUM(AW$70,'Statistics NZ'!AX$70-'Statistics NZ'!AW$70,$L$13/5*(AX$9-AX$10)*1000)</f>
        <v>38288.837842190071</v>
      </c>
      <c r="AY70" s="111">
        <f>SUM(AX$70,'Statistics NZ'!AY$70-'Statistics NZ'!AX$70,$L$13/5*(AY$9-AY$10)*1000)</f>
        <v>37358.837842190071</v>
      </c>
      <c r="AZ70" s="111">
        <f>SUM(AY$70,'Statistics NZ'!AZ$70-'Statistics NZ'!AY$70,$L$13/5*(AZ$9-AZ$10)*1000)</f>
        <v>37028.837842190071</v>
      </c>
      <c r="BA70" s="111">
        <f>SUM(AZ$70,'Statistics NZ'!BA$70-'Statistics NZ'!AZ$70,$L$13/5*(BA$9-BA$10)*1000)</f>
        <v>37848.837842190071</v>
      </c>
      <c r="BB70" s="111">
        <f>SUM(BA$70,'Statistics NZ'!BB$70-'Statistics NZ'!BA$70,$L$13/5*(BB$9-BB$10)*1000)</f>
        <v>37988.837842190071</v>
      </c>
      <c r="BC70" s="111">
        <f>SUM(BB$70,'Statistics NZ'!BC$70-'Statistics NZ'!BB$70,$L$13/5*(BC$9-BC$10)*1000)</f>
        <v>38798.837842190071</v>
      </c>
      <c r="BD70" s="111">
        <f>SUM(BC$70,'Statistics NZ'!BD$70-'Statistics NZ'!BC$70,$L$13/5*(BD$9-BD$10)*1000)</f>
        <v>40328.837842190071</v>
      </c>
      <c r="BE70" s="111">
        <f>SUM(BD$70,'Statistics NZ'!BE$70-'Statistics NZ'!BD$70,$L$13/5*(BE$9-BE$10)*1000)</f>
        <v>41608.837842190071</v>
      </c>
      <c r="BF70" s="111">
        <f>SUM(BE$70,'Statistics NZ'!BF$70-'Statistics NZ'!BE$70,$L$13/5*(BF$9-BF$10)*1000)</f>
        <v>41448.837842190071</v>
      </c>
      <c r="BG70" s="111">
        <f>SUM(BF$70,'Statistics NZ'!BG$70-'Statistics NZ'!BF$70,$L$13/5*(BG$9-BG$10)*1000)</f>
        <v>42468.837842190071</v>
      </c>
      <c r="BH70" s="111">
        <f>SUM(BG$70,'Statistics NZ'!BH$70-'Statistics NZ'!BG$70,$L$13/5*(BH$9-BH$10)*1000)</f>
        <v>42398.837842190071</v>
      </c>
      <c r="BI70" s="111">
        <f>SUM(BH$70,'Statistics NZ'!BI$70-'Statistics NZ'!BH$70,$L$13/5*(BI$9-BI$10)*1000)</f>
        <v>42308.837842190071</v>
      </c>
      <c r="BJ70" s="111">
        <f>SUM(BI$70,'Statistics NZ'!BJ$70-'Statistics NZ'!BI$70,$L$13/5*(BJ$9-BJ$10)*1000)</f>
        <v>42228.837842190071</v>
      </c>
      <c r="BK70" s="111">
        <f>SUM(BJ$70,'Statistics NZ'!BK$70-'Statistics NZ'!BJ$70,$L$13/5*(BK$9-BK$10)*1000)</f>
        <v>41138.837842190071</v>
      </c>
      <c r="BL70" s="111">
        <f>SUM(BK$70,'Statistics NZ'!BL$70-'Statistics NZ'!BK$70,$L$13/5*(BL$9-BL$10)*1000)</f>
        <v>41198.837842190071</v>
      </c>
      <c r="BM70" s="195">
        <f>SUM(BL$70,'Statistics NZ'!BM$70-'Statistics NZ'!BL$70,$L$13/5*(BM$9-BM$10)*1000)</f>
        <v>40848.837842190071</v>
      </c>
      <c r="BN70" s="195">
        <f>SUM(BM$70,'Statistics NZ'!BN$70-'Statistics NZ'!BM$70,$L$13/5*(BN$9-BN$10)*1000)</f>
        <v>41088.837842190071</v>
      </c>
      <c r="BO70" s="195">
        <f>SUM(BN$70,'Statistics NZ'!BO$70-'Statistics NZ'!BN$70,$L$13/5*(BO$9-BO$10)*1000)</f>
        <v>40288.837842190071</v>
      </c>
      <c r="BP70" s="195">
        <f>SUM(BO$70,'Statistics NZ'!BP$70-'Statistics NZ'!BO$70,$L$13/5*(BP$9-BP$10)*1000)</f>
        <v>39878.837842190071</v>
      </c>
      <c r="BQ70" s="195">
        <f>SUM(BP$70,'Statistics NZ'!BQ$70-'Statistics NZ'!BP$70,$L$13/5*(BQ$9-BQ$10)*1000)</f>
        <v>40038.837842190071</v>
      </c>
    </row>
    <row r="71" spans="1:69">
      <c r="A71" s="105">
        <v>54</v>
      </c>
      <c r="B71" s="118">
        <f>'Statistics NZ'!B$71*'Economic Forecasts'!D$9*1000000/SUM('Statistics NZ'!B$32:B$107,'Statistics NZ'!B$125:B$200)</f>
        <v>24834.181086787685</v>
      </c>
      <c r="C71" s="118">
        <f>'Statistics NZ'!C$71*'Economic Forecasts'!E$9*1000000/SUM('Statistics NZ'!C$32:C$107,'Statistics NZ'!C$125:C$200)</f>
        <v>25178.346316345393</v>
      </c>
      <c r="D71" s="118">
        <f>'Statistics NZ'!D$71*'Economic Forecasts'!F$9*1000000/SUM('Statistics NZ'!D$32:D$107,'Statistics NZ'!D$125:D$200)</f>
        <v>26227.093281097663</v>
      </c>
      <c r="E71" s="118">
        <f>'Statistics NZ'!E$71*'Economic Forecasts'!G$9*1000000/SUM('Statistics NZ'!E$32:E$107,'Statistics NZ'!E$125:E$200)</f>
        <v>26817.478825082391</v>
      </c>
      <c r="F71" s="118">
        <f>'Statistics NZ'!F$71*'Economic Forecasts'!H$9*1000000/SUM('Statistics NZ'!F$32:F$107,'Statistics NZ'!F$125:F$200)</f>
        <v>27801.273772487097</v>
      </c>
      <c r="G71" s="118">
        <f>'Statistics NZ'!G$71*'Economic Forecasts'!I$9*1000000/SUM('Statistics NZ'!G$32:G$107,'Statistics NZ'!G$125:G$200)</f>
        <v>28474.81156032085</v>
      </c>
      <c r="H71" s="118">
        <f>'Statistics NZ'!H$71*'Economic Forecasts'!J$9*1000000/SUM('Statistics NZ'!H$32:H$107,'Statistics NZ'!H$125:H$200)</f>
        <v>28879.215589865558</v>
      </c>
      <c r="I71" s="118">
        <f>'Statistics NZ'!I$71*'Economic Forecasts'!K$9*1000000/SUM('Statistics NZ'!I$32:I$107,'Statistics NZ'!I$125:I$200)</f>
        <v>30211.779889112469</v>
      </c>
      <c r="J71" s="203">
        <f>'Statistics NZ'!J$71*'Economic Forecasts'!L$9*1000000/SUM('Statistics NZ'!J$32:J$107,'Statistics NZ'!J$125:J$200)</f>
        <v>30664.716490126117</v>
      </c>
      <c r="K71" s="203">
        <f>'Statistics NZ'!K$71*'Economic Forecasts'!M$9*1000000/SUM('Statistics NZ'!K$32:K$107,'Statistics NZ'!K$125:K$200)</f>
        <v>32177.899964526427</v>
      </c>
      <c r="L71" s="203">
        <f>'Statistics NZ'!L$71*'Economic Forecasts'!N$9*1000000/SUM('Statistics NZ'!L$32:L$107,'Statistics NZ'!L$125:L$200)</f>
        <v>33032.96088677751</v>
      </c>
      <c r="M71" s="203">
        <f>'Statistics NZ'!M$71*'Economic Forecasts'!O$9*1000000/SUM('Statistics NZ'!M$32:M$107,'Statistics NZ'!M$125:M$200)</f>
        <v>33550.385458748024</v>
      </c>
      <c r="N71" s="203">
        <f>'Statistics NZ'!N$71*'Economic Forecasts'!P$9*1000000/SUM('Statistics NZ'!N$32:N$107,'Statistics NZ'!N$125:N$200)</f>
        <v>32990.367414241351</v>
      </c>
      <c r="O71" s="203">
        <f>'Statistics NZ'!O$71*'Economic Forecasts'!Q$9*1000000/SUM('Statistics NZ'!O$32:O$107,'Statistics NZ'!O$125:O$200)</f>
        <v>32092.244589546212</v>
      </c>
      <c r="P71" s="203">
        <f>'Statistics NZ'!P$71*'Economic Forecasts'!R$9*1000000/SUM('Statistics NZ'!P$32:P$107,'Statistics NZ'!P$125:P$200)</f>
        <v>31910.140529013341</v>
      </c>
      <c r="Q71" s="121">
        <f>SUM('Statistics NZ'!Q$71,$L$13/5*(Q$9-Q$10)*1000)*'Economic Forecasts'!S$9*1000000/SUM('Statistics NZ'!Q$32:Q$107,'Statistics NZ'!Q$125:Q$200,SUM($E$13:$Q$14)*(Q$9-Q$10)*1000)</f>
        <v>32388.222421481823</v>
      </c>
      <c r="R71" s="205">
        <f>SUM('Statistics NZ'!R$71,$L$13/5*(R$9-R$10)*1000)*'Economic Forecasts'!T$9*1000000/SUM('Statistics NZ'!R$32:R$107,'Statistics NZ'!R$125:R$200,SUM($E$13:$Q$14)*(R$9-R$10)*1000)</f>
        <v>33105.859860174227</v>
      </c>
      <c r="S71" s="205">
        <f>SUM('Statistics NZ'!S$71,$L$13/5*(S$9-S$10)*1000)*'Economic Forecasts'!U$9*1000000/SUM('Statistics NZ'!S$32:S$107,'Statistics NZ'!S$125:S$200,SUM($E$13:$Q$14)*(S$9-S$10)*1000)</f>
        <v>33709.889322759263</v>
      </c>
      <c r="T71" s="205">
        <f>SUM('Statistics NZ'!T$71,$L$13/5*(T$9-T$10)*1000)*'Economic Forecasts'!V$9*1000000/SUM('Statistics NZ'!T$32:T$107,'Statistics NZ'!T$125:T$200,SUM($E$13:$Q$14)*(T$9-T$10)*1000)</f>
        <v>33489.194538252312</v>
      </c>
      <c r="U71" s="205">
        <f>SUM('Statistics NZ'!U$71,$L$13/5*(U$9-U$10)*1000)*'Economic Forecasts'!W$9*1000000/SUM('Statistics NZ'!U$32:U$107,'Statistics NZ'!U$125:U$200,SUM($E$13:$Q$14)*(U$9-U$10)*1000)</f>
        <v>34946.032055546464</v>
      </c>
      <c r="V71" s="111">
        <f>SUM(U$71,'Statistics NZ'!V$71-'Statistics NZ'!U$71,$L$13/5*(V$9-V$10)*1000)</f>
        <v>34463.474454322168</v>
      </c>
      <c r="W71" s="111">
        <f>SUM(V$71,'Statistics NZ'!W$71-'Statistics NZ'!V$71,$L$13/5*(W$9-W$10)*1000)</f>
        <v>33191.236553250907</v>
      </c>
      <c r="X71" s="111">
        <f>SUM(W$71,'Statistics NZ'!X$71-'Statistics NZ'!W$71,$L$13/5*(X$9-X$10)*1000)</f>
        <v>32429.318352332684</v>
      </c>
      <c r="Y71" s="111">
        <f>SUM(X$71,'Statistics NZ'!Y$71-'Statistics NZ'!X$71,$L$13/5*(Y$9-Y$10)*1000)</f>
        <v>31147.719851567501</v>
      </c>
      <c r="Z71" s="111">
        <f>SUM(Y$71,'Statistics NZ'!Z$71-'Statistics NZ'!Y$71,$L$13/5*(Z$9-Z$10)*1000)</f>
        <v>29796.441050955353</v>
      </c>
      <c r="AA71" s="111">
        <f>SUM(Z$71,'Statistics NZ'!AA$71-'Statistics NZ'!Z$71,$L$13/5*(AA$9-AA$10)*1000)</f>
        <v>29975.481950496243</v>
      </c>
      <c r="AB71" s="111">
        <f>SUM(AA$71,'Statistics NZ'!AB$71-'Statistics NZ'!AA$71,$L$13/5*(AB$9-AB$10)*1000)</f>
        <v>29894.842550190169</v>
      </c>
      <c r="AC71" s="111">
        <f>SUM(AB$71,'Statistics NZ'!AC$71-'Statistics NZ'!AB$71,$L$13/5*(AC$9-AC$10)*1000)</f>
        <v>30864.522850037134</v>
      </c>
      <c r="AD71" s="111">
        <f>SUM(AC$71,'Statistics NZ'!AD$71-'Statistics NZ'!AC$71,$L$13/5*(AD$9-AD$10)*1000)</f>
        <v>31254.522850037134</v>
      </c>
      <c r="AE71" s="111">
        <f>SUM(AD$71,'Statistics NZ'!AE$71-'Statistics NZ'!AD$71,$L$13/5*(AE$9-AE$10)*1000)</f>
        <v>31644.522850037134</v>
      </c>
      <c r="AF71" s="111">
        <f>SUM(AE$71,'Statistics NZ'!AF$71-'Statistics NZ'!AE$71,$L$13/5*(AF$9-AF$10)*1000)</f>
        <v>32734.522850037134</v>
      </c>
      <c r="AG71" s="111">
        <f>SUM(AF$71,'Statistics NZ'!AG$71-'Statistics NZ'!AF$71,$L$13/5*(AG$9-AG$10)*1000)</f>
        <v>33514.52285003713</v>
      </c>
      <c r="AH71" s="111">
        <f>SUM(AG$71,'Statistics NZ'!AH$71-'Statistics NZ'!AG$71,$L$13/5*(AH$9-AH$10)*1000)</f>
        <v>34294.52285003713</v>
      </c>
      <c r="AI71" s="111">
        <f>SUM(AH$71,'Statistics NZ'!AI$71-'Statistics NZ'!AH$71,$L$13/5*(AI$9-AI$10)*1000)</f>
        <v>35094.52285003713</v>
      </c>
      <c r="AJ71" s="111">
        <f>SUM(AI$71,'Statistics NZ'!AJ$71-'Statistics NZ'!AI$71,$L$13/5*(AJ$9-AJ$10)*1000)</f>
        <v>35714.52285003713</v>
      </c>
      <c r="AK71" s="111">
        <f>SUM(AJ$71,'Statistics NZ'!AK$71-'Statistics NZ'!AJ$71,$L$13/5*(AK$9-AK$10)*1000)</f>
        <v>36574.52285003713</v>
      </c>
      <c r="AL71" s="111">
        <f>SUM(AK$71,'Statistics NZ'!AL$71-'Statistics NZ'!AK$71,$L$13/5*(AL$9-AL$10)*1000)</f>
        <v>39044.52285003713</v>
      </c>
      <c r="AM71" s="111">
        <f>SUM(AL$71,'Statistics NZ'!AM$71-'Statistics NZ'!AL$71,$L$13/5*(AM$9-AM$10)*1000)</f>
        <v>39394.52285003713</v>
      </c>
      <c r="AN71" s="111">
        <f>SUM(AM$71,'Statistics NZ'!AN$71-'Statistics NZ'!AM$71,$L$13/5*(AN$9-AN$10)*1000)</f>
        <v>41074.52285003713</v>
      </c>
      <c r="AO71" s="111">
        <f>SUM(AN$71,'Statistics NZ'!AO$71-'Statistics NZ'!AN$71,$L$13/5*(AO$9-AO$10)*1000)</f>
        <v>41664.52285003713</v>
      </c>
      <c r="AP71" s="111">
        <f>SUM(AO$71,'Statistics NZ'!AP$71-'Statistics NZ'!AO$71,$L$13/5*(AP$9-AP$10)*1000)</f>
        <v>41304.52285003713</v>
      </c>
      <c r="AQ71" s="111">
        <f>SUM(AP$71,'Statistics NZ'!AQ$71-'Statistics NZ'!AP$71,$L$13/5*(AQ$9-AQ$10)*1000)</f>
        <v>40584.52285003713</v>
      </c>
      <c r="AR71" s="111">
        <f>SUM(AQ$71,'Statistics NZ'!AR$71-'Statistics NZ'!AQ$71,$L$13/5*(AR$9-AR$10)*1000)</f>
        <v>39384.52285003713</v>
      </c>
      <c r="AS71" s="111">
        <f>SUM(AR$71,'Statistics NZ'!AS$71-'Statistics NZ'!AR$71,$L$13/5*(AS$9-AS$10)*1000)</f>
        <v>39164.52285003713</v>
      </c>
      <c r="AT71" s="111">
        <f>SUM(AS$71,'Statistics NZ'!AT$71-'Statistics NZ'!AS$71,$L$13/5*(AT$9-AT$10)*1000)</f>
        <v>38794.52285003713</v>
      </c>
      <c r="AU71" s="111">
        <f>SUM(AT$71,'Statistics NZ'!AU$71-'Statistics NZ'!AT$71,$L$13/5*(AU$9-AU$10)*1000)</f>
        <v>38434.52285003713</v>
      </c>
      <c r="AV71" s="111">
        <f>SUM(AU$71,'Statistics NZ'!AV$71-'Statistics NZ'!AU$71,$L$13/5*(AV$9-AV$10)*1000)</f>
        <v>38404.52285003713</v>
      </c>
      <c r="AW71" s="111">
        <f>SUM(AV$71,'Statistics NZ'!AW$71-'Statistics NZ'!AV$71,$L$13/5*(AW$9-AW$10)*1000)</f>
        <v>37834.52285003713</v>
      </c>
      <c r="AX71" s="111">
        <f>SUM(AW$71,'Statistics NZ'!AX$71-'Statistics NZ'!AW$71,$L$13/5*(AX$9-AX$10)*1000)</f>
        <v>38604.52285003713</v>
      </c>
      <c r="AY71" s="111">
        <f>SUM(AX$71,'Statistics NZ'!AY$71-'Statistics NZ'!AX$71,$L$13/5*(AY$9-AY$10)*1000)</f>
        <v>38244.52285003713</v>
      </c>
      <c r="AZ71" s="111">
        <f>SUM(AY$71,'Statistics NZ'!AZ$71-'Statistics NZ'!AY$71,$L$13/5*(AZ$9-AZ$10)*1000)</f>
        <v>37314.52285003713</v>
      </c>
      <c r="BA71" s="111">
        <f>SUM(AZ$71,'Statistics NZ'!BA$71-'Statistics NZ'!AZ$71,$L$13/5*(BA$9-BA$10)*1000)</f>
        <v>36984.52285003713</v>
      </c>
      <c r="BB71" s="111">
        <f>SUM(BA$71,'Statistics NZ'!BB$71-'Statistics NZ'!BA$71,$L$13/5*(BB$9-BB$10)*1000)</f>
        <v>37794.52285003713</v>
      </c>
      <c r="BC71" s="111">
        <f>SUM(BB$71,'Statistics NZ'!BC$71-'Statistics NZ'!BB$71,$L$13/5*(BC$9-BC$10)*1000)</f>
        <v>37944.52285003713</v>
      </c>
      <c r="BD71" s="111">
        <f>SUM(BC$71,'Statistics NZ'!BD$71-'Statistics NZ'!BC$71,$L$13/5*(BD$9-BD$10)*1000)</f>
        <v>38754.52285003713</v>
      </c>
      <c r="BE71" s="111">
        <f>SUM(BD$71,'Statistics NZ'!BE$71-'Statistics NZ'!BD$71,$L$13/5*(BE$9-BE$10)*1000)</f>
        <v>40284.52285003713</v>
      </c>
      <c r="BF71" s="111">
        <f>SUM(BE$71,'Statistics NZ'!BF$71-'Statistics NZ'!BE$71,$L$13/5*(BF$9-BF$10)*1000)</f>
        <v>41564.52285003713</v>
      </c>
      <c r="BG71" s="111">
        <f>SUM(BF$71,'Statistics NZ'!BG$71-'Statistics NZ'!BF$71,$L$13/5*(BG$9-BG$10)*1000)</f>
        <v>41404.52285003713</v>
      </c>
      <c r="BH71" s="111">
        <f>SUM(BG$71,'Statistics NZ'!BH$71-'Statistics NZ'!BG$71,$L$13/5*(BH$9-BH$10)*1000)</f>
        <v>42424.52285003713</v>
      </c>
      <c r="BI71" s="111">
        <f>SUM(BH$71,'Statistics NZ'!BI$71-'Statistics NZ'!BH$71,$L$13/5*(BI$9-BI$10)*1000)</f>
        <v>42354.52285003713</v>
      </c>
      <c r="BJ71" s="111">
        <f>SUM(BI$71,'Statistics NZ'!BJ$71-'Statistics NZ'!BI$71,$L$13/5*(BJ$9-BJ$10)*1000)</f>
        <v>42264.52285003713</v>
      </c>
      <c r="BK71" s="111">
        <f>SUM(BJ$71,'Statistics NZ'!BK$71-'Statistics NZ'!BJ$71,$L$13/5*(BK$9-BK$10)*1000)</f>
        <v>42184.52285003713</v>
      </c>
      <c r="BL71" s="111">
        <f>SUM(BK$71,'Statistics NZ'!BL$71-'Statistics NZ'!BK$71,$L$13/5*(BL$9-BL$10)*1000)</f>
        <v>41094.52285003713</v>
      </c>
      <c r="BM71" s="195">
        <f>SUM(BL$71,'Statistics NZ'!BM$71-'Statistics NZ'!BL$71,$L$13/5*(BM$9-BM$10)*1000)</f>
        <v>41164.52285003713</v>
      </c>
      <c r="BN71" s="195">
        <f>SUM(BM$71,'Statistics NZ'!BN$71-'Statistics NZ'!BM$71,$L$13/5*(BN$9-BN$10)*1000)</f>
        <v>40804.52285003713</v>
      </c>
      <c r="BO71" s="195">
        <f>SUM(BN$71,'Statistics NZ'!BO$71-'Statistics NZ'!BN$71,$L$13/5*(BO$9-BO$10)*1000)</f>
        <v>41054.52285003713</v>
      </c>
      <c r="BP71" s="195">
        <f>SUM(BO$71,'Statistics NZ'!BP$71-'Statistics NZ'!BO$71,$L$13/5*(BP$9-BP$10)*1000)</f>
        <v>40254.52285003713</v>
      </c>
      <c r="BQ71" s="195">
        <f>SUM(BP$71,'Statistics NZ'!BQ$71-'Statistics NZ'!BP$71,$L$13/5*(BQ$9-BQ$10)*1000)</f>
        <v>39844.52285003713</v>
      </c>
    </row>
    <row r="72" spans="1:69">
      <c r="A72" s="105">
        <v>55</v>
      </c>
      <c r="B72" s="118">
        <f>'Statistics NZ'!B$72*'Economic Forecasts'!D$9*1000000/SUM('Statistics NZ'!B$32:B$107,'Statistics NZ'!B$125:B$200)</f>
        <v>24400.740401417337</v>
      </c>
      <c r="C72" s="118">
        <f>'Statistics NZ'!C$72*'Economic Forecasts'!E$9*1000000/SUM('Statistics NZ'!C$32:C$107,'Statistics NZ'!C$125:C$200)</f>
        <v>24754.435238975442</v>
      </c>
      <c r="D72" s="118">
        <f>'Statistics NZ'!D$72*'Economic Forecasts'!F$9*1000000/SUM('Statistics NZ'!D$32:D$107,'Statistics NZ'!D$125:D$200)</f>
        <v>25133.065714693366</v>
      </c>
      <c r="E72" s="118">
        <f>'Statistics NZ'!E$72*'Economic Forecasts'!G$9*1000000/SUM('Statistics NZ'!E$32:E$107,'Statistics NZ'!E$125:E$200)</f>
        <v>26177.326007002932</v>
      </c>
      <c r="F72" s="118">
        <f>'Statistics NZ'!F$72*'Economic Forecasts'!H$9*1000000/SUM('Statistics NZ'!F$32:F$107,'Statistics NZ'!F$125:F$200)</f>
        <v>26806.260076164912</v>
      </c>
      <c r="G72" s="118">
        <f>'Statistics NZ'!G$72*'Economic Forecasts'!I$9*1000000/SUM('Statistics NZ'!G$32:G$107,'Statistics NZ'!G$125:G$200)</f>
        <v>27696.434358498933</v>
      </c>
      <c r="H72" s="118">
        <f>'Statistics NZ'!H$72*'Economic Forecasts'!J$9*1000000/SUM('Statistics NZ'!H$32:H$107,'Statistics NZ'!H$125:H$200)</f>
        <v>28406.431705720421</v>
      </c>
      <c r="I72" s="118">
        <f>'Statistics NZ'!I$72*'Economic Forecasts'!K$9*1000000/SUM('Statistics NZ'!I$32:I$107,'Statistics NZ'!I$125:I$200)</f>
        <v>28765.157203868323</v>
      </c>
      <c r="J72" s="203">
        <f>'Statistics NZ'!J$72*'Economic Forecasts'!L$9*1000000/SUM('Statistics NZ'!J$32:J$107,'Statistics NZ'!J$125:J$200)</f>
        <v>30143.809447184878</v>
      </c>
      <c r="K72" s="203">
        <f>'Statistics NZ'!K$72*'Economic Forecasts'!M$9*1000000/SUM('Statistics NZ'!K$32:K$107,'Statistics NZ'!K$125:K$200)</f>
        <v>30664.801767721216</v>
      </c>
      <c r="L72" s="203">
        <f>'Statistics NZ'!L$72*'Economic Forecasts'!N$9*1000000/SUM('Statistics NZ'!L$32:L$107,'Statistics NZ'!L$125:L$200)</f>
        <v>32294.298970704673</v>
      </c>
      <c r="M72" s="203">
        <f>'Statistics NZ'!M$72*'Economic Forecasts'!O$9*1000000/SUM('Statistics NZ'!M$32:M$107,'Statistics NZ'!M$125:M$200)</f>
        <v>33067.716965653875</v>
      </c>
      <c r="N72" s="203">
        <f>'Statistics NZ'!N$72*'Economic Forecasts'!P$9*1000000/SUM('Statistics NZ'!N$32:N$107,'Statistics NZ'!N$125:N$200)</f>
        <v>33671.293334547256</v>
      </c>
      <c r="O72" s="203">
        <f>'Statistics NZ'!O$72*'Economic Forecasts'!Q$9*1000000/SUM('Statistics NZ'!O$32:O$107,'Statistics NZ'!O$125:O$200)</f>
        <v>33000.143267971252</v>
      </c>
      <c r="P72" s="203">
        <f>'Statistics NZ'!P$72*'Economic Forecasts'!R$9*1000000/SUM('Statistics NZ'!P$32:P$107,'Statistics NZ'!P$125:P$200)</f>
        <v>32433.41944239134</v>
      </c>
      <c r="Q72" s="121">
        <f>SUM('Statistics NZ'!Q$72,$M$13/5*(Q$9-Q$10)*1000)*'Economic Forecasts'!S$9*1000000/SUM('Statistics NZ'!Q$32:Q$107,'Statistics NZ'!Q$125:Q$200,SUM($E$13:$Q$14)*(Q$9-Q$10)*1000)</f>
        <v>31911.180843362141</v>
      </c>
      <c r="R72" s="205">
        <f>SUM('Statistics NZ'!R$72,$M$13/5*(R$9-R$10)*1000)*'Economic Forecasts'!T$9*1000000/SUM('Statistics NZ'!R$32:R$107,'Statistics NZ'!R$125:R$200,SUM($E$13:$Q$14)*(R$9-R$10)*1000)</f>
        <v>32351.306044998917</v>
      </c>
      <c r="S72" s="205">
        <f>SUM('Statistics NZ'!S$72,$M$13/5*(S$9-S$10)*1000)*'Economic Forecasts'!U$9*1000000/SUM('Statistics NZ'!S$32:S$107,'Statistics NZ'!S$125:S$200,SUM($E$13:$Q$14)*(S$9-S$10)*1000)</f>
        <v>33070.318842231987</v>
      </c>
      <c r="T72" s="205">
        <f>SUM('Statistics NZ'!T$72,$M$13/5*(T$9-T$10)*1000)*'Economic Forecasts'!V$9*1000000/SUM('Statistics NZ'!T$32:T$107,'Statistics NZ'!T$125:T$200,SUM($E$13:$Q$14)*(T$9-T$10)*1000)</f>
        <v>33660.37607527581</v>
      </c>
      <c r="U72" s="205">
        <f>SUM('Statistics NZ'!U$72,$M$13/5*(U$9-U$10)*1000)*'Economic Forecasts'!W$9*1000000/SUM('Statistics NZ'!U$32:U$107,'Statistics NZ'!U$125:U$200,SUM($E$13:$Q$14)*(U$9-U$10)*1000)</f>
        <v>33495.739459635115</v>
      </c>
      <c r="V72" s="111">
        <f>SUM(U$72,'Statistics NZ'!V$72-'Statistics NZ'!U$72,$M$13/5*(V$9-V$10)*1000)</f>
        <v>34944.41900555812</v>
      </c>
      <c r="W72" s="111">
        <f>SUM(V$72,'Statistics NZ'!W$72-'Statistics NZ'!V$72,$M$13/5*(W$9-W$10)*1000)</f>
        <v>34480.763608240748</v>
      </c>
      <c r="X72" s="111">
        <f>SUM(W$72,'Statistics NZ'!X$72-'Statistics NZ'!W$72,$M$13/5*(X$9-X$10)*1000)</f>
        <v>33234.773267682998</v>
      </c>
      <c r="Y72" s="111">
        <f>SUM(X$72,'Statistics NZ'!Y$72-'Statistics NZ'!X$72,$M$13/5*(Y$9-Y$10)*1000)</f>
        <v>32486.447983884875</v>
      </c>
      <c r="Z72" s="111">
        <f>SUM(Y$72,'Statistics NZ'!Z$72-'Statistics NZ'!Y$72,$M$13/5*(Z$9-Z$10)*1000)</f>
        <v>31215.787756846377</v>
      </c>
      <c r="AA72" s="111">
        <f>SUM(Z$72,'Statistics NZ'!AA$72-'Statistics NZ'!Z$72,$M$13/5*(AA$9-AA$10)*1000)</f>
        <v>29882.792586567502</v>
      </c>
      <c r="AB72" s="111">
        <f>SUM(AA$72,'Statistics NZ'!AB$72-'Statistics NZ'!AA$72,$M$13/5*(AB$9-AB$10)*1000)</f>
        <v>30067.462473048254</v>
      </c>
      <c r="AC72" s="111">
        <f>SUM(AB$72,'Statistics NZ'!AC$72-'Statistics NZ'!AB$72,$M$13/5*(AC$9-AC$10)*1000)</f>
        <v>29989.797416288628</v>
      </c>
      <c r="AD72" s="111">
        <f>SUM(AC$72,'Statistics NZ'!AD$72-'Statistics NZ'!AC$72,$M$13/5*(AD$9-AD$10)*1000)</f>
        <v>30959.797416288628</v>
      </c>
      <c r="AE72" s="111">
        <f>SUM(AD$72,'Statistics NZ'!AE$72-'Statistics NZ'!AD$72,$M$13/5*(AE$9-AE$10)*1000)</f>
        <v>31349.797416288628</v>
      </c>
      <c r="AF72" s="111">
        <f>SUM(AE$72,'Statistics NZ'!AF$72-'Statistics NZ'!AE$72,$M$13/5*(AF$9-AF$10)*1000)</f>
        <v>31739.797416288628</v>
      </c>
      <c r="AG72" s="111">
        <f>SUM(AF$72,'Statistics NZ'!AG$72-'Statistics NZ'!AF$72,$M$13/5*(AG$9-AG$10)*1000)</f>
        <v>32829.797416288624</v>
      </c>
      <c r="AH72" s="111">
        <f>SUM(AG$72,'Statistics NZ'!AH$72-'Statistics NZ'!AG$72,$M$13/5*(AH$9-AH$10)*1000)</f>
        <v>33609.797416288624</v>
      </c>
      <c r="AI72" s="111">
        <f>SUM(AH$72,'Statistics NZ'!AI$72-'Statistics NZ'!AH$72,$M$13/5*(AI$9-AI$10)*1000)</f>
        <v>34389.797416288624</v>
      </c>
      <c r="AJ72" s="111">
        <f>SUM(AI$72,'Statistics NZ'!AJ$72-'Statistics NZ'!AI$72,$M$13/5*(AJ$9-AJ$10)*1000)</f>
        <v>35189.797416288624</v>
      </c>
      <c r="AK72" s="111">
        <f>SUM(AJ$72,'Statistics NZ'!AK$72-'Statistics NZ'!AJ$72,$M$13/5*(AK$9-AK$10)*1000)</f>
        <v>35809.797416288624</v>
      </c>
      <c r="AL72" s="111">
        <f>SUM(AK$72,'Statistics NZ'!AL$72-'Statistics NZ'!AK$72,$M$13/5*(AL$9-AL$10)*1000)</f>
        <v>36659.797416288624</v>
      </c>
      <c r="AM72" s="111">
        <f>SUM(AL$72,'Statistics NZ'!AM$72-'Statistics NZ'!AL$72,$M$13/5*(AM$9-AM$10)*1000)</f>
        <v>39139.797416288624</v>
      </c>
      <c r="AN72" s="111">
        <f>SUM(AM$72,'Statistics NZ'!AN$72-'Statistics NZ'!AM$72,$M$13/5*(AN$9-AN$10)*1000)</f>
        <v>39489.797416288624</v>
      </c>
      <c r="AO72" s="111">
        <f>SUM(AN$72,'Statistics NZ'!AO$72-'Statistics NZ'!AN$72,$M$13/5*(AO$9-AO$10)*1000)</f>
        <v>41169.797416288624</v>
      </c>
      <c r="AP72" s="111">
        <f>SUM(AO$72,'Statistics NZ'!AP$72-'Statistics NZ'!AO$72,$M$13/5*(AP$9-AP$10)*1000)</f>
        <v>41749.797416288624</v>
      </c>
      <c r="AQ72" s="111">
        <f>SUM(AP$72,'Statistics NZ'!AQ$72-'Statistics NZ'!AP$72,$M$13/5*(AQ$9-AQ$10)*1000)</f>
        <v>41389.797416288624</v>
      </c>
      <c r="AR72" s="111">
        <f>SUM(AQ$72,'Statistics NZ'!AR$72-'Statistics NZ'!AQ$72,$M$13/5*(AR$9-AR$10)*1000)</f>
        <v>40679.797416288624</v>
      </c>
      <c r="AS72" s="111">
        <f>SUM(AR$72,'Statistics NZ'!AS$72-'Statistics NZ'!AR$72,$M$13/5*(AS$9-AS$10)*1000)</f>
        <v>39489.797416288624</v>
      </c>
      <c r="AT72" s="111">
        <f>SUM(AS$72,'Statistics NZ'!AT$72-'Statistics NZ'!AS$72,$M$13/5*(AT$9-AT$10)*1000)</f>
        <v>39259.797416288624</v>
      </c>
      <c r="AU72" s="111">
        <f>SUM(AT$72,'Statistics NZ'!AU$72-'Statistics NZ'!AT$72,$M$13/5*(AU$9-AU$10)*1000)</f>
        <v>38899.797416288624</v>
      </c>
      <c r="AV72" s="111">
        <f>SUM(AU$72,'Statistics NZ'!AV$72-'Statistics NZ'!AU$72,$M$13/5*(AV$9-AV$10)*1000)</f>
        <v>38539.797416288624</v>
      </c>
      <c r="AW72" s="111">
        <f>SUM(AV$72,'Statistics NZ'!AW$72-'Statistics NZ'!AV$72,$M$13/5*(AW$9-AW$10)*1000)</f>
        <v>38509.797416288624</v>
      </c>
      <c r="AX72" s="111">
        <f>SUM(AW$72,'Statistics NZ'!AX$72-'Statistics NZ'!AW$72,$M$13/5*(AX$9-AX$10)*1000)</f>
        <v>37939.797416288624</v>
      </c>
      <c r="AY72" s="111">
        <f>SUM(AX$72,'Statistics NZ'!AY$72-'Statistics NZ'!AX$72,$M$13/5*(AY$9-AY$10)*1000)</f>
        <v>38709.797416288624</v>
      </c>
      <c r="AZ72" s="111">
        <f>SUM(AY$72,'Statistics NZ'!AZ$72-'Statistics NZ'!AY$72,$M$13/5*(AZ$9-AZ$10)*1000)</f>
        <v>38349.797416288624</v>
      </c>
      <c r="BA72" s="111">
        <f>SUM(AZ$72,'Statistics NZ'!BA$72-'Statistics NZ'!AZ$72,$M$13/5*(BA$9-BA$10)*1000)</f>
        <v>37429.797416288624</v>
      </c>
      <c r="BB72" s="111">
        <f>SUM(BA$72,'Statistics NZ'!BB$72-'Statistics NZ'!BA$72,$M$13/5*(BB$9-BB$10)*1000)</f>
        <v>37099.797416288624</v>
      </c>
      <c r="BC72" s="111">
        <f>SUM(BB$72,'Statistics NZ'!BC$72-'Statistics NZ'!BB$72,$M$13/5*(BC$9-BC$10)*1000)</f>
        <v>37909.797416288624</v>
      </c>
      <c r="BD72" s="111">
        <f>SUM(BC$72,'Statistics NZ'!BD$72-'Statistics NZ'!BC$72,$M$13/5*(BD$9-BD$10)*1000)</f>
        <v>38059.797416288624</v>
      </c>
      <c r="BE72" s="111">
        <f>SUM(BD$72,'Statistics NZ'!BE$72-'Statistics NZ'!BD$72,$M$13/5*(BE$9-BE$10)*1000)</f>
        <v>38869.797416288624</v>
      </c>
      <c r="BF72" s="111">
        <f>SUM(BE$72,'Statistics NZ'!BF$72-'Statistics NZ'!BE$72,$M$13/5*(BF$9-BF$10)*1000)</f>
        <v>40389.797416288624</v>
      </c>
      <c r="BG72" s="111">
        <f>SUM(BF$72,'Statistics NZ'!BG$72-'Statistics NZ'!BF$72,$M$13/5*(BG$9-BG$10)*1000)</f>
        <v>41669.797416288624</v>
      </c>
      <c r="BH72" s="111">
        <f>SUM(BG$72,'Statistics NZ'!BH$72-'Statistics NZ'!BG$72,$M$13/5*(BH$9-BH$10)*1000)</f>
        <v>41519.797416288624</v>
      </c>
      <c r="BI72" s="111">
        <f>SUM(BH$72,'Statistics NZ'!BI$72-'Statistics NZ'!BH$72,$M$13/5*(BI$9-BI$10)*1000)</f>
        <v>42539.797416288624</v>
      </c>
      <c r="BJ72" s="111">
        <f>SUM(BI$72,'Statistics NZ'!BJ$72-'Statistics NZ'!BI$72,$M$13/5*(BJ$9-BJ$10)*1000)</f>
        <v>42469.797416288624</v>
      </c>
      <c r="BK72" s="111">
        <f>SUM(BJ$72,'Statistics NZ'!BK$72-'Statistics NZ'!BJ$72,$M$13/5*(BK$9-BK$10)*1000)</f>
        <v>42379.797416288624</v>
      </c>
      <c r="BL72" s="111">
        <f>SUM(BK$72,'Statistics NZ'!BL$72-'Statistics NZ'!BK$72,$M$13/5*(BL$9-BL$10)*1000)</f>
        <v>42299.797416288624</v>
      </c>
      <c r="BM72" s="195">
        <f>SUM(BL$72,'Statistics NZ'!BM$72-'Statistics NZ'!BL$72,$M$13/5*(BM$9-BM$10)*1000)</f>
        <v>41209.797416288624</v>
      </c>
      <c r="BN72" s="195">
        <f>SUM(BM$72,'Statistics NZ'!BN$72-'Statistics NZ'!BM$72,$M$13/5*(BN$9-BN$10)*1000)</f>
        <v>41279.797416288624</v>
      </c>
      <c r="BO72" s="195">
        <f>SUM(BN$72,'Statistics NZ'!BO$72-'Statistics NZ'!BN$72,$M$13/5*(BO$9-BO$10)*1000)</f>
        <v>40929.797416288624</v>
      </c>
      <c r="BP72" s="195">
        <f>SUM(BO$72,'Statistics NZ'!BP$72-'Statistics NZ'!BO$72,$M$13/5*(BP$9-BP$10)*1000)</f>
        <v>41169.797416288624</v>
      </c>
      <c r="BQ72" s="195">
        <f>SUM(BP$72,'Statistics NZ'!BQ$72-'Statistics NZ'!BP$72,$M$13/5*(BQ$9-BQ$10)*1000)</f>
        <v>40369.797416288624</v>
      </c>
    </row>
    <row r="73" spans="1:69">
      <c r="A73" s="105">
        <v>56</v>
      </c>
      <c r="B73" s="118">
        <f>'Statistics NZ'!B$73*'Economic Forecasts'!D$9*1000000/SUM('Statistics NZ'!B$32:B$107,'Statistics NZ'!B$125:B$200)</f>
        <v>24558.355196097462</v>
      </c>
      <c r="C73" s="118">
        <f>'Statistics NZ'!C$73*'Economic Forecasts'!E$9*1000000/SUM('Statistics NZ'!C$32:C$107,'Statistics NZ'!C$125:C$200)</f>
        <v>24379.816147346184</v>
      </c>
      <c r="D73" s="118">
        <f>'Statistics NZ'!D$73*'Economic Forecasts'!F$9*1000000/SUM('Statistics NZ'!D$32:D$107,'Statistics NZ'!D$125:D$200)</f>
        <v>24679.684921408698</v>
      </c>
      <c r="E73" s="118">
        <f>'Statistics NZ'!E$73*'Economic Forecasts'!G$9*1000000/SUM('Statistics NZ'!E$32:E$107,'Statistics NZ'!E$125:E$200)</f>
        <v>25113.687478501688</v>
      </c>
      <c r="F73" s="118">
        <f>'Statistics NZ'!F$73*'Economic Forecasts'!H$9*1000000/SUM('Statistics NZ'!F$32:F$107,'Statistics NZ'!F$125:F$200)</f>
        <v>26175.756347802344</v>
      </c>
      <c r="G73" s="118">
        <f>'Statistics NZ'!G$73*'Economic Forecasts'!I$9*1000000/SUM('Statistics NZ'!G$32:G$107,'Statistics NZ'!G$125:G$200)</f>
        <v>26760.411141118137</v>
      </c>
      <c r="H73" s="118">
        <f>'Statistics NZ'!H$73*'Economic Forecasts'!J$9*1000000/SUM('Statistics NZ'!H$32:H$107,'Statistics NZ'!H$125:H$200)</f>
        <v>27618.458565478522</v>
      </c>
      <c r="I73" s="118">
        <f>'Statistics NZ'!I$73*'Economic Forecasts'!K$9*1000000/SUM('Statistics NZ'!I$32:I$107,'Statistics NZ'!I$125:I$200)</f>
        <v>28332.154495359875</v>
      </c>
      <c r="J73" s="203">
        <f>'Statistics NZ'!J$73*'Economic Forecasts'!L$9*1000000/SUM('Statistics NZ'!J$32:J$107,'Statistics NZ'!J$125:J$200)</f>
        <v>28787.485448583146</v>
      </c>
      <c r="K73" s="203">
        <f>'Statistics NZ'!K$73*'Economic Forecasts'!M$9*1000000/SUM('Statistics NZ'!K$32:K$107,'Statistics NZ'!K$125:K$200)</f>
        <v>30173.536119407836</v>
      </c>
      <c r="L73" s="203">
        <f>'Statistics NZ'!L$73*'Economic Forecasts'!N$9*1000000/SUM('Statistics NZ'!L$32:L$107,'Statistics NZ'!L$125:L$200)</f>
        <v>30816.975138558984</v>
      </c>
      <c r="M73" s="203">
        <f>'Statistics NZ'!M$73*'Economic Forecasts'!O$9*1000000/SUM('Statistics NZ'!M$32:M$107,'Statistics NZ'!M$125:M$200)</f>
        <v>32358.489792127792</v>
      </c>
      <c r="N73" s="203">
        <f>'Statistics NZ'!N$73*'Economic Forecasts'!P$9*1000000/SUM('Statistics NZ'!N$32:N$107,'Statistics NZ'!N$125:N$200)</f>
        <v>33148.263279819534</v>
      </c>
      <c r="O73" s="203">
        <f>'Statistics NZ'!O$73*'Economic Forecasts'!Q$9*1000000/SUM('Statistics NZ'!O$32:O$107,'Statistics NZ'!O$125:O$200)</f>
        <v>33671.198812894116</v>
      </c>
      <c r="P73" s="203">
        <f>'Statistics NZ'!P$73*'Economic Forecasts'!R$9*1000000/SUM('Statistics NZ'!P$32:P$107,'Statistics NZ'!P$125:P$200)</f>
        <v>33302.25990233972</v>
      </c>
      <c r="Q73" s="121">
        <f>SUM('Statistics NZ'!Q$73,$M$13/5*(Q$9-Q$10)*1000)*'Economic Forecasts'!S$9*1000000/SUM('Statistics NZ'!Q$32:Q$107,'Statistics NZ'!Q$125:Q$200,SUM($E$13:$Q$14)*(Q$9-Q$10)*1000)</f>
        <v>32435.161268960259</v>
      </c>
      <c r="R73" s="205">
        <f>SUM('Statistics NZ'!R$73,$M$13/5*(R$9-R$10)*1000)*'Economic Forecasts'!T$9*1000000/SUM('Statistics NZ'!R$32:R$107,'Statistics NZ'!R$125:R$200,SUM($E$13:$Q$14)*(R$9-R$10)*1000)</f>
        <v>31876.817447946447</v>
      </c>
      <c r="S73" s="205">
        <f>SUM('Statistics NZ'!S$73,$M$13/5*(S$9-S$10)*1000)*'Economic Forecasts'!U$9*1000000/SUM('Statistics NZ'!S$32:S$107,'Statistics NZ'!S$125:S$200,SUM($E$13:$Q$14)*(S$9-S$10)*1000)</f>
        <v>32319.446745537345</v>
      </c>
      <c r="T73" s="205">
        <f>SUM('Statistics NZ'!T$73,$M$13/5*(T$9-T$10)*1000)*'Economic Forecasts'!V$9*1000000/SUM('Statistics NZ'!T$32:T$107,'Statistics NZ'!T$125:T$200,SUM($E$13:$Q$14)*(T$9-T$10)*1000)</f>
        <v>33028.101880725211</v>
      </c>
      <c r="U73" s="205">
        <f>SUM('Statistics NZ'!U$73,$M$13/5*(U$9-U$10)*1000)*'Economic Forecasts'!W$9*1000000/SUM('Statistics NZ'!U$32:U$107,'Statistics NZ'!U$125:U$200,SUM($E$13:$Q$14)*(U$9-U$10)*1000)</f>
        <v>33663.905587970112</v>
      </c>
      <c r="V73" s="111">
        <f>SUM(U$73,'Statistics NZ'!V$73-'Statistics NZ'!U$73,$M$13/5*(V$9-V$10)*1000)</f>
        <v>33462.585133893117</v>
      </c>
      <c r="W73" s="111">
        <f>SUM(V$73,'Statistics NZ'!W$73-'Statistics NZ'!V$73,$M$13/5*(W$9-W$10)*1000)</f>
        <v>34908.929736575745</v>
      </c>
      <c r="X73" s="111">
        <f>SUM(W$73,'Statistics NZ'!X$73-'Statistics NZ'!W$73,$M$13/5*(X$9-X$10)*1000)</f>
        <v>34452.939396017995</v>
      </c>
      <c r="Y73" s="111">
        <f>SUM(X$73,'Statistics NZ'!Y$73-'Statistics NZ'!X$73,$M$13/5*(Y$9-Y$10)*1000)</f>
        <v>33204.614112219875</v>
      </c>
      <c r="Z73" s="111">
        <f>SUM(Y$73,'Statistics NZ'!Z$73-'Statistics NZ'!Y$73,$M$13/5*(Z$9-Z$10)*1000)</f>
        <v>32463.953885181378</v>
      </c>
      <c r="AA73" s="111">
        <f>SUM(Z$73,'Statistics NZ'!AA$73-'Statistics NZ'!Z$73,$M$13/5*(AA$9-AA$10)*1000)</f>
        <v>31190.958714902503</v>
      </c>
      <c r="AB73" s="111">
        <f>SUM(AA$73,'Statistics NZ'!AB$73-'Statistics NZ'!AA$73,$M$13/5*(AB$9-AB$10)*1000)</f>
        <v>29855.628601383254</v>
      </c>
      <c r="AC73" s="111">
        <f>SUM(AB$73,'Statistics NZ'!AC$73-'Statistics NZ'!AB$73,$M$13/5*(AC$9-AC$10)*1000)</f>
        <v>30047.963544623628</v>
      </c>
      <c r="AD73" s="111">
        <f>SUM(AC$73,'Statistics NZ'!AD$73-'Statistics NZ'!AC$73,$M$13/5*(AD$9-AD$10)*1000)</f>
        <v>29967.963544623628</v>
      </c>
      <c r="AE73" s="111">
        <f>SUM(AD$73,'Statistics NZ'!AE$73-'Statistics NZ'!AD$73,$M$13/5*(AE$9-AE$10)*1000)</f>
        <v>30937.963544623628</v>
      </c>
      <c r="AF73" s="111">
        <f>SUM(AE$73,'Statistics NZ'!AF$73-'Statistics NZ'!AE$73,$M$13/5*(AF$9-AF$10)*1000)</f>
        <v>31327.963544623628</v>
      </c>
      <c r="AG73" s="111">
        <f>SUM(AF$73,'Statistics NZ'!AG$73-'Statistics NZ'!AF$73,$M$13/5*(AG$9-AG$10)*1000)</f>
        <v>31717.963544623628</v>
      </c>
      <c r="AH73" s="111">
        <f>SUM(AG$73,'Statistics NZ'!AH$73-'Statistics NZ'!AG$73,$M$13/5*(AH$9-AH$10)*1000)</f>
        <v>32807.963544623628</v>
      </c>
      <c r="AI73" s="111">
        <f>SUM(AH$73,'Statistics NZ'!AI$73-'Statistics NZ'!AH$73,$M$13/5*(AI$9-AI$10)*1000)</f>
        <v>33587.963544623628</v>
      </c>
      <c r="AJ73" s="111">
        <f>SUM(AI$73,'Statistics NZ'!AJ$73-'Statistics NZ'!AI$73,$M$13/5*(AJ$9-AJ$10)*1000)</f>
        <v>34367.963544623628</v>
      </c>
      <c r="AK73" s="111">
        <f>SUM(AJ$73,'Statistics NZ'!AK$73-'Statistics NZ'!AJ$73,$M$13/5*(AK$9-AK$10)*1000)</f>
        <v>35167.963544623628</v>
      </c>
      <c r="AL73" s="111">
        <f>SUM(AK$73,'Statistics NZ'!AL$73-'Statistics NZ'!AK$73,$M$13/5*(AL$9-AL$10)*1000)</f>
        <v>35777.963544623628</v>
      </c>
      <c r="AM73" s="111">
        <f>SUM(AL$73,'Statistics NZ'!AM$73-'Statistics NZ'!AL$73,$M$13/5*(AM$9-AM$10)*1000)</f>
        <v>36637.963544623628</v>
      </c>
      <c r="AN73" s="111">
        <f>SUM(AM$73,'Statistics NZ'!AN$73-'Statistics NZ'!AM$73,$M$13/5*(AN$9-AN$10)*1000)</f>
        <v>39107.963544623628</v>
      </c>
      <c r="AO73" s="111">
        <f>SUM(AN$73,'Statistics NZ'!AO$73-'Statistics NZ'!AN$73,$M$13/5*(AO$9-AO$10)*1000)</f>
        <v>39457.963544623628</v>
      </c>
      <c r="AP73" s="111">
        <f>SUM(AO$73,'Statistics NZ'!AP$73-'Statistics NZ'!AO$73,$M$13/5*(AP$9-AP$10)*1000)</f>
        <v>41137.963544623628</v>
      </c>
      <c r="AQ73" s="111">
        <f>SUM(AP$73,'Statistics NZ'!AQ$73-'Statistics NZ'!AP$73,$M$13/5*(AQ$9-AQ$10)*1000)</f>
        <v>41727.963544623628</v>
      </c>
      <c r="AR73" s="111">
        <f>SUM(AQ$73,'Statistics NZ'!AR$73-'Statistics NZ'!AQ$73,$M$13/5*(AR$9-AR$10)*1000)</f>
        <v>41367.963544623628</v>
      </c>
      <c r="AS73" s="111">
        <f>SUM(AR$73,'Statistics NZ'!AS$73-'Statistics NZ'!AR$73,$M$13/5*(AS$9-AS$10)*1000)</f>
        <v>40657.963544623628</v>
      </c>
      <c r="AT73" s="111">
        <f>SUM(AS$73,'Statistics NZ'!AT$73-'Statistics NZ'!AS$73,$M$13/5*(AT$9-AT$10)*1000)</f>
        <v>39457.963544623628</v>
      </c>
      <c r="AU73" s="111">
        <f>SUM(AT$73,'Statistics NZ'!AU$73-'Statistics NZ'!AT$73,$M$13/5*(AU$9-AU$10)*1000)</f>
        <v>39247.963544623628</v>
      </c>
      <c r="AV73" s="111">
        <f>SUM(AU$73,'Statistics NZ'!AV$73-'Statistics NZ'!AU$73,$M$13/5*(AV$9-AV$10)*1000)</f>
        <v>38877.963544623628</v>
      </c>
      <c r="AW73" s="111">
        <f>SUM(AV$73,'Statistics NZ'!AW$73-'Statistics NZ'!AV$73,$M$13/5*(AW$9-AW$10)*1000)</f>
        <v>38527.963544623628</v>
      </c>
      <c r="AX73" s="111">
        <f>SUM(AW$73,'Statistics NZ'!AX$73-'Statistics NZ'!AW$73,$M$13/5*(AX$9-AX$10)*1000)</f>
        <v>38487.963544623628</v>
      </c>
      <c r="AY73" s="111">
        <f>SUM(AX$73,'Statistics NZ'!AY$73-'Statistics NZ'!AX$73,$M$13/5*(AY$9-AY$10)*1000)</f>
        <v>37927.963544623628</v>
      </c>
      <c r="AZ73" s="111">
        <f>SUM(AY$73,'Statistics NZ'!AZ$73-'Statistics NZ'!AY$73,$M$13/5*(AZ$9-AZ$10)*1000)</f>
        <v>38697.963544623628</v>
      </c>
      <c r="BA73" s="111">
        <f>SUM(AZ$73,'Statistics NZ'!BA$73-'Statistics NZ'!AZ$73,$M$13/5*(BA$9-BA$10)*1000)</f>
        <v>38337.963544623628</v>
      </c>
      <c r="BB73" s="111">
        <f>SUM(BA$73,'Statistics NZ'!BB$73-'Statistics NZ'!BA$73,$M$13/5*(BB$9-BB$10)*1000)</f>
        <v>37417.963544623628</v>
      </c>
      <c r="BC73" s="111">
        <f>SUM(BB$73,'Statistics NZ'!BC$73-'Statistics NZ'!BB$73,$M$13/5*(BC$9-BC$10)*1000)</f>
        <v>37087.963544623628</v>
      </c>
      <c r="BD73" s="111">
        <f>SUM(BC$73,'Statistics NZ'!BD$73-'Statistics NZ'!BC$73,$M$13/5*(BD$9-BD$10)*1000)</f>
        <v>37897.963544623628</v>
      </c>
      <c r="BE73" s="111">
        <f>SUM(BD$73,'Statistics NZ'!BE$73-'Statistics NZ'!BD$73,$M$13/5*(BE$9-BE$10)*1000)</f>
        <v>38047.963544623628</v>
      </c>
      <c r="BF73" s="111">
        <f>SUM(BE$73,'Statistics NZ'!BF$73-'Statistics NZ'!BE$73,$M$13/5*(BF$9-BF$10)*1000)</f>
        <v>38857.963544623628</v>
      </c>
      <c r="BG73" s="111">
        <f>SUM(BF$73,'Statistics NZ'!BG$73-'Statistics NZ'!BF$73,$M$13/5*(BG$9-BG$10)*1000)</f>
        <v>40387.963544623628</v>
      </c>
      <c r="BH73" s="111">
        <f>SUM(BG$73,'Statistics NZ'!BH$73-'Statistics NZ'!BG$73,$M$13/5*(BH$9-BH$10)*1000)</f>
        <v>41657.963544623628</v>
      </c>
      <c r="BI73" s="111">
        <f>SUM(BH$73,'Statistics NZ'!BI$73-'Statistics NZ'!BH$73,$M$13/5*(BI$9-BI$10)*1000)</f>
        <v>41507.963544623628</v>
      </c>
      <c r="BJ73" s="111">
        <f>SUM(BI$73,'Statistics NZ'!BJ$73-'Statistics NZ'!BI$73,$M$13/5*(BJ$9-BJ$10)*1000)</f>
        <v>42527.963544623628</v>
      </c>
      <c r="BK73" s="111">
        <f>SUM(BJ$73,'Statistics NZ'!BK$73-'Statistics NZ'!BJ$73,$M$13/5*(BK$9-BK$10)*1000)</f>
        <v>42457.963544623628</v>
      </c>
      <c r="BL73" s="111">
        <f>SUM(BK$73,'Statistics NZ'!BL$73-'Statistics NZ'!BK$73,$M$13/5*(BL$9-BL$10)*1000)</f>
        <v>42367.963544623628</v>
      </c>
      <c r="BM73" s="195">
        <f>SUM(BL$73,'Statistics NZ'!BM$73-'Statistics NZ'!BL$73,$M$13/5*(BM$9-BM$10)*1000)</f>
        <v>42287.963544623628</v>
      </c>
      <c r="BN73" s="195">
        <f>SUM(BM$73,'Statistics NZ'!BN$73-'Statistics NZ'!BM$73,$M$13/5*(BN$9-BN$10)*1000)</f>
        <v>41207.963544623628</v>
      </c>
      <c r="BO73" s="195">
        <f>SUM(BN$73,'Statistics NZ'!BO$73-'Statistics NZ'!BN$73,$M$13/5*(BO$9-BO$10)*1000)</f>
        <v>41277.963544623628</v>
      </c>
      <c r="BP73" s="195">
        <f>SUM(BO$73,'Statistics NZ'!BP$73-'Statistics NZ'!BO$73,$M$13/5*(BP$9-BP$10)*1000)</f>
        <v>40927.963544623628</v>
      </c>
      <c r="BQ73" s="195">
        <f>SUM(BP$73,'Statistics NZ'!BQ$73-'Statistics NZ'!BP$73,$M$13/5*(BQ$9-BQ$10)*1000)</f>
        <v>41167.963544623628</v>
      </c>
    </row>
    <row r="74" spans="1:69">
      <c r="A74" s="105">
        <v>57</v>
      </c>
      <c r="B74" s="118">
        <f>'Statistics NZ'!B$74*'Economic Forecasts'!D$9*1000000/SUM('Statistics NZ'!B$32:B$107,'Statistics NZ'!B$125:B$200)</f>
        <v>23730.87752402679</v>
      </c>
      <c r="C74" s="118">
        <f>'Statistics NZ'!C$74*'Economic Forecasts'!E$9*1000000/SUM('Statistics NZ'!C$32:C$107,'Statistics NZ'!C$125:C$200)</f>
        <v>24498.116913123846</v>
      </c>
      <c r="D74" s="118">
        <f>'Statistics NZ'!D$74*'Economic Forecasts'!F$9*1000000/SUM('Statistics NZ'!D$32:D$107,'Statistics NZ'!D$125:D$200)</f>
        <v>24324.865170142439</v>
      </c>
      <c r="E74" s="118">
        <f>'Statistics NZ'!E$74*'Economic Forecasts'!G$9*1000000/SUM('Statistics NZ'!E$32:E$107,'Statistics NZ'!E$125:E$200)</f>
        <v>24621.262233825186</v>
      </c>
      <c r="F74" s="118">
        <f>'Statistics NZ'!F$74*'Economic Forecasts'!H$9*1000000/SUM('Statistics NZ'!F$32:F$107,'Statistics NZ'!F$125:F$200)</f>
        <v>25131.484547701832</v>
      </c>
      <c r="G74" s="118">
        <f>'Statistics NZ'!G$74*'Economic Forecasts'!I$9*1000000/SUM('Statistics NZ'!G$32:G$107,'Statistics NZ'!G$125:G$200)</f>
        <v>26149.532830827524</v>
      </c>
      <c r="H74" s="118">
        <f>'Statistics NZ'!H$74*'Economic Forecasts'!J$9*1000000/SUM('Statistics NZ'!H$32:H$107,'Statistics NZ'!H$125:H$200)</f>
        <v>26731.988782706387</v>
      </c>
      <c r="I74" s="118">
        <f>'Statistics NZ'!I$74*'Economic Forecasts'!K$9*1000000/SUM('Statistics NZ'!I$32:I$107,'Statistics NZ'!I$125:I$200)</f>
        <v>27525.194902230483</v>
      </c>
      <c r="J74" s="203">
        <f>'Statistics NZ'!J$74*'Economic Forecasts'!L$9*1000000/SUM('Statistics NZ'!J$32:J$107,'Statistics NZ'!J$125:J$200)</f>
        <v>28207.60779700704</v>
      </c>
      <c r="K74" s="203">
        <f>'Statistics NZ'!K$74*'Economic Forecasts'!M$9*1000000/SUM('Statistics NZ'!K$32:K$107,'Statistics NZ'!K$125:K$200)</f>
        <v>28847.118868961708</v>
      </c>
      <c r="L74" s="203">
        <f>'Statistics NZ'!L$74*'Economic Forecasts'!N$9*1000000/SUM('Statistics NZ'!L$32:L$107,'Statistics NZ'!L$125:L$200)</f>
        <v>30294.987384534175</v>
      </c>
      <c r="M74" s="203">
        <f>'Statistics NZ'!M$74*'Economic Forecasts'!O$9*1000000/SUM('Statistics NZ'!M$32:M$107,'Statistics NZ'!M$125:M$200)</f>
        <v>30831.681293564681</v>
      </c>
      <c r="N74" s="203">
        <f>'Statistics NZ'!N$74*'Economic Forecasts'!P$9*1000000/SUM('Statistics NZ'!N$32:N$107,'Statistics NZ'!N$125:N$200)</f>
        <v>32398.257918323168</v>
      </c>
      <c r="O74" s="203">
        <f>'Statistics NZ'!O$74*'Economic Forecasts'!Q$9*1000000/SUM('Statistics NZ'!O$32:O$107,'Statistics NZ'!O$125:O$200)</f>
        <v>33167.907154201974</v>
      </c>
      <c r="P74" s="203">
        <f>'Statistics NZ'!P$74*'Economic Forecasts'!R$9*1000000/SUM('Statistics NZ'!P$32:P$107,'Statistics NZ'!P$125:P$200)</f>
        <v>34052.622117749692</v>
      </c>
      <c r="Q74" s="121">
        <f>SUM('Statistics NZ'!Q$74,$M$13/5*(Q$9-Q$10)*1000)*'Economic Forecasts'!S$9*1000000/SUM('Statistics NZ'!Q$32:Q$107,'Statistics NZ'!Q$125:Q$200,SUM($E$13:$Q$14)*(Q$9-Q$10)*1000)</f>
        <v>33285.393657666624</v>
      </c>
      <c r="R74" s="205">
        <f>SUM('Statistics NZ'!R$74,$M$13/5*(R$9-R$10)*1000)*'Economic Forecasts'!T$9*1000000/SUM('Statistics NZ'!R$32:R$107,'Statistics NZ'!R$125:R$200,SUM($E$13:$Q$14)*(R$9-R$10)*1000)</f>
        <v>32390.846761419962</v>
      </c>
      <c r="S74" s="205">
        <f>SUM('Statistics NZ'!S$74,$M$13/5*(S$9-S$10)*1000)*'Economic Forecasts'!U$9*1000000/SUM('Statistics NZ'!S$32:S$107,'Statistics NZ'!S$125:S$200,SUM($E$13:$Q$14)*(S$9-S$10)*1000)</f>
        <v>31835.331841089475</v>
      </c>
      <c r="T74" s="205">
        <f>SUM('Statistics NZ'!T$74,$M$13/5*(T$9-T$10)*1000)*'Economic Forecasts'!V$9*1000000/SUM('Statistics NZ'!T$32:T$107,'Statistics NZ'!T$125:T$200,SUM($E$13:$Q$14)*(T$9-T$10)*1000)</f>
        <v>32287.155558986229</v>
      </c>
      <c r="U74" s="205">
        <f>SUM('Statistics NZ'!U$74,$M$13/5*(U$9-U$10)*1000)*'Economic Forecasts'!W$9*1000000/SUM('Statistics NZ'!U$32:U$107,'Statistics NZ'!U$125:U$200,SUM($E$13:$Q$14)*(U$9-U$10)*1000)</f>
        <v>33040.701700610996</v>
      </c>
      <c r="V74" s="111">
        <f>SUM(U$74,'Statistics NZ'!V$74-'Statistics NZ'!U$74,$M$13/5*(V$9-V$10)*1000)</f>
        <v>33649.381246534002</v>
      </c>
      <c r="W74" s="111">
        <f>SUM(V$74,'Statistics NZ'!W$74-'Statistics NZ'!V$74,$M$13/5*(W$9-W$10)*1000)</f>
        <v>33455.725849216629</v>
      </c>
      <c r="X74" s="111">
        <f>SUM(W$74,'Statistics NZ'!X$74-'Statistics NZ'!W$74,$M$13/5*(X$9-X$10)*1000)</f>
        <v>34899.73550865888</v>
      </c>
      <c r="Y74" s="111">
        <f>SUM(X$74,'Statistics NZ'!Y$74-'Statistics NZ'!X$74,$M$13/5*(Y$9-Y$10)*1000)</f>
        <v>34441.41022486076</v>
      </c>
      <c r="Z74" s="111">
        <f>SUM(Y$74,'Statistics NZ'!Z$74-'Statistics NZ'!Y$74,$M$13/5*(Z$9-Z$10)*1000)</f>
        <v>33190.749997822262</v>
      </c>
      <c r="AA74" s="111">
        <f>SUM(Z$74,'Statistics NZ'!AA$74-'Statistics NZ'!Z$74,$M$13/5*(AA$9-AA$10)*1000)</f>
        <v>32447.754827543387</v>
      </c>
      <c r="AB74" s="111">
        <f>SUM(AA$74,'Statistics NZ'!AB$74-'Statistics NZ'!AA$74,$M$13/5*(AB$9-AB$10)*1000)</f>
        <v>31182.424714024139</v>
      </c>
      <c r="AC74" s="111">
        <f>SUM(AB$74,'Statistics NZ'!AC$74-'Statistics NZ'!AB$74,$M$13/5*(AC$9-AC$10)*1000)</f>
        <v>29854.759657264512</v>
      </c>
      <c r="AD74" s="111">
        <f>SUM(AC$74,'Statistics NZ'!AD$74-'Statistics NZ'!AC$74,$M$13/5*(AD$9-AD$10)*1000)</f>
        <v>30034.759657264512</v>
      </c>
      <c r="AE74" s="111">
        <f>SUM(AD$74,'Statistics NZ'!AE$74-'Statistics NZ'!AD$74,$M$13/5*(AE$9-AE$10)*1000)</f>
        <v>29964.759657264512</v>
      </c>
      <c r="AF74" s="111">
        <f>SUM(AE$74,'Statistics NZ'!AF$74-'Statistics NZ'!AE$74,$M$13/5*(AF$9-AF$10)*1000)</f>
        <v>30924.759657264512</v>
      </c>
      <c r="AG74" s="111">
        <f>SUM(AF$74,'Statistics NZ'!AG$74-'Statistics NZ'!AF$74,$M$13/5*(AG$9-AG$10)*1000)</f>
        <v>31324.759657264512</v>
      </c>
      <c r="AH74" s="111">
        <f>SUM(AG$74,'Statistics NZ'!AH$74-'Statistics NZ'!AG$74,$M$13/5*(AH$9-AH$10)*1000)</f>
        <v>31714.759657264512</v>
      </c>
      <c r="AI74" s="111">
        <f>SUM(AH$74,'Statistics NZ'!AI$74-'Statistics NZ'!AH$74,$M$13/5*(AI$9-AI$10)*1000)</f>
        <v>32794.759657264512</v>
      </c>
      <c r="AJ74" s="111">
        <f>SUM(AI$74,'Statistics NZ'!AJ$74-'Statistics NZ'!AI$74,$M$13/5*(AJ$9-AJ$10)*1000)</f>
        <v>33584.759657264512</v>
      </c>
      <c r="AK74" s="111">
        <f>SUM(AJ$74,'Statistics NZ'!AK$74-'Statistics NZ'!AJ$74,$M$13/5*(AK$9-AK$10)*1000)</f>
        <v>34364.759657264512</v>
      </c>
      <c r="AL74" s="111">
        <f>SUM(AK$74,'Statistics NZ'!AL$74-'Statistics NZ'!AK$74,$M$13/5*(AL$9-AL$10)*1000)</f>
        <v>35154.759657264512</v>
      </c>
      <c r="AM74" s="111">
        <f>SUM(AL$74,'Statistics NZ'!AM$74-'Statistics NZ'!AL$74,$M$13/5*(AM$9-AM$10)*1000)</f>
        <v>35774.759657264512</v>
      </c>
      <c r="AN74" s="111">
        <f>SUM(AM$74,'Statistics NZ'!AN$74-'Statistics NZ'!AM$74,$M$13/5*(AN$9-AN$10)*1000)</f>
        <v>36634.759657264512</v>
      </c>
      <c r="AO74" s="111">
        <f>SUM(AN$74,'Statistics NZ'!AO$74-'Statistics NZ'!AN$74,$M$13/5*(AO$9-AO$10)*1000)</f>
        <v>39104.759657264512</v>
      </c>
      <c r="AP74" s="111">
        <f>SUM(AO$74,'Statistics NZ'!AP$74-'Statistics NZ'!AO$74,$M$13/5*(AP$9-AP$10)*1000)</f>
        <v>39454.759657264512</v>
      </c>
      <c r="AQ74" s="111">
        <f>SUM(AP$74,'Statistics NZ'!AQ$74-'Statistics NZ'!AP$74,$M$13/5*(AQ$9-AQ$10)*1000)</f>
        <v>41124.759657264512</v>
      </c>
      <c r="AR74" s="111">
        <f>SUM(AQ$74,'Statistics NZ'!AR$74-'Statistics NZ'!AQ$74,$M$13/5*(AR$9-AR$10)*1000)</f>
        <v>41714.759657264512</v>
      </c>
      <c r="AS74" s="111">
        <f>SUM(AR$74,'Statistics NZ'!AS$74-'Statistics NZ'!AR$74,$M$13/5*(AS$9-AS$10)*1000)</f>
        <v>41354.759657264512</v>
      </c>
      <c r="AT74" s="111">
        <f>SUM(AS$74,'Statistics NZ'!AT$74-'Statistics NZ'!AS$74,$M$13/5*(AT$9-AT$10)*1000)</f>
        <v>40654.759657264512</v>
      </c>
      <c r="AU74" s="111">
        <f>SUM(AT$74,'Statistics NZ'!AU$74-'Statistics NZ'!AT$74,$M$13/5*(AU$9-AU$10)*1000)</f>
        <v>39464.759657264512</v>
      </c>
      <c r="AV74" s="111">
        <f>SUM(AU$74,'Statistics NZ'!AV$74-'Statistics NZ'!AU$74,$M$13/5*(AV$9-AV$10)*1000)</f>
        <v>39244.759657264512</v>
      </c>
      <c r="AW74" s="111">
        <f>SUM(AV$74,'Statistics NZ'!AW$74-'Statistics NZ'!AV$74,$M$13/5*(AW$9-AW$10)*1000)</f>
        <v>38884.759657264512</v>
      </c>
      <c r="AX74" s="111">
        <f>SUM(AW$74,'Statistics NZ'!AX$74-'Statistics NZ'!AW$74,$M$13/5*(AX$9-AX$10)*1000)</f>
        <v>38534.759657264512</v>
      </c>
      <c r="AY74" s="111">
        <f>SUM(AX$74,'Statistics NZ'!AY$74-'Statistics NZ'!AX$74,$M$13/5*(AY$9-AY$10)*1000)</f>
        <v>38494.759657264512</v>
      </c>
      <c r="AZ74" s="111">
        <f>SUM(AY$74,'Statistics NZ'!AZ$74-'Statistics NZ'!AY$74,$M$13/5*(AZ$9-AZ$10)*1000)</f>
        <v>37934.759657264512</v>
      </c>
      <c r="BA74" s="111">
        <f>SUM(AZ$74,'Statistics NZ'!BA$74-'Statistics NZ'!AZ$74,$M$13/5*(BA$9-BA$10)*1000)</f>
        <v>38704.759657264512</v>
      </c>
      <c r="BB74" s="111">
        <f>SUM(BA$74,'Statistics NZ'!BB$74-'Statistics NZ'!BA$74,$M$13/5*(BB$9-BB$10)*1000)</f>
        <v>38344.759657264512</v>
      </c>
      <c r="BC74" s="111">
        <f>SUM(BB$74,'Statistics NZ'!BC$74-'Statistics NZ'!BB$74,$M$13/5*(BC$9-BC$10)*1000)</f>
        <v>37424.759657264512</v>
      </c>
      <c r="BD74" s="111">
        <f>SUM(BC$74,'Statistics NZ'!BD$74-'Statistics NZ'!BC$74,$M$13/5*(BD$9-BD$10)*1000)</f>
        <v>37104.759657264512</v>
      </c>
      <c r="BE74" s="111">
        <f>SUM(BD$74,'Statistics NZ'!BE$74-'Statistics NZ'!BD$74,$M$13/5*(BE$9-BE$10)*1000)</f>
        <v>37914.759657264512</v>
      </c>
      <c r="BF74" s="111">
        <f>SUM(BE$74,'Statistics NZ'!BF$74-'Statistics NZ'!BE$74,$M$13/5*(BF$9-BF$10)*1000)</f>
        <v>38064.759657264512</v>
      </c>
      <c r="BG74" s="111">
        <f>SUM(BF$74,'Statistics NZ'!BG$74-'Statistics NZ'!BF$74,$M$13/5*(BG$9-BG$10)*1000)</f>
        <v>38874.759657264512</v>
      </c>
      <c r="BH74" s="111">
        <f>SUM(BG$74,'Statistics NZ'!BH$74-'Statistics NZ'!BG$74,$M$13/5*(BH$9-BH$10)*1000)</f>
        <v>40404.759657264512</v>
      </c>
      <c r="BI74" s="111">
        <f>SUM(BH$74,'Statistics NZ'!BI$74-'Statistics NZ'!BH$74,$M$13/5*(BI$9-BI$10)*1000)</f>
        <v>41674.759657264512</v>
      </c>
      <c r="BJ74" s="111">
        <f>SUM(BI$74,'Statistics NZ'!BJ$74-'Statistics NZ'!BI$74,$M$13/5*(BJ$9-BJ$10)*1000)</f>
        <v>41524.759657264512</v>
      </c>
      <c r="BK74" s="111">
        <f>SUM(BJ$74,'Statistics NZ'!BK$74-'Statistics NZ'!BJ$74,$M$13/5*(BK$9-BK$10)*1000)</f>
        <v>42544.759657264512</v>
      </c>
      <c r="BL74" s="111">
        <f>SUM(BK$74,'Statistics NZ'!BL$74-'Statistics NZ'!BK$74,$M$13/5*(BL$9-BL$10)*1000)</f>
        <v>42474.759657264512</v>
      </c>
      <c r="BM74" s="195">
        <f>SUM(BL$74,'Statistics NZ'!BM$74-'Statistics NZ'!BL$74,$M$13/5*(BM$9-BM$10)*1000)</f>
        <v>42384.759657264512</v>
      </c>
      <c r="BN74" s="195">
        <f>SUM(BM$74,'Statistics NZ'!BN$74-'Statistics NZ'!BM$74,$M$13/5*(BN$9-BN$10)*1000)</f>
        <v>42304.759657264512</v>
      </c>
      <c r="BO74" s="195">
        <f>SUM(BN$74,'Statistics NZ'!BO$74-'Statistics NZ'!BN$74,$M$13/5*(BO$9-BO$10)*1000)</f>
        <v>41224.759657264512</v>
      </c>
      <c r="BP74" s="195">
        <f>SUM(BO$74,'Statistics NZ'!BP$74-'Statistics NZ'!BO$74,$M$13/5*(BP$9-BP$10)*1000)</f>
        <v>41294.759657264512</v>
      </c>
      <c r="BQ74" s="195">
        <f>SUM(BP$74,'Statistics NZ'!BQ$74-'Statistics NZ'!BP$74,$M$13/5*(BQ$9-BQ$10)*1000)</f>
        <v>40944.759657264512</v>
      </c>
    </row>
    <row r="75" spans="1:69">
      <c r="A75" s="105">
        <v>58</v>
      </c>
      <c r="B75" s="118">
        <f>'Statistics NZ'!B$75*'Economic Forecasts'!D$9*1000000/SUM('Statistics NZ'!B$32:B$107,'Statistics NZ'!B$125:B$200)</f>
        <v>24115.063586059601</v>
      </c>
      <c r="C75" s="118">
        <f>'Statistics NZ'!C$75*'Economic Forecasts'!E$9*1000000/SUM('Statistics NZ'!C$32:C$107,'Statistics NZ'!C$125:C$200)</f>
        <v>23709.445141272776</v>
      </c>
      <c r="D75" s="118">
        <f>'Statistics NZ'!D$75*'Economic Forecasts'!F$9*1000000/SUM('Statistics NZ'!D$32:D$107,'Statistics NZ'!D$125:D$200)</f>
        <v>24344.577378546121</v>
      </c>
      <c r="E75" s="118">
        <f>'Statistics NZ'!E$75*'Economic Forecasts'!G$9*1000000/SUM('Statistics NZ'!E$32:E$107,'Statistics NZ'!E$125:E$200)</f>
        <v>24197.776523403387</v>
      </c>
      <c r="F75" s="118">
        <f>'Statistics NZ'!F$75*'Economic Forecasts'!H$9*1000000/SUM('Statistics NZ'!F$32:F$107,'Statistics NZ'!F$125:F$200)</f>
        <v>24629.051889162911</v>
      </c>
      <c r="G75" s="118">
        <f>'Statistics NZ'!G$75*'Economic Forecasts'!I$9*1000000/SUM('Statistics NZ'!G$32:G$107,'Statistics NZ'!G$125:G$200)</f>
        <v>25105.127977750009</v>
      </c>
      <c r="H75" s="118">
        <f>'Statistics NZ'!H$75*'Economic Forecasts'!J$9*1000000/SUM('Statistics NZ'!H$32:H$107,'Statistics NZ'!H$125:H$200)</f>
        <v>26131.15926327194</v>
      </c>
      <c r="I75" s="118">
        <f>'Statistics NZ'!I$75*'Economic Forecasts'!K$9*1000000/SUM('Statistics NZ'!I$32:I$107,'Statistics NZ'!I$125:I$200)</f>
        <v>26669.030455861495</v>
      </c>
      <c r="J75" s="203">
        <f>'Statistics NZ'!J$75*'Economic Forecasts'!L$9*1000000/SUM('Statistics NZ'!J$32:J$107,'Statistics NZ'!J$125:J$200)</f>
        <v>27440.98988475389</v>
      </c>
      <c r="K75" s="203">
        <f>'Statistics NZ'!K$75*'Economic Forecasts'!M$9*1000000/SUM('Statistics NZ'!K$32:K$107,'Statistics NZ'!K$125:K$200)</f>
        <v>28159.346961322975</v>
      </c>
      <c r="L75" s="203">
        <f>'Statistics NZ'!L$75*'Economic Forecasts'!N$9*1000000/SUM('Statistics NZ'!L$32:L$107,'Statistics NZ'!L$125:L$200)</f>
        <v>29004.791237793612</v>
      </c>
      <c r="M75" s="203">
        <f>'Statistics NZ'!M$75*'Economic Forecasts'!O$9*1000000/SUM('Statistics NZ'!M$32:M$107,'Statistics NZ'!M$125:M$200)</f>
        <v>30339.162423060458</v>
      </c>
      <c r="N75" s="203">
        <f>'Statistics NZ'!N$75*'Economic Forecasts'!P$9*1000000/SUM('Statistics NZ'!N$32:N$107,'Statistics NZ'!N$125:N$200)</f>
        <v>30878.510212133166</v>
      </c>
      <c r="O75" s="203">
        <f>'Statistics NZ'!O$75*'Economic Forecasts'!Q$9*1000000/SUM('Statistics NZ'!O$32:O$107,'Statistics NZ'!O$125:O$200)</f>
        <v>32368.561578632096</v>
      </c>
      <c r="P75" s="203">
        <f>'Statistics NZ'!P$75*'Economic Forecasts'!R$9*1000000/SUM('Statistics NZ'!P$32:P$107,'Statistics NZ'!P$125:P$200)</f>
        <v>33499.723643237077</v>
      </c>
      <c r="Q75" s="121">
        <f>SUM('Statistics NZ'!Q$75,$M$13/5*(Q$9-Q$10)*1000)*'Economic Forecasts'!S$9*1000000/SUM('Statistics NZ'!Q$32:Q$107,'Statistics NZ'!Q$125:Q$200,SUM($E$13:$Q$14)*(Q$9-Q$10)*1000)</f>
        <v>34026.875392003589</v>
      </c>
      <c r="R75" s="205">
        <f>SUM('Statistics NZ'!R$75,$M$13/5*(R$9-R$10)*1000)*'Economic Forecasts'!T$9*1000000/SUM('Statistics NZ'!R$32:R$107,'Statistics NZ'!R$125:R$200,SUM($E$13:$Q$14)*(R$9-R$10)*1000)</f>
        <v>33231.086985367045</v>
      </c>
      <c r="S75" s="205">
        <f>SUM('Statistics NZ'!S$75,$M$13/5*(S$9-S$10)*1000)*'Economic Forecasts'!U$9*1000000/SUM('Statistics NZ'!S$32:S$107,'Statistics NZ'!S$125:S$200,SUM($E$13:$Q$14)*(S$9-S$10)*1000)</f>
        <v>32339.206537555619</v>
      </c>
      <c r="T75" s="205">
        <f>SUM('Statistics NZ'!T$75,$M$13/5*(T$9-T$10)*1000)*'Economic Forecasts'!V$9*1000000/SUM('Statistics NZ'!T$32:T$107,'Statistics NZ'!T$125:T$200,SUM($E$13:$Q$14)*(T$9-T$10)*1000)</f>
        <v>31822.829197363128</v>
      </c>
      <c r="U75" s="205">
        <f>SUM('Statistics NZ'!U$75,$M$13/5*(U$9-U$10)*1000)*'Economic Forecasts'!W$9*1000000/SUM('Statistics NZ'!U$32:U$107,'Statistics NZ'!U$125:U$200,SUM($E$13:$Q$14)*(U$9-U$10)*1000)</f>
        <v>32318.576561290101</v>
      </c>
      <c r="V75" s="111">
        <f>SUM(U$75,'Statistics NZ'!V$75-'Statistics NZ'!U$75,$M$13/5*(V$9-V$10)*1000)</f>
        <v>33047.256107213107</v>
      </c>
      <c r="W75" s="111">
        <f>SUM(V$75,'Statistics NZ'!W$75-'Statistics NZ'!V$75,$M$13/5*(W$9-W$10)*1000)</f>
        <v>33653.600709895734</v>
      </c>
      <c r="X75" s="111">
        <f>SUM(W$75,'Statistics NZ'!X$75-'Statistics NZ'!W$75,$M$13/5*(X$9-X$10)*1000)</f>
        <v>33457.610369337985</v>
      </c>
      <c r="Y75" s="111">
        <f>SUM(X$75,'Statistics NZ'!Y$75-'Statistics NZ'!X$75,$M$13/5*(Y$9-Y$10)*1000)</f>
        <v>34899.285085539865</v>
      </c>
      <c r="Z75" s="111">
        <f>SUM(Y$75,'Statistics NZ'!Z$75-'Statistics NZ'!Y$75,$M$13/5*(Z$9-Z$10)*1000)</f>
        <v>34428.624858501367</v>
      </c>
      <c r="AA75" s="111">
        <f>SUM(Z$75,'Statistics NZ'!AA$75-'Statistics NZ'!Z$75,$M$13/5*(AA$9-AA$10)*1000)</f>
        <v>33195.629688222492</v>
      </c>
      <c r="AB75" s="111">
        <f>SUM(AA$75,'Statistics NZ'!AB$75-'Statistics NZ'!AA$75,$M$13/5*(AB$9-AB$10)*1000)</f>
        <v>32450.299574703244</v>
      </c>
      <c r="AC75" s="111">
        <f>SUM(AB$75,'Statistics NZ'!AC$75-'Statistics NZ'!AB$75,$M$13/5*(AC$9-AC$10)*1000)</f>
        <v>31182.634517943618</v>
      </c>
      <c r="AD75" s="111">
        <f>SUM(AC$75,'Statistics NZ'!AD$75-'Statistics NZ'!AC$75,$M$13/5*(AD$9-AD$10)*1000)</f>
        <v>29862.634517943618</v>
      </c>
      <c r="AE75" s="111">
        <f>SUM(AD$75,'Statistics NZ'!AE$75-'Statistics NZ'!AD$75,$M$13/5*(AE$9-AE$10)*1000)</f>
        <v>30042.634517943618</v>
      </c>
      <c r="AF75" s="111">
        <f>SUM(AE$75,'Statistics NZ'!AF$75-'Statistics NZ'!AE$75,$M$13/5*(AF$9-AF$10)*1000)</f>
        <v>29972.634517943618</v>
      </c>
      <c r="AG75" s="111">
        <f>SUM(AF$75,'Statistics NZ'!AG$75-'Statistics NZ'!AF$75,$M$13/5*(AG$9-AG$10)*1000)</f>
        <v>30932.634517943618</v>
      </c>
      <c r="AH75" s="111">
        <f>SUM(AG$75,'Statistics NZ'!AH$75-'Statistics NZ'!AG$75,$M$13/5*(AH$9-AH$10)*1000)</f>
        <v>31332.634517943618</v>
      </c>
      <c r="AI75" s="111">
        <f>SUM(AH$75,'Statistics NZ'!AI$75-'Statistics NZ'!AH$75,$M$13/5*(AI$9-AI$10)*1000)</f>
        <v>31722.634517943618</v>
      </c>
      <c r="AJ75" s="111">
        <f>SUM(AI$75,'Statistics NZ'!AJ$75-'Statistics NZ'!AI$75,$M$13/5*(AJ$9-AJ$10)*1000)</f>
        <v>32812.634517943618</v>
      </c>
      <c r="AK75" s="111">
        <f>SUM(AJ$75,'Statistics NZ'!AK$75-'Statistics NZ'!AJ$75,$M$13/5*(AK$9-AK$10)*1000)</f>
        <v>33592.634517943618</v>
      </c>
      <c r="AL75" s="111">
        <f>SUM(AK$75,'Statistics NZ'!AL$75-'Statistics NZ'!AK$75,$M$13/5*(AL$9-AL$10)*1000)</f>
        <v>34372.634517943618</v>
      </c>
      <c r="AM75" s="111">
        <f>SUM(AL$75,'Statistics NZ'!AM$75-'Statistics NZ'!AL$75,$M$13/5*(AM$9-AM$10)*1000)</f>
        <v>35162.634517943618</v>
      </c>
      <c r="AN75" s="111">
        <f>SUM(AM$75,'Statistics NZ'!AN$75-'Statistics NZ'!AM$75,$M$13/5*(AN$9-AN$10)*1000)</f>
        <v>35782.634517943618</v>
      </c>
      <c r="AO75" s="111">
        <f>SUM(AN$75,'Statistics NZ'!AO$75-'Statistics NZ'!AN$75,$M$13/5*(AO$9-AO$10)*1000)</f>
        <v>36642.634517943618</v>
      </c>
      <c r="AP75" s="111">
        <f>SUM(AO$75,'Statistics NZ'!AP$75-'Statistics NZ'!AO$75,$M$13/5*(AP$9-AP$10)*1000)</f>
        <v>39112.634517943618</v>
      </c>
      <c r="AQ75" s="111">
        <f>SUM(AP$75,'Statistics NZ'!AQ$75-'Statistics NZ'!AP$75,$M$13/5*(AQ$9-AQ$10)*1000)</f>
        <v>39462.634517943618</v>
      </c>
      <c r="AR75" s="111">
        <f>SUM(AQ$75,'Statistics NZ'!AR$75-'Statistics NZ'!AQ$75,$M$13/5*(AR$9-AR$10)*1000)</f>
        <v>41132.634517943618</v>
      </c>
      <c r="AS75" s="111">
        <f>SUM(AR$75,'Statistics NZ'!AS$75-'Statistics NZ'!AR$75,$M$13/5*(AS$9-AS$10)*1000)</f>
        <v>41722.634517943618</v>
      </c>
      <c r="AT75" s="111">
        <f>SUM(AS$75,'Statistics NZ'!AT$75-'Statistics NZ'!AS$75,$M$13/5*(AT$9-AT$10)*1000)</f>
        <v>41362.634517943618</v>
      </c>
      <c r="AU75" s="111">
        <f>SUM(AT$75,'Statistics NZ'!AU$75-'Statistics NZ'!AT$75,$M$13/5*(AU$9-AU$10)*1000)</f>
        <v>40662.634517943618</v>
      </c>
      <c r="AV75" s="111">
        <f>SUM(AU$75,'Statistics NZ'!AV$75-'Statistics NZ'!AU$75,$M$13/5*(AV$9-AV$10)*1000)</f>
        <v>39472.634517943618</v>
      </c>
      <c r="AW75" s="111">
        <f>SUM(AV$75,'Statistics NZ'!AW$75-'Statistics NZ'!AV$75,$M$13/5*(AW$9-AW$10)*1000)</f>
        <v>39262.634517943618</v>
      </c>
      <c r="AX75" s="111">
        <f>SUM(AW$75,'Statistics NZ'!AX$75-'Statistics NZ'!AW$75,$M$13/5*(AX$9-AX$10)*1000)</f>
        <v>38902.634517943618</v>
      </c>
      <c r="AY75" s="111">
        <f>SUM(AX$75,'Statistics NZ'!AY$75-'Statistics NZ'!AX$75,$M$13/5*(AY$9-AY$10)*1000)</f>
        <v>38552.634517943618</v>
      </c>
      <c r="AZ75" s="111">
        <f>SUM(AY$75,'Statistics NZ'!AZ$75-'Statistics NZ'!AY$75,$M$13/5*(AZ$9-AZ$10)*1000)</f>
        <v>38522.634517943618</v>
      </c>
      <c r="BA75" s="111">
        <f>SUM(AZ$75,'Statistics NZ'!BA$75-'Statistics NZ'!AZ$75,$M$13/5*(BA$9-BA$10)*1000)</f>
        <v>37962.634517943618</v>
      </c>
      <c r="BB75" s="111">
        <f>SUM(BA$75,'Statistics NZ'!BB$75-'Statistics NZ'!BA$75,$M$13/5*(BB$9-BB$10)*1000)</f>
        <v>38732.634517943618</v>
      </c>
      <c r="BC75" s="111">
        <f>SUM(BB$75,'Statistics NZ'!BC$75-'Statistics NZ'!BB$75,$M$13/5*(BC$9-BC$10)*1000)</f>
        <v>38372.634517943618</v>
      </c>
      <c r="BD75" s="111">
        <f>SUM(BC$75,'Statistics NZ'!BD$75-'Statistics NZ'!BC$75,$M$13/5*(BD$9-BD$10)*1000)</f>
        <v>37452.634517943618</v>
      </c>
      <c r="BE75" s="111">
        <f>SUM(BD$75,'Statistics NZ'!BE$75-'Statistics NZ'!BD$75,$M$13/5*(BE$9-BE$10)*1000)</f>
        <v>37132.634517943618</v>
      </c>
      <c r="BF75" s="111">
        <f>SUM(BE$75,'Statistics NZ'!BF$75-'Statistics NZ'!BE$75,$M$13/5*(BF$9-BF$10)*1000)</f>
        <v>37942.634517943618</v>
      </c>
      <c r="BG75" s="111">
        <f>SUM(BF$75,'Statistics NZ'!BG$75-'Statistics NZ'!BF$75,$M$13/5*(BG$9-BG$10)*1000)</f>
        <v>38102.634517943618</v>
      </c>
      <c r="BH75" s="111">
        <f>SUM(BG$75,'Statistics NZ'!BH$75-'Statistics NZ'!BG$75,$M$13/5*(BH$9-BH$10)*1000)</f>
        <v>38902.634517943618</v>
      </c>
      <c r="BI75" s="111">
        <f>SUM(BH$75,'Statistics NZ'!BI$75-'Statistics NZ'!BH$75,$M$13/5*(BI$9-BI$10)*1000)</f>
        <v>40432.634517943618</v>
      </c>
      <c r="BJ75" s="111">
        <f>SUM(BI$75,'Statistics NZ'!BJ$75-'Statistics NZ'!BI$75,$M$13/5*(BJ$9-BJ$10)*1000)</f>
        <v>41702.634517943618</v>
      </c>
      <c r="BK75" s="111">
        <f>SUM(BJ$75,'Statistics NZ'!BK$75-'Statistics NZ'!BJ$75,$M$13/5*(BK$9-BK$10)*1000)</f>
        <v>41552.634517943618</v>
      </c>
      <c r="BL75" s="111">
        <f>SUM(BK$75,'Statistics NZ'!BL$75-'Statistics NZ'!BK$75,$M$13/5*(BL$9-BL$10)*1000)</f>
        <v>42572.634517943618</v>
      </c>
      <c r="BM75" s="195">
        <f>SUM(BL$75,'Statistics NZ'!BM$75-'Statistics NZ'!BL$75,$M$13/5*(BM$9-BM$10)*1000)</f>
        <v>42512.634517943618</v>
      </c>
      <c r="BN75" s="195">
        <f>SUM(BM$75,'Statistics NZ'!BN$75-'Statistics NZ'!BM$75,$M$13/5*(BN$9-BN$10)*1000)</f>
        <v>42422.634517943618</v>
      </c>
      <c r="BO75" s="195">
        <f>SUM(BN$75,'Statistics NZ'!BO$75-'Statistics NZ'!BN$75,$M$13/5*(BO$9-BO$10)*1000)</f>
        <v>42342.634517943618</v>
      </c>
      <c r="BP75" s="195">
        <f>SUM(BO$75,'Statistics NZ'!BP$75-'Statistics NZ'!BO$75,$M$13/5*(BP$9-BP$10)*1000)</f>
        <v>41262.634517943618</v>
      </c>
      <c r="BQ75" s="195">
        <f>SUM(BP$75,'Statistics NZ'!BQ$75-'Statistics NZ'!BP$75,$M$13/5*(BQ$9-BQ$10)*1000)</f>
        <v>41332.634517943618</v>
      </c>
    </row>
    <row r="76" spans="1:69">
      <c r="A76" s="105">
        <v>59</v>
      </c>
      <c r="B76" s="118">
        <f>'Statistics NZ'!B$76*'Economic Forecasts'!D$9*1000000/SUM('Statistics NZ'!B$32:B$107,'Statistics NZ'!B$125:B$200)</f>
        <v>24292.380230074748</v>
      </c>
      <c r="C76" s="118">
        <f>'Statistics NZ'!C$76*'Economic Forecasts'!E$9*1000000/SUM('Statistics NZ'!C$32:C$107,'Statistics NZ'!C$125:C$200)</f>
        <v>24103.781027198311</v>
      </c>
      <c r="D76" s="118">
        <f>'Statistics NZ'!D$76*'Economic Forecasts'!F$9*1000000/SUM('Statistics NZ'!D$32:D$107,'Statistics NZ'!D$125:D$200)</f>
        <v>23634.937876013602</v>
      </c>
      <c r="E76" s="118">
        <f>'Statistics NZ'!E$76*'Economic Forecasts'!G$9*1000000/SUM('Statistics NZ'!E$32:E$107,'Statistics NZ'!E$125:E$200)</f>
        <v>24256.867552764572</v>
      </c>
      <c r="F76" s="118">
        <f>'Statistics NZ'!F$76*'Economic Forecasts'!H$9*1000000/SUM('Statistics NZ'!F$32:F$107,'Statistics NZ'!F$125:F$200)</f>
        <v>24136.470851379654</v>
      </c>
      <c r="G76" s="118">
        <f>'Statistics NZ'!G$76*'Economic Forecasts'!I$9*1000000/SUM('Statistics NZ'!G$32:G$107,'Statistics NZ'!G$125:G$200)</f>
        <v>24602.631303156111</v>
      </c>
      <c r="H76" s="118">
        <f>'Statistics NZ'!H$76*'Economic Forecasts'!J$9*1000000/SUM('Statistics NZ'!H$32:H$107,'Statistics NZ'!H$125:H$200)</f>
        <v>25096.944516704447</v>
      </c>
      <c r="I76" s="118">
        <f>'Statistics NZ'!I$76*'Economic Forecasts'!K$9*1000000/SUM('Statistics NZ'!I$32:I$107,'Statistics NZ'!I$125:I$200)</f>
        <v>26068.731246338415</v>
      </c>
      <c r="J76" s="203">
        <f>'Statistics NZ'!J$76*'Economic Forecasts'!L$9*1000000/SUM('Statistics NZ'!J$32:J$107,'Statistics NZ'!J$125:J$200)</f>
        <v>26595.744494320923</v>
      </c>
      <c r="K76" s="203">
        <f>'Statistics NZ'!K$76*'Economic Forecasts'!M$9*1000000/SUM('Statistics NZ'!K$32:K$107,'Statistics NZ'!K$125:K$200)</f>
        <v>27432.27380181917</v>
      </c>
      <c r="L76" s="203">
        <f>'Statistics NZ'!L$76*'Economic Forecasts'!N$9*1000000/SUM('Statistics NZ'!L$32:L$107,'Statistics NZ'!L$125:L$200)</f>
        <v>28256.280496173134</v>
      </c>
      <c r="M76" s="203">
        <f>'Statistics NZ'!M$76*'Economic Forecasts'!O$9*1000000/SUM('Statistics NZ'!M$32:M$107,'Statistics NZ'!M$125:M$200)</f>
        <v>29107.865246799884</v>
      </c>
      <c r="N76" s="203">
        <f>'Statistics NZ'!N$76*'Economic Forecasts'!P$9*1000000/SUM('Statistics NZ'!N$32:N$107,'Statistics NZ'!N$125:N$200)</f>
        <v>30375.217140602712</v>
      </c>
      <c r="O76" s="203">
        <f>'Statistics NZ'!O$76*'Economic Forecasts'!Q$9*1000000/SUM('Statistics NZ'!O$32:O$107,'Statistics NZ'!O$125:O$200)</f>
        <v>30898.160458139355</v>
      </c>
      <c r="P76" s="203">
        <f>'Statistics NZ'!P$76*'Economic Forecasts'!R$9*1000000/SUM('Statistics NZ'!P$32:P$107,'Statistics NZ'!P$125:P$200)</f>
        <v>32670.375931468174</v>
      </c>
      <c r="Q76" s="121">
        <f>SUM('Statistics NZ'!Q$76,$M$13/5*(Q$9-Q$10)*1000)*'Economic Forecasts'!S$9*1000000/SUM('Statistics NZ'!Q$32:Q$107,'Statistics NZ'!Q$125:Q$200,SUM($E$13:$Q$14)*(Q$9-Q$10)*1000)</f>
        <v>33473.235697031996</v>
      </c>
      <c r="R76" s="205">
        <f>SUM('Statistics NZ'!R$76,$M$13/5*(R$9-R$10)*1000)*'Economic Forecasts'!T$9*1000000/SUM('Statistics NZ'!R$32:R$107,'Statistics NZ'!R$125:R$200,SUM($E$13:$Q$14)*(R$9-R$10)*1000)</f>
        <v>33962.59023915627</v>
      </c>
      <c r="S76" s="205">
        <f>SUM('Statistics NZ'!S$76,$M$13/5*(S$9-S$10)*1000)*'Economic Forecasts'!U$9*1000000/SUM('Statistics NZ'!S$32:S$107,'Statistics NZ'!S$125:S$200,SUM($E$13:$Q$14)*(S$9-S$10)*1000)</f>
        <v>33178.997698332532</v>
      </c>
      <c r="T76" s="205">
        <f>SUM('Statistics NZ'!T$76,$M$13/5*(T$9-T$10)*1000)*'Economic Forecasts'!V$9*1000000/SUM('Statistics NZ'!T$32:T$107,'Statistics NZ'!T$125:T$200,SUM($E$13:$Q$14)*(T$9-T$10)*1000)</f>
        <v>32326.672696145637</v>
      </c>
      <c r="U76" s="205">
        <f>SUM('Statistics NZ'!U$76,$M$13/5*(U$9-U$10)*1000)*'Economic Forecasts'!W$9*1000000/SUM('Statistics NZ'!U$32:U$107,'Statistics NZ'!U$125:U$200,SUM($E$13:$Q$14)*(U$9-U$10)*1000)</f>
        <v>31853.64667706981</v>
      </c>
      <c r="V76" s="111">
        <f>SUM(U$76,'Statistics NZ'!V$76-'Statistics NZ'!U$76,$M$13/5*(V$9-V$10)*1000)</f>
        <v>32322.326222992815</v>
      </c>
      <c r="W76" s="111">
        <f>SUM(V$76,'Statistics NZ'!W$76-'Statistics NZ'!V$76,$M$13/5*(W$9-W$10)*1000)</f>
        <v>33048.670825675443</v>
      </c>
      <c r="X76" s="111">
        <f>SUM(W$76,'Statistics NZ'!X$76-'Statistics NZ'!W$76,$M$13/5*(X$9-X$10)*1000)</f>
        <v>33652.680485117693</v>
      </c>
      <c r="Y76" s="111">
        <f>SUM(X$76,'Statistics NZ'!Y$76-'Statistics NZ'!X$76,$M$13/5*(Y$9-Y$10)*1000)</f>
        <v>33454.355201319573</v>
      </c>
      <c r="Z76" s="111">
        <f>SUM(Y$76,'Statistics NZ'!Z$76-'Statistics NZ'!Y$76,$M$13/5*(Z$9-Z$10)*1000)</f>
        <v>34893.694974281076</v>
      </c>
      <c r="AA76" s="111">
        <f>SUM(Z$76,'Statistics NZ'!AA$76-'Statistics NZ'!Z$76,$M$13/5*(AA$9-AA$10)*1000)</f>
        <v>34430.699804002201</v>
      </c>
      <c r="AB76" s="111">
        <f>SUM(AA$76,'Statistics NZ'!AB$76-'Statistics NZ'!AA$76,$M$13/5*(AB$9-AB$10)*1000)</f>
        <v>33195.369690482948</v>
      </c>
      <c r="AC76" s="111">
        <f>SUM(AB$76,'Statistics NZ'!AC$76-'Statistics NZ'!AB$76,$M$13/5*(AC$9-AC$10)*1000)</f>
        <v>32457.704633723322</v>
      </c>
      <c r="AD76" s="111">
        <f>SUM(AC$76,'Statistics NZ'!AD$76-'Statistics NZ'!AC$76,$M$13/5*(AD$9-AD$10)*1000)</f>
        <v>31197.704633723322</v>
      </c>
      <c r="AE76" s="111">
        <f>SUM(AD$76,'Statistics NZ'!AE$76-'Statistics NZ'!AD$76,$M$13/5*(AE$9-AE$10)*1000)</f>
        <v>29877.704633723322</v>
      </c>
      <c r="AF76" s="111">
        <f>SUM(AE$76,'Statistics NZ'!AF$76-'Statistics NZ'!AE$76,$M$13/5*(AF$9-AF$10)*1000)</f>
        <v>30057.704633723322</v>
      </c>
      <c r="AG76" s="111">
        <f>SUM(AF$76,'Statistics NZ'!AG$76-'Statistics NZ'!AF$76,$M$13/5*(AG$9-AG$10)*1000)</f>
        <v>29987.704633723322</v>
      </c>
      <c r="AH76" s="111">
        <f>SUM(AG$76,'Statistics NZ'!AH$76-'Statistics NZ'!AG$76,$M$13/5*(AH$9-AH$10)*1000)</f>
        <v>30957.704633723322</v>
      </c>
      <c r="AI76" s="111">
        <f>SUM(AH$76,'Statistics NZ'!AI$76-'Statistics NZ'!AH$76,$M$13/5*(AI$9-AI$10)*1000)</f>
        <v>31347.704633723322</v>
      </c>
      <c r="AJ76" s="111">
        <f>SUM(AI$76,'Statistics NZ'!AJ$76-'Statistics NZ'!AI$76,$M$13/5*(AJ$9-AJ$10)*1000)</f>
        <v>31737.704633723322</v>
      </c>
      <c r="AK76" s="111">
        <f>SUM(AJ$76,'Statistics NZ'!AK$76-'Statistics NZ'!AJ$76,$M$13/5*(AK$9-AK$10)*1000)</f>
        <v>32827.704633723319</v>
      </c>
      <c r="AL76" s="111">
        <f>SUM(AK$76,'Statistics NZ'!AL$76-'Statistics NZ'!AK$76,$M$13/5*(AL$9-AL$10)*1000)</f>
        <v>33607.704633723319</v>
      </c>
      <c r="AM76" s="111">
        <f>SUM(AL$76,'Statistics NZ'!AM$76-'Statistics NZ'!AL$76,$M$13/5*(AM$9-AM$10)*1000)</f>
        <v>34387.704633723319</v>
      </c>
      <c r="AN76" s="111">
        <f>SUM(AM$76,'Statistics NZ'!AN$76-'Statistics NZ'!AM$76,$M$13/5*(AN$9-AN$10)*1000)</f>
        <v>35187.704633723319</v>
      </c>
      <c r="AO76" s="111">
        <f>SUM(AN$76,'Statistics NZ'!AO$76-'Statistics NZ'!AN$76,$M$13/5*(AO$9-AO$10)*1000)</f>
        <v>35797.704633723319</v>
      </c>
      <c r="AP76" s="111">
        <f>SUM(AO$76,'Statistics NZ'!AP$76-'Statistics NZ'!AO$76,$M$13/5*(AP$9-AP$10)*1000)</f>
        <v>36657.704633723319</v>
      </c>
      <c r="AQ76" s="111">
        <f>SUM(AP$76,'Statistics NZ'!AQ$76-'Statistics NZ'!AP$76,$M$13/5*(AQ$9-AQ$10)*1000)</f>
        <v>39117.704633723319</v>
      </c>
      <c r="AR76" s="111">
        <f>SUM(AQ$76,'Statistics NZ'!AR$76-'Statistics NZ'!AQ$76,$M$13/5*(AR$9-AR$10)*1000)</f>
        <v>39467.704633723319</v>
      </c>
      <c r="AS76" s="111">
        <f>SUM(AR$76,'Statistics NZ'!AS$76-'Statistics NZ'!AR$76,$M$13/5*(AS$9-AS$10)*1000)</f>
        <v>41147.704633723319</v>
      </c>
      <c r="AT76" s="111">
        <f>SUM(AS$76,'Statistics NZ'!AT$76-'Statistics NZ'!AS$76,$M$13/5*(AT$9-AT$10)*1000)</f>
        <v>41737.704633723319</v>
      </c>
      <c r="AU76" s="111">
        <f>SUM(AT$76,'Statistics NZ'!AU$76-'Statistics NZ'!AT$76,$M$13/5*(AU$9-AU$10)*1000)</f>
        <v>41377.704633723319</v>
      </c>
      <c r="AV76" s="111">
        <f>SUM(AU$76,'Statistics NZ'!AV$76-'Statistics NZ'!AU$76,$M$13/5*(AV$9-AV$10)*1000)</f>
        <v>40687.704633723319</v>
      </c>
      <c r="AW76" s="111">
        <f>SUM(AV$76,'Statistics NZ'!AW$76-'Statistics NZ'!AV$76,$M$13/5*(AW$9-AW$10)*1000)</f>
        <v>39497.704633723319</v>
      </c>
      <c r="AX76" s="111">
        <f>SUM(AW$76,'Statistics NZ'!AX$76-'Statistics NZ'!AW$76,$M$13/5*(AX$9-AX$10)*1000)</f>
        <v>39287.704633723319</v>
      </c>
      <c r="AY76" s="111">
        <f>SUM(AX$76,'Statistics NZ'!AY$76-'Statistics NZ'!AX$76,$M$13/5*(AY$9-AY$10)*1000)</f>
        <v>38927.704633723319</v>
      </c>
      <c r="AZ76" s="111">
        <f>SUM(AY$76,'Statistics NZ'!AZ$76-'Statistics NZ'!AY$76,$M$13/5*(AZ$9-AZ$10)*1000)</f>
        <v>38577.704633723319</v>
      </c>
      <c r="BA76" s="111">
        <f>SUM(AZ$76,'Statistics NZ'!BA$76-'Statistics NZ'!AZ$76,$M$13/5*(BA$9-BA$10)*1000)</f>
        <v>38547.704633723319</v>
      </c>
      <c r="BB76" s="111">
        <f>SUM(BA$76,'Statistics NZ'!BB$76-'Statistics NZ'!BA$76,$M$13/5*(BB$9-BB$10)*1000)</f>
        <v>37987.704633723319</v>
      </c>
      <c r="BC76" s="111">
        <f>SUM(BB$76,'Statistics NZ'!BC$76-'Statistics NZ'!BB$76,$M$13/5*(BC$9-BC$10)*1000)</f>
        <v>38757.704633723319</v>
      </c>
      <c r="BD76" s="111">
        <f>SUM(BC$76,'Statistics NZ'!BD$76-'Statistics NZ'!BC$76,$M$13/5*(BD$9-BD$10)*1000)</f>
        <v>38407.704633723319</v>
      </c>
      <c r="BE76" s="111">
        <f>SUM(BD$76,'Statistics NZ'!BE$76-'Statistics NZ'!BD$76,$M$13/5*(BE$9-BE$10)*1000)</f>
        <v>37497.704633723319</v>
      </c>
      <c r="BF76" s="111">
        <f>SUM(BE$76,'Statistics NZ'!BF$76-'Statistics NZ'!BE$76,$M$13/5*(BF$9-BF$10)*1000)</f>
        <v>37167.704633723319</v>
      </c>
      <c r="BG76" s="111">
        <f>SUM(BF$76,'Statistics NZ'!BG$76-'Statistics NZ'!BF$76,$M$13/5*(BG$9-BG$10)*1000)</f>
        <v>37977.704633723319</v>
      </c>
      <c r="BH76" s="111">
        <f>SUM(BG$76,'Statistics NZ'!BH$76-'Statistics NZ'!BG$76,$M$13/5*(BH$9-BH$10)*1000)</f>
        <v>38137.704633723319</v>
      </c>
      <c r="BI76" s="111">
        <f>SUM(BH$76,'Statistics NZ'!BI$76-'Statistics NZ'!BH$76,$M$13/5*(BI$9-BI$10)*1000)</f>
        <v>38947.704633723319</v>
      </c>
      <c r="BJ76" s="111">
        <f>SUM(BI$76,'Statistics NZ'!BJ$76-'Statistics NZ'!BI$76,$M$13/5*(BJ$9-BJ$10)*1000)</f>
        <v>40467.704633723319</v>
      </c>
      <c r="BK76" s="111">
        <f>SUM(BJ$76,'Statistics NZ'!BK$76-'Statistics NZ'!BJ$76,$M$13/5*(BK$9-BK$10)*1000)</f>
        <v>41737.704633723319</v>
      </c>
      <c r="BL76" s="111">
        <f>SUM(BK$76,'Statistics NZ'!BL$76-'Statistics NZ'!BK$76,$M$13/5*(BL$9-BL$10)*1000)</f>
        <v>41597.704633723319</v>
      </c>
      <c r="BM76" s="195">
        <f>SUM(BL$76,'Statistics NZ'!BM$76-'Statistics NZ'!BL$76,$M$13/5*(BM$9-BM$10)*1000)</f>
        <v>42607.704633723319</v>
      </c>
      <c r="BN76" s="195">
        <f>SUM(BM$76,'Statistics NZ'!BN$76-'Statistics NZ'!BM$76,$M$13/5*(BN$9-BN$10)*1000)</f>
        <v>42547.704633723319</v>
      </c>
      <c r="BO76" s="195">
        <f>SUM(BN$76,'Statistics NZ'!BO$76-'Statistics NZ'!BN$76,$M$13/5*(BO$9-BO$10)*1000)</f>
        <v>42457.704633723319</v>
      </c>
      <c r="BP76" s="195">
        <f>SUM(BO$76,'Statistics NZ'!BP$76-'Statistics NZ'!BO$76,$M$13/5*(BP$9-BP$10)*1000)</f>
        <v>42387.704633723319</v>
      </c>
      <c r="BQ76" s="195">
        <f>SUM(BP$76,'Statistics NZ'!BQ$76-'Statistics NZ'!BP$76,$M$13/5*(BQ$9-BQ$10)*1000)</f>
        <v>41307.704633723319</v>
      </c>
    </row>
    <row r="77" spans="1:69">
      <c r="A77" s="105">
        <v>60</v>
      </c>
      <c r="B77" s="118">
        <f>'Statistics NZ'!B$77*'Economic Forecasts'!D$9*1000000/SUM('Statistics NZ'!B$32:B$107,'Statistics NZ'!B$125:B$200)</f>
        <v>20489.923308416659</v>
      </c>
      <c r="C77" s="118">
        <f>'Statistics NZ'!C$77*'Economic Forecasts'!E$9*1000000/SUM('Statistics NZ'!C$32:C$107,'Statistics NZ'!C$125:C$200)</f>
        <v>24222.081792975969</v>
      </c>
      <c r="D77" s="118">
        <f>'Statistics NZ'!D$77*'Economic Forecasts'!F$9*1000000/SUM('Statistics NZ'!D$32:D$107,'Statistics NZ'!D$125:D$200)</f>
        <v>24058.750356692744</v>
      </c>
      <c r="E77" s="118">
        <f>'Statistics NZ'!E$77*'Economic Forecasts'!G$9*1000000/SUM('Statistics NZ'!E$32:E$107,'Statistics NZ'!E$125:E$200)</f>
        <v>23567.472210217467</v>
      </c>
      <c r="F77" s="118">
        <f>'Statistics NZ'!F$77*'Economic Forecasts'!H$9*1000000/SUM('Statistics NZ'!F$32:F$107,'Statistics NZ'!F$125:F$200)</f>
        <v>24195.580575913646</v>
      </c>
      <c r="G77" s="118">
        <f>'Statistics NZ'!G$77*'Economic Forecasts'!I$9*1000000/SUM('Statistics NZ'!G$32:G$107,'Statistics NZ'!G$125:G$200)</f>
        <v>24129.693256479502</v>
      </c>
      <c r="H77" s="118">
        <f>'Statistics NZ'!H$77*'Economic Forecasts'!J$9*1000000/SUM('Statistics NZ'!H$32:H$107,'Statistics NZ'!H$125:H$200)</f>
        <v>24604.461304053268</v>
      </c>
      <c r="I77" s="118">
        <f>'Statistics NZ'!I$77*'Economic Forecasts'!K$9*1000000/SUM('Statistics NZ'!I$32:I$107,'Statistics NZ'!I$125:I$200)</f>
        <v>25084.63418154648</v>
      </c>
      <c r="J77" s="203">
        <f>'Statistics NZ'!J$77*'Economic Forecasts'!L$9*1000000/SUM('Statistics NZ'!J$32:J$107,'Statistics NZ'!J$125:J$200)</f>
        <v>26006.038407972344</v>
      </c>
      <c r="K77" s="203">
        <f>'Statistics NZ'!K$77*'Economic Forecasts'!M$9*1000000/SUM('Statistics NZ'!K$32:K$107,'Statistics NZ'!K$125:K$200)</f>
        <v>26616.772825618958</v>
      </c>
      <c r="L77" s="203">
        <f>'Statistics NZ'!L$77*'Economic Forecasts'!N$9*1000000/SUM('Statistics NZ'!L$32:L$107,'Statistics NZ'!L$125:L$200)</f>
        <v>27497.920929005013</v>
      </c>
      <c r="M77" s="203">
        <f>'Statistics NZ'!M$77*'Economic Forecasts'!O$9*1000000/SUM('Statistics NZ'!M$32:M$107,'Statistics NZ'!M$125:M$200)</f>
        <v>28241.03203471244</v>
      </c>
      <c r="N77" s="203">
        <f>'Statistics NZ'!N$77*'Economic Forecasts'!P$9*1000000/SUM('Statistics NZ'!N$32:N$107,'Statistics NZ'!N$125:N$200)</f>
        <v>29171.261165569078</v>
      </c>
      <c r="O77" s="203">
        <f>'Statistics NZ'!O$77*'Economic Forecasts'!Q$9*1000000/SUM('Statistics NZ'!O$32:O$107,'Statistics NZ'!O$125:O$200)</f>
        <v>30365.263407759438</v>
      </c>
      <c r="P77" s="203">
        <f>'Statistics NZ'!P$77*'Economic Forecasts'!R$9*1000000/SUM('Statistics NZ'!P$32:P$107,'Statistics NZ'!P$125:P$200)</f>
        <v>31248.636997007183</v>
      </c>
      <c r="Q77" s="121">
        <f>SUM('Statistics NZ'!Q$77,$N$13/5*(Q$9-Q$10)*1000)*'Economic Forecasts'!S$9*1000000/SUM('Statistics NZ'!Q$32:Q$107,'Statistics NZ'!Q$125:Q$200,SUM($E$13:$Q$14)*(Q$9-Q$10)*1000)</f>
        <v>32631.014063061073</v>
      </c>
      <c r="R77" s="205">
        <f>SUM('Statistics NZ'!R$77,$N$13/5*(R$9-R$10)*1000)*'Economic Forecasts'!T$9*1000000/SUM('Statistics NZ'!R$32:R$107,'Statistics NZ'!R$125:R$200,SUM($E$13:$Q$14)*(R$9-R$10)*1000)</f>
        <v>33396.66735598322</v>
      </c>
      <c r="S77" s="205">
        <f>SUM('Statistics NZ'!S$77,$N$13/5*(S$9-S$10)*1000)*'Economic Forecasts'!U$9*1000000/SUM('Statistics NZ'!S$32:S$107,'Statistics NZ'!S$125:S$200,SUM($E$13:$Q$14)*(S$9-S$10)*1000)</f>
        <v>33902.203191267137</v>
      </c>
      <c r="T77" s="205">
        <f>SUM('Statistics NZ'!T$77,$N$13/5*(T$9-T$10)*1000)*'Economic Forecasts'!V$9*1000000/SUM('Statistics NZ'!T$32:T$107,'Statistics NZ'!T$125:T$200,SUM($E$13:$Q$14)*(T$9-T$10)*1000)</f>
        <v>33166.397387007135</v>
      </c>
      <c r="U77" s="205">
        <f>SUM('Statistics NZ'!U$77,$N$13/5*(U$9-U$10)*1000)*'Economic Forecasts'!W$9*1000000/SUM('Statistics NZ'!U$32:U$107,'Statistics NZ'!U$125:U$200,SUM($E$13:$Q$14)*(U$9-U$10)*1000)</f>
        <v>32375.924800768174</v>
      </c>
      <c r="V77" s="111">
        <f>SUM(U$77,'Statistics NZ'!V$77-'Statistics NZ'!U$77,$N$13/5*(V$9-V$10)*1000)</f>
        <v>31880.580905679722</v>
      </c>
      <c r="W77" s="111">
        <f>SUM(V$77,'Statistics NZ'!W$77-'Statistics NZ'!V$77,$N$13/5*(W$9-W$10)*1000)</f>
        <v>32360.904997477326</v>
      </c>
      <c r="X77" s="111">
        <f>SUM(W$77,'Statistics NZ'!X$77-'Statistics NZ'!W$77,$N$13/5*(X$9-X$10)*1000)</f>
        <v>33096.897076160982</v>
      </c>
      <c r="Y77" s="111">
        <f>SUM(X$77,'Statistics NZ'!Y$77-'Statistics NZ'!X$77,$N$13/5*(Y$9-Y$10)*1000)</f>
        <v>33708.5571417307</v>
      </c>
      <c r="Z77" s="111">
        <f>SUM(Y$77,'Statistics NZ'!Z$77-'Statistics NZ'!Y$77,$N$13/5*(Z$9-Z$10)*1000)</f>
        <v>33525.885194186478</v>
      </c>
      <c r="AA77" s="111">
        <f>SUM(Z$77,'Statistics NZ'!AA$77-'Statistics NZ'!Z$77,$N$13/5*(AA$9-AA$10)*1000)</f>
        <v>34958.881233528307</v>
      </c>
      <c r="AB77" s="111">
        <f>SUM(AA$77,'Statistics NZ'!AB$77-'Statistics NZ'!AA$77,$N$13/5*(AB$9-AB$10)*1000)</f>
        <v>34507.545259756196</v>
      </c>
      <c r="AC77" s="111">
        <f>SUM(AB$77,'Statistics NZ'!AC$77-'Statistics NZ'!AB$77,$N$13/5*(AC$9-AC$10)*1000)</f>
        <v>33271.877272870137</v>
      </c>
      <c r="AD77" s="111">
        <f>SUM(AC$77,'Statistics NZ'!AD$77-'Statistics NZ'!AC$77,$N$13/5*(AD$9-AD$10)*1000)</f>
        <v>32541.877272870137</v>
      </c>
      <c r="AE77" s="111">
        <f>SUM(AD$77,'Statistics NZ'!AE$77-'Statistics NZ'!AD$77,$N$13/5*(AE$9-AE$10)*1000)</f>
        <v>31281.877272870137</v>
      </c>
      <c r="AF77" s="111">
        <f>SUM(AE$77,'Statistics NZ'!AF$77-'Statistics NZ'!AE$77,$N$13/5*(AF$9-AF$10)*1000)</f>
        <v>29961.877272870137</v>
      </c>
      <c r="AG77" s="111">
        <f>SUM(AF$77,'Statistics NZ'!AG$77-'Statistics NZ'!AF$77,$N$13/5*(AG$9-AG$10)*1000)</f>
        <v>30151.877272870137</v>
      </c>
      <c r="AH77" s="111">
        <f>SUM(AG$77,'Statistics NZ'!AH$77-'Statistics NZ'!AG$77,$N$13/5*(AH$9-AH$10)*1000)</f>
        <v>30081.877272870137</v>
      </c>
      <c r="AI77" s="111">
        <f>SUM(AH$77,'Statistics NZ'!AI$77-'Statistics NZ'!AH$77,$N$13/5*(AI$9-AI$10)*1000)</f>
        <v>31051.877272870137</v>
      </c>
      <c r="AJ77" s="111">
        <f>SUM(AI$77,'Statistics NZ'!AJ$77-'Statistics NZ'!AI$77,$N$13/5*(AJ$9-AJ$10)*1000)</f>
        <v>31441.877272870137</v>
      </c>
      <c r="AK77" s="111">
        <f>SUM(AJ$77,'Statistics NZ'!AK$77-'Statistics NZ'!AJ$77,$N$13/5*(AK$9-AK$10)*1000)</f>
        <v>31831.877272870137</v>
      </c>
      <c r="AL77" s="111">
        <f>SUM(AK$77,'Statistics NZ'!AL$77-'Statistics NZ'!AK$77,$N$13/5*(AL$9-AL$10)*1000)</f>
        <v>32921.877272870137</v>
      </c>
      <c r="AM77" s="111">
        <f>SUM(AL$77,'Statistics NZ'!AM$77-'Statistics NZ'!AL$77,$N$13/5*(AM$9-AM$10)*1000)</f>
        <v>33701.877272870137</v>
      </c>
      <c r="AN77" s="111">
        <f>SUM(AM$77,'Statistics NZ'!AN$77-'Statistics NZ'!AM$77,$N$13/5*(AN$9-AN$10)*1000)</f>
        <v>34481.877272870137</v>
      </c>
      <c r="AO77" s="111">
        <f>SUM(AN$77,'Statistics NZ'!AO$77-'Statistics NZ'!AN$77,$N$13/5*(AO$9-AO$10)*1000)</f>
        <v>35281.877272870137</v>
      </c>
      <c r="AP77" s="111">
        <f>SUM(AO$77,'Statistics NZ'!AP$77-'Statistics NZ'!AO$77,$N$13/5*(AP$9-AP$10)*1000)</f>
        <v>35891.877272870137</v>
      </c>
      <c r="AQ77" s="111">
        <f>SUM(AP$77,'Statistics NZ'!AQ$77-'Statistics NZ'!AP$77,$N$13/5*(AQ$9-AQ$10)*1000)</f>
        <v>36751.877272870137</v>
      </c>
      <c r="AR77" s="111">
        <f>SUM(AQ$77,'Statistics NZ'!AR$77-'Statistics NZ'!AQ$77,$N$13/5*(AR$9-AR$10)*1000)</f>
        <v>39211.877272870137</v>
      </c>
      <c r="AS77" s="111">
        <f>SUM(AR$77,'Statistics NZ'!AS$77-'Statistics NZ'!AR$77,$N$13/5*(AS$9-AS$10)*1000)</f>
        <v>39561.877272870137</v>
      </c>
      <c r="AT77" s="111">
        <f>SUM(AS$77,'Statistics NZ'!AT$77-'Statistics NZ'!AS$77,$N$13/5*(AT$9-AT$10)*1000)</f>
        <v>41231.877272870137</v>
      </c>
      <c r="AU77" s="111">
        <f>SUM(AT$77,'Statistics NZ'!AU$77-'Statistics NZ'!AT$77,$N$13/5*(AU$9-AU$10)*1000)</f>
        <v>41821.877272870137</v>
      </c>
      <c r="AV77" s="111">
        <f>SUM(AU$77,'Statistics NZ'!AV$77-'Statistics NZ'!AU$77,$N$13/5*(AV$9-AV$10)*1000)</f>
        <v>41471.877272870137</v>
      </c>
      <c r="AW77" s="111">
        <f>SUM(AV$77,'Statistics NZ'!AW$77-'Statistics NZ'!AV$77,$N$13/5*(AW$9-AW$10)*1000)</f>
        <v>40781.877272870137</v>
      </c>
      <c r="AX77" s="111">
        <f>SUM(AW$77,'Statistics NZ'!AX$77-'Statistics NZ'!AW$77,$N$13/5*(AX$9-AX$10)*1000)</f>
        <v>39601.877272870137</v>
      </c>
      <c r="AY77" s="111">
        <f>SUM(AX$77,'Statistics NZ'!AY$77-'Statistics NZ'!AX$77,$N$13/5*(AY$9-AY$10)*1000)</f>
        <v>39391.877272870137</v>
      </c>
      <c r="AZ77" s="111">
        <f>SUM(AY$77,'Statistics NZ'!AZ$77-'Statistics NZ'!AY$77,$N$13/5*(AZ$9-AZ$10)*1000)</f>
        <v>39031.877272870137</v>
      </c>
      <c r="BA77" s="111">
        <f>SUM(AZ$77,'Statistics NZ'!BA$77-'Statistics NZ'!AZ$77,$N$13/5*(BA$9-BA$10)*1000)</f>
        <v>38681.877272870137</v>
      </c>
      <c r="BB77" s="111">
        <f>SUM(BA$77,'Statistics NZ'!BB$77-'Statistics NZ'!BA$77,$N$13/5*(BB$9-BB$10)*1000)</f>
        <v>38661.877272870137</v>
      </c>
      <c r="BC77" s="111">
        <f>SUM(BB$77,'Statistics NZ'!BC$77-'Statistics NZ'!BB$77,$N$13/5*(BC$9-BC$10)*1000)</f>
        <v>38101.877272870137</v>
      </c>
      <c r="BD77" s="111">
        <f>SUM(BC$77,'Statistics NZ'!BD$77-'Statistics NZ'!BC$77,$N$13/5*(BD$9-BD$10)*1000)</f>
        <v>38871.877272870137</v>
      </c>
      <c r="BE77" s="111">
        <f>SUM(BD$77,'Statistics NZ'!BE$77-'Statistics NZ'!BD$77,$N$13/5*(BE$9-BE$10)*1000)</f>
        <v>38521.877272870137</v>
      </c>
      <c r="BF77" s="111">
        <f>SUM(BE$77,'Statistics NZ'!BF$77-'Statistics NZ'!BE$77,$N$13/5*(BF$9-BF$10)*1000)</f>
        <v>37611.877272870137</v>
      </c>
      <c r="BG77" s="111">
        <f>SUM(BF$77,'Statistics NZ'!BG$77-'Statistics NZ'!BF$77,$N$13/5*(BG$9-BG$10)*1000)</f>
        <v>37291.877272870137</v>
      </c>
      <c r="BH77" s="111">
        <f>SUM(BG$77,'Statistics NZ'!BH$77-'Statistics NZ'!BG$77,$N$13/5*(BH$9-BH$10)*1000)</f>
        <v>38101.877272870137</v>
      </c>
      <c r="BI77" s="111">
        <f>SUM(BH$77,'Statistics NZ'!BI$77-'Statistics NZ'!BH$77,$N$13/5*(BI$9-BI$10)*1000)</f>
        <v>38251.877272870137</v>
      </c>
      <c r="BJ77" s="111">
        <f>SUM(BI$77,'Statistics NZ'!BJ$77-'Statistics NZ'!BI$77,$N$13/5*(BJ$9-BJ$10)*1000)</f>
        <v>39061.877272870137</v>
      </c>
      <c r="BK77" s="111">
        <f>SUM(BJ$77,'Statistics NZ'!BK$77-'Statistics NZ'!BJ$77,$N$13/5*(BK$9-BK$10)*1000)</f>
        <v>40581.877272870137</v>
      </c>
      <c r="BL77" s="111">
        <f>SUM(BK$77,'Statistics NZ'!BL$77-'Statistics NZ'!BK$77,$N$13/5*(BL$9-BL$10)*1000)</f>
        <v>41861.877272870137</v>
      </c>
      <c r="BM77" s="195">
        <f>SUM(BL$77,'Statistics NZ'!BM$77-'Statistics NZ'!BL$77,$N$13/5*(BM$9-BM$10)*1000)</f>
        <v>41711.877272870137</v>
      </c>
      <c r="BN77" s="195">
        <f>SUM(BM$77,'Statistics NZ'!BN$77-'Statistics NZ'!BM$77,$N$13/5*(BN$9-BN$10)*1000)</f>
        <v>42731.877272870137</v>
      </c>
      <c r="BO77" s="195">
        <f>SUM(BN$77,'Statistics NZ'!BO$77-'Statistics NZ'!BN$77,$N$13/5*(BO$9-BO$10)*1000)</f>
        <v>42671.877272870137</v>
      </c>
      <c r="BP77" s="195">
        <f>SUM(BO$77,'Statistics NZ'!BP$77-'Statistics NZ'!BO$77,$N$13/5*(BP$9-BP$10)*1000)</f>
        <v>42581.877272870137</v>
      </c>
      <c r="BQ77" s="195">
        <f>SUM(BP$77,'Statistics NZ'!BQ$77-'Statistics NZ'!BP$77,$N$13/5*(BQ$9-BQ$10)*1000)</f>
        <v>42501.877272870137</v>
      </c>
    </row>
    <row r="78" spans="1:69">
      <c r="A78" s="105">
        <v>61</v>
      </c>
      <c r="B78" s="118">
        <f>'Statistics NZ'!B$78*'Economic Forecasts'!D$9*1000000/SUM('Statistics NZ'!B$32:B$107,'Statistics NZ'!B$125:B$200)</f>
        <v>19406.321594990779</v>
      </c>
      <c r="C78" s="118">
        <f>'Statistics NZ'!C$78*'Economic Forecasts'!E$9*1000000/SUM('Statistics NZ'!C$32:C$107,'Statistics NZ'!C$125:C$200)</f>
        <v>20456.174082387111</v>
      </c>
      <c r="D78" s="118">
        <f>'Statistics NZ'!D$78*'Economic Forecasts'!F$9*1000000/SUM('Statistics NZ'!D$32:D$107,'Statistics NZ'!D$125:D$200)</f>
        <v>24117.886981903786</v>
      </c>
      <c r="E78" s="118">
        <f>'Statistics NZ'!E$78*'Economic Forecasts'!G$9*1000000/SUM('Statistics NZ'!E$32:E$107,'Statistics NZ'!E$125:E$200)</f>
        <v>23971.260910852197</v>
      </c>
      <c r="F78" s="118">
        <f>'Statistics NZ'!F$78*'Economic Forecasts'!H$9*1000000/SUM('Statistics NZ'!F$32:F$107,'Statistics NZ'!F$125:F$200)</f>
        <v>23535.521985284078</v>
      </c>
      <c r="G78" s="118">
        <f>'Statistics NZ'!G$78*'Economic Forecasts'!I$9*1000000/SUM('Statistics NZ'!G$32:G$107,'Statistics NZ'!G$125:G$200)</f>
        <v>24178.957636341649</v>
      </c>
      <c r="H78" s="118">
        <f>'Statistics NZ'!H$78*'Economic Forecasts'!J$9*1000000/SUM('Statistics NZ'!H$32:H$107,'Statistics NZ'!H$125:H$200)</f>
        <v>24072.57943438998</v>
      </c>
      <c r="I78" s="118">
        <f>'Statistics NZ'!I$78*'Economic Forecasts'!K$9*1000000/SUM('Statistics NZ'!I$32:I$107,'Statistics NZ'!I$125:I$200)</f>
        <v>24572.903707854672</v>
      </c>
      <c r="J78" s="203">
        <f>'Statistics NZ'!J$78*'Economic Forecasts'!L$9*1000000/SUM('Statistics NZ'!J$32:J$107,'Statistics NZ'!J$125:J$200)</f>
        <v>25042.851800269666</v>
      </c>
      <c r="K78" s="203">
        <f>'Statistics NZ'!K$78*'Economic Forecasts'!M$9*1000000/SUM('Statistics NZ'!K$32:K$107,'Statistics NZ'!K$125:K$200)</f>
        <v>25958.476856879031</v>
      </c>
      <c r="L78" s="203">
        <f>'Statistics NZ'!L$78*'Economic Forecasts'!N$9*1000000/SUM('Statistics NZ'!L$32:L$107,'Statistics NZ'!L$125:L$200)</f>
        <v>26798.65431512272</v>
      </c>
      <c r="M78" s="203">
        <f>'Statistics NZ'!M$78*'Economic Forecasts'!O$9*1000000/SUM('Statistics NZ'!M$32:M$107,'Statistics NZ'!M$125:M$200)</f>
        <v>27443.15146449559</v>
      </c>
      <c r="N78" s="203">
        <f>'Statistics NZ'!N$78*'Economic Forecasts'!P$9*1000000/SUM('Statistics NZ'!N$32:N$107,'Statistics NZ'!N$125:N$200)</f>
        <v>28233.754463698624</v>
      </c>
      <c r="O78" s="203">
        <f>'Statistics NZ'!O$78*'Economic Forecasts'!Q$9*1000000/SUM('Statistics NZ'!O$32:O$107,'Statistics NZ'!O$125:O$200)</f>
        <v>29200.784668040356</v>
      </c>
      <c r="P78" s="203">
        <f>'Statistics NZ'!P$78*'Economic Forecasts'!R$9*1000000/SUM('Statistics NZ'!P$32:P$107,'Statistics NZ'!P$125:P$200)</f>
        <v>30675.992148404839</v>
      </c>
      <c r="Q78" s="121">
        <f>SUM('Statistics NZ'!Q$78,$N$13/5*(Q$9-Q$10)*1000)*'Economic Forecasts'!S$9*1000000/SUM('Statistics NZ'!Q$32:Q$107,'Statistics NZ'!Q$125:Q$200,SUM($E$13:$Q$14)*(Q$9-Q$10)*1000)</f>
        <v>31197.482710009634</v>
      </c>
      <c r="R78" s="205">
        <f>SUM('Statistics NZ'!R$78,$N$13/5*(R$9-R$10)*1000)*'Economic Forecasts'!T$9*1000000/SUM('Statistics NZ'!R$32:R$107,'Statistics NZ'!R$125:R$200,SUM($E$13:$Q$14)*(R$9-R$10)*1000)</f>
        <v>32556.427132036137</v>
      </c>
      <c r="S78" s="205">
        <f>SUM('Statistics NZ'!S$78,$N$13/5*(S$9-S$10)*1000)*'Economic Forecasts'!U$9*1000000/SUM('Statistics NZ'!S$32:S$107,'Statistics NZ'!S$125:S$200,SUM($E$13:$Q$14)*(S$9-S$10)*1000)</f>
        <v>33329.169222737015</v>
      </c>
      <c r="T78" s="205">
        <f>SUM('Statistics NZ'!T$78,$N$13/5*(T$9-T$10)*1000)*'Economic Forecasts'!V$9*1000000/SUM('Statistics NZ'!T$32:T$107,'Statistics NZ'!T$125:T$200,SUM($E$13:$Q$14)*(T$9-T$10)*1000)</f>
        <v>33887.585140166419</v>
      </c>
      <c r="U78" s="205">
        <f>SUM('Statistics NZ'!U$78,$N$13/5*(U$9-U$10)*1000)*'Economic Forecasts'!W$9*1000000/SUM('Statistics NZ'!U$32:U$107,'Statistics NZ'!U$125:U$200,SUM($E$13:$Q$14)*(U$9-U$10)*1000)</f>
        <v>33196.97119205082</v>
      </c>
      <c r="V78" s="111">
        <f>SUM(U$78,'Statistics NZ'!V$78-'Statistics NZ'!U$78,$N$13/5*(V$9-V$10)*1000)</f>
        <v>32381.627296962368</v>
      </c>
      <c r="W78" s="111">
        <f>SUM(V$78,'Statistics NZ'!W$78-'Statistics NZ'!V$78,$N$13/5*(W$9-W$10)*1000)</f>
        <v>31881.951388759971</v>
      </c>
      <c r="X78" s="111">
        <f>SUM(W$78,'Statistics NZ'!X$78-'Statistics NZ'!W$78,$N$13/5*(X$9-X$10)*1000)</f>
        <v>32367.943467443634</v>
      </c>
      <c r="Y78" s="111">
        <f>SUM(X$78,'Statistics NZ'!Y$78-'Statistics NZ'!X$78,$N$13/5*(Y$9-Y$10)*1000)</f>
        <v>33089.603533013353</v>
      </c>
      <c r="Z78" s="111">
        <f>SUM(Y$78,'Statistics NZ'!Z$78-'Statistics NZ'!Y$78,$N$13/5*(Z$9-Z$10)*1000)</f>
        <v>33706.93158546913</v>
      </c>
      <c r="AA78" s="111">
        <f>SUM(Z$78,'Statistics NZ'!AA$78-'Statistics NZ'!Z$78,$N$13/5*(AA$9-AA$10)*1000)</f>
        <v>33519.92762481096</v>
      </c>
      <c r="AB78" s="111">
        <f>SUM(AA$78,'Statistics NZ'!AB$78-'Statistics NZ'!AA$78,$N$13/5*(AB$9-AB$10)*1000)</f>
        <v>34948.591651038849</v>
      </c>
      <c r="AC78" s="111">
        <f>SUM(AB$78,'Statistics NZ'!AC$78-'Statistics NZ'!AB$78,$N$13/5*(AC$9-AC$10)*1000)</f>
        <v>34492.92366415279</v>
      </c>
      <c r="AD78" s="111">
        <f>SUM(AC$78,'Statistics NZ'!AD$78-'Statistics NZ'!AC$78,$N$13/5*(AD$9-AD$10)*1000)</f>
        <v>33262.92366415279</v>
      </c>
      <c r="AE78" s="111">
        <f>SUM(AD$78,'Statistics NZ'!AE$78-'Statistics NZ'!AD$78,$N$13/5*(AE$9-AE$10)*1000)</f>
        <v>32532.92366415279</v>
      </c>
      <c r="AF78" s="111">
        <f>SUM(AE$78,'Statistics NZ'!AF$78-'Statistics NZ'!AE$78,$N$13/5*(AF$9-AF$10)*1000)</f>
        <v>31282.92366415279</v>
      </c>
      <c r="AG78" s="111">
        <f>SUM(AF$78,'Statistics NZ'!AG$78-'Statistics NZ'!AF$78,$N$13/5*(AG$9-AG$10)*1000)</f>
        <v>29962.92366415279</v>
      </c>
      <c r="AH78" s="111">
        <f>SUM(AG$78,'Statistics NZ'!AH$78-'Statistics NZ'!AG$78,$N$13/5*(AH$9-AH$10)*1000)</f>
        <v>30162.92366415279</v>
      </c>
      <c r="AI78" s="111">
        <f>SUM(AH$78,'Statistics NZ'!AI$78-'Statistics NZ'!AH$78,$N$13/5*(AI$9-AI$10)*1000)</f>
        <v>30092.92366415279</v>
      </c>
      <c r="AJ78" s="111">
        <f>SUM(AI$78,'Statistics NZ'!AJ$78-'Statistics NZ'!AI$78,$N$13/5*(AJ$9-AJ$10)*1000)</f>
        <v>31052.92366415279</v>
      </c>
      <c r="AK78" s="111">
        <f>SUM(AJ$78,'Statistics NZ'!AK$78-'Statistics NZ'!AJ$78,$N$13/5*(AK$9-AK$10)*1000)</f>
        <v>31452.92366415279</v>
      </c>
      <c r="AL78" s="111">
        <f>SUM(AK$78,'Statistics NZ'!AL$78-'Statistics NZ'!AK$78,$N$13/5*(AL$9-AL$10)*1000)</f>
        <v>31842.92366415279</v>
      </c>
      <c r="AM78" s="111">
        <f>SUM(AL$78,'Statistics NZ'!AM$78-'Statistics NZ'!AL$78,$N$13/5*(AM$9-AM$10)*1000)</f>
        <v>32922.92366415279</v>
      </c>
      <c r="AN78" s="111">
        <f>SUM(AM$78,'Statistics NZ'!AN$78-'Statistics NZ'!AM$78,$N$13/5*(AN$9-AN$10)*1000)</f>
        <v>33712.92366415279</v>
      </c>
      <c r="AO78" s="111">
        <f>SUM(AN$78,'Statistics NZ'!AO$78-'Statistics NZ'!AN$78,$N$13/5*(AO$9-AO$10)*1000)</f>
        <v>34482.92366415279</v>
      </c>
      <c r="AP78" s="111">
        <f>SUM(AO$78,'Statistics NZ'!AP$78-'Statistics NZ'!AO$78,$N$13/5*(AP$9-AP$10)*1000)</f>
        <v>35282.92366415279</v>
      </c>
      <c r="AQ78" s="111">
        <f>SUM(AP$78,'Statistics NZ'!AQ$78-'Statistics NZ'!AP$78,$N$13/5*(AQ$9-AQ$10)*1000)</f>
        <v>35902.92366415279</v>
      </c>
      <c r="AR78" s="111">
        <f>SUM(AQ$78,'Statistics NZ'!AR$78-'Statistics NZ'!AQ$78,$N$13/5*(AR$9-AR$10)*1000)</f>
        <v>36762.92366415279</v>
      </c>
      <c r="AS78" s="111">
        <f>SUM(AR$78,'Statistics NZ'!AS$78-'Statistics NZ'!AR$78,$N$13/5*(AS$9-AS$10)*1000)</f>
        <v>39212.92366415279</v>
      </c>
      <c r="AT78" s="111">
        <f>SUM(AS$78,'Statistics NZ'!AT$78-'Statistics NZ'!AS$78,$N$13/5*(AT$9-AT$10)*1000)</f>
        <v>39562.92366415279</v>
      </c>
      <c r="AU78" s="111">
        <f>SUM(AT$78,'Statistics NZ'!AU$78-'Statistics NZ'!AT$78,$N$13/5*(AU$9-AU$10)*1000)</f>
        <v>41242.92366415279</v>
      </c>
      <c r="AV78" s="111">
        <f>SUM(AU$78,'Statistics NZ'!AV$78-'Statistics NZ'!AU$78,$N$13/5*(AV$9-AV$10)*1000)</f>
        <v>41822.92366415279</v>
      </c>
      <c r="AW78" s="111">
        <f>SUM(AV$78,'Statistics NZ'!AW$78-'Statistics NZ'!AV$78,$N$13/5*(AW$9-AW$10)*1000)</f>
        <v>41482.92366415279</v>
      </c>
      <c r="AX78" s="111">
        <f>SUM(AW$78,'Statistics NZ'!AX$78-'Statistics NZ'!AW$78,$N$13/5*(AX$9-AX$10)*1000)</f>
        <v>40792.92366415279</v>
      </c>
      <c r="AY78" s="111">
        <f>SUM(AX$78,'Statistics NZ'!AY$78-'Statistics NZ'!AX$78,$N$13/5*(AY$9-AY$10)*1000)</f>
        <v>39612.92366415279</v>
      </c>
      <c r="AZ78" s="111">
        <f>SUM(AY$78,'Statistics NZ'!AZ$78-'Statistics NZ'!AY$78,$N$13/5*(AZ$9-AZ$10)*1000)</f>
        <v>39402.92366415279</v>
      </c>
      <c r="BA78" s="111">
        <f>SUM(AZ$78,'Statistics NZ'!BA$78-'Statistics NZ'!AZ$78,$N$13/5*(BA$9-BA$10)*1000)</f>
        <v>39052.92366415279</v>
      </c>
      <c r="BB78" s="111">
        <f>SUM(BA$78,'Statistics NZ'!BB$78-'Statistics NZ'!BA$78,$N$13/5*(BB$9-BB$10)*1000)</f>
        <v>38702.92366415279</v>
      </c>
      <c r="BC78" s="111">
        <f>SUM(BB$78,'Statistics NZ'!BC$78-'Statistics NZ'!BB$78,$N$13/5*(BC$9-BC$10)*1000)</f>
        <v>38682.92366415279</v>
      </c>
      <c r="BD78" s="111">
        <f>SUM(BC$78,'Statistics NZ'!BD$78-'Statistics NZ'!BC$78,$N$13/5*(BD$9-BD$10)*1000)</f>
        <v>38122.92366415279</v>
      </c>
      <c r="BE78" s="111">
        <f>SUM(BD$78,'Statistics NZ'!BE$78-'Statistics NZ'!BD$78,$N$13/5*(BE$9-BE$10)*1000)</f>
        <v>38892.92366415279</v>
      </c>
      <c r="BF78" s="111">
        <f>SUM(BE$78,'Statistics NZ'!BF$78-'Statistics NZ'!BE$78,$N$13/5*(BF$9-BF$10)*1000)</f>
        <v>38542.92366415279</v>
      </c>
      <c r="BG78" s="111">
        <f>SUM(BF$78,'Statistics NZ'!BG$78-'Statistics NZ'!BF$78,$N$13/5*(BG$9-BG$10)*1000)</f>
        <v>37632.92366415279</v>
      </c>
      <c r="BH78" s="111">
        <f>SUM(BG$78,'Statistics NZ'!BH$78-'Statistics NZ'!BG$78,$N$13/5*(BH$9-BH$10)*1000)</f>
        <v>37322.92366415279</v>
      </c>
      <c r="BI78" s="111">
        <f>SUM(BH$78,'Statistics NZ'!BI$78-'Statistics NZ'!BH$78,$N$13/5*(BI$9-BI$10)*1000)</f>
        <v>38132.92366415279</v>
      </c>
      <c r="BJ78" s="111">
        <f>SUM(BI$78,'Statistics NZ'!BJ$78-'Statistics NZ'!BI$78,$N$13/5*(BJ$9-BJ$10)*1000)</f>
        <v>38282.92366415279</v>
      </c>
      <c r="BK78" s="111">
        <f>SUM(BJ$78,'Statistics NZ'!BK$78-'Statistics NZ'!BJ$78,$N$13/5*(BK$9-BK$10)*1000)</f>
        <v>39092.92366415279</v>
      </c>
      <c r="BL78" s="111">
        <f>SUM(BK$78,'Statistics NZ'!BL$78-'Statistics NZ'!BK$78,$N$13/5*(BL$9-BL$10)*1000)</f>
        <v>40612.92366415279</v>
      </c>
      <c r="BM78" s="195">
        <f>SUM(BL$78,'Statistics NZ'!BM$78-'Statistics NZ'!BL$78,$N$13/5*(BM$9-BM$10)*1000)</f>
        <v>41892.92366415279</v>
      </c>
      <c r="BN78" s="195">
        <f>SUM(BM$78,'Statistics NZ'!BN$78-'Statistics NZ'!BM$78,$N$13/5*(BN$9-BN$10)*1000)</f>
        <v>41742.92366415279</v>
      </c>
      <c r="BO78" s="195">
        <f>SUM(BN$78,'Statistics NZ'!BO$78-'Statistics NZ'!BN$78,$N$13/5*(BO$9-BO$10)*1000)</f>
        <v>42762.92366415279</v>
      </c>
      <c r="BP78" s="195">
        <f>SUM(BO$78,'Statistics NZ'!BP$78-'Statistics NZ'!BO$78,$N$13/5*(BP$9-BP$10)*1000)</f>
        <v>42702.92366415279</v>
      </c>
      <c r="BQ78" s="195">
        <f>SUM(BP$78,'Statistics NZ'!BQ$78-'Statistics NZ'!BP$78,$N$13/5*(BQ$9-BQ$10)*1000)</f>
        <v>42612.92366415279</v>
      </c>
    </row>
    <row r="79" spans="1:69">
      <c r="A79" s="105">
        <v>62</v>
      </c>
      <c r="B79" s="118">
        <f>'Statistics NZ'!B$79*'Economic Forecasts'!D$9*1000000/SUM('Statistics NZ'!B$32:B$107,'Statistics NZ'!B$125:B$200)</f>
        <v>18401.52727890496</v>
      </c>
      <c r="C79" s="118">
        <f>'Statistics NZ'!C$79*'Economic Forecasts'!E$9*1000000/SUM('Statistics NZ'!C$32:C$107,'Statistics NZ'!C$125:C$200)</f>
        <v>19332.316807499341</v>
      </c>
      <c r="D79" s="118">
        <f>'Statistics NZ'!D$79*'Economic Forecasts'!F$9*1000000/SUM('Statistics NZ'!D$32:D$107,'Statistics NZ'!D$125:D$200)</f>
        <v>20382.423489406228</v>
      </c>
      <c r="E79" s="118">
        <f>'Statistics NZ'!E$79*'Economic Forecasts'!G$9*1000000/SUM('Statistics NZ'!E$32:E$107,'Statistics NZ'!E$125:E$200)</f>
        <v>24000.806425532792</v>
      </c>
      <c r="F79" s="118">
        <f>'Statistics NZ'!F$79*'Economic Forecasts'!H$9*1000000/SUM('Statistics NZ'!F$32:F$107,'Statistics NZ'!F$125:F$200)</f>
        <v>23919.73519475502</v>
      </c>
      <c r="G79" s="118">
        <f>'Statistics NZ'!G$79*'Economic Forecasts'!I$9*1000000/SUM('Statistics NZ'!G$32:G$107,'Statistics NZ'!G$125:G$200)</f>
        <v>23489.256318271597</v>
      </c>
      <c r="H79" s="118">
        <f>'Statistics NZ'!H$79*'Economic Forecasts'!J$9*1000000/SUM('Statistics NZ'!H$32:H$107,'Statistics NZ'!H$125:H$200)</f>
        <v>24141.527084161145</v>
      </c>
      <c r="I79" s="118">
        <f>'Statistics NZ'!I$79*'Economic Forecasts'!K$9*1000000/SUM('Statistics NZ'!I$32:I$107,'Statistics NZ'!I$125:I$200)</f>
        <v>23992.286439627431</v>
      </c>
      <c r="J79" s="203">
        <f>'Statistics NZ'!J$79*'Economic Forecasts'!L$9*1000000/SUM('Statistics NZ'!J$32:J$107,'Statistics NZ'!J$125:J$200)</f>
        <v>24482.631018238517</v>
      </c>
      <c r="K79" s="203">
        <f>'Statistics NZ'!K$79*'Economic Forecasts'!M$9*1000000/SUM('Statistics NZ'!K$32:K$107,'Statistics NZ'!K$125:K$200)</f>
        <v>24995.596186184805</v>
      </c>
      <c r="L79" s="203">
        <f>'Statistics NZ'!L$79*'Economic Forecasts'!N$9*1000000/SUM('Statistics NZ'!L$32:L$107,'Statistics NZ'!L$125:L$200)</f>
        <v>25991.050620216411</v>
      </c>
      <c r="M79" s="203">
        <f>'Statistics NZ'!M$79*'Economic Forecasts'!O$9*1000000/SUM('Statistics NZ'!M$32:M$107,'Statistics NZ'!M$125:M$200)</f>
        <v>26763.475423199761</v>
      </c>
      <c r="N79" s="203">
        <f>'Statistics NZ'!N$79*'Economic Forecasts'!P$9*1000000/SUM('Statistics NZ'!N$32:N$107,'Statistics NZ'!N$125:N$200)</f>
        <v>27454.143627406353</v>
      </c>
      <c r="O79" s="203">
        <f>'Statistics NZ'!O$79*'Economic Forecasts'!Q$9*1000000/SUM('Statistics NZ'!O$32:O$107,'Statistics NZ'!O$125:O$200)</f>
        <v>28263.280597927536</v>
      </c>
      <c r="P79" s="203">
        <f>'Statistics NZ'!P$79*'Economic Forecasts'!R$9*1000000/SUM('Statistics NZ'!P$32:P$107,'Statistics NZ'!P$125:P$200)</f>
        <v>29560.322012334756</v>
      </c>
      <c r="Q79" s="121">
        <f>SUM('Statistics NZ'!Q$79,$N$13/5*(Q$9-Q$10)*1000)*'Economic Forecasts'!S$9*1000000/SUM('Statistics NZ'!Q$32:Q$107,'Statistics NZ'!Q$125:Q$200,SUM($E$13:$Q$14)*(Q$9-Q$10)*1000)</f>
        <v>30604.297322540067</v>
      </c>
      <c r="R79" s="205">
        <f>SUM('Statistics NZ'!R$79,$N$13/5*(R$9-R$10)*1000)*'Economic Forecasts'!T$9*1000000/SUM('Statistics NZ'!R$32:R$107,'Statistics NZ'!R$125:R$200,SUM($E$13:$Q$14)*(R$9-R$10)*1000)</f>
        <v>31113.190982668199</v>
      </c>
      <c r="S79" s="205">
        <f>SUM('Statistics NZ'!S$79,$N$13/5*(S$9-S$10)*1000)*'Economic Forecasts'!U$9*1000000/SUM('Statistics NZ'!S$32:S$107,'Statistics NZ'!S$125:S$200,SUM($E$13:$Q$14)*(S$9-S$10)*1000)</f>
        <v>32469.61826994182</v>
      </c>
      <c r="T79" s="205">
        <f>SUM('Statistics NZ'!T$79,$N$13/5*(T$9-T$10)*1000)*'Economic Forecasts'!V$9*1000000/SUM('Statistics NZ'!T$32:T$107,'Statistics NZ'!T$125:T$200,SUM($E$13:$Q$14)*(T$9-T$10)*1000)</f>
        <v>33304.707367065086</v>
      </c>
      <c r="U79" s="205">
        <f>SUM('Statistics NZ'!U$79,$N$13/5*(U$9-U$10)*1000)*'Economic Forecasts'!W$9*1000000/SUM('Statistics NZ'!U$32:U$107,'Statistics NZ'!U$125:U$200,SUM($E$13:$Q$14)*(U$9-U$10)*1000)</f>
        <v>33909.204206175535</v>
      </c>
      <c r="V79" s="111">
        <f>SUM(U$79,'Statistics NZ'!V$79-'Statistics NZ'!U$79,$N$13/5*(V$9-V$10)*1000)</f>
        <v>33193.860311087083</v>
      </c>
      <c r="W79" s="111">
        <f>SUM(V$79,'Statistics NZ'!W$79-'Statistics NZ'!V$79,$N$13/5*(W$9-W$10)*1000)</f>
        <v>32374.184402884686</v>
      </c>
      <c r="X79" s="111">
        <f>SUM(W$79,'Statistics NZ'!X$79-'Statistics NZ'!W$79,$N$13/5*(X$9-X$10)*1000)</f>
        <v>31880.176481568349</v>
      </c>
      <c r="Y79" s="111">
        <f>SUM(X$79,'Statistics NZ'!Y$79-'Statistics NZ'!X$79,$N$13/5*(Y$9-Y$10)*1000)</f>
        <v>32351.836547138068</v>
      </c>
      <c r="Z79" s="111">
        <f>SUM(Y$79,'Statistics NZ'!Z$79-'Statistics NZ'!Y$79,$N$13/5*(Z$9-Z$10)*1000)</f>
        <v>33079.164599593845</v>
      </c>
      <c r="AA79" s="111">
        <f>SUM(Z$79,'Statistics NZ'!AA$79-'Statistics NZ'!Z$79,$N$13/5*(AA$9-AA$10)*1000)</f>
        <v>33692.160638935675</v>
      </c>
      <c r="AB79" s="111">
        <f>SUM(AA$79,'Statistics NZ'!AB$79-'Statistics NZ'!AA$79,$N$13/5*(AB$9-AB$10)*1000)</f>
        <v>33500.824665163564</v>
      </c>
      <c r="AC79" s="111">
        <f>SUM(AB$79,'Statistics NZ'!AC$79-'Statistics NZ'!AB$79,$N$13/5*(AC$9-AC$10)*1000)</f>
        <v>34925.156678277504</v>
      </c>
      <c r="AD79" s="111">
        <f>SUM(AC$79,'Statistics NZ'!AD$79-'Statistics NZ'!AC$79,$N$13/5*(AD$9-AD$10)*1000)</f>
        <v>34465.156678277504</v>
      </c>
      <c r="AE79" s="111">
        <f>SUM(AD$79,'Statistics NZ'!AE$79-'Statistics NZ'!AD$79,$N$13/5*(AE$9-AE$10)*1000)</f>
        <v>33245.156678277504</v>
      </c>
      <c r="AF79" s="111">
        <f>SUM(AE$79,'Statistics NZ'!AF$79-'Statistics NZ'!AE$79,$N$13/5*(AF$9-AF$10)*1000)</f>
        <v>32515.156678277504</v>
      </c>
      <c r="AG79" s="111">
        <f>SUM(AF$79,'Statistics NZ'!AG$79-'Statistics NZ'!AF$79,$N$13/5*(AG$9-AG$10)*1000)</f>
        <v>31275.156678277504</v>
      </c>
      <c r="AH79" s="111">
        <f>SUM(AG$79,'Statistics NZ'!AH$79-'Statistics NZ'!AG$79,$N$13/5*(AH$9-AH$10)*1000)</f>
        <v>29965.156678277504</v>
      </c>
      <c r="AI79" s="111">
        <f>SUM(AH$79,'Statistics NZ'!AI$79-'Statistics NZ'!AH$79,$N$13/5*(AI$9-AI$10)*1000)</f>
        <v>30165.156678277504</v>
      </c>
      <c r="AJ79" s="111">
        <f>SUM(AI$79,'Statistics NZ'!AJ$79-'Statistics NZ'!AI$79,$N$13/5*(AJ$9-AJ$10)*1000)</f>
        <v>30095.156678277504</v>
      </c>
      <c r="AK79" s="111">
        <f>SUM(AJ$79,'Statistics NZ'!AK$79-'Statistics NZ'!AJ$79,$N$13/5*(AK$9-AK$10)*1000)</f>
        <v>31055.156678277504</v>
      </c>
      <c r="AL79" s="111">
        <f>SUM(AK$79,'Statistics NZ'!AL$79-'Statistics NZ'!AK$79,$N$13/5*(AL$9-AL$10)*1000)</f>
        <v>31455.156678277504</v>
      </c>
      <c r="AM79" s="111">
        <f>SUM(AL$79,'Statistics NZ'!AM$79-'Statistics NZ'!AL$79,$N$13/5*(AM$9-AM$10)*1000)</f>
        <v>31845.156678277504</v>
      </c>
      <c r="AN79" s="111">
        <f>SUM(AM$79,'Statistics NZ'!AN$79-'Statistics NZ'!AM$79,$N$13/5*(AN$9-AN$10)*1000)</f>
        <v>32925.156678277504</v>
      </c>
      <c r="AO79" s="111">
        <f>SUM(AN$79,'Statistics NZ'!AO$79-'Statistics NZ'!AN$79,$N$13/5*(AO$9-AO$10)*1000)</f>
        <v>33715.156678277504</v>
      </c>
      <c r="AP79" s="111">
        <f>SUM(AO$79,'Statistics NZ'!AP$79-'Statistics NZ'!AO$79,$N$13/5*(AP$9-AP$10)*1000)</f>
        <v>34495.156678277504</v>
      </c>
      <c r="AQ79" s="111">
        <f>SUM(AP$79,'Statistics NZ'!AQ$79-'Statistics NZ'!AP$79,$N$13/5*(AQ$9-AQ$10)*1000)</f>
        <v>35285.156678277504</v>
      </c>
      <c r="AR79" s="111">
        <f>SUM(AQ$79,'Statistics NZ'!AR$79-'Statistics NZ'!AQ$79,$N$13/5*(AR$9-AR$10)*1000)</f>
        <v>35905.156678277504</v>
      </c>
      <c r="AS79" s="111">
        <f>SUM(AR$79,'Statistics NZ'!AS$79-'Statistics NZ'!AR$79,$N$13/5*(AS$9-AS$10)*1000)</f>
        <v>36765.156678277504</v>
      </c>
      <c r="AT79" s="111">
        <f>SUM(AS$79,'Statistics NZ'!AT$79-'Statistics NZ'!AS$79,$N$13/5*(AT$9-AT$10)*1000)</f>
        <v>39215.156678277504</v>
      </c>
      <c r="AU79" s="111">
        <f>SUM(AT$79,'Statistics NZ'!AU$79-'Statistics NZ'!AT$79,$N$13/5*(AU$9-AU$10)*1000)</f>
        <v>39565.156678277504</v>
      </c>
      <c r="AV79" s="111">
        <f>SUM(AU$79,'Statistics NZ'!AV$79-'Statistics NZ'!AU$79,$N$13/5*(AV$9-AV$10)*1000)</f>
        <v>41235.156678277504</v>
      </c>
      <c r="AW79" s="111">
        <f>SUM(AV$79,'Statistics NZ'!AW$79-'Statistics NZ'!AV$79,$N$13/5*(AW$9-AW$10)*1000)</f>
        <v>41825.156678277504</v>
      </c>
      <c r="AX79" s="111">
        <f>SUM(AW$79,'Statistics NZ'!AX$79-'Statistics NZ'!AW$79,$N$13/5*(AX$9-AX$10)*1000)</f>
        <v>41485.156678277504</v>
      </c>
      <c r="AY79" s="111">
        <f>SUM(AX$79,'Statistics NZ'!AY$79-'Statistics NZ'!AX$79,$N$13/5*(AY$9-AY$10)*1000)</f>
        <v>40795.156678277504</v>
      </c>
      <c r="AZ79" s="111">
        <f>SUM(AY$79,'Statistics NZ'!AZ$79-'Statistics NZ'!AY$79,$N$13/5*(AZ$9-AZ$10)*1000)</f>
        <v>39625.156678277504</v>
      </c>
      <c r="BA79" s="111">
        <f>SUM(AZ$79,'Statistics NZ'!BA$79-'Statistics NZ'!AZ$79,$N$13/5*(BA$9-BA$10)*1000)</f>
        <v>39415.156678277504</v>
      </c>
      <c r="BB79" s="111">
        <f>SUM(BA$79,'Statistics NZ'!BB$79-'Statistics NZ'!BA$79,$N$13/5*(BB$9-BB$10)*1000)</f>
        <v>39065.156678277504</v>
      </c>
      <c r="BC79" s="111">
        <f>SUM(BB$79,'Statistics NZ'!BC$79-'Statistics NZ'!BB$79,$N$13/5*(BC$9-BC$10)*1000)</f>
        <v>38725.156678277504</v>
      </c>
      <c r="BD79" s="111">
        <f>SUM(BC$79,'Statistics NZ'!BD$79-'Statistics NZ'!BC$79,$N$13/5*(BD$9-BD$10)*1000)</f>
        <v>38695.156678277504</v>
      </c>
      <c r="BE79" s="111">
        <f>SUM(BD$79,'Statistics NZ'!BE$79-'Statistics NZ'!BD$79,$N$13/5*(BE$9-BE$10)*1000)</f>
        <v>38145.156678277504</v>
      </c>
      <c r="BF79" s="111">
        <f>SUM(BE$79,'Statistics NZ'!BF$79-'Statistics NZ'!BE$79,$N$13/5*(BF$9-BF$10)*1000)</f>
        <v>38915.156678277504</v>
      </c>
      <c r="BG79" s="111">
        <f>SUM(BF$79,'Statistics NZ'!BG$79-'Statistics NZ'!BF$79,$N$13/5*(BG$9-BG$10)*1000)</f>
        <v>38565.156678277504</v>
      </c>
      <c r="BH79" s="111">
        <f>SUM(BG$79,'Statistics NZ'!BH$79-'Statistics NZ'!BG$79,$N$13/5*(BH$9-BH$10)*1000)</f>
        <v>37665.156678277504</v>
      </c>
      <c r="BI79" s="111">
        <f>SUM(BH$79,'Statistics NZ'!BI$79-'Statistics NZ'!BH$79,$N$13/5*(BI$9-BI$10)*1000)</f>
        <v>37345.156678277504</v>
      </c>
      <c r="BJ79" s="111">
        <f>SUM(BI$79,'Statistics NZ'!BJ$79-'Statistics NZ'!BI$79,$N$13/5*(BJ$9-BJ$10)*1000)</f>
        <v>38155.156678277504</v>
      </c>
      <c r="BK79" s="111">
        <f>SUM(BJ$79,'Statistics NZ'!BK$79-'Statistics NZ'!BJ$79,$N$13/5*(BK$9-BK$10)*1000)</f>
        <v>38315.156678277504</v>
      </c>
      <c r="BL79" s="111">
        <f>SUM(BK$79,'Statistics NZ'!BL$79-'Statistics NZ'!BK$79,$N$13/5*(BL$9-BL$10)*1000)</f>
        <v>39125.156678277504</v>
      </c>
      <c r="BM79" s="195">
        <f>SUM(BL$79,'Statistics NZ'!BM$79-'Statistics NZ'!BL$79,$N$13/5*(BM$9-BM$10)*1000)</f>
        <v>40645.156678277504</v>
      </c>
      <c r="BN79" s="195">
        <f>SUM(BM$79,'Statistics NZ'!BN$79-'Statistics NZ'!BM$79,$N$13/5*(BN$9-BN$10)*1000)</f>
        <v>41915.156678277504</v>
      </c>
      <c r="BO79" s="195">
        <f>SUM(BN$79,'Statistics NZ'!BO$79-'Statistics NZ'!BN$79,$N$13/5*(BO$9-BO$10)*1000)</f>
        <v>41775.156678277504</v>
      </c>
      <c r="BP79" s="195">
        <f>SUM(BO$79,'Statistics NZ'!BP$79-'Statistics NZ'!BO$79,$N$13/5*(BP$9-BP$10)*1000)</f>
        <v>42795.156678277504</v>
      </c>
      <c r="BQ79" s="195">
        <f>SUM(BP$79,'Statistics NZ'!BQ$79-'Statistics NZ'!BP$79,$N$13/5*(BQ$9-BQ$10)*1000)</f>
        <v>42735.156678277504</v>
      </c>
    </row>
    <row r="80" spans="1:69">
      <c r="A80" s="105">
        <v>63</v>
      </c>
      <c r="B80" s="118">
        <f>'Statistics NZ'!B$80*'Economic Forecasts'!D$9*1000000/SUM('Statistics NZ'!B$32:B$107,'Statistics NZ'!B$125:B$200)</f>
        <v>16588.957140083483</v>
      </c>
      <c r="C80" s="118">
        <f>'Statistics NZ'!C$80*'Economic Forecasts'!E$9*1000000/SUM('Statistics NZ'!C$32:C$107,'Statistics NZ'!C$125:C$200)</f>
        <v>18336.618695537363</v>
      </c>
      <c r="D80" s="118">
        <f>'Statistics NZ'!D$80*'Economic Forecasts'!F$9*1000000/SUM('Statistics NZ'!D$32:D$107,'Statistics NZ'!D$125:D$200)</f>
        <v>19258.827610396405</v>
      </c>
      <c r="E80" s="118">
        <f>'Statistics NZ'!E$80*'Economic Forecasts'!G$9*1000000/SUM('Statistics NZ'!E$32:E$107,'Statistics NZ'!E$125:E$200)</f>
        <v>20268.223070884891</v>
      </c>
      <c r="F80" s="118">
        <f>'Statistics NZ'!F$80*'Economic Forecasts'!H$9*1000000/SUM('Statistics NZ'!F$32:F$107,'Statistics NZ'!F$125:F$200)</f>
        <v>23909.883573999356</v>
      </c>
      <c r="G80" s="118">
        <f>'Statistics NZ'!G$80*'Economic Forecasts'!I$9*1000000/SUM('Statistics NZ'!G$32:G$107,'Statistics NZ'!G$125:G$200)</f>
        <v>23843.959853279051</v>
      </c>
      <c r="H80" s="118">
        <f>'Statistics NZ'!H$80*'Economic Forecasts'!J$9*1000000/SUM('Statistics NZ'!H$32:H$107,'Statistics NZ'!H$125:H$200)</f>
        <v>23461.900250702511</v>
      </c>
      <c r="I80" s="118">
        <f>'Statistics NZ'!I$80*'Economic Forecasts'!K$9*1000000/SUM('Statistics NZ'!I$32:I$107,'Statistics NZ'!I$125:I$200)</f>
        <v>24080.855175458706</v>
      </c>
      <c r="J80" s="203">
        <f>'Statistics NZ'!J$80*'Economic Forecasts'!L$9*1000000/SUM('Statistics NZ'!J$32:J$107,'Statistics NZ'!J$125:J$200)</f>
        <v>23863.439627572508</v>
      </c>
      <c r="K80" s="203">
        <f>'Statistics NZ'!K$80*'Economic Forecasts'!M$9*1000000/SUM('Statistics NZ'!K$32:K$107,'Statistics NZ'!K$125:K$200)</f>
        <v>24465.029286006353</v>
      </c>
      <c r="L80" s="203">
        <f>'Statistics NZ'!L$80*'Economic Forecasts'!N$9*1000000/SUM('Statistics NZ'!L$32:L$107,'Statistics NZ'!L$125:L$200)</f>
        <v>25035.714542095535</v>
      </c>
      <c r="M80" s="203">
        <f>'Statistics NZ'!M$80*'Economic Forecasts'!O$9*1000000/SUM('Statistics NZ'!M$32:M$107,'Statistics NZ'!M$125:M$200)</f>
        <v>25965.594852982907</v>
      </c>
      <c r="N80" s="203">
        <f>'Statistics NZ'!N$80*'Economic Forecasts'!P$9*1000000/SUM('Statistics NZ'!N$32:N$107,'Statistics NZ'!N$125:N$200)</f>
        <v>26763.349215501807</v>
      </c>
      <c r="O80" s="203">
        <f>'Statistics NZ'!O$80*'Economic Forecasts'!Q$9*1000000/SUM('Statistics NZ'!O$32:O$107,'Statistics NZ'!O$125:O$200)</f>
        <v>27503.408877941354</v>
      </c>
      <c r="P80" s="203">
        <f>'Statistics NZ'!P$80*'Economic Forecasts'!R$9*1000000/SUM('Statistics NZ'!P$32:P$107,'Statistics NZ'!P$125:P$200)</f>
        <v>28573.003307847957</v>
      </c>
      <c r="Q80" s="121">
        <f>SUM('Statistics NZ'!Q$80,$N$13/5*(Q$9-Q$10)*1000)*'Economic Forecasts'!S$9*1000000/SUM('Statistics NZ'!Q$32:Q$107,'Statistics NZ'!Q$125:Q$200,SUM($E$13:$Q$14)*(Q$9-Q$10)*1000)</f>
        <v>29477.245086347899</v>
      </c>
      <c r="R80" s="205">
        <f>SUM('Statistics NZ'!R$80,$N$13/5*(R$9-R$10)*1000)*'Economic Forecasts'!T$9*1000000/SUM('Statistics NZ'!R$32:R$107,'Statistics NZ'!R$125:R$200,SUM($E$13:$Q$14)*(R$9-R$10)*1000)</f>
        <v>30510.195057247351</v>
      </c>
      <c r="S80" s="205">
        <f>SUM('Statistics NZ'!S$80,$N$13/5*(S$9-S$10)*1000)*'Economic Forecasts'!U$9*1000000/SUM('Statistics NZ'!S$32:S$107,'Statistics NZ'!S$125:S$200,SUM($E$13:$Q$14)*(S$9-S$10)*1000)</f>
        <v>31027.153452607377</v>
      </c>
      <c r="T80" s="205">
        <f>SUM('Statistics NZ'!T$80,$N$13/5*(T$9-T$10)*1000)*'Economic Forecasts'!V$9*1000000/SUM('Statistics NZ'!T$32:T$107,'Statistics NZ'!T$125:T$200,SUM($E$13:$Q$14)*(T$9-T$10)*1000)</f>
        <v>32435.330349558015</v>
      </c>
      <c r="U80" s="205">
        <f>SUM('Statistics NZ'!U$80,$N$13/5*(U$9-U$10)*1000)*'Economic Forecasts'!W$9*1000000/SUM('Statistics NZ'!U$32:U$107,'Statistics NZ'!U$125:U$200,SUM($E$13:$Q$14)*(U$9-U$10)*1000)</f>
        <v>33315.676694404945</v>
      </c>
      <c r="V80" s="111">
        <f>SUM(U$80,'Statistics NZ'!V$80-'Statistics NZ'!U$80,$N$13/5*(V$9-V$10)*1000)</f>
        <v>33890.332799316493</v>
      </c>
      <c r="W80" s="111">
        <f>SUM(V$80,'Statistics NZ'!W$80-'Statistics NZ'!V$80,$N$13/5*(W$9-W$10)*1000)</f>
        <v>33180.6568911141</v>
      </c>
      <c r="X80" s="111">
        <f>SUM(W$80,'Statistics NZ'!X$80-'Statistics NZ'!W$80,$N$13/5*(X$9-X$10)*1000)</f>
        <v>32356.648969797763</v>
      </c>
      <c r="Y80" s="111">
        <f>SUM(X$80,'Statistics NZ'!Y$80-'Statistics NZ'!X$80,$N$13/5*(Y$9-Y$10)*1000)</f>
        <v>31868.309035367482</v>
      </c>
      <c r="Z80" s="111">
        <f>SUM(Y$80,'Statistics NZ'!Z$80-'Statistics NZ'!Y$80,$N$13/5*(Z$9-Z$10)*1000)</f>
        <v>32345.637087823256</v>
      </c>
      <c r="AA80" s="111">
        <f>SUM(Z$80,'Statistics NZ'!AA$80-'Statistics NZ'!Z$80,$N$13/5*(AA$9-AA$10)*1000)</f>
        <v>33068.633127165085</v>
      </c>
      <c r="AB80" s="111">
        <f>SUM(AA$80,'Statistics NZ'!AB$80-'Statistics NZ'!AA$80,$N$13/5*(AB$9-AB$10)*1000)</f>
        <v>33667.297153392974</v>
      </c>
      <c r="AC80" s="111">
        <f>SUM(AB$80,'Statistics NZ'!AC$80-'Statistics NZ'!AB$80,$N$13/5*(AC$9-AC$10)*1000)</f>
        <v>33481.629166506915</v>
      </c>
      <c r="AD80" s="111">
        <f>SUM(AC$80,'Statistics NZ'!AD$80-'Statistics NZ'!AC$80,$N$13/5*(AD$9-AD$10)*1000)</f>
        <v>34891.629166506915</v>
      </c>
      <c r="AE80" s="111">
        <f>SUM(AD$80,'Statistics NZ'!AE$80-'Statistics NZ'!AD$80,$N$13/5*(AE$9-AE$10)*1000)</f>
        <v>34441.629166506915</v>
      </c>
      <c r="AF80" s="111">
        <f>SUM(AE$80,'Statistics NZ'!AF$80-'Statistics NZ'!AE$80,$N$13/5*(AF$9-AF$10)*1000)</f>
        <v>33231.629166506915</v>
      </c>
      <c r="AG80" s="111">
        <f>SUM(AF$80,'Statistics NZ'!AG$80-'Statistics NZ'!AF$80,$N$13/5*(AG$9-AG$10)*1000)</f>
        <v>32511.629166506915</v>
      </c>
      <c r="AH80" s="111">
        <f>SUM(AG$80,'Statistics NZ'!AH$80-'Statistics NZ'!AG$80,$N$13/5*(AH$9-AH$10)*1000)</f>
        <v>31271.629166506915</v>
      </c>
      <c r="AI80" s="111">
        <f>SUM(AH$80,'Statistics NZ'!AI$80-'Statistics NZ'!AH$80,$N$13/5*(AI$9-AI$10)*1000)</f>
        <v>29971.629166506915</v>
      </c>
      <c r="AJ80" s="111">
        <f>SUM(AI$80,'Statistics NZ'!AJ$80-'Statistics NZ'!AI$80,$N$13/5*(AJ$9-AJ$10)*1000)</f>
        <v>30161.629166506915</v>
      </c>
      <c r="AK80" s="111">
        <f>SUM(AJ$80,'Statistics NZ'!AK$80-'Statistics NZ'!AJ$80,$N$13/5*(AK$9-AK$10)*1000)</f>
        <v>30101.629166506915</v>
      </c>
      <c r="AL80" s="111">
        <f>SUM(AK$80,'Statistics NZ'!AL$80-'Statistics NZ'!AK$80,$N$13/5*(AL$9-AL$10)*1000)</f>
        <v>31061.629166506915</v>
      </c>
      <c r="AM80" s="111">
        <f>SUM(AL$80,'Statistics NZ'!AM$80-'Statistics NZ'!AL$80,$N$13/5*(AM$9-AM$10)*1000)</f>
        <v>31461.629166506915</v>
      </c>
      <c r="AN80" s="111">
        <f>SUM(AM$80,'Statistics NZ'!AN$80-'Statistics NZ'!AM$80,$N$13/5*(AN$9-AN$10)*1000)</f>
        <v>31851.629166506915</v>
      </c>
      <c r="AO80" s="111">
        <f>SUM(AN$80,'Statistics NZ'!AO$80-'Statistics NZ'!AN$80,$N$13/5*(AO$9-AO$10)*1000)</f>
        <v>32941.629166506915</v>
      </c>
      <c r="AP80" s="111">
        <f>SUM(AO$80,'Statistics NZ'!AP$80-'Statistics NZ'!AO$80,$N$13/5*(AP$9-AP$10)*1000)</f>
        <v>33721.629166506915</v>
      </c>
      <c r="AQ80" s="111">
        <f>SUM(AP$80,'Statistics NZ'!AQ$80-'Statistics NZ'!AP$80,$N$13/5*(AQ$9-AQ$10)*1000)</f>
        <v>34501.629166506915</v>
      </c>
      <c r="AR80" s="111">
        <f>SUM(AQ$80,'Statistics NZ'!AR$80-'Statistics NZ'!AQ$80,$N$13/5*(AR$9-AR$10)*1000)</f>
        <v>35291.629166506915</v>
      </c>
      <c r="AS80" s="111">
        <f>SUM(AR$80,'Statistics NZ'!AS$80-'Statistics NZ'!AR$80,$N$13/5*(AS$9-AS$10)*1000)</f>
        <v>35911.629166506915</v>
      </c>
      <c r="AT80" s="111">
        <f>SUM(AS$80,'Statistics NZ'!AT$80-'Statistics NZ'!AS$80,$N$13/5*(AT$9-AT$10)*1000)</f>
        <v>36771.629166506915</v>
      </c>
      <c r="AU80" s="111">
        <f>SUM(AT$80,'Statistics NZ'!AU$80-'Statistics NZ'!AT$80,$N$13/5*(AU$9-AU$10)*1000)</f>
        <v>39221.629166506915</v>
      </c>
      <c r="AV80" s="111">
        <f>SUM(AU$80,'Statistics NZ'!AV$80-'Statistics NZ'!AU$80,$N$13/5*(AV$9-AV$10)*1000)</f>
        <v>39571.629166506915</v>
      </c>
      <c r="AW80" s="111">
        <f>SUM(AV$80,'Statistics NZ'!AW$80-'Statistics NZ'!AV$80,$N$13/5*(AW$9-AW$10)*1000)</f>
        <v>41241.629166506915</v>
      </c>
      <c r="AX80" s="111">
        <f>SUM(AW$80,'Statistics NZ'!AX$80-'Statistics NZ'!AW$80,$N$13/5*(AX$9-AX$10)*1000)</f>
        <v>41831.629166506915</v>
      </c>
      <c r="AY80" s="111">
        <f>SUM(AX$80,'Statistics NZ'!AY$80-'Statistics NZ'!AX$80,$N$13/5*(AY$9-AY$10)*1000)</f>
        <v>41491.629166506915</v>
      </c>
      <c r="AZ80" s="111">
        <f>SUM(AY$80,'Statistics NZ'!AZ$80-'Statistics NZ'!AY$80,$N$13/5*(AZ$9-AZ$10)*1000)</f>
        <v>40801.629166506915</v>
      </c>
      <c r="BA80" s="111">
        <f>SUM(AZ$80,'Statistics NZ'!BA$80-'Statistics NZ'!AZ$80,$N$13/5*(BA$9-BA$10)*1000)</f>
        <v>39631.629166506915</v>
      </c>
      <c r="BB80" s="111">
        <f>SUM(BA$80,'Statistics NZ'!BB$80-'Statistics NZ'!BA$80,$N$13/5*(BB$9-BB$10)*1000)</f>
        <v>39431.629166506915</v>
      </c>
      <c r="BC80" s="111">
        <f>SUM(BB$80,'Statistics NZ'!BC$80-'Statistics NZ'!BB$80,$N$13/5*(BC$9-BC$10)*1000)</f>
        <v>39081.629166506915</v>
      </c>
      <c r="BD80" s="111">
        <f>SUM(BC$80,'Statistics NZ'!BD$80-'Statistics NZ'!BC$80,$N$13/5*(BD$9-BD$10)*1000)</f>
        <v>38741.629166506915</v>
      </c>
      <c r="BE80" s="111">
        <f>SUM(BD$80,'Statistics NZ'!BE$80-'Statistics NZ'!BD$80,$N$13/5*(BE$9-BE$10)*1000)</f>
        <v>38721.629166506915</v>
      </c>
      <c r="BF80" s="111">
        <f>SUM(BE$80,'Statistics NZ'!BF$80-'Statistics NZ'!BE$80,$N$13/5*(BF$9-BF$10)*1000)</f>
        <v>38171.629166506915</v>
      </c>
      <c r="BG80" s="111">
        <f>SUM(BF$80,'Statistics NZ'!BG$80-'Statistics NZ'!BF$80,$N$13/5*(BG$9-BG$10)*1000)</f>
        <v>38941.629166506915</v>
      </c>
      <c r="BH80" s="111">
        <f>SUM(BG$80,'Statistics NZ'!BH$80-'Statistics NZ'!BG$80,$N$13/5*(BH$9-BH$10)*1000)</f>
        <v>38601.629166506915</v>
      </c>
      <c r="BI80" s="111">
        <f>SUM(BH$80,'Statistics NZ'!BI$80-'Statistics NZ'!BH$80,$N$13/5*(BI$9-BI$10)*1000)</f>
        <v>37691.629166506915</v>
      </c>
      <c r="BJ80" s="111">
        <f>SUM(BI$80,'Statistics NZ'!BJ$80-'Statistics NZ'!BI$80,$N$13/5*(BJ$9-BJ$10)*1000)</f>
        <v>37381.629166506915</v>
      </c>
      <c r="BK80" s="111">
        <f>SUM(BJ$80,'Statistics NZ'!BK$80-'Statistics NZ'!BJ$80,$N$13/5*(BK$9-BK$10)*1000)</f>
        <v>38191.629166506915</v>
      </c>
      <c r="BL80" s="111">
        <f>SUM(BK$80,'Statistics NZ'!BL$80-'Statistics NZ'!BK$80,$N$13/5*(BL$9-BL$10)*1000)</f>
        <v>38351.629166506915</v>
      </c>
      <c r="BM80" s="195">
        <f>SUM(BL$80,'Statistics NZ'!BM$80-'Statistics NZ'!BL$80,$N$13/5*(BM$9-BM$10)*1000)</f>
        <v>39161.629166506915</v>
      </c>
      <c r="BN80" s="195">
        <f>SUM(BM$80,'Statistics NZ'!BN$80-'Statistics NZ'!BM$80,$N$13/5*(BN$9-BN$10)*1000)</f>
        <v>40681.629166506915</v>
      </c>
      <c r="BO80" s="195">
        <f>SUM(BN$80,'Statistics NZ'!BO$80-'Statistics NZ'!BN$80,$N$13/5*(BO$9-BO$10)*1000)</f>
        <v>41951.629166506915</v>
      </c>
      <c r="BP80" s="195">
        <f>SUM(BO$80,'Statistics NZ'!BP$80-'Statistics NZ'!BO$80,$N$13/5*(BP$9-BP$10)*1000)</f>
        <v>41811.629166506915</v>
      </c>
      <c r="BQ80" s="195">
        <f>SUM(BP$80,'Statistics NZ'!BQ$80-'Statistics NZ'!BP$80,$N$13/5*(BQ$9-BQ$10)*1000)</f>
        <v>42831.629166506915</v>
      </c>
    </row>
    <row r="81" spans="1:69">
      <c r="A81" s="105">
        <v>64</v>
      </c>
      <c r="B81" s="118">
        <f>'Statistics NZ'!B$81*'Economic Forecasts'!D$9*1000000/SUM('Statistics NZ'!B$32:B$107,'Statistics NZ'!B$125:B$200)</f>
        <v>18450.781902242499</v>
      </c>
      <c r="C81" s="118">
        <f>'Statistics NZ'!C$81*'Economic Forecasts'!E$9*1000000/SUM('Statistics NZ'!C$32:C$107,'Statistics NZ'!C$125:C$200)</f>
        <v>16512.815223131765</v>
      </c>
      <c r="D81" s="118">
        <f>'Statistics NZ'!D$81*'Economic Forecasts'!F$9*1000000/SUM('Statistics NZ'!D$32:D$107,'Statistics NZ'!D$125:D$200)</f>
        <v>18263.361086010515</v>
      </c>
      <c r="E81" s="118">
        <f>'Statistics NZ'!E$81*'Economic Forecasts'!G$9*1000000/SUM('Statistics NZ'!E$32:E$107,'Statistics NZ'!E$125:E$200)</f>
        <v>19194.736037490115</v>
      </c>
      <c r="F81" s="118">
        <f>'Statistics NZ'!F$81*'Economic Forecasts'!H$9*1000000/SUM('Statistics NZ'!F$32:F$107,'Statistics NZ'!F$125:F$200)</f>
        <v>20215.525790624917</v>
      </c>
      <c r="G81" s="118">
        <f>'Statistics NZ'!G$81*'Economic Forecasts'!I$9*1000000/SUM('Statistics NZ'!G$32:G$107,'Statistics NZ'!G$125:G$200)</f>
        <v>23814.401225361766</v>
      </c>
      <c r="H81" s="118">
        <f>'Statistics NZ'!H$81*'Economic Forecasts'!J$9*1000000/SUM('Statistics NZ'!H$32:H$107,'Statistics NZ'!H$125:H$200)</f>
        <v>23786.939171052294</v>
      </c>
      <c r="I81" s="118">
        <f>'Statistics NZ'!I$81*'Economic Forecasts'!K$9*1000000/SUM('Statistics NZ'!I$32:I$107,'Statistics NZ'!I$125:I$200)</f>
        <v>23421.510142048104</v>
      </c>
      <c r="J81" s="203">
        <f>'Statistics NZ'!J$81*'Economic Forecasts'!L$9*1000000/SUM('Statistics NZ'!J$32:J$107,'Statistics NZ'!J$125:J$200)</f>
        <v>23961.723975297271</v>
      </c>
      <c r="K81" s="203">
        <f>'Statistics NZ'!K$81*'Economic Forecasts'!M$9*1000000/SUM('Statistics NZ'!K$32:K$107,'Statistics NZ'!K$125:K$200)</f>
        <v>23708.480187603745</v>
      </c>
      <c r="L81" s="203">
        <f>'Statistics NZ'!L$81*'Economic Forecasts'!N$9*1000000/SUM('Statistics NZ'!L$32:L$107,'Statistics NZ'!L$125:L$200)</f>
        <v>24434.936183689628</v>
      </c>
      <c r="M81" s="203">
        <f>'Statistics NZ'!M$81*'Economic Forecasts'!O$9*1000000/SUM('Statistics NZ'!M$32:M$107,'Statistics NZ'!M$125:M$200)</f>
        <v>25019.958621614787</v>
      </c>
      <c r="N81" s="203">
        <f>'Statistics NZ'!N$81*'Economic Forecasts'!P$9*1000000/SUM('Statistics NZ'!N$32:N$107,'Statistics NZ'!N$125:N$200)</f>
        <v>25894.921954821806</v>
      </c>
      <c r="O81" s="203">
        <f>'Statistics NZ'!O$81*'Economic Forecasts'!Q$9*1000000/SUM('Statistics NZ'!O$32:O$107,'Statistics NZ'!O$125:O$200)</f>
        <v>26743.537157955176</v>
      </c>
      <c r="P81" s="203">
        <f>'Statistics NZ'!P$81*'Economic Forecasts'!R$9*1000000/SUM('Statistics NZ'!P$32:P$107,'Statistics NZ'!P$125:P$200)</f>
        <v>27842.387466527725</v>
      </c>
      <c r="Q81" s="121">
        <f>SUM('Statistics NZ'!Q$81,$N$13/5*(Q$9-Q$10)*1000)*'Economic Forecasts'!S$9*1000000/SUM('Statistics NZ'!Q$32:Q$107,'Statistics NZ'!Q$125:Q$200,SUM($E$13:$Q$14)*(Q$9-Q$10)*1000)</f>
        <v>28488.602773898627</v>
      </c>
      <c r="R81" s="205">
        <f>SUM('Statistics NZ'!R$81,$N$13/5*(R$9-R$10)*1000)*'Economic Forecasts'!T$9*1000000/SUM('Statistics NZ'!R$32:R$107,'Statistics NZ'!R$125:R$200,SUM($E$13:$Q$14)*(R$9-R$10)*1000)</f>
        <v>29373.399460142471</v>
      </c>
      <c r="S81" s="205">
        <f>SUM('Statistics NZ'!S$81,$N$13/5*(S$9-S$10)*1000)*'Economic Forecasts'!U$9*1000000/SUM('Statistics NZ'!S$32:S$107,'Statistics NZ'!S$125:S$200,SUM($E$13:$Q$14)*(S$9-S$10)*1000)</f>
        <v>30404.720004031555</v>
      </c>
      <c r="T81" s="205">
        <f>SUM('Statistics NZ'!T$81,$N$13/5*(T$9-T$10)*1000)*'Economic Forecasts'!V$9*1000000/SUM('Statistics NZ'!T$32:T$107,'Statistics NZ'!T$125:T$200,SUM($E$13:$Q$14)*(T$9-T$10)*1000)</f>
        <v>30963.316990369898</v>
      </c>
      <c r="U81" s="205">
        <f>SUM('Statistics NZ'!U$81,$N$13/5*(U$9-U$10)*1000)*'Economic Forecasts'!W$9*1000000/SUM('Statistics NZ'!U$32:U$107,'Statistics NZ'!U$125:U$200,SUM($E$13:$Q$14)*(U$9-U$10)*1000)</f>
        <v>32415.493301552873</v>
      </c>
      <c r="V81" s="111">
        <f>SUM(U$81,'Statistics NZ'!V$81-'Statistics NZ'!U$81,$N$13/5*(V$9-V$10)*1000)</f>
        <v>33270.149406464421</v>
      </c>
      <c r="W81" s="111">
        <f>SUM(V$81,'Statistics NZ'!W$81-'Statistics NZ'!V$81,$N$13/5*(W$9-W$10)*1000)</f>
        <v>33850.473498262028</v>
      </c>
      <c r="X81" s="111">
        <f>SUM(W$81,'Statistics NZ'!X$81-'Statistics NZ'!W$81,$N$13/5*(X$9-X$10)*1000)</f>
        <v>33146.465576945688</v>
      </c>
      <c r="Y81" s="111">
        <f>SUM(X$81,'Statistics NZ'!Y$81-'Statistics NZ'!X$81,$N$13/5*(Y$9-Y$10)*1000)</f>
        <v>32328.125642515406</v>
      </c>
      <c r="Z81" s="111">
        <f>SUM(Y$81,'Statistics NZ'!Z$81-'Statistics NZ'!Y$81,$N$13/5*(Z$9-Z$10)*1000)</f>
        <v>31835.45369497118</v>
      </c>
      <c r="AA81" s="111">
        <f>SUM(Z$81,'Statistics NZ'!AA$81-'Statistics NZ'!Z$81,$N$13/5*(AA$9-AA$10)*1000)</f>
        <v>32308.44973431301</v>
      </c>
      <c r="AB81" s="111">
        <f>SUM(AA$81,'Statistics NZ'!AB$81-'Statistics NZ'!AA$81,$N$13/5*(AB$9-AB$10)*1000)</f>
        <v>33027.113760540895</v>
      </c>
      <c r="AC81" s="111">
        <f>SUM(AB$81,'Statistics NZ'!AC$81-'Statistics NZ'!AB$81,$N$13/5*(AC$9-AC$10)*1000)</f>
        <v>33621.445773654836</v>
      </c>
      <c r="AD81" s="111">
        <f>SUM(AC$81,'Statistics NZ'!AD$81-'Statistics NZ'!AC$81,$N$13/5*(AD$9-AD$10)*1000)</f>
        <v>33431.445773654836</v>
      </c>
      <c r="AE81" s="111">
        <f>SUM(AD$81,'Statistics NZ'!AE$81-'Statistics NZ'!AD$81,$N$13/5*(AE$9-AE$10)*1000)</f>
        <v>34851.445773654836</v>
      </c>
      <c r="AF81" s="111">
        <f>SUM(AE$81,'Statistics NZ'!AF$81-'Statistics NZ'!AE$81,$N$13/5*(AF$9-AF$10)*1000)</f>
        <v>34401.445773654836</v>
      </c>
      <c r="AG81" s="111">
        <f>SUM(AF$81,'Statistics NZ'!AG$81-'Statistics NZ'!AF$81,$N$13/5*(AG$9-AG$10)*1000)</f>
        <v>33191.445773654836</v>
      </c>
      <c r="AH81" s="111">
        <f>SUM(AG$81,'Statistics NZ'!AH$81-'Statistics NZ'!AG$81,$N$13/5*(AH$9-AH$10)*1000)</f>
        <v>32481.445773654836</v>
      </c>
      <c r="AI81" s="111">
        <f>SUM(AH$81,'Statistics NZ'!AI$81-'Statistics NZ'!AH$81,$N$13/5*(AI$9-AI$10)*1000)</f>
        <v>31251.445773654836</v>
      </c>
      <c r="AJ81" s="111">
        <f>SUM(AI$81,'Statistics NZ'!AJ$81-'Statistics NZ'!AI$81,$N$13/5*(AJ$9-AJ$10)*1000)</f>
        <v>29951.445773654836</v>
      </c>
      <c r="AK81" s="111">
        <f>SUM(AJ$81,'Statistics NZ'!AK$81-'Statistics NZ'!AJ$81,$N$13/5*(AK$9-AK$10)*1000)</f>
        <v>30151.445773654836</v>
      </c>
      <c r="AL81" s="111">
        <f>SUM(AK$81,'Statistics NZ'!AL$81-'Statistics NZ'!AK$81,$N$13/5*(AL$9-AL$10)*1000)</f>
        <v>30091.445773654836</v>
      </c>
      <c r="AM81" s="111">
        <f>SUM(AL$81,'Statistics NZ'!AM$81-'Statistics NZ'!AL$81,$N$13/5*(AM$9-AM$10)*1000)</f>
        <v>31051.445773654836</v>
      </c>
      <c r="AN81" s="111">
        <f>SUM(AM$81,'Statistics NZ'!AN$81-'Statistics NZ'!AM$81,$N$13/5*(AN$9-AN$10)*1000)</f>
        <v>31451.445773654836</v>
      </c>
      <c r="AO81" s="111">
        <f>SUM(AN$81,'Statistics NZ'!AO$81-'Statistics NZ'!AN$81,$N$13/5*(AO$9-AO$10)*1000)</f>
        <v>31841.445773654836</v>
      </c>
      <c r="AP81" s="111">
        <f>SUM(AO$81,'Statistics NZ'!AP$81-'Statistics NZ'!AO$81,$N$13/5*(AP$9-AP$10)*1000)</f>
        <v>32921.445773654836</v>
      </c>
      <c r="AQ81" s="111">
        <f>SUM(AP$81,'Statistics NZ'!AQ$81-'Statistics NZ'!AP$81,$N$13/5*(AQ$9-AQ$10)*1000)</f>
        <v>33711.445773654836</v>
      </c>
      <c r="AR81" s="111">
        <f>SUM(AQ$81,'Statistics NZ'!AR$81-'Statistics NZ'!AQ$81,$N$13/5*(AR$9-AR$10)*1000)</f>
        <v>34481.445773654836</v>
      </c>
      <c r="AS81" s="111">
        <f>SUM(AR$81,'Statistics NZ'!AS$81-'Statistics NZ'!AR$81,$N$13/5*(AS$9-AS$10)*1000)</f>
        <v>35281.445773654836</v>
      </c>
      <c r="AT81" s="111">
        <f>SUM(AS$81,'Statistics NZ'!AT$81-'Statistics NZ'!AS$81,$N$13/5*(AT$9-AT$10)*1000)</f>
        <v>35901.445773654836</v>
      </c>
      <c r="AU81" s="111">
        <f>SUM(AT$81,'Statistics NZ'!AU$81-'Statistics NZ'!AT$81,$N$13/5*(AU$9-AU$10)*1000)</f>
        <v>36761.445773654836</v>
      </c>
      <c r="AV81" s="111">
        <f>SUM(AU$81,'Statistics NZ'!AV$81-'Statistics NZ'!AU$81,$N$13/5*(AV$9-AV$10)*1000)</f>
        <v>39201.445773654836</v>
      </c>
      <c r="AW81" s="111">
        <f>SUM(AV$81,'Statistics NZ'!AW$81-'Statistics NZ'!AV$81,$N$13/5*(AW$9-AW$10)*1000)</f>
        <v>39561.445773654836</v>
      </c>
      <c r="AX81" s="111">
        <f>SUM(AW$81,'Statistics NZ'!AX$81-'Statistics NZ'!AW$81,$N$13/5*(AX$9-AX$10)*1000)</f>
        <v>41221.445773654836</v>
      </c>
      <c r="AY81" s="111">
        <f>SUM(AX$81,'Statistics NZ'!AY$81-'Statistics NZ'!AX$81,$N$13/5*(AY$9-AY$10)*1000)</f>
        <v>41811.445773654836</v>
      </c>
      <c r="AZ81" s="111">
        <f>SUM(AY$81,'Statistics NZ'!AZ$81-'Statistics NZ'!AY$81,$N$13/5*(AZ$9-AZ$10)*1000)</f>
        <v>41471.445773654836</v>
      </c>
      <c r="BA81" s="111">
        <f>SUM(AZ$81,'Statistics NZ'!BA$81-'Statistics NZ'!AZ$81,$N$13/5*(BA$9-BA$10)*1000)</f>
        <v>40791.445773654836</v>
      </c>
      <c r="BB81" s="111">
        <f>SUM(BA$81,'Statistics NZ'!BB$81-'Statistics NZ'!BA$81,$N$13/5*(BB$9-BB$10)*1000)</f>
        <v>39631.445773654836</v>
      </c>
      <c r="BC81" s="111">
        <f>SUM(BB$81,'Statistics NZ'!BC$81-'Statistics NZ'!BB$81,$N$13/5*(BC$9-BC$10)*1000)</f>
        <v>39431.445773654836</v>
      </c>
      <c r="BD81" s="111">
        <f>SUM(BC$81,'Statistics NZ'!BD$81-'Statistics NZ'!BC$81,$N$13/5*(BD$9-BD$10)*1000)</f>
        <v>39081.445773654836</v>
      </c>
      <c r="BE81" s="111">
        <f>SUM(BD$81,'Statistics NZ'!BE$81-'Statistics NZ'!BD$81,$N$13/5*(BE$9-BE$10)*1000)</f>
        <v>38751.445773654836</v>
      </c>
      <c r="BF81" s="111">
        <f>SUM(BE$81,'Statistics NZ'!BF$81-'Statistics NZ'!BE$81,$N$13/5*(BF$9-BF$10)*1000)</f>
        <v>38731.445773654836</v>
      </c>
      <c r="BG81" s="111">
        <f>SUM(BF$81,'Statistics NZ'!BG$81-'Statistics NZ'!BF$81,$N$13/5*(BG$9-BG$10)*1000)</f>
        <v>38181.445773654836</v>
      </c>
      <c r="BH81" s="111">
        <f>SUM(BG$81,'Statistics NZ'!BH$81-'Statistics NZ'!BG$81,$N$13/5*(BH$9-BH$10)*1000)</f>
        <v>38951.445773654836</v>
      </c>
      <c r="BI81" s="111">
        <f>SUM(BH$81,'Statistics NZ'!BI$81-'Statistics NZ'!BH$81,$N$13/5*(BI$9-BI$10)*1000)</f>
        <v>38611.445773654836</v>
      </c>
      <c r="BJ81" s="111">
        <f>SUM(BI$81,'Statistics NZ'!BJ$81-'Statistics NZ'!BI$81,$N$13/5*(BJ$9-BJ$10)*1000)</f>
        <v>37711.445773654836</v>
      </c>
      <c r="BK81" s="111">
        <f>SUM(BJ$81,'Statistics NZ'!BK$81-'Statistics NZ'!BJ$81,$N$13/5*(BK$9-BK$10)*1000)</f>
        <v>37401.445773654836</v>
      </c>
      <c r="BL81" s="111">
        <f>SUM(BK$81,'Statistics NZ'!BL$81-'Statistics NZ'!BK$81,$N$13/5*(BL$9-BL$10)*1000)</f>
        <v>38211.445773654836</v>
      </c>
      <c r="BM81" s="195">
        <f>SUM(BL$81,'Statistics NZ'!BM$81-'Statistics NZ'!BL$81,$N$13/5*(BM$9-BM$10)*1000)</f>
        <v>38371.445773654836</v>
      </c>
      <c r="BN81" s="195">
        <f>SUM(BM$81,'Statistics NZ'!BN$81-'Statistics NZ'!BM$81,$N$13/5*(BN$9-BN$10)*1000)</f>
        <v>39181.445773654836</v>
      </c>
      <c r="BO81" s="195">
        <f>SUM(BN$81,'Statistics NZ'!BO$81-'Statistics NZ'!BN$81,$N$13/5*(BO$9-BO$10)*1000)</f>
        <v>40691.445773654836</v>
      </c>
      <c r="BP81" s="195">
        <f>SUM(BO$81,'Statistics NZ'!BP$81-'Statistics NZ'!BO$81,$N$13/5*(BP$9-BP$10)*1000)</f>
        <v>41971.445773654836</v>
      </c>
      <c r="BQ81" s="195">
        <f>SUM(BP$81,'Statistics NZ'!BQ$81-'Statistics NZ'!BP$81,$N$13/5*(BQ$9-BQ$10)*1000)</f>
        <v>41831.445773654836</v>
      </c>
    </row>
    <row r="82" spans="1:69">
      <c r="A82" s="105">
        <v>65</v>
      </c>
      <c r="B82" s="118">
        <f>'Statistics NZ'!B$82*'Economic Forecasts'!D$9*1000000/SUM('Statistics NZ'!B$32:B$107,'Statistics NZ'!B$125:B$200)</f>
        <v>18125.701388214733</v>
      </c>
      <c r="C82" s="118">
        <f>'Statistics NZ'!C$82*'Economic Forecasts'!E$9*1000000/SUM('Statistics NZ'!C$32:C$107,'Statistics NZ'!C$125:C$200)</f>
        <v>18366.193886981779</v>
      </c>
      <c r="D82" s="118">
        <f>'Statistics NZ'!D$82*'Economic Forecasts'!F$9*1000000/SUM('Statistics NZ'!D$32:D$107,'Statistics NZ'!D$125:D$200)</f>
        <v>16430.12570446817</v>
      </c>
      <c r="E82" s="118">
        <f>'Statistics NZ'!E$82*'Economic Forecasts'!G$9*1000000/SUM('Statistics NZ'!E$32:E$107,'Statistics NZ'!E$125:E$200)</f>
        <v>18160.643023669454</v>
      </c>
      <c r="F82" s="118">
        <f>'Statistics NZ'!F$82*'Economic Forecasts'!H$9*1000000/SUM('Statistics NZ'!F$32:F$107,'Statistics NZ'!F$125:F$200)</f>
        <v>19151.55074901308</v>
      </c>
      <c r="G82" s="118">
        <f>'Statistics NZ'!G$82*'Economic Forecasts'!I$9*1000000/SUM('Statistics NZ'!G$32:G$107,'Statistics NZ'!G$125:G$200)</f>
        <v>20149.131363618038</v>
      </c>
      <c r="H82" s="118">
        <f>'Statistics NZ'!H$82*'Economic Forecasts'!J$9*1000000/SUM('Statistics NZ'!H$32:H$107,'Statistics NZ'!H$125:H$200)</f>
        <v>23678.592864269031</v>
      </c>
      <c r="I82" s="118">
        <f>'Statistics NZ'!I$82*'Economic Forecasts'!K$9*1000000/SUM('Statistics NZ'!I$32:I$107,'Statistics NZ'!I$125:I$200)</f>
        <v>23667.534408246087</v>
      </c>
      <c r="J82" s="203">
        <f>'Statistics NZ'!J$82*'Economic Forecasts'!L$9*1000000/SUM('Statistics NZ'!J$32:J$107,'Statistics NZ'!J$125:J$200)</f>
        <v>23214.76293258907</v>
      </c>
      <c r="K82" s="203">
        <f>'Statistics NZ'!K$82*'Economic Forecasts'!M$9*1000000/SUM('Statistics NZ'!K$32:K$107,'Statistics NZ'!K$125:K$200)</f>
        <v>23846.034569131491</v>
      </c>
      <c r="L82" s="203">
        <f>'Statistics NZ'!L$82*'Economic Forecasts'!N$9*1000000/SUM('Statistics NZ'!L$32:L$107,'Statistics NZ'!L$125:L$200)</f>
        <v>23686.425442069147</v>
      </c>
      <c r="M82" s="203">
        <f>'Statistics NZ'!M$82*'Economic Forecasts'!O$9*1000000/SUM('Statistics NZ'!M$32:M$107,'Statistics NZ'!M$125:M$200)</f>
        <v>24340.282580318955</v>
      </c>
      <c r="N82" s="203">
        <f>'Statistics NZ'!N$82*'Economic Forecasts'!P$9*1000000/SUM('Statistics NZ'!N$32:N$107,'Statistics NZ'!N$125:N$200)</f>
        <v>24967.28374454999</v>
      </c>
      <c r="O82" s="203">
        <f>'Statistics NZ'!O$82*'Economic Forecasts'!Q$9*1000000/SUM('Statistics NZ'!O$32:O$107,'Statistics NZ'!O$125:O$200)</f>
        <v>25815.90155173828</v>
      </c>
      <c r="P82" s="203">
        <f>'Statistics NZ'!P$82*'Economic Forecasts'!R$9*1000000/SUM('Statistics NZ'!P$32:P$107,'Statistics NZ'!P$125:P$200)</f>
        <v>27062.405689983156</v>
      </c>
      <c r="Q82" s="121">
        <f>SUM('Statistics NZ'!Q$82,$O$13/5*(Q$9-Q$10)*1000)*'Economic Forecasts'!S$9*1000000/SUM('Statistics NZ'!Q$32:Q$107,'Statistics NZ'!Q$125:Q$200,SUM($E$13:$Q$14)*(Q$9-Q$10)*1000)</f>
        <v>27738.870279486251</v>
      </c>
      <c r="R82" s="205">
        <f>SUM('Statistics NZ'!R$82,$O$13/5*(R$9-R$10)*1000)*'Economic Forecasts'!T$9*1000000/SUM('Statistics NZ'!R$32:R$107,'Statistics NZ'!R$125:R$200,SUM($E$13:$Q$14)*(R$9-R$10)*1000)</f>
        <v>28367.263108816271</v>
      </c>
      <c r="S82" s="205">
        <f>SUM('Statistics NZ'!S$82,$O$13/5*(S$9-S$10)*1000)*'Economic Forecasts'!U$9*1000000/SUM('Statistics NZ'!S$32:S$107,'Statistics NZ'!S$125:S$200,SUM($E$13:$Q$14)*(S$9-S$10)*1000)</f>
        <v>29247.051557101142</v>
      </c>
      <c r="T82" s="205">
        <f>SUM('Statistics NZ'!T$82,$O$13/5*(T$9-T$10)*1000)*'Economic Forecasts'!V$9*1000000/SUM('Statistics NZ'!T$32:T$107,'Statistics NZ'!T$125:T$200,SUM($E$13:$Q$14)*(T$9-T$10)*1000)</f>
        <v>30322.440259178009</v>
      </c>
      <c r="U82" s="205">
        <f>SUM('Statistics NZ'!U$82,$O$13/5*(U$9-U$10)*1000)*'Economic Forecasts'!W$9*1000000/SUM('Statistics NZ'!U$32:U$107,'Statistics NZ'!U$125:U$200,SUM($E$13:$Q$14)*(U$9-U$10)*1000)</f>
        <v>30916.169829626979</v>
      </c>
      <c r="V82" s="111">
        <f>SUM(U$82,'Statistics NZ'!V$82-'Statistics NZ'!U$82,$O$13/5*(V$9-V$10)*1000)</f>
        <v>32336.893691855523</v>
      </c>
      <c r="W82" s="111">
        <f>SUM(V$82,'Statistics NZ'!W$82-'Statistics NZ'!V$82,$O$13/5*(W$9-W$10)*1000)</f>
        <v>33185.027071305507</v>
      </c>
      <c r="X82" s="111">
        <f>SUM(W$82,'Statistics NZ'!X$82-'Statistics NZ'!W$82,$O$13/5*(X$9-X$10)*1000)</f>
        <v>33740.569967976917</v>
      </c>
      <c r="Y82" s="111">
        <f>SUM(X$82,'Statistics NZ'!Y$82-'Statistics NZ'!X$82,$O$13/5*(Y$9-Y$10)*1000)</f>
        <v>33033.522381869756</v>
      </c>
      <c r="Z82" s="111">
        <f>SUM(Y$82,'Statistics NZ'!Z$82-'Statistics NZ'!Y$82,$O$13/5*(Z$9-Z$10)*1000)</f>
        <v>32213.884312984028</v>
      </c>
      <c r="AA82" s="111">
        <f>SUM(Z$82,'Statistics NZ'!AA$82-'Statistics NZ'!Z$82,$O$13/5*(AA$9-AA$10)*1000)</f>
        <v>31721.655761319733</v>
      </c>
      <c r="AB82" s="111">
        <f>SUM(AA$82,'Statistics NZ'!AB$82-'Statistics NZ'!AA$82,$O$13/5*(AB$9-AB$10)*1000)</f>
        <v>32176.836726876871</v>
      </c>
      <c r="AC82" s="111">
        <f>SUM(AB$82,'Statistics NZ'!AC$82-'Statistics NZ'!AB$82,$O$13/5*(AC$9-AC$10)*1000)</f>
        <v>32889.427209655441</v>
      </c>
      <c r="AD82" s="111">
        <f>SUM(AC$82,'Statistics NZ'!AD$82-'Statistics NZ'!AC$82,$O$13/5*(AD$9-AD$10)*1000)</f>
        <v>33489.427209655441</v>
      </c>
      <c r="AE82" s="111">
        <f>SUM(AD$82,'Statistics NZ'!AE$82-'Statistics NZ'!AD$82,$O$13/5*(AE$9-AE$10)*1000)</f>
        <v>33299.427209655441</v>
      </c>
      <c r="AF82" s="111">
        <f>SUM(AE$82,'Statistics NZ'!AF$82-'Statistics NZ'!AE$82,$O$13/5*(AF$9-AF$10)*1000)</f>
        <v>34709.427209655441</v>
      </c>
      <c r="AG82" s="111">
        <f>SUM(AF$82,'Statistics NZ'!AG$82-'Statistics NZ'!AF$82,$O$13/5*(AG$9-AG$10)*1000)</f>
        <v>34269.427209655441</v>
      </c>
      <c r="AH82" s="111">
        <f>SUM(AG$82,'Statistics NZ'!AH$82-'Statistics NZ'!AG$82,$O$13/5*(AH$9-AH$10)*1000)</f>
        <v>33069.427209655441</v>
      </c>
      <c r="AI82" s="111">
        <f>SUM(AH$82,'Statistics NZ'!AI$82-'Statistics NZ'!AH$82,$O$13/5*(AI$9-AI$10)*1000)</f>
        <v>32359.427209655441</v>
      </c>
      <c r="AJ82" s="111">
        <f>SUM(AI$82,'Statistics NZ'!AJ$82-'Statistics NZ'!AI$82,$O$13/5*(AJ$9-AJ$10)*1000)</f>
        <v>31139.427209655441</v>
      </c>
      <c r="AK82" s="111">
        <f>SUM(AJ$82,'Statistics NZ'!AK$82-'Statistics NZ'!AJ$82,$O$13/5*(AK$9-AK$10)*1000)</f>
        <v>29859.427209655441</v>
      </c>
      <c r="AL82" s="111">
        <f>SUM(AK$82,'Statistics NZ'!AL$82-'Statistics NZ'!AK$82,$O$13/5*(AL$9-AL$10)*1000)</f>
        <v>30049.427209655441</v>
      </c>
      <c r="AM82" s="111">
        <f>SUM(AL$82,'Statistics NZ'!AM$82-'Statistics NZ'!AL$82,$O$13/5*(AM$9-AM$10)*1000)</f>
        <v>29999.427209655441</v>
      </c>
      <c r="AN82" s="111">
        <f>SUM(AM$82,'Statistics NZ'!AN$82-'Statistics NZ'!AM$82,$O$13/5*(AN$9-AN$10)*1000)</f>
        <v>30949.427209655441</v>
      </c>
      <c r="AO82" s="111">
        <f>SUM(AN$82,'Statistics NZ'!AO$82-'Statistics NZ'!AN$82,$O$13/5*(AO$9-AO$10)*1000)</f>
        <v>31359.427209655441</v>
      </c>
      <c r="AP82" s="111">
        <f>SUM(AO$82,'Statistics NZ'!AP$82-'Statistics NZ'!AO$82,$O$13/5*(AP$9-AP$10)*1000)</f>
        <v>31749.427209655441</v>
      </c>
      <c r="AQ82" s="111">
        <f>SUM(AP$82,'Statistics NZ'!AQ$82-'Statistics NZ'!AP$82,$O$13/5*(AQ$9-AQ$10)*1000)</f>
        <v>32829.427209655441</v>
      </c>
      <c r="AR82" s="111">
        <f>SUM(AQ$82,'Statistics NZ'!AR$82-'Statistics NZ'!AQ$82,$O$13/5*(AR$9-AR$10)*1000)</f>
        <v>33609.427209655441</v>
      </c>
      <c r="AS82" s="111">
        <f>SUM(AR$82,'Statistics NZ'!AS$82-'Statistics NZ'!AR$82,$O$13/5*(AS$9-AS$10)*1000)</f>
        <v>34389.427209655441</v>
      </c>
      <c r="AT82" s="111">
        <f>SUM(AS$82,'Statistics NZ'!AT$82-'Statistics NZ'!AS$82,$O$13/5*(AT$9-AT$10)*1000)</f>
        <v>35189.427209655441</v>
      </c>
      <c r="AU82" s="111">
        <f>SUM(AT$82,'Statistics NZ'!AU$82-'Statistics NZ'!AT$82,$O$13/5*(AU$9-AU$10)*1000)</f>
        <v>35809.427209655441</v>
      </c>
      <c r="AV82" s="111">
        <f>SUM(AU$82,'Statistics NZ'!AV$82-'Statistics NZ'!AU$82,$O$13/5*(AV$9-AV$10)*1000)</f>
        <v>36659.427209655441</v>
      </c>
      <c r="AW82" s="111">
        <f>SUM(AV$82,'Statistics NZ'!AW$82-'Statistics NZ'!AV$82,$O$13/5*(AW$9-AW$10)*1000)</f>
        <v>39099.427209655441</v>
      </c>
      <c r="AX82" s="111">
        <f>SUM(AW$82,'Statistics NZ'!AX$82-'Statistics NZ'!AW$82,$O$13/5*(AX$9-AX$10)*1000)</f>
        <v>39459.427209655441</v>
      </c>
      <c r="AY82" s="111">
        <f>SUM(AX$82,'Statistics NZ'!AY$82-'Statistics NZ'!AX$82,$O$13/5*(AY$9-AY$10)*1000)</f>
        <v>41119.427209655441</v>
      </c>
      <c r="AZ82" s="111">
        <f>SUM(AY$82,'Statistics NZ'!AZ$82-'Statistics NZ'!AY$82,$O$13/5*(AZ$9-AZ$10)*1000)</f>
        <v>41709.427209655441</v>
      </c>
      <c r="BA82" s="111">
        <f>SUM(AZ$82,'Statistics NZ'!BA$82-'Statistics NZ'!AZ$82,$O$13/5*(BA$9-BA$10)*1000)</f>
        <v>41379.427209655441</v>
      </c>
      <c r="BB82" s="111">
        <f>SUM(BA$82,'Statistics NZ'!BB$82-'Statistics NZ'!BA$82,$O$13/5*(BB$9-BB$10)*1000)</f>
        <v>40699.427209655441</v>
      </c>
      <c r="BC82" s="111">
        <f>SUM(BB$82,'Statistics NZ'!BC$82-'Statistics NZ'!BB$82,$O$13/5*(BC$9-BC$10)*1000)</f>
        <v>39549.427209655441</v>
      </c>
      <c r="BD82" s="111">
        <f>SUM(BC$82,'Statistics NZ'!BD$82-'Statistics NZ'!BC$82,$O$13/5*(BD$9-BD$10)*1000)</f>
        <v>39349.427209655441</v>
      </c>
      <c r="BE82" s="111">
        <f>SUM(BD$82,'Statistics NZ'!BE$82-'Statistics NZ'!BD$82,$O$13/5*(BE$9-BE$10)*1000)</f>
        <v>38999.427209655441</v>
      </c>
      <c r="BF82" s="111">
        <f>SUM(BE$82,'Statistics NZ'!BF$82-'Statistics NZ'!BE$82,$O$13/5*(BF$9-BF$10)*1000)</f>
        <v>38669.427209655441</v>
      </c>
      <c r="BG82" s="111">
        <f>SUM(BF$82,'Statistics NZ'!BG$82-'Statistics NZ'!BF$82,$O$13/5*(BG$9-BG$10)*1000)</f>
        <v>38649.427209655441</v>
      </c>
      <c r="BH82" s="111">
        <f>SUM(BG$82,'Statistics NZ'!BH$82-'Statistics NZ'!BG$82,$O$13/5*(BH$9-BH$10)*1000)</f>
        <v>38109.427209655441</v>
      </c>
      <c r="BI82" s="111">
        <f>SUM(BH$82,'Statistics NZ'!BI$82-'Statistics NZ'!BH$82,$O$13/5*(BI$9-BI$10)*1000)</f>
        <v>38879.427209655441</v>
      </c>
      <c r="BJ82" s="111">
        <f>SUM(BI$82,'Statistics NZ'!BJ$82-'Statistics NZ'!BI$82,$O$13/5*(BJ$9-BJ$10)*1000)</f>
        <v>38539.427209655441</v>
      </c>
      <c r="BK82" s="111">
        <f>SUM(BJ$82,'Statistics NZ'!BK$82-'Statistics NZ'!BJ$82,$O$13/5*(BK$9-BK$10)*1000)</f>
        <v>37639.427209655441</v>
      </c>
      <c r="BL82" s="111">
        <f>SUM(BK$82,'Statistics NZ'!BL$82-'Statistics NZ'!BK$82,$O$13/5*(BL$9-BL$10)*1000)</f>
        <v>37339.427209655441</v>
      </c>
      <c r="BM82" s="195">
        <f>SUM(BL$82,'Statistics NZ'!BM$82-'Statistics NZ'!BL$82,$O$13/5*(BM$9-BM$10)*1000)</f>
        <v>38149.427209655441</v>
      </c>
      <c r="BN82" s="195">
        <f>SUM(BM$82,'Statistics NZ'!BN$82-'Statistics NZ'!BM$82,$O$13/5*(BN$9-BN$10)*1000)</f>
        <v>38309.427209655441</v>
      </c>
      <c r="BO82" s="195">
        <f>SUM(BN$82,'Statistics NZ'!BO$82-'Statistics NZ'!BN$82,$O$13/5*(BO$9-BO$10)*1000)</f>
        <v>39119.427209655441</v>
      </c>
      <c r="BP82" s="195">
        <f>SUM(BO$82,'Statistics NZ'!BP$82-'Statistics NZ'!BO$82,$O$13/5*(BP$9-BP$10)*1000)</f>
        <v>40629.427209655441</v>
      </c>
      <c r="BQ82" s="195">
        <f>SUM(BP$82,'Statistics NZ'!BQ$82-'Statistics NZ'!BP$82,$O$13/5*(BQ$9-BQ$10)*1000)</f>
        <v>41899.427209655441</v>
      </c>
    </row>
    <row r="83" spans="1:69">
      <c r="A83" s="105">
        <v>66</v>
      </c>
      <c r="B83" s="118">
        <f>'Statistics NZ'!B$83*'Economic Forecasts'!D$9*1000000/SUM('Statistics NZ'!B$32:B$107,'Statistics NZ'!B$125:B$200)</f>
        <v>16648.062688088536</v>
      </c>
      <c r="C83" s="118">
        <f>'Statistics NZ'!C$83*'Economic Forecasts'!E$9*1000000/SUM('Statistics NZ'!C$32:C$107,'Statistics NZ'!C$125:C$200)</f>
        <v>17981.716398204382</v>
      </c>
      <c r="D83" s="118">
        <f>'Statistics NZ'!D$83*'Economic Forecasts'!F$9*1000000/SUM('Statistics NZ'!D$32:D$107,'Statistics NZ'!D$125:D$200)</f>
        <v>18204.224460799469</v>
      </c>
      <c r="E83" s="118">
        <f>'Statistics NZ'!E$83*'Economic Forecasts'!G$9*1000000/SUM('Statistics NZ'!E$32:E$107,'Statistics NZ'!E$125:E$200)</f>
        <v>16318.972608579334</v>
      </c>
      <c r="F83" s="118">
        <f>'Statistics NZ'!F$83*'Economic Forecasts'!H$9*1000000/SUM('Statistics NZ'!F$32:F$107,'Statistics NZ'!F$125:F$200)</f>
        <v>18067.872465889912</v>
      </c>
      <c r="G83" s="118">
        <f>'Statistics NZ'!G$83*'Economic Forecasts'!I$9*1000000/SUM('Statistics NZ'!G$32:G$107,'Statistics NZ'!G$125:G$200)</f>
        <v>19045.609254705952</v>
      </c>
      <c r="H83" s="118">
        <f>'Statistics NZ'!H$83*'Economic Forecasts'!J$9*1000000/SUM('Statistics NZ'!H$32:H$107,'Statistics NZ'!H$125:H$200)</f>
        <v>20044.066754903277</v>
      </c>
      <c r="I83" s="118">
        <f>'Statistics NZ'!I$83*'Economic Forecasts'!K$9*1000000/SUM('Statistics NZ'!I$32:I$107,'Statistics NZ'!I$125:I$200)</f>
        <v>23559.283731118976</v>
      </c>
      <c r="J83" s="203">
        <f>'Statistics NZ'!J$83*'Economic Forecasts'!L$9*1000000/SUM('Statistics NZ'!J$32:J$107,'Statistics NZ'!J$125:J$200)</f>
        <v>23499.787540990885</v>
      </c>
      <c r="K83" s="203">
        <f>'Statistics NZ'!K$83*'Economic Forecasts'!M$9*1000000/SUM('Statistics NZ'!K$32:K$107,'Statistics NZ'!K$125:K$200)</f>
        <v>23030.533592931282</v>
      </c>
      <c r="L83" s="203">
        <f>'Statistics NZ'!L$83*'Economic Forecasts'!N$9*1000000/SUM('Statistics NZ'!L$32:L$107,'Statistics NZ'!L$125:L$200)</f>
        <v>23715.971918712061</v>
      </c>
      <c r="M83" s="203">
        <f>'Statistics NZ'!M$83*'Economic Forecasts'!O$9*1000000/SUM('Statistics NZ'!M$32:M$107,'Statistics NZ'!M$125:M$200)</f>
        <v>23581.803519742443</v>
      </c>
      <c r="N83" s="203">
        <f>'Statistics NZ'!N$83*'Economic Forecasts'!P$9*1000000/SUM('Statistics NZ'!N$32:N$107,'Statistics NZ'!N$125:N$200)</f>
        <v>24246.883857849538</v>
      </c>
      <c r="O83" s="203">
        <f>'Statistics NZ'!O$83*'Economic Forecasts'!Q$9*1000000/SUM('Statistics NZ'!O$32:O$107,'Statistics NZ'!O$125:O$200)</f>
        <v>24848.792089937688</v>
      </c>
      <c r="P83" s="203">
        <f>'Statistics NZ'!P$83*'Economic Forecasts'!R$9*1000000/SUM('Statistics NZ'!P$32:P$107,'Statistics NZ'!P$125:P$200)</f>
        <v>26065.213798451488</v>
      </c>
      <c r="Q83" s="121">
        <f>SUM('Statistics NZ'!Q$83,$O$13/5*(Q$9-Q$10)*1000)*'Economic Forecasts'!S$9*1000000/SUM('Statistics NZ'!Q$32:Q$107,'Statistics NZ'!Q$125:Q$200,SUM($E$13:$Q$14)*(Q$9-Q$10)*1000)</f>
        <v>26947.956429526828</v>
      </c>
      <c r="R83" s="205">
        <f>SUM('Statistics NZ'!R$83,$O$13/5*(R$9-R$10)*1000)*'Economic Forecasts'!T$9*1000000/SUM('Statistics NZ'!R$32:R$107,'Statistics NZ'!R$125:R$200,SUM($E$13:$Q$14)*(R$9-R$10)*1000)</f>
        <v>27596.219138606004</v>
      </c>
      <c r="S83" s="205">
        <f>SUM('Statistics NZ'!S$83,$O$13/5*(S$9-S$10)*1000)*'Economic Forecasts'!U$9*1000000/SUM('Statistics NZ'!S$32:S$107,'Statistics NZ'!S$125:S$200,SUM($E$13:$Q$14)*(S$9-S$10)*1000)</f>
        <v>28229.422268159717</v>
      </c>
      <c r="T83" s="205">
        <f>SUM('Statistics NZ'!T$83,$O$13/5*(T$9-T$10)*1000)*'Economic Forecasts'!V$9*1000000/SUM('Statistics NZ'!T$32:T$107,'Statistics NZ'!T$125:T$200,SUM($E$13:$Q$14)*(T$9-T$10)*1000)</f>
        <v>29146.805428685497</v>
      </c>
      <c r="U83" s="205">
        <f>SUM('Statistics NZ'!U$83,$O$13/5*(U$9-U$10)*1000)*'Economic Forecasts'!W$9*1000000/SUM('Statistics NZ'!U$32:U$107,'Statistics NZ'!U$125:U$200,SUM($E$13:$Q$14)*(U$9-U$10)*1000)</f>
        <v>30253.397441483154</v>
      </c>
      <c r="V83" s="111">
        <f>SUM(U$83,'Statistics NZ'!V$83-'Statistics NZ'!U$83,$O$13/5*(V$9-V$10)*1000)</f>
        <v>30824.121303711698</v>
      </c>
      <c r="W83" s="111">
        <f>SUM(V$83,'Statistics NZ'!W$83-'Statistics NZ'!V$83,$O$13/5*(W$9-W$10)*1000)</f>
        <v>32242.254683161675</v>
      </c>
      <c r="X83" s="111">
        <f>SUM(W$83,'Statistics NZ'!X$83-'Statistics NZ'!W$83,$O$13/5*(X$9-X$10)*1000)</f>
        <v>33077.797579833088</v>
      </c>
      <c r="Y83" s="111">
        <f>SUM(X$83,'Statistics NZ'!Y$83-'Statistics NZ'!X$83,$O$13/5*(Y$9-Y$10)*1000)</f>
        <v>33640.749993725927</v>
      </c>
      <c r="Z83" s="111">
        <f>SUM(Y$83,'Statistics NZ'!Z$83-'Statistics NZ'!Y$83,$O$13/5*(Z$9-Z$10)*1000)</f>
        <v>32941.111924840203</v>
      </c>
      <c r="AA83" s="111">
        <f>SUM(Z$83,'Statistics NZ'!AA$83-'Statistics NZ'!Z$83,$O$13/5*(AA$9-AA$10)*1000)</f>
        <v>32118.883373175908</v>
      </c>
      <c r="AB83" s="111">
        <f>SUM(AA$83,'Statistics NZ'!AB$83-'Statistics NZ'!AA$83,$O$13/5*(AB$9-AB$10)*1000)</f>
        <v>31634.064338733046</v>
      </c>
      <c r="AC83" s="111">
        <f>SUM(AB$83,'Statistics NZ'!AC$83-'Statistics NZ'!AB$83,$O$13/5*(AC$9-AC$10)*1000)</f>
        <v>32096.654821511613</v>
      </c>
      <c r="AD83" s="111">
        <f>SUM(AC$83,'Statistics NZ'!AD$83-'Statistics NZ'!AC$83,$O$13/5*(AD$9-AD$10)*1000)</f>
        <v>32806.654821511613</v>
      </c>
      <c r="AE83" s="111">
        <f>SUM(AD$83,'Statistics NZ'!AE$83-'Statistics NZ'!AD$83,$O$13/5*(AE$9-AE$10)*1000)</f>
        <v>33396.654821511613</v>
      </c>
      <c r="AF83" s="111">
        <f>SUM(AE$83,'Statistics NZ'!AF$83-'Statistics NZ'!AE$83,$O$13/5*(AF$9-AF$10)*1000)</f>
        <v>33216.654821511613</v>
      </c>
      <c r="AG83" s="111">
        <f>SUM(AF$83,'Statistics NZ'!AG$83-'Statistics NZ'!AF$83,$O$13/5*(AG$9-AG$10)*1000)</f>
        <v>34626.654821511613</v>
      </c>
      <c r="AH83" s="111">
        <f>SUM(AG$83,'Statistics NZ'!AH$83-'Statistics NZ'!AG$83,$O$13/5*(AH$9-AH$10)*1000)</f>
        <v>34186.654821511613</v>
      </c>
      <c r="AI83" s="111">
        <f>SUM(AH$83,'Statistics NZ'!AI$83-'Statistics NZ'!AH$83,$O$13/5*(AI$9-AI$10)*1000)</f>
        <v>32996.654821511613</v>
      </c>
      <c r="AJ83" s="111">
        <f>SUM(AI$83,'Statistics NZ'!AJ$83-'Statistics NZ'!AI$83,$O$13/5*(AJ$9-AJ$10)*1000)</f>
        <v>32296.654821511613</v>
      </c>
      <c r="AK83" s="111">
        <f>SUM(AJ$83,'Statistics NZ'!AK$83-'Statistics NZ'!AJ$83,$O$13/5*(AK$9-AK$10)*1000)</f>
        <v>31076.654821511613</v>
      </c>
      <c r="AL83" s="111">
        <f>SUM(AK$83,'Statistics NZ'!AL$83-'Statistics NZ'!AK$83,$O$13/5*(AL$9-AL$10)*1000)</f>
        <v>29806.654821511613</v>
      </c>
      <c r="AM83" s="111">
        <f>SUM(AL$83,'Statistics NZ'!AM$83-'Statistics NZ'!AL$83,$O$13/5*(AM$9-AM$10)*1000)</f>
        <v>30006.654821511613</v>
      </c>
      <c r="AN83" s="111">
        <f>SUM(AM$83,'Statistics NZ'!AN$83-'Statistics NZ'!AM$83,$O$13/5*(AN$9-AN$10)*1000)</f>
        <v>29946.654821511613</v>
      </c>
      <c r="AO83" s="111">
        <f>SUM(AN$83,'Statistics NZ'!AO$83-'Statistics NZ'!AN$83,$O$13/5*(AO$9-AO$10)*1000)</f>
        <v>30906.654821511613</v>
      </c>
      <c r="AP83" s="111">
        <f>SUM(AO$83,'Statistics NZ'!AP$83-'Statistics NZ'!AO$83,$O$13/5*(AP$9-AP$10)*1000)</f>
        <v>31306.654821511613</v>
      </c>
      <c r="AQ83" s="111">
        <f>SUM(AP$83,'Statistics NZ'!AQ$83-'Statistics NZ'!AP$83,$O$13/5*(AQ$9-AQ$10)*1000)</f>
        <v>31706.654821511613</v>
      </c>
      <c r="AR83" s="111">
        <f>SUM(AQ$83,'Statistics NZ'!AR$83-'Statistics NZ'!AQ$83,$O$13/5*(AR$9-AR$10)*1000)</f>
        <v>32786.654821511613</v>
      </c>
      <c r="AS83" s="111">
        <f>SUM(AR$83,'Statistics NZ'!AS$83-'Statistics NZ'!AR$83,$O$13/5*(AS$9-AS$10)*1000)</f>
        <v>33566.654821511613</v>
      </c>
      <c r="AT83" s="111">
        <f>SUM(AS$83,'Statistics NZ'!AT$83-'Statistics NZ'!AS$83,$O$13/5*(AT$9-AT$10)*1000)</f>
        <v>34346.654821511613</v>
      </c>
      <c r="AU83" s="111">
        <f>SUM(AT$83,'Statistics NZ'!AU$83-'Statistics NZ'!AT$83,$O$13/5*(AU$9-AU$10)*1000)</f>
        <v>35136.654821511613</v>
      </c>
      <c r="AV83" s="111">
        <f>SUM(AU$83,'Statistics NZ'!AV$83-'Statistics NZ'!AU$83,$O$13/5*(AV$9-AV$10)*1000)</f>
        <v>35756.654821511613</v>
      </c>
      <c r="AW83" s="111">
        <f>SUM(AV$83,'Statistics NZ'!AW$83-'Statistics NZ'!AV$83,$O$13/5*(AW$9-AW$10)*1000)</f>
        <v>36616.654821511613</v>
      </c>
      <c r="AX83" s="111">
        <f>SUM(AW$83,'Statistics NZ'!AX$83-'Statistics NZ'!AW$83,$O$13/5*(AX$9-AX$10)*1000)</f>
        <v>39046.654821511613</v>
      </c>
      <c r="AY83" s="111">
        <f>SUM(AX$83,'Statistics NZ'!AY$83-'Statistics NZ'!AX$83,$O$13/5*(AY$9-AY$10)*1000)</f>
        <v>39406.654821511613</v>
      </c>
      <c r="AZ83" s="111">
        <f>SUM(AY$83,'Statistics NZ'!AZ$83-'Statistics NZ'!AY$83,$O$13/5*(AZ$9-AZ$10)*1000)</f>
        <v>41066.654821511613</v>
      </c>
      <c r="BA83" s="111">
        <f>SUM(AZ$83,'Statistics NZ'!BA$83-'Statistics NZ'!AZ$83,$O$13/5*(BA$9-BA$10)*1000)</f>
        <v>41666.654821511613</v>
      </c>
      <c r="BB83" s="111">
        <f>SUM(BA$83,'Statistics NZ'!BB$83-'Statistics NZ'!BA$83,$O$13/5*(BB$9-BB$10)*1000)</f>
        <v>41326.654821511613</v>
      </c>
      <c r="BC83" s="111">
        <f>SUM(BB$83,'Statistics NZ'!BC$83-'Statistics NZ'!BB$83,$O$13/5*(BC$9-BC$10)*1000)</f>
        <v>40656.654821511613</v>
      </c>
      <c r="BD83" s="111">
        <f>SUM(BC$83,'Statistics NZ'!BD$83-'Statistics NZ'!BC$83,$O$13/5*(BD$9-BD$10)*1000)</f>
        <v>39506.654821511613</v>
      </c>
      <c r="BE83" s="111">
        <f>SUM(BD$83,'Statistics NZ'!BE$83-'Statistics NZ'!BD$83,$O$13/5*(BE$9-BE$10)*1000)</f>
        <v>39306.654821511613</v>
      </c>
      <c r="BF83" s="111">
        <f>SUM(BE$83,'Statistics NZ'!BF$83-'Statistics NZ'!BE$83,$O$13/5*(BF$9-BF$10)*1000)</f>
        <v>38966.654821511613</v>
      </c>
      <c r="BG83" s="111">
        <f>SUM(BF$83,'Statistics NZ'!BG$83-'Statistics NZ'!BF$83,$O$13/5*(BG$9-BG$10)*1000)</f>
        <v>38636.654821511613</v>
      </c>
      <c r="BH83" s="111">
        <f>SUM(BG$83,'Statistics NZ'!BH$83-'Statistics NZ'!BG$83,$O$13/5*(BH$9-BH$10)*1000)</f>
        <v>38626.654821511613</v>
      </c>
      <c r="BI83" s="111">
        <f>SUM(BH$83,'Statistics NZ'!BI$83-'Statistics NZ'!BH$83,$O$13/5*(BI$9-BI$10)*1000)</f>
        <v>38086.654821511613</v>
      </c>
      <c r="BJ83" s="111">
        <f>SUM(BI$83,'Statistics NZ'!BJ$83-'Statistics NZ'!BI$83,$O$13/5*(BJ$9-BJ$10)*1000)</f>
        <v>38856.654821511613</v>
      </c>
      <c r="BK83" s="111">
        <f>SUM(BJ$83,'Statistics NZ'!BK$83-'Statistics NZ'!BJ$83,$O$13/5*(BK$9-BK$10)*1000)</f>
        <v>38516.654821511613</v>
      </c>
      <c r="BL83" s="111">
        <f>SUM(BK$83,'Statistics NZ'!BL$83-'Statistics NZ'!BK$83,$O$13/5*(BL$9-BL$10)*1000)</f>
        <v>37626.654821511613</v>
      </c>
      <c r="BM83" s="195">
        <f>SUM(BL$83,'Statistics NZ'!BM$83-'Statistics NZ'!BL$83,$O$13/5*(BM$9-BM$10)*1000)</f>
        <v>37316.654821511613</v>
      </c>
      <c r="BN83" s="195">
        <f>SUM(BM$83,'Statistics NZ'!BN$83-'Statistics NZ'!BM$83,$O$13/5*(BN$9-BN$10)*1000)</f>
        <v>38126.654821511613</v>
      </c>
      <c r="BO83" s="195">
        <f>SUM(BN$83,'Statistics NZ'!BO$83-'Statistics NZ'!BN$83,$O$13/5*(BO$9-BO$10)*1000)</f>
        <v>38296.654821511613</v>
      </c>
      <c r="BP83" s="195">
        <f>SUM(BO$83,'Statistics NZ'!BP$83-'Statistics NZ'!BO$83,$O$13/5*(BP$9-BP$10)*1000)</f>
        <v>39106.654821511613</v>
      </c>
      <c r="BQ83" s="195">
        <f>SUM(BP$83,'Statistics NZ'!BQ$83-'Statistics NZ'!BP$83,$O$13/5*(BQ$9-BQ$10)*1000)</f>
        <v>40616.654821511613</v>
      </c>
    </row>
    <row r="84" spans="1:69">
      <c r="A84" s="105">
        <v>67</v>
      </c>
      <c r="B84" s="118">
        <f>'Statistics NZ'!B$84*'Economic Forecasts'!D$9*1000000/SUM('Statistics NZ'!B$32:B$107,'Statistics NZ'!B$125:B$200)</f>
        <v>15387.144330647508</v>
      </c>
      <c r="C84" s="118">
        <f>'Statistics NZ'!C$84*'Economic Forecasts'!E$9*1000000/SUM('Statistics NZ'!C$32:C$107,'Statistics NZ'!C$125:C$200)</f>
        <v>16502.956825983627</v>
      </c>
      <c r="D84" s="118">
        <f>'Statistics NZ'!D$84*'Economic Forecasts'!F$9*1000000/SUM('Statistics NZ'!D$32:D$107,'Statistics NZ'!D$125:D$200)</f>
        <v>17790.268084322164</v>
      </c>
      <c r="E84" s="118">
        <f>'Statistics NZ'!E$84*'Economic Forecasts'!G$9*1000000/SUM('Statistics NZ'!E$32:E$107,'Statistics NZ'!E$125:E$200)</f>
        <v>18091.703489414747</v>
      </c>
      <c r="F84" s="118">
        <f>'Statistics NZ'!F$84*'Economic Forecasts'!H$9*1000000/SUM('Statistics NZ'!F$32:F$107,'Statistics NZ'!F$125:F$200)</f>
        <v>16186.212901557863</v>
      </c>
      <c r="G84" s="118">
        <f>'Statistics NZ'!G$84*'Economic Forecasts'!I$9*1000000/SUM('Statistics NZ'!G$32:G$107,'Statistics NZ'!G$125:G$200)</f>
        <v>17942.087145793863</v>
      </c>
      <c r="H84" s="118">
        <f>'Statistics NZ'!H$84*'Economic Forecasts'!J$9*1000000/SUM('Statistics NZ'!H$32:H$107,'Statistics NZ'!H$125:H$200)</f>
        <v>18901.505701552527</v>
      </c>
      <c r="I84" s="118">
        <f>'Statistics NZ'!I$84*'Economic Forecasts'!K$9*1000000/SUM('Statistics NZ'!I$32:I$107,'Statistics NZ'!I$125:I$200)</f>
        <v>19868.919738149209</v>
      </c>
      <c r="J84" s="203">
        <f>'Statistics NZ'!J$84*'Economic Forecasts'!L$9*1000000/SUM('Statistics NZ'!J$32:J$107,'Statistics NZ'!J$125:J$200)</f>
        <v>23322.875715086309</v>
      </c>
      <c r="K84" s="203">
        <f>'Statistics NZ'!K$84*'Economic Forecasts'!M$9*1000000/SUM('Statistics NZ'!K$32:K$107,'Statistics NZ'!K$125:K$200)</f>
        <v>23285.99173005424</v>
      </c>
      <c r="L84" s="203">
        <f>'Statistics NZ'!L$84*'Economic Forecasts'!N$9*1000000/SUM('Statistics NZ'!L$32:L$107,'Statistics NZ'!L$125:L$200)</f>
        <v>22908.368223805752</v>
      </c>
      <c r="M84" s="203">
        <f>'Statistics NZ'!M$84*'Economic Forecasts'!O$9*1000000/SUM('Statistics NZ'!M$32:M$107,'Statistics NZ'!M$125:M$200)</f>
        <v>23542.402010102105</v>
      </c>
      <c r="N84" s="203">
        <f>'Statistics NZ'!N$84*'Economic Forecasts'!P$9*1000000/SUM('Statistics NZ'!N$32:N$107,'Statistics NZ'!N$125:N$200)</f>
        <v>23398.193580366806</v>
      </c>
      <c r="O84" s="203">
        <f>'Statistics NZ'!O$84*'Economic Forecasts'!Q$9*1000000/SUM('Statistics NZ'!O$32:O$107,'Statistics NZ'!O$125:O$200)</f>
        <v>24138.262689431129</v>
      </c>
      <c r="P84" s="203">
        <f>'Statistics NZ'!P$84*'Economic Forecasts'!R$9*1000000/SUM('Statistics NZ'!P$32:P$107,'Statistics NZ'!P$125:P$200)</f>
        <v>25038.402345785216</v>
      </c>
      <c r="Q84" s="121">
        <f>SUM('Statistics NZ'!Q$84,$O$13/5*(Q$9-Q$10)*1000)*'Economic Forecasts'!S$9*1000000/SUM('Statistics NZ'!Q$32:Q$107,'Statistics NZ'!Q$125:Q$200,SUM($E$13:$Q$14)*(Q$9-Q$10)*1000)</f>
        <v>25929.654847704081</v>
      </c>
      <c r="R84" s="205">
        <f>SUM('Statistics NZ'!R$84,$O$13/5*(R$9-R$10)*1000)*'Economic Forecasts'!T$9*1000000/SUM('Statistics NZ'!R$32:R$107,'Statistics NZ'!R$125:R$200,SUM($E$13:$Q$14)*(R$9-R$10)*1000)</f>
        <v>26785.6344519747</v>
      </c>
      <c r="S84" s="205">
        <f>SUM('Statistics NZ'!S$84,$O$13/5*(S$9-S$10)*1000)*'Economic Forecasts'!U$9*1000000/SUM('Statistics NZ'!S$32:S$107,'Statistics NZ'!S$125:S$200,SUM($E$13:$Q$14)*(S$9-S$10)*1000)</f>
        <v>27439.030587428511</v>
      </c>
      <c r="T84" s="205">
        <f>SUM('Statistics NZ'!T$84,$O$13/5*(T$9-T$10)*1000)*'Economic Forecasts'!V$9*1000000/SUM('Statistics NZ'!T$32:T$107,'Statistics NZ'!T$125:T$200,SUM($E$13:$Q$14)*(T$9-T$10)*1000)</f>
        <v>28089.722009671212</v>
      </c>
      <c r="U84" s="205">
        <f>SUM('Statistics NZ'!U$84,$O$13/5*(U$9-U$10)*1000)*'Economic Forecasts'!W$9*1000000/SUM('Statistics NZ'!U$32:U$107,'Statistics NZ'!U$125:U$200,SUM($E$13:$Q$14)*(U$9-U$10)*1000)</f>
        <v>29046.558167549618</v>
      </c>
      <c r="V84" s="111">
        <f>SUM(U$84,'Statistics NZ'!V$84-'Statistics NZ'!U$84,$O$13/5*(V$9-V$10)*1000)</f>
        <v>30137.282029778162</v>
      </c>
      <c r="W84" s="111">
        <f>SUM(V$84,'Statistics NZ'!W$84-'Statistics NZ'!V$84,$O$13/5*(W$9-W$10)*1000)</f>
        <v>30715.415409228139</v>
      </c>
      <c r="X84" s="111">
        <f>SUM(W$84,'Statistics NZ'!X$84-'Statistics NZ'!W$84,$O$13/5*(X$9-X$10)*1000)</f>
        <v>32120.958305899549</v>
      </c>
      <c r="Y84" s="111">
        <f>SUM(X$84,'Statistics NZ'!Y$84-'Statistics NZ'!X$84,$O$13/5*(Y$9-Y$10)*1000)</f>
        <v>32963.910719792388</v>
      </c>
      <c r="Z84" s="111">
        <f>SUM(Y$84,'Statistics NZ'!Z$84-'Statistics NZ'!Y$84,$O$13/5*(Z$9-Z$10)*1000)</f>
        <v>33524.272650906663</v>
      </c>
      <c r="AA84" s="111">
        <f>SUM(Z$84,'Statistics NZ'!AA$84-'Statistics NZ'!Z$84,$O$13/5*(AA$9-AA$10)*1000)</f>
        <v>32822.044099242368</v>
      </c>
      <c r="AB84" s="111">
        <f>SUM(AA$84,'Statistics NZ'!AB$84-'Statistics NZ'!AA$84,$O$13/5*(AB$9-AB$10)*1000)</f>
        <v>32007.225064799506</v>
      </c>
      <c r="AC84" s="111">
        <f>SUM(AB$84,'Statistics NZ'!AC$84-'Statistics NZ'!AB$84,$O$13/5*(AC$9-AC$10)*1000)</f>
        <v>31529.815547578073</v>
      </c>
      <c r="AD84" s="111">
        <f>SUM(AC$84,'Statistics NZ'!AD$84-'Statistics NZ'!AC$84,$O$13/5*(AD$9-AD$10)*1000)</f>
        <v>31989.815547578073</v>
      </c>
      <c r="AE84" s="111">
        <f>SUM(AD$84,'Statistics NZ'!AE$84-'Statistics NZ'!AD$84,$O$13/5*(AE$9-AE$10)*1000)</f>
        <v>32689.815547578073</v>
      </c>
      <c r="AF84" s="111">
        <f>SUM(AE$84,'Statistics NZ'!AF$84-'Statistics NZ'!AE$84,$O$13/5*(AF$9-AF$10)*1000)</f>
        <v>33289.815547578073</v>
      </c>
      <c r="AG84" s="111">
        <f>SUM(AF$84,'Statistics NZ'!AG$84-'Statistics NZ'!AF$84,$O$13/5*(AG$9-AG$10)*1000)</f>
        <v>33109.815547578073</v>
      </c>
      <c r="AH84" s="111">
        <f>SUM(AG$84,'Statistics NZ'!AH$84-'Statistics NZ'!AG$84,$O$13/5*(AH$9-AH$10)*1000)</f>
        <v>34519.815547578073</v>
      </c>
      <c r="AI84" s="111">
        <f>SUM(AH$84,'Statistics NZ'!AI$84-'Statistics NZ'!AH$84,$O$13/5*(AI$9-AI$10)*1000)</f>
        <v>34089.815547578073</v>
      </c>
      <c r="AJ84" s="111">
        <f>SUM(AI$84,'Statistics NZ'!AJ$84-'Statistics NZ'!AI$84,$O$13/5*(AJ$9-AJ$10)*1000)</f>
        <v>32909.815547578073</v>
      </c>
      <c r="AK84" s="111">
        <f>SUM(AJ$84,'Statistics NZ'!AK$84-'Statistics NZ'!AJ$84,$O$13/5*(AK$9-AK$10)*1000)</f>
        <v>32209.815547578073</v>
      </c>
      <c r="AL84" s="111">
        <f>SUM(AK$84,'Statistics NZ'!AL$84-'Statistics NZ'!AK$84,$O$13/5*(AL$9-AL$10)*1000)</f>
        <v>30999.815547578073</v>
      </c>
      <c r="AM84" s="111">
        <f>SUM(AL$84,'Statistics NZ'!AM$84-'Statistics NZ'!AL$84,$O$13/5*(AM$9-AM$10)*1000)</f>
        <v>29739.815547578073</v>
      </c>
      <c r="AN84" s="111">
        <f>SUM(AM$84,'Statistics NZ'!AN$84-'Statistics NZ'!AM$84,$O$13/5*(AN$9-AN$10)*1000)</f>
        <v>29939.815547578073</v>
      </c>
      <c r="AO84" s="111">
        <f>SUM(AN$84,'Statistics NZ'!AO$84-'Statistics NZ'!AN$84,$O$13/5*(AO$9-AO$10)*1000)</f>
        <v>29889.815547578073</v>
      </c>
      <c r="AP84" s="111">
        <f>SUM(AO$84,'Statistics NZ'!AP$84-'Statistics NZ'!AO$84,$O$13/5*(AP$9-AP$10)*1000)</f>
        <v>30839.815547578073</v>
      </c>
      <c r="AQ84" s="111">
        <f>SUM(AP$84,'Statistics NZ'!AQ$84-'Statistics NZ'!AP$84,$O$13/5*(AQ$9-AQ$10)*1000)</f>
        <v>31239.815547578073</v>
      </c>
      <c r="AR84" s="111">
        <f>SUM(AQ$84,'Statistics NZ'!AR$84-'Statistics NZ'!AQ$84,$O$13/5*(AR$9-AR$10)*1000)</f>
        <v>31639.815547578073</v>
      </c>
      <c r="AS84" s="111">
        <f>SUM(AR$84,'Statistics NZ'!AS$84-'Statistics NZ'!AR$84,$O$13/5*(AS$9-AS$10)*1000)</f>
        <v>32719.815547578073</v>
      </c>
      <c r="AT84" s="111">
        <f>SUM(AS$84,'Statistics NZ'!AT$84-'Statistics NZ'!AS$84,$O$13/5*(AT$9-AT$10)*1000)</f>
        <v>33499.815547578073</v>
      </c>
      <c r="AU84" s="111">
        <f>SUM(AT$84,'Statistics NZ'!AU$84-'Statistics NZ'!AT$84,$O$13/5*(AU$9-AU$10)*1000)</f>
        <v>34279.815547578073</v>
      </c>
      <c r="AV84" s="111">
        <f>SUM(AU$84,'Statistics NZ'!AV$84-'Statistics NZ'!AU$84,$O$13/5*(AV$9-AV$10)*1000)</f>
        <v>35069.815547578073</v>
      </c>
      <c r="AW84" s="111">
        <f>SUM(AV$84,'Statistics NZ'!AW$84-'Statistics NZ'!AV$84,$O$13/5*(AW$9-AW$10)*1000)</f>
        <v>35699.815547578073</v>
      </c>
      <c r="AX84" s="111">
        <f>SUM(AW$84,'Statistics NZ'!AX$84-'Statistics NZ'!AW$84,$O$13/5*(AX$9-AX$10)*1000)</f>
        <v>36549.815547578073</v>
      </c>
      <c r="AY84" s="111">
        <f>SUM(AX$84,'Statistics NZ'!AY$84-'Statistics NZ'!AX$84,$O$13/5*(AY$9-AY$10)*1000)</f>
        <v>38979.815547578073</v>
      </c>
      <c r="AZ84" s="111">
        <f>SUM(AY$84,'Statistics NZ'!AZ$84-'Statistics NZ'!AY$84,$O$13/5*(AZ$9-AZ$10)*1000)</f>
        <v>39339.815547578073</v>
      </c>
      <c r="BA84" s="111">
        <f>SUM(AZ$84,'Statistics NZ'!BA$84-'Statistics NZ'!AZ$84,$O$13/5*(BA$9-BA$10)*1000)</f>
        <v>40999.815547578073</v>
      </c>
      <c r="BB84" s="111">
        <f>SUM(BA$84,'Statistics NZ'!BB$84-'Statistics NZ'!BA$84,$O$13/5*(BB$9-BB$10)*1000)</f>
        <v>41589.815547578073</v>
      </c>
      <c r="BC84" s="111">
        <f>SUM(BB$84,'Statistics NZ'!BC$84-'Statistics NZ'!BB$84,$O$13/5*(BC$9-BC$10)*1000)</f>
        <v>41259.815547578073</v>
      </c>
      <c r="BD84" s="111">
        <f>SUM(BC$84,'Statistics NZ'!BD$84-'Statistics NZ'!BC$84,$O$13/5*(BD$9-BD$10)*1000)</f>
        <v>40599.815547578073</v>
      </c>
      <c r="BE84" s="111">
        <f>SUM(BD$84,'Statistics NZ'!BE$84-'Statistics NZ'!BD$84,$O$13/5*(BE$9-BE$10)*1000)</f>
        <v>39449.815547578073</v>
      </c>
      <c r="BF84" s="111">
        <f>SUM(BE$84,'Statistics NZ'!BF$84-'Statistics NZ'!BE$84,$O$13/5*(BF$9-BF$10)*1000)</f>
        <v>39259.815547578073</v>
      </c>
      <c r="BG84" s="111">
        <f>SUM(BF$84,'Statistics NZ'!BG$84-'Statistics NZ'!BF$84,$O$13/5*(BG$9-BG$10)*1000)</f>
        <v>38919.815547578073</v>
      </c>
      <c r="BH84" s="111">
        <f>SUM(BG$84,'Statistics NZ'!BH$84-'Statistics NZ'!BG$84,$O$13/5*(BH$9-BH$10)*1000)</f>
        <v>38589.815547578073</v>
      </c>
      <c r="BI84" s="111">
        <f>SUM(BH$84,'Statistics NZ'!BI$84-'Statistics NZ'!BH$84,$O$13/5*(BI$9-BI$10)*1000)</f>
        <v>38579.815547578073</v>
      </c>
      <c r="BJ84" s="111">
        <f>SUM(BI$84,'Statistics NZ'!BJ$84-'Statistics NZ'!BI$84,$O$13/5*(BJ$9-BJ$10)*1000)</f>
        <v>38039.815547578073</v>
      </c>
      <c r="BK84" s="111">
        <f>SUM(BJ$84,'Statistics NZ'!BK$84-'Statistics NZ'!BJ$84,$O$13/5*(BK$9-BK$10)*1000)</f>
        <v>38819.815547578073</v>
      </c>
      <c r="BL84" s="111">
        <f>SUM(BK$84,'Statistics NZ'!BL$84-'Statistics NZ'!BK$84,$O$13/5*(BL$9-BL$10)*1000)</f>
        <v>38479.815547578073</v>
      </c>
      <c r="BM84" s="195">
        <f>SUM(BL$84,'Statistics NZ'!BM$84-'Statistics NZ'!BL$84,$O$13/5*(BM$9-BM$10)*1000)</f>
        <v>37599.815547578073</v>
      </c>
      <c r="BN84" s="195">
        <f>SUM(BM$84,'Statistics NZ'!BN$84-'Statistics NZ'!BM$84,$O$13/5*(BN$9-BN$10)*1000)</f>
        <v>37289.815547578073</v>
      </c>
      <c r="BO84" s="195">
        <f>SUM(BN$84,'Statistics NZ'!BO$84-'Statistics NZ'!BN$84,$O$13/5*(BO$9-BO$10)*1000)</f>
        <v>38099.815547578073</v>
      </c>
      <c r="BP84" s="195">
        <f>SUM(BO$84,'Statistics NZ'!BP$84-'Statistics NZ'!BO$84,$O$13/5*(BP$9-BP$10)*1000)</f>
        <v>38269.815547578073</v>
      </c>
      <c r="BQ84" s="195">
        <f>SUM(BP$84,'Statistics NZ'!BQ$84-'Statistics NZ'!BP$84,$O$13/5*(BQ$9-BQ$10)*1000)</f>
        <v>39079.815547578073</v>
      </c>
    </row>
    <row r="85" spans="1:69">
      <c r="A85" s="105">
        <v>68</v>
      </c>
      <c r="B85" s="118">
        <f>'Statistics NZ'!B$85*'Economic Forecasts'!D$9*1000000/SUM('Statistics NZ'!B$32:B$107,'Statistics NZ'!B$125:B$200)</f>
        <v>14539.964809241821</v>
      </c>
      <c r="C85" s="118">
        <f>'Statistics NZ'!C$85*'Economic Forecasts'!E$9*1000000/SUM('Statistics NZ'!C$32:C$107,'Statistics NZ'!C$125:C$200)</f>
        <v>15191.790005281226</v>
      </c>
      <c r="D85" s="118">
        <f>'Statistics NZ'!D$85*'Economic Forecasts'!F$9*1000000/SUM('Statistics NZ'!D$32:D$107,'Statistics NZ'!D$125:D$200)</f>
        <v>16331.564662449766</v>
      </c>
      <c r="E85" s="118">
        <f>'Statistics NZ'!E$85*'Economic Forecasts'!G$9*1000000/SUM('Statistics NZ'!E$32:E$107,'Statistics NZ'!E$125:E$200)</f>
        <v>17589.429739844712</v>
      </c>
      <c r="F85" s="118">
        <f>'Statistics NZ'!F$85*'Economic Forecasts'!H$9*1000000/SUM('Statistics NZ'!F$32:F$107,'Statistics NZ'!F$125:F$200)</f>
        <v>17920.098154554937</v>
      </c>
      <c r="G85" s="118">
        <f>'Statistics NZ'!G$85*'Economic Forecasts'!I$9*1000000/SUM('Statistics NZ'!G$32:G$107,'Statistics NZ'!G$125:G$200)</f>
        <v>16050.334959087426</v>
      </c>
      <c r="H85" s="118">
        <f>'Statistics NZ'!H$85*'Economic Forecasts'!J$9*1000000/SUM('Statistics NZ'!H$32:H$107,'Statistics NZ'!H$125:H$200)</f>
        <v>17778.643976707823</v>
      </c>
      <c r="I85" s="118">
        <f>'Statistics NZ'!I$85*'Economic Forecasts'!K$9*1000000/SUM('Statistics NZ'!I$32:I$107,'Statistics NZ'!I$125:I$200)</f>
        <v>18806.094908173924</v>
      </c>
      <c r="J85" s="203">
        <f>'Statistics NZ'!J$85*'Economic Forecasts'!L$9*1000000/SUM('Statistics NZ'!J$32:J$107,'Statistics NZ'!J$125:J$200)</f>
        <v>19656.869544952642</v>
      </c>
      <c r="K85" s="203">
        <f>'Statistics NZ'!K$85*'Economic Forecasts'!M$9*1000000/SUM('Statistics NZ'!K$32:K$107,'Statistics NZ'!K$125:K$200)</f>
        <v>23040.358905897549</v>
      </c>
      <c r="L85" s="203">
        <f>'Statistics NZ'!L$85*'Economic Forecasts'!N$9*1000000/SUM('Statistics NZ'!L$32:L$107,'Statistics NZ'!L$125:L$200)</f>
        <v>23134.891211401424</v>
      </c>
      <c r="M85" s="203">
        <f>'Statistics NZ'!M$85*'Economic Forecasts'!O$9*1000000/SUM('Statistics NZ'!M$32:M$107,'Statistics NZ'!M$125:M$200)</f>
        <v>22714.970307655007</v>
      </c>
      <c r="N85" s="203">
        <f>'Statistics NZ'!N$85*'Economic Forecasts'!P$9*1000000/SUM('Statistics NZ'!N$32:N$107,'Statistics NZ'!N$125:N$200)</f>
        <v>23368.5881055709</v>
      </c>
      <c r="O85" s="203">
        <f>'Statistics NZ'!O$85*'Economic Forecasts'!Q$9*1000000/SUM('Statistics NZ'!O$32:O$107,'Statistics NZ'!O$125:O$200)</f>
        <v>23250.100938797932</v>
      </c>
      <c r="P85" s="203">
        <f>'Statistics NZ'!P$85*'Economic Forecasts'!R$9*1000000/SUM('Statistics NZ'!P$32:P$107,'Statistics NZ'!P$125:P$200)</f>
        <v>24278.16694333038</v>
      </c>
      <c r="Q85" s="121">
        <f>SUM('Statistics NZ'!Q$85,$O$13/5*(Q$9-Q$10)*1000)*'Economic Forecasts'!S$9*1000000/SUM('Statistics NZ'!Q$32:Q$107,'Statistics NZ'!Q$125:Q$200,SUM($E$13:$Q$14)*(Q$9-Q$10)*1000)</f>
        <v>24891.580419632341</v>
      </c>
      <c r="R85" s="205">
        <f>SUM('Statistics NZ'!R$85,$O$13/5*(R$9-R$10)*1000)*'Economic Forecasts'!T$9*1000000/SUM('Statistics NZ'!R$32:R$107,'Statistics NZ'!R$125:R$200,SUM($E$13:$Q$14)*(R$9-R$10)*1000)</f>
        <v>25747.690645922419</v>
      </c>
      <c r="S85" s="205">
        <f>SUM('Statistics NZ'!S$85,$O$13/5*(S$9-S$10)*1000)*'Economic Forecasts'!U$9*1000000/SUM('Statistics NZ'!S$32:S$107,'Statistics NZ'!S$125:S$200,SUM($E$13:$Q$14)*(S$9-S$10)*1000)</f>
        <v>26599.239426651606</v>
      </c>
      <c r="T85" s="205">
        <f>SUM('Statistics NZ'!T$85,$O$13/5*(T$9-T$10)*1000)*'Economic Forecasts'!V$9*1000000/SUM('Statistics NZ'!T$32:T$107,'Statistics NZ'!T$125:T$200,SUM($E$13:$Q$14)*(T$9-T$10)*1000)</f>
        <v>27279.620697903261</v>
      </c>
      <c r="U85" s="205">
        <f>SUM('Statistics NZ'!U$85,$O$13/5*(U$9-U$10)*1000)*'Economic Forecasts'!W$9*1000000/SUM('Statistics NZ'!U$32:U$107,'Statistics NZ'!U$125:U$200,SUM($E$13:$Q$14)*(U$9-U$10)*1000)</f>
        <v>27978.208646362556</v>
      </c>
      <c r="V85" s="111">
        <f>SUM(U$85,'Statistics NZ'!V$85-'Statistics NZ'!U$85,$O$13/5*(V$9-V$10)*1000)</f>
        <v>28918.9325085911</v>
      </c>
      <c r="W85" s="111">
        <f>SUM(V$85,'Statistics NZ'!W$85-'Statistics NZ'!V$85,$O$13/5*(W$9-W$10)*1000)</f>
        <v>29997.065888041077</v>
      </c>
      <c r="X85" s="111">
        <f>SUM(W$85,'Statistics NZ'!X$85-'Statistics NZ'!W$85,$O$13/5*(X$9-X$10)*1000)</f>
        <v>30572.608784712487</v>
      </c>
      <c r="Y85" s="111">
        <f>SUM(X$85,'Statistics NZ'!Y$85-'Statistics NZ'!X$85,$O$13/5*(Y$9-Y$10)*1000)</f>
        <v>31975.561198605326</v>
      </c>
      <c r="Z85" s="111">
        <f>SUM(Y$85,'Statistics NZ'!Z$85-'Statistics NZ'!Y$85,$O$13/5*(Z$9-Z$10)*1000)</f>
        <v>32805.923129719602</v>
      </c>
      <c r="AA85" s="111">
        <f>SUM(Z$85,'Statistics NZ'!AA$85-'Statistics NZ'!Z$85,$O$13/5*(AA$9-AA$10)*1000)</f>
        <v>33363.694578055307</v>
      </c>
      <c r="AB85" s="111">
        <f>SUM(AA$85,'Statistics NZ'!AB$85-'Statistics NZ'!AA$85,$O$13/5*(AB$9-AB$10)*1000)</f>
        <v>32668.875543612445</v>
      </c>
      <c r="AC85" s="111">
        <f>SUM(AB$85,'Statistics NZ'!AC$85-'Statistics NZ'!AB$85,$O$13/5*(AC$9-AC$10)*1000)</f>
        <v>31871.466026391012</v>
      </c>
      <c r="AD85" s="111">
        <f>SUM(AC$85,'Statistics NZ'!AD$85-'Statistics NZ'!AC$85,$O$13/5*(AD$9-AD$10)*1000)</f>
        <v>31391.466026391012</v>
      </c>
      <c r="AE85" s="111">
        <f>SUM(AD$85,'Statistics NZ'!AE$85-'Statistics NZ'!AD$85,$O$13/5*(AE$9-AE$10)*1000)</f>
        <v>31851.466026391012</v>
      </c>
      <c r="AF85" s="111">
        <f>SUM(AE$85,'Statistics NZ'!AF$85-'Statistics NZ'!AE$85,$O$13/5*(AF$9-AF$10)*1000)</f>
        <v>32561.466026391012</v>
      </c>
      <c r="AG85" s="111">
        <f>SUM(AF$85,'Statistics NZ'!AG$85-'Statistics NZ'!AF$85,$O$13/5*(AG$9-AG$10)*1000)</f>
        <v>33161.466026391012</v>
      </c>
      <c r="AH85" s="111">
        <f>SUM(AG$85,'Statistics NZ'!AH$85-'Statistics NZ'!AG$85,$O$13/5*(AH$9-AH$10)*1000)</f>
        <v>32981.466026391012</v>
      </c>
      <c r="AI85" s="111">
        <f>SUM(AH$85,'Statistics NZ'!AI$85-'Statistics NZ'!AH$85,$O$13/5*(AI$9-AI$10)*1000)</f>
        <v>34381.466026391012</v>
      </c>
      <c r="AJ85" s="111">
        <f>SUM(AI$85,'Statistics NZ'!AJ$85-'Statistics NZ'!AI$85,$O$13/5*(AJ$9-AJ$10)*1000)</f>
        <v>33961.466026391012</v>
      </c>
      <c r="AK85" s="111">
        <f>SUM(AJ$85,'Statistics NZ'!AK$85-'Statistics NZ'!AJ$85,$O$13/5*(AK$9-AK$10)*1000)</f>
        <v>32791.466026391012</v>
      </c>
      <c r="AL85" s="111">
        <f>SUM(AK$85,'Statistics NZ'!AL$85-'Statistics NZ'!AK$85,$O$13/5*(AL$9-AL$10)*1000)</f>
        <v>32101.466026391012</v>
      </c>
      <c r="AM85" s="111">
        <f>SUM(AL$85,'Statistics NZ'!AM$85-'Statistics NZ'!AL$85,$O$13/5*(AM$9-AM$10)*1000)</f>
        <v>30901.466026391012</v>
      </c>
      <c r="AN85" s="111">
        <f>SUM(AM$85,'Statistics NZ'!AN$85-'Statistics NZ'!AM$85,$O$13/5*(AN$9-AN$10)*1000)</f>
        <v>29641.466026391012</v>
      </c>
      <c r="AO85" s="111">
        <f>SUM(AN$85,'Statistics NZ'!AO$85-'Statistics NZ'!AN$85,$O$13/5*(AO$9-AO$10)*1000)</f>
        <v>29851.466026391012</v>
      </c>
      <c r="AP85" s="111">
        <f>SUM(AO$85,'Statistics NZ'!AP$85-'Statistics NZ'!AO$85,$O$13/5*(AP$9-AP$10)*1000)</f>
        <v>29801.466026391012</v>
      </c>
      <c r="AQ85" s="111">
        <f>SUM(AP$85,'Statistics NZ'!AQ$85-'Statistics NZ'!AP$85,$O$13/5*(AQ$9-AQ$10)*1000)</f>
        <v>30751.466026391012</v>
      </c>
      <c r="AR85" s="111">
        <f>SUM(AQ$85,'Statistics NZ'!AR$85-'Statistics NZ'!AQ$85,$O$13/5*(AR$9-AR$10)*1000)</f>
        <v>31161.466026391012</v>
      </c>
      <c r="AS85" s="111">
        <f>SUM(AR$85,'Statistics NZ'!AS$85-'Statistics NZ'!AR$85,$O$13/5*(AS$9-AS$10)*1000)</f>
        <v>31561.466026391012</v>
      </c>
      <c r="AT85" s="111">
        <f>SUM(AS$85,'Statistics NZ'!AT$85-'Statistics NZ'!AS$85,$O$13/5*(AT$9-AT$10)*1000)</f>
        <v>32631.466026391012</v>
      </c>
      <c r="AU85" s="111">
        <f>SUM(AT$85,'Statistics NZ'!AU$85-'Statistics NZ'!AT$85,$O$13/5*(AU$9-AU$10)*1000)</f>
        <v>33411.466026391012</v>
      </c>
      <c r="AV85" s="111">
        <f>SUM(AU$85,'Statistics NZ'!AV$85-'Statistics NZ'!AU$85,$O$13/5*(AV$9-AV$10)*1000)</f>
        <v>34191.466026391012</v>
      </c>
      <c r="AW85" s="111">
        <f>SUM(AV$85,'Statistics NZ'!AW$85-'Statistics NZ'!AV$85,$O$13/5*(AW$9-AW$10)*1000)</f>
        <v>34981.466026391012</v>
      </c>
      <c r="AX85" s="111">
        <f>SUM(AW$85,'Statistics NZ'!AX$85-'Statistics NZ'!AW$85,$O$13/5*(AX$9-AX$10)*1000)</f>
        <v>35611.466026391012</v>
      </c>
      <c r="AY85" s="111">
        <f>SUM(AX$85,'Statistics NZ'!AY$85-'Statistics NZ'!AX$85,$O$13/5*(AY$9-AY$10)*1000)</f>
        <v>36461.466026391012</v>
      </c>
      <c r="AZ85" s="111">
        <f>SUM(AY$85,'Statistics NZ'!AZ$85-'Statistics NZ'!AY$85,$O$13/5*(AZ$9-AZ$10)*1000)</f>
        <v>38881.466026391012</v>
      </c>
      <c r="BA85" s="111">
        <f>SUM(AZ$85,'Statistics NZ'!BA$85-'Statistics NZ'!AZ$85,$O$13/5*(BA$9-BA$10)*1000)</f>
        <v>39251.466026391012</v>
      </c>
      <c r="BB85" s="111">
        <f>SUM(BA$85,'Statistics NZ'!BB$85-'Statistics NZ'!BA$85,$O$13/5*(BB$9-BB$10)*1000)</f>
        <v>40901.466026391012</v>
      </c>
      <c r="BC85" s="111">
        <f>SUM(BB$85,'Statistics NZ'!BC$85-'Statistics NZ'!BB$85,$O$13/5*(BC$9-BC$10)*1000)</f>
        <v>41501.466026391012</v>
      </c>
      <c r="BD85" s="111">
        <f>SUM(BC$85,'Statistics NZ'!BD$85-'Statistics NZ'!BC$85,$O$13/5*(BD$9-BD$10)*1000)</f>
        <v>41171.466026391012</v>
      </c>
      <c r="BE85" s="111">
        <f>SUM(BD$85,'Statistics NZ'!BE$85-'Statistics NZ'!BD$85,$O$13/5*(BE$9-BE$10)*1000)</f>
        <v>40511.466026391012</v>
      </c>
      <c r="BF85" s="111">
        <f>SUM(BE$85,'Statistics NZ'!BF$85-'Statistics NZ'!BE$85,$O$13/5*(BF$9-BF$10)*1000)</f>
        <v>39371.466026391012</v>
      </c>
      <c r="BG85" s="111">
        <f>SUM(BF$85,'Statistics NZ'!BG$85-'Statistics NZ'!BF$85,$O$13/5*(BG$9-BG$10)*1000)</f>
        <v>39181.466026391012</v>
      </c>
      <c r="BH85" s="111">
        <f>SUM(BG$85,'Statistics NZ'!BH$85-'Statistics NZ'!BG$85,$O$13/5*(BH$9-BH$10)*1000)</f>
        <v>38851.466026391012</v>
      </c>
      <c r="BI85" s="111">
        <f>SUM(BH$85,'Statistics NZ'!BI$85-'Statistics NZ'!BH$85,$O$13/5*(BI$9-BI$10)*1000)</f>
        <v>38521.466026391012</v>
      </c>
      <c r="BJ85" s="111">
        <f>SUM(BI$85,'Statistics NZ'!BJ$85-'Statistics NZ'!BI$85,$O$13/5*(BJ$9-BJ$10)*1000)</f>
        <v>38511.466026391012</v>
      </c>
      <c r="BK85" s="111">
        <f>SUM(BJ$85,'Statistics NZ'!BK$85-'Statistics NZ'!BJ$85,$O$13/5*(BK$9-BK$10)*1000)</f>
        <v>37981.466026391012</v>
      </c>
      <c r="BL85" s="111">
        <f>SUM(BK$85,'Statistics NZ'!BL$85-'Statistics NZ'!BK$85,$O$13/5*(BL$9-BL$10)*1000)</f>
        <v>38761.466026391012</v>
      </c>
      <c r="BM85" s="195">
        <f>SUM(BL$85,'Statistics NZ'!BM$85-'Statistics NZ'!BL$85,$O$13/5*(BM$9-BM$10)*1000)</f>
        <v>38421.466026391012</v>
      </c>
      <c r="BN85" s="195">
        <f>SUM(BM$85,'Statistics NZ'!BN$85-'Statistics NZ'!BM$85,$O$13/5*(BN$9-BN$10)*1000)</f>
        <v>37541.466026391012</v>
      </c>
      <c r="BO85" s="195">
        <f>SUM(BN$85,'Statistics NZ'!BO$85-'Statistics NZ'!BN$85,$O$13/5*(BO$9-BO$10)*1000)</f>
        <v>37241.466026391012</v>
      </c>
      <c r="BP85" s="195">
        <f>SUM(BO$85,'Statistics NZ'!BP$85-'Statistics NZ'!BO$85,$O$13/5*(BP$9-BP$10)*1000)</f>
        <v>38051.466026391012</v>
      </c>
      <c r="BQ85" s="195">
        <f>SUM(BP$85,'Statistics NZ'!BQ$85-'Statistics NZ'!BP$85,$O$13/5*(BQ$9-BQ$10)*1000)</f>
        <v>38221.466026391012</v>
      </c>
    </row>
    <row r="86" spans="1:69">
      <c r="A86" s="105">
        <v>69</v>
      </c>
      <c r="B86" s="118">
        <f>'Statistics NZ'!B$86*'Economic Forecasts'!D$9*1000000/SUM('Statistics NZ'!B$32:B$107,'Statistics NZ'!B$125:B$200)</f>
        <v>14017.865801863896</v>
      </c>
      <c r="C86" s="118">
        <f>'Statistics NZ'!C$86*'Economic Forecasts'!E$9*1000000/SUM('Statistics NZ'!C$32:C$107,'Statistics NZ'!C$125:C$200)</f>
        <v>14393.259836282017</v>
      </c>
      <c r="D86" s="118">
        <f>'Statistics NZ'!D$86*'Economic Forecasts'!F$9*1000000/SUM('Statistics NZ'!D$32:D$107,'Statistics NZ'!D$125:D$200)</f>
        <v>15000.990595201294</v>
      </c>
      <c r="E86" s="118">
        <f>'Statistics NZ'!E$86*'Economic Forecasts'!G$9*1000000/SUM('Statistics NZ'!E$32:E$107,'Statistics NZ'!E$125:E$200)</f>
        <v>16131.851015602262</v>
      </c>
      <c r="F86" s="118">
        <f>'Statistics NZ'!F$86*'Economic Forecasts'!H$9*1000000/SUM('Statistics NZ'!F$32:F$107,'Statistics NZ'!F$125:F$200)</f>
        <v>17417.665496016009</v>
      </c>
      <c r="G86" s="118">
        <f>'Statistics NZ'!G$86*'Economic Forecasts'!I$9*1000000/SUM('Statistics NZ'!G$32:G$107,'Statistics NZ'!G$125:G$200)</f>
        <v>17735.176750372848</v>
      </c>
      <c r="H86" s="118">
        <f>'Statistics NZ'!H$86*'Economic Forecasts'!J$9*1000000/SUM('Statistics NZ'!H$32:H$107,'Statistics NZ'!H$125:H$200)</f>
        <v>15867.80911162122</v>
      </c>
      <c r="I86" s="118">
        <f>'Statistics NZ'!I$86*'Economic Forecasts'!K$9*1000000/SUM('Statistics NZ'!I$32:I$107,'Statistics NZ'!I$125:I$200)</f>
        <v>17615.337459775677</v>
      </c>
      <c r="J86" s="203">
        <f>'Statistics NZ'!J$86*'Economic Forecasts'!L$9*1000000/SUM('Statistics NZ'!J$32:J$107,'Statistics NZ'!J$125:J$200)</f>
        <v>18546.256415662814</v>
      </c>
      <c r="K86" s="203">
        <f>'Statistics NZ'!K$86*'Economic Forecasts'!M$9*1000000/SUM('Statistics NZ'!K$32:K$107,'Statistics NZ'!K$125:K$200)</f>
        <v>19434.469047277336</v>
      </c>
      <c r="L86" s="203">
        <f>'Statistics NZ'!L$86*'Economic Forecasts'!N$9*1000000/SUM('Statistics NZ'!L$32:L$107,'Statistics NZ'!L$125:L$200)</f>
        <v>22819.728793877013</v>
      </c>
      <c r="M86" s="203">
        <f>'Statistics NZ'!M$86*'Economic Forecasts'!O$9*1000000/SUM('Statistics NZ'!M$32:M$107,'Statistics NZ'!M$125:M$200)</f>
        <v>22911.977855856694</v>
      </c>
      <c r="N86" s="203">
        <f>'Statistics NZ'!N$86*'Economic Forecasts'!P$9*1000000/SUM('Statistics NZ'!N$32:N$107,'Statistics NZ'!N$125:N$200)</f>
        <v>22440.94989529908</v>
      </c>
      <c r="O86" s="203">
        <f>'Statistics NZ'!O$86*'Economic Forecasts'!Q$9*1000000/SUM('Statistics NZ'!O$32:O$107,'Statistics NZ'!O$125:O$200)</f>
        <v>23181.021691526461</v>
      </c>
      <c r="P86" s="203">
        <f>'Statistics NZ'!P$86*'Economic Forecasts'!R$9*1000000/SUM('Statistics NZ'!P$32:P$107,'Statistics NZ'!P$125:P$200)</f>
        <v>23320.467799978185</v>
      </c>
      <c r="Q86" s="121">
        <f>SUM('Statistics NZ'!Q$86,$O$13/5*(Q$9-Q$10)*1000)*'Economic Forecasts'!S$9*1000000/SUM('Statistics NZ'!Q$32:Q$107,'Statistics NZ'!Q$125:Q$200,SUM($E$13:$Q$14)*(Q$9-Q$10)*1000)</f>
        <v>24100.666569672925</v>
      </c>
      <c r="R86" s="205">
        <f>SUM('Statistics NZ'!R$86,$O$13/5*(R$9-R$10)*1000)*'Economic Forecasts'!T$9*1000000/SUM('Statistics NZ'!R$32:R$107,'Statistics NZ'!R$125:R$200,SUM($E$13:$Q$14)*(R$9-R$10)*1000)</f>
        <v>24689.976481659622</v>
      </c>
      <c r="S86" s="205">
        <f>SUM('Statistics NZ'!S$86,$O$13/5*(S$9-S$10)*1000)*'Economic Forecasts'!U$9*1000000/SUM('Statistics NZ'!S$32:S$107,'Statistics NZ'!S$125:S$200,SUM($E$13:$Q$14)*(S$9-S$10)*1000)</f>
        <v>25551.970449682758</v>
      </c>
      <c r="T86" s="205">
        <f>SUM('Statistics NZ'!T$86,$O$13/5*(T$9-T$10)*1000)*'Economic Forecasts'!V$9*1000000/SUM('Statistics NZ'!T$32:T$107,'Statistics NZ'!T$125:T$200,SUM($E$13:$Q$14)*(T$9-T$10)*1000)</f>
        <v>26430.002248975896</v>
      </c>
      <c r="U86" s="205">
        <f>SUM('Statistics NZ'!U$86,$O$13/5*(U$9-U$10)*1000)*'Economic Forecasts'!W$9*1000000/SUM('Statistics NZ'!U$32:U$107,'Statistics NZ'!U$125:U$200,SUM($E$13:$Q$14)*(U$9-U$10)*1000)</f>
        <v>27147.270129883727</v>
      </c>
      <c r="V86" s="111">
        <f>SUM(U$86,'Statistics NZ'!V$86-'Statistics NZ'!U$86,$O$13/5*(V$9-V$10)*1000)</f>
        <v>27817.993992112271</v>
      </c>
      <c r="W86" s="111">
        <f>SUM(V$86,'Statistics NZ'!W$86-'Statistics NZ'!V$86,$O$13/5*(W$9-W$10)*1000)</f>
        <v>28756.127371562248</v>
      </c>
      <c r="X86" s="111">
        <f>SUM(W$86,'Statistics NZ'!X$86-'Statistics NZ'!W$86,$O$13/5*(X$9-X$10)*1000)</f>
        <v>29831.670268233658</v>
      </c>
      <c r="Y86" s="111">
        <f>SUM(X$86,'Statistics NZ'!Y$86-'Statistics NZ'!X$86,$O$13/5*(Y$9-Y$10)*1000)</f>
        <v>30404.622682126497</v>
      </c>
      <c r="Z86" s="111">
        <f>SUM(Y$86,'Statistics NZ'!Z$86-'Statistics NZ'!Y$86,$O$13/5*(Z$9-Z$10)*1000)</f>
        <v>31794.984613240769</v>
      </c>
      <c r="AA86" s="111">
        <f>SUM(Z$86,'Statistics NZ'!AA$86-'Statistics NZ'!Z$86,$O$13/5*(AA$9-AA$10)*1000)</f>
        <v>32622.756061576474</v>
      </c>
      <c r="AB86" s="111">
        <f>SUM(AA$86,'Statistics NZ'!AB$86-'Statistics NZ'!AA$86,$O$13/5*(AB$9-AB$10)*1000)</f>
        <v>33187.937027133608</v>
      </c>
      <c r="AC86" s="111">
        <f>SUM(AB$86,'Statistics NZ'!AC$86-'Statistics NZ'!AB$86,$O$13/5*(AC$9-AC$10)*1000)</f>
        <v>32500.527509912175</v>
      </c>
      <c r="AD86" s="111">
        <f>SUM(AC$86,'Statistics NZ'!AD$86-'Statistics NZ'!AC$86,$O$13/5*(AD$9-AD$10)*1000)</f>
        <v>31700.527509912175</v>
      </c>
      <c r="AE86" s="111">
        <f>SUM(AD$86,'Statistics NZ'!AE$86-'Statistics NZ'!AD$86,$O$13/5*(AE$9-AE$10)*1000)</f>
        <v>31230.527509912175</v>
      </c>
      <c r="AF86" s="111">
        <f>SUM(AE$86,'Statistics NZ'!AF$86-'Statistics NZ'!AE$86,$O$13/5*(AF$9-AF$10)*1000)</f>
        <v>31690.527509912175</v>
      </c>
      <c r="AG86" s="111">
        <f>SUM(AF$86,'Statistics NZ'!AG$86-'Statistics NZ'!AF$86,$O$13/5*(AG$9-AG$10)*1000)</f>
        <v>32400.527509912175</v>
      </c>
      <c r="AH86" s="111">
        <f>SUM(AG$86,'Statistics NZ'!AH$86-'Statistics NZ'!AG$86,$O$13/5*(AH$9-AH$10)*1000)</f>
        <v>33000.527509912179</v>
      </c>
      <c r="AI86" s="111">
        <f>SUM(AH$86,'Statistics NZ'!AI$86-'Statistics NZ'!AH$86,$O$13/5*(AI$9-AI$10)*1000)</f>
        <v>32830.527509912179</v>
      </c>
      <c r="AJ86" s="111">
        <f>SUM(AI$86,'Statistics NZ'!AJ$86-'Statistics NZ'!AI$86,$O$13/5*(AJ$9-AJ$10)*1000)</f>
        <v>34230.527509912179</v>
      </c>
      <c r="AK86" s="111">
        <f>SUM(AJ$86,'Statistics NZ'!AK$86-'Statistics NZ'!AJ$86,$O$13/5*(AK$9-AK$10)*1000)</f>
        <v>33810.527509912179</v>
      </c>
      <c r="AL86" s="111">
        <f>SUM(AK$86,'Statistics NZ'!AL$86-'Statistics NZ'!AK$86,$O$13/5*(AL$9-AL$10)*1000)</f>
        <v>32650.527509912179</v>
      </c>
      <c r="AM86" s="111">
        <f>SUM(AL$86,'Statistics NZ'!AM$86-'Statistics NZ'!AL$86,$O$13/5*(AM$9-AM$10)*1000)</f>
        <v>31970.527509912179</v>
      </c>
      <c r="AN86" s="111">
        <f>SUM(AM$86,'Statistics NZ'!AN$86-'Statistics NZ'!AM$86,$O$13/5*(AN$9-AN$10)*1000)</f>
        <v>30780.527509912179</v>
      </c>
      <c r="AO86" s="111">
        <f>SUM(AN$86,'Statistics NZ'!AO$86-'Statistics NZ'!AN$86,$O$13/5*(AO$9-AO$10)*1000)</f>
        <v>29530.527509912179</v>
      </c>
      <c r="AP86" s="111">
        <f>SUM(AO$86,'Statistics NZ'!AP$86-'Statistics NZ'!AO$86,$O$13/5*(AP$9-AP$10)*1000)</f>
        <v>29740.527509912179</v>
      </c>
      <c r="AQ86" s="111">
        <f>SUM(AP$86,'Statistics NZ'!AQ$86-'Statistics NZ'!AP$86,$O$13/5*(AQ$9-AQ$10)*1000)</f>
        <v>29690.527509912179</v>
      </c>
      <c r="AR86" s="111">
        <f>SUM(AQ$86,'Statistics NZ'!AR$86-'Statistics NZ'!AQ$86,$O$13/5*(AR$9-AR$10)*1000)</f>
        <v>30640.527509912179</v>
      </c>
      <c r="AS86" s="111">
        <f>SUM(AR$86,'Statistics NZ'!AS$86-'Statistics NZ'!AR$86,$O$13/5*(AS$9-AS$10)*1000)</f>
        <v>31050.527509912179</v>
      </c>
      <c r="AT86" s="111">
        <f>SUM(AS$86,'Statistics NZ'!AT$86-'Statistics NZ'!AS$86,$O$13/5*(AT$9-AT$10)*1000)</f>
        <v>31450.527509912179</v>
      </c>
      <c r="AU86" s="111">
        <f>SUM(AT$86,'Statistics NZ'!AU$86-'Statistics NZ'!AT$86,$O$13/5*(AU$9-AU$10)*1000)</f>
        <v>32520.527509912179</v>
      </c>
      <c r="AV86" s="111">
        <f>SUM(AU$86,'Statistics NZ'!AV$86-'Statistics NZ'!AU$86,$O$13/5*(AV$9-AV$10)*1000)</f>
        <v>33300.527509912179</v>
      </c>
      <c r="AW86" s="111">
        <f>SUM(AV$86,'Statistics NZ'!AW$86-'Statistics NZ'!AV$86,$O$13/5*(AW$9-AW$10)*1000)</f>
        <v>34080.527509912179</v>
      </c>
      <c r="AX86" s="111">
        <f>SUM(AW$86,'Statistics NZ'!AX$86-'Statistics NZ'!AW$86,$O$13/5*(AX$9-AX$10)*1000)</f>
        <v>34880.527509912179</v>
      </c>
      <c r="AY86" s="111">
        <f>SUM(AX$86,'Statistics NZ'!AY$86-'Statistics NZ'!AX$86,$O$13/5*(AY$9-AY$10)*1000)</f>
        <v>35500.527509912179</v>
      </c>
      <c r="AZ86" s="111">
        <f>SUM(AY$86,'Statistics NZ'!AZ$86-'Statistics NZ'!AY$86,$O$13/5*(AZ$9-AZ$10)*1000)</f>
        <v>36350.527509912179</v>
      </c>
      <c r="BA86" s="111">
        <f>SUM(AZ$86,'Statistics NZ'!BA$86-'Statistics NZ'!AZ$86,$O$13/5*(BA$9-BA$10)*1000)</f>
        <v>38770.527509912179</v>
      </c>
      <c r="BB86" s="111">
        <f>SUM(BA$86,'Statistics NZ'!BB$86-'Statistics NZ'!BA$86,$O$13/5*(BB$9-BB$10)*1000)</f>
        <v>39130.527509912179</v>
      </c>
      <c r="BC86" s="111">
        <f>SUM(BB$86,'Statistics NZ'!BC$86-'Statistics NZ'!BB$86,$O$13/5*(BC$9-BC$10)*1000)</f>
        <v>40790.527509912179</v>
      </c>
      <c r="BD86" s="111">
        <f>SUM(BC$86,'Statistics NZ'!BD$86-'Statistics NZ'!BC$86,$O$13/5*(BD$9-BD$10)*1000)</f>
        <v>41380.527509912179</v>
      </c>
      <c r="BE86" s="111">
        <f>SUM(BD$86,'Statistics NZ'!BE$86-'Statistics NZ'!BD$86,$O$13/5*(BE$9-BE$10)*1000)</f>
        <v>41060.527509912179</v>
      </c>
      <c r="BF86" s="111">
        <f>SUM(BE$86,'Statistics NZ'!BF$86-'Statistics NZ'!BE$86,$O$13/5*(BF$9-BF$10)*1000)</f>
        <v>40410.527509912179</v>
      </c>
      <c r="BG86" s="111">
        <f>SUM(BF$86,'Statistics NZ'!BG$86-'Statistics NZ'!BF$86,$O$13/5*(BG$9-BG$10)*1000)</f>
        <v>39270.527509912179</v>
      </c>
      <c r="BH86" s="111">
        <f>SUM(BG$86,'Statistics NZ'!BH$86-'Statistics NZ'!BG$86,$O$13/5*(BH$9-BH$10)*1000)</f>
        <v>39090.527509912179</v>
      </c>
      <c r="BI86" s="111">
        <f>SUM(BH$86,'Statistics NZ'!BI$86-'Statistics NZ'!BH$86,$O$13/5*(BI$9-BI$10)*1000)</f>
        <v>38760.527509912179</v>
      </c>
      <c r="BJ86" s="111">
        <f>SUM(BI$86,'Statistics NZ'!BJ$86-'Statistics NZ'!BI$86,$O$13/5*(BJ$9-BJ$10)*1000)</f>
        <v>38440.527509912179</v>
      </c>
      <c r="BK86" s="111">
        <f>SUM(BJ$86,'Statistics NZ'!BK$86-'Statistics NZ'!BJ$86,$O$13/5*(BK$9-BK$10)*1000)</f>
        <v>38430.527509912179</v>
      </c>
      <c r="BL86" s="111">
        <f>SUM(BK$86,'Statistics NZ'!BL$86-'Statistics NZ'!BK$86,$O$13/5*(BL$9-BL$10)*1000)</f>
        <v>37900.527509912179</v>
      </c>
      <c r="BM86" s="195">
        <f>SUM(BL$86,'Statistics NZ'!BM$86-'Statistics NZ'!BL$86,$O$13/5*(BM$9-BM$10)*1000)</f>
        <v>38680.527509912179</v>
      </c>
      <c r="BN86" s="195">
        <f>SUM(BM$86,'Statistics NZ'!BN$86-'Statistics NZ'!BM$86,$O$13/5*(BN$9-BN$10)*1000)</f>
        <v>38350.527509912179</v>
      </c>
      <c r="BO86" s="195">
        <f>SUM(BN$86,'Statistics NZ'!BO$86-'Statistics NZ'!BN$86,$O$13/5*(BO$9-BO$10)*1000)</f>
        <v>37470.527509912179</v>
      </c>
      <c r="BP86" s="195">
        <f>SUM(BO$86,'Statistics NZ'!BP$86-'Statistics NZ'!BO$86,$O$13/5*(BP$9-BP$10)*1000)</f>
        <v>37170.527509912179</v>
      </c>
      <c r="BQ86" s="195">
        <f>SUM(BP$86,'Statistics NZ'!BQ$86-'Statistics NZ'!BP$86,$O$13/5*(BQ$9-BQ$10)*1000)</f>
        <v>37980.527509912179</v>
      </c>
    </row>
    <row r="87" spans="1:69">
      <c r="A87" s="105">
        <v>70</v>
      </c>
      <c r="B87" s="118">
        <f>'Statistics NZ'!B$87*'Economic Forecasts'!D$9*1000000/SUM('Statistics NZ'!B$32:B$107,'Statistics NZ'!B$125:B$200)</f>
        <v>13259.344602465777</v>
      </c>
      <c r="C87" s="118">
        <f>'Statistics NZ'!C$87*'Economic Forecasts'!E$9*1000000/SUM('Statistics NZ'!C$32:C$107,'Statistics NZ'!C$125:C$200)</f>
        <v>13791.897610245576</v>
      </c>
      <c r="D87" s="118">
        <f>'Statistics NZ'!D$87*'Economic Forecasts'!F$9*1000000/SUM('Statistics NZ'!D$32:D$107,'Statistics NZ'!D$125:D$200)</f>
        <v>14192.79005065037</v>
      </c>
      <c r="E87" s="118">
        <f>'Statistics NZ'!E$87*'Economic Forecasts'!G$9*1000000/SUM('Statistics NZ'!E$32:E$107,'Statistics NZ'!E$125:E$200)</f>
        <v>14772.757340295111</v>
      </c>
      <c r="F87" s="118">
        <f>'Statistics NZ'!F$87*'Economic Forecasts'!H$9*1000000/SUM('Statistics NZ'!F$32:F$107,'Statistics NZ'!F$125:F$200)</f>
        <v>15930.070761910572</v>
      </c>
      <c r="G87" s="118">
        <f>'Statistics NZ'!G$87*'Economic Forecasts'!I$9*1000000/SUM('Statistics NZ'!G$32:G$107,'Statistics NZ'!G$125:G$200)</f>
        <v>17193.268571889232</v>
      </c>
      <c r="H87" s="118">
        <f>'Statistics NZ'!H$87*'Economic Forecasts'!J$9*1000000/SUM('Statistics NZ'!H$32:H$107,'Statistics NZ'!H$125:H$200)</f>
        <v>17522.552706129209</v>
      </c>
      <c r="I87" s="118">
        <f>'Statistics NZ'!I$87*'Economic Forecasts'!K$9*1000000/SUM('Statistics NZ'!I$32:I$107,'Statistics NZ'!I$125:I$200)</f>
        <v>15676.66624213556</v>
      </c>
      <c r="J87" s="203">
        <f>'Statistics NZ'!J$87*'Economic Forecasts'!L$9*1000000/SUM('Statistics NZ'!J$32:J$107,'Statistics NZ'!J$125:J$200)</f>
        <v>17376.672677738137</v>
      </c>
      <c r="K87" s="203">
        <f>'Statistics NZ'!K$87*'Economic Forecasts'!M$9*1000000/SUM('Statistics NZ'!K$32:K$107,'Statistics NZ'!K$125:K$200)</f>
        <v>18304.558056156562</v>
      </c>
      <c r="L87" s="203">
        <f>'Statistics NZ'!L$87*'Economic Forecasts'!N$9*1000000/SUM('Statistics NZ'!L$32:L$107,'Statistics NZ'!L$125:L$200)</f>
        <v>19244.605120084456</v>
      </c>
      <c r="M87" s="203">
        <f>'Statistics NZ'!M$87*'Economic Forecasts'!O$9*1000000/SUM('Statistics NZ'!M$32:M$107,'Statistics NZ'!M$125:M$200)</f>
        <v>22527.813136863395</v>
      </c>
      <c r="N87" s="203">
        <f>'Statistics NZ'!N$87*'Economic Forecasts'!P$9*1000000/SUM('Statistics NZ'!N$32:N$107,'Statistics NZ'!N$125:N$200)</f>
        <v>22667.925202067716</v>
      </c>
      <c r="O87" s="203">
        <f>'Statistics NZ'!O$87*'Economic Forecasts'!Q$9*1000000/SUM('Statistics NZ'!O$32:O$107,'Statistics NZ'!O$125:O$200)</f>
        <v>22243.517621413641</v>
      </c>
      <c r="P87" s="203">
        <f>'Statistics NZ'!P$87*'Economic Forecasts'!R$9*1000000/SUM('Statistics NZ'!P$32:P$107,'Statistics NZ'!P$125:P$200)</f>
        <v>23182.243181350033</v>
      </c>
      <c r="Q87" s="121">
        <f>SUM('Statistics NZ'!Q$87,$P$13/5*(Q$9-Q$10)*1000)*'Economic Forecasts'!S$9*1000000/SUM('Statistics NZ'!Q$32:Q$107,'Statistics NZ'!Q$125:Q$200,SUM($E$13:$Q$14)*(Q$9-Q$10)*1000)</f>
        <v>23133.234074528915</v>
      </c>
      <c r="R87" s="205">
        <f>SUM('Statistics NZ'!R$87,$P$13/5*(R$9-R$10)*1000)*'Economic Forecasts'!T$9*1000000/SUM('Statistics NZ'!R$32:R$107,'Statistics NZ'!R$125:R$200,SUM($E$13:$Q$14)*(R$9-R$10)*1000)</f>
        <v>23891.167487608131</v>
      </c>
      <c r="S87" s="205">
        <f>SUM('Statistics NZ'!S$87,$P$13/5*(S$9-S$10)*1000)*'Economic Forecasts'!U$9*1000000/SUM('Statistics NZ'!S$32:S$107,'Statistics NZ'!S$125:S$200,SUM($E$13:$Q$14)*(S$9-S$10)*1000)</f>
        <v>24473.550182208997</v>
      </c>
      <c r="T87" s="205">
        <f>SUM('Statistics NZ'!T$87,$P$13/5*(T$9-T$10)*1000)*'Economic Forecasts'!V$9*1000000/SUM('Statistics NZ'!T$32:T$107,'Statistics NZ'!T$125:T$200,SUM($E$13:$Q$14)*(T$9-T$10)*1000)</f>
        <v>25345.602716952984</v>
      </c>
      <c r="U87" s="205">
        <f>SUM('Statistics NZ'!U$87,$P$13/5*(U$9-U$10)*1000)*'Economic Forecasts'!W$9*1000000/SUM('Statistics NZ'!U$32:U$107,'Statistics NZ'!U$125:U$200,SUM($E$13:$Q$14)*(U$9-U$10)*1000)</f>
        <v>26253.249725776743</v>
      </c>
      <c r="V87" s="111">
        <f>SUM(U$87,'Statistics NZ'!V$87-'Statistics NZ'!U$87,$P$13/5*(V$9-V$10)*1000)</f>
        <v>26941.733763002278</v>
      </c>
      <c r="W87" s="111">
        <f>SUM(V$87,'Statistics NZ'!W$87-'Statistics NZ'!V$87,$P$13/5*(W$9-W$10)*1000)</f>
        <v>27599.15729557462</v>
      </c>
      <c r="X87" s="111">
        <f>SUM(W$87,'Statistics NZ'!X$87-'Statistics NZ'!W$87,$P$13/5*(X$9-X$10)*1000)</f>
        <v>28515.520323493769</v>
      </c>
      <c r="Y87" s="111">
        <f>SUM(X$87,'Statistics NZ'!Y$87-'Statistics NZ'!X$87,$P$13/5*(Y$9-Y$10)*1000)</f>
        <v>29580.822846759729</v>
      </c>
      <c r="Z87" s="111">
        <f>SUM(Y$87,'Statistics NZ'!Z$87-'Statistics NZ'!Y$87,$P$13/5*(Z$9-Z$10)*1000)</f>
        <v>30145.064865372497</v>
      </c>
      <c r="AA87" s="111">
        <f>SUM(Z$87,'Statistics NZ'!AA$87-'Statistics NZ'!Z$87,$P$13/5*(AA$9-AA$10)*1000)</f>
        <v>31528.246379332071</v>
      </c>
      <c r="AB87" s="111">
        <f>SUM(AA$87,'Statistics NZ'!AB$87-'Statistics NZ'!AA$87,$P$13/5*(AB$9-AB$10)*1000)</f>
        <v>32350.367388638453</v>
      </c>
      <c r="AC87" s="111">
        <f>SUM(AB$87,'Statistics NZ'!AC$87-'Statistics NZ'!AB$87,$P$13/5*(AC$9-AC$10)*1000)</f>
        <v>32911.427893291642</v>
      </c>
      <c r="AD87" s="111">
        <f>SUM(AC$87,'Statistics NZ'!AD$87-'Statistics NZ'!AC$87,$P$13/5*(AD$9-AD$10)*1000)</f>
        <v>32231.427893291642</v>
      </c>
      <c r="AE87" s="111">
        <f>SUM(AD$87,'Statistics NZ'!AE$87-'Statistics NZ'!AD$87,$P$13/5*(AE$9-AE$10)*1000)</f>
        <v>31441.427893291642</v>
      </c>
      <c r="AF87" s="111">
        <f>SUM(AE$87,'Statistics NZ'!AF$87-'Statistics NZ'!AE$87,$P$13/5*(AF$9-AF$10)*1000)</f>
        <v>30981.427893291642</v>
      </c>
      <c r="AG87" s="111">
        <f>SUM(AF$87,'Statistics NZ'!AG$87-'Statistics NZ'!AF$87,$P$13/5*(AG$9-AG$10)*1000)</f>
        <v>31441.427893291642</v>
      </c>
      <c r="AH87" s="111">
        <f>SUM(AG$87,'Statistics NZ'!AH$87-'Statistics NZ'!AG$87,$P$13/5*(AH$9-AH$10)*1000)</f>
        <v>32151.427893291642</v>
      </c>
      <c r="AI87" s="111">
        <f>SUM(AH$87,'Statistics NZ'!AI$87-'Statistics NZ'!AH$87,$P$13/5*(AI$9-AI$10)*1000)</f>
        <v>32751.427893291642</v>
      </c>
      <c r="AJ87" s="111">
        <f>SUM(AI$87,'Statistics NZ'!AJ$87-'Statistics NZ'!AI$87,$P$13/5*(AJ$9-AJ$10)*1000)</f>
        <v>32591.427893291642</v>
      </c>
      <c r="AK87" s="111">
        <f>SUM(AJ$87,'Statistics NZ'!AK$87-'Statistics NZ'!AJ$87,$P$13/5*(AK$9-AK$10)*1000)</f>
        <v>33981.427893291642</v>
      </c>
      <c r="AL87" s="111">
        <f>SUM(AK$87,'Statistics NZ'!AL$87-'Statistics NZ'!AK$87,$P$13/5*(AL$9-AL$10)*1000)</f>
        <v>33571.427893291642</v>
      </c>
      <c r="AM87" s="111">
        <f>SUM(AL$87,'Statistics NZ'!AM$87-'Statistics NZ'!AL$87,$P$13/5*(AM$9-AM$10)*1000)</f>
        <v>32421.427893291642</v>
      </c>
      <c r="AN87" s="111">
        <f>SUM(AM$87,'Statistics NZ'!AN$87-'Statistics NZ'!AM$87,$P$13/5*(AN$9-AN$10)*1000)</f>
        <v>31741.427893291642</v>
      </c>
      <c r="AO87" s="111">
        <f>SUM(AN$87,'Statistics NZ'!AO$87-'Statistics NZ'!AN$87,$P$13/5*(AO$9-AO$10)*1000)</f>
        <v>30571.427893291642</v>
      </c>
      <c r="AP87" s="111">
        <f>SUM(AO$87,'Statistics NZ'!AP$87-'Statistics NZ'!AO$87,$P$13/5*(AP$9-AP$10)*1000)</f>
        <v>29331.427893291642</v>
      </c>
      <c r="AQ87" s="111">
        <f>SUM(AP$87,'Statistics NZ'!AQ$87-'Statistics NZ'!AP$87,$P$13/5*(AQ$9-AQ$10)*1000)</f>
        <v>29541.427893291642</v>
      </c>
      <c r="AR87" s="111">
        <f>SUM(AQ$87,'Statistics NZ'!AR$87-'Statistics NZ'!AQ$87,$P$13/5*(AR$9-AR$10)*1000)</f>
        <v>29501.427893291642</v>
      </c>
      <c r="AS87" s="111">
        <f>SUM(AR$87,'Statistics NZ'!AS$87-'Statistics NZ'!AR$87,$P$13/5*(AS$9-AS$10)*1000)</f>
        <v>30451.427893291642</v>
      </c>
      <c r="AT87" s="111">
        <f>SUM(AS$87,'Statistics NZ'!AT$87-'Statistics NZ'!AS$87,$P$13/5*(AT$9-AT$10)*1000)</f>
        <v>30851.427893291642</v>
      </c>
      <c r="AU87" s="111">
        <f>SUM(AT$87,'Statistics NZ'!AU$87-'Statistics NZ'!AT$87,$P$13/5*(AU$9-AU$10)*1000)</f>
        <v>31261.427893291642</v>
      </c>
      <c r="AV87" s="111">
        <f>SUM(AU$87,'Statistics NZ'!AV$87-'Statistics NZ'!AU$87,$P$13/5*(AV$9-AV$10)*1000)</f>
        <v>32331.427893291642</v>
      </c>
      <c r="AW87" s="111">
        <f>SUM(AV$87,'Statistics NZ'!AW$87-'Statistics NZ'!AV$87,$P$13/5*(AW$9-AW$10)*1000)</f>
        <v>33111.427893291642</v>
      </c>
      <c r="AX87" s="111">
        <f>SUM(AW$87,'Statistics NZ'!AX$87-'Statistics NZ'!AW$87,$P$13/5*(AX$9-AX$10)*1000)</f>
        <v>33881.427893291642</v>
      </c>
      <c r="AY87" s="111">
        <f>SUM(AX$87,'Statistics NZ'!AY$87-'Statistics NZ'!AX$87,$P$13/5*(AY$9-AY$10)*1000)</f>
        <v>34681.427893291642</v>
      </c>
      <c r="AZ87" s="111">
        <f>SUM(AY$87,'Statistics NZ'!AZ$87-'Statistics NZ'!AY$87,$P$13/5*(AZ$9-AZ$10)*1000)</f>
        <v>35301.427893291642</v>
      </c>
      <c r="BA87" s="111">
        <f>SUM(AZ$87,'Statistics NZ'!BA$87-'Statistics NZ'!AZ$87,$P$13/5*(BA$9-BA$10)*1000)</f>
        <v>36161.427893291642</v>
      </c>
      <c r="BB87" s="111">
        <f>SUM(BA$87,'Statistics NZ'!BB$87-'Statistics NZ'!BA$87,$P$13/5*(BB$9-BB$10)*1000)</f>
        <v>38571.427893291642</v>
      </c>
      <c r="BC87" s="111">
        <f>SUM(BB$87,'Statistics NZ'!BC$87-'Statistics NZ'!BB$87,$P$13/5*(BC$9-BC$10)*1000)</f>
        <v>38931.427893291642</v>
      </c>
      <c r="BD87" s="111">
        <f>SUM(BC$87,'Statistics NZ'!BD$87-'Statistics NZ'!BC$87,$P$13/5*(BD$9-BD$10)*1000)</f>
        <v>40581.427893291642</v>
      </c>
      <c r="BE87" s="111">
        <f>SUM(BD$87,'Statistics NZ'!BE$87-'Statistics NZ'!BD$87,$P$13/5*(BE$9-BE$10)*1000)</f>
        <v>41181.427893291642</v>
      </c>
      <c r="BF87" s="111">
        <f>SUM(BE$87,'Statistics NZ'!BF$87-'Statistics NZ'!BE$87,$P$13/5*(BF$9-BF$10)*1000)</f>
        <v>40861.427893291642</v>
      </c>
      <c r="BG87" s="111">
        <f>SUM(BF$87,'Statistics NZ'!BG$87-'Statistics NZ'!BF$87,$P$13/5*(BG$9-BG$10)*1000)</f>
        <v>40211.427893291642</v>
      </c>
      <c r="BH87" s="111">
        <f>SUM(BG$87,'Statistics NZ'!BH$87-'Statistics NZ'!BG$87,$P$13/5*(BH$9-BH$10)*1000)</f>
        <v>39091.427893291642</v>
      </c>
      <c r="BI87" s="111">
        <f>SUM(BH$87,'Statistics NZ'!BI$87-'Statistics NZ'!BH$87,$P$13/5*(BI$9-BI$10)*1000)</f>
        <v>38911.427893291642</v>
      </c>
      <c r="BJ87" s="111">
        <f>SUM(BI$87,'Statistics NZ'!BJ$87-'Statistics NZ'!BI$87,$P$13/5*(BJ$9-BJ$10)*1000)</f>
        <v>38581.427893291642</v>
      </c>
      <c r="BK87" s="111">
        <f>SUM(BJ$87,'Statistics NZ'!BK$87-'Statistics NZ'!BJ$87,$P$13/5*(BK$9-BK$10)*1000)</f>
        <v>38261.427893291642</v>
      </c>
      <c r="BL87" s="111">
        <f>SUM(BK$87,'Statistics NZ'!BL$87-'Statistics NZ'!BK$87,$P$13/5*(BL$9-BL$10)*1000)</f>
        <v>38261.427893291642</v>
      </c>
      <c r="BM87" s="195">
        <f>SUM(BL$87,'Statistics NZ'!BM$87-'Statistics NZ'!BL$87,$P$13/5*(BM$9-BM$10)*1000)</f>
        <v>37741.427893291642</v>
      </c>
      <c r="BN87" s="195">
        <f>SUM(BM$87,'Statistics NZ'!BN$87-'Statistics NZ'!BM$87,$P$13/5*(BN$9-BN$10)*1000)</f>
        <v>38511.427893291642</v>
      </c>
      <c r="BO87" s="195">
        <f>SUM(BN$87,'Statistics NZ'!BO$87-'Statistics NZ'!BN$87,$P$13/5*(BO$9-BO$10)*1000)</f>
        <v>38181.427893291642</v>
      </c>
      <c r="BP87" s="195">
        <f>SUM(BO$87,'Statistics NZ'!BP$87-'Statistics NZ'!BO$87,$P$13/5*(BP$9-BP$10)*1000)</f>
        <v>37311.427893291642</v>
      </c>
      <c r="BQ87" s="195">
        <f>SUM(BP$87,'Statistics NZ'!BQ$87-'Statistics NZ'!BP$87,$P$13/5*(BQ$9-BQ$10)*1000)</f>
        <v>37021.427893291642</v>
      </c>
    </row>
    <row r="88" spans="1:69">
      <c r="A88" s="105">
        <v>71</v>
      </c>
      <c r="B88" s="118">
        <f>'Statistics NZ'!B$88*'Economic Forecasts'!D$9*1000000/SUM('Statistics NZ'!B$32:B$107,'Statistics NZ'!B$125:B$200)</f>
        <v>12461.419704397631</v>
      </c>
      <c r="C88" s="118">
        <f>'Statistics NZ'!C$88*'Economic Forecasts'!E$9*1000000/SUM('Statistics NZ'!C$32:C$107,'Statistics NZ'!C$125:C$200)</f>
        <v>13062.376221283337</v>
      </c>
      <c r="D88" s="118">
        <f>'Statistics NZ'!D$88*'Economic Forecasts'!F$9*1000000/SUM('Statistics NZ'!D$32:D$107,'Statistics NZ'!D$125:D$200)</f>
        <v>13571.855485934419</v>
      </c>
      <c r="E88" s="118">
        <f>'Statistics NZ'!E$88*'Economic Forecasts'!G$9*1000000/SUM('Statistics NZ'!E$32:E$107,'Statistics NZ'!E$125:E$200)</f>
        <v>13975.028443919175</v>
      </c>
      <c r="F88" s="118">
        <f>'Statistics NZ'!F$88*'Economic Forecasts'!H$9*1000000/SUM('Statistics NZ'!F$32:F$107,'Statistics NZ'!F$125:F$200)</f>
        <v>14560.695476873114</v>
      </c>
      <c r="G88" s="118">
        <f>'Statistics NZ'!G$88*'Economic Forecasts'!I$9*1000000/SUM('Statistics NZ'!G$32:G$107,'Statistics NZ'!G$125:G$200)</f>
        <v>15666.072796162684</v>
      </c>
      <c r="H88" s="118">
        <f>'Statistics NZ'!H$88*'Economic Forecasts'!J$9*1000000/SUM('Statistics NZ'!H$32:H$107,'Statistics NZ'!H$125:H$200)</f>
        <v>16951.27217945383</v>
      </c>
      <c r="I88" s="118">
        <f>'Statistics NZ'!I$88*'Economic Forecasts'!K$9*1000000/SUM('Statistics NZ'!I$32:I$107,'Statistics NZ'!I$125:I$200)</f>
        <v>17290.585428394337</v>
      </c>
      <c r="J88" s="203">
        <f>'Statistics NZ'!J$88*'Economic Forecasts'!L$9*1000000/SUM('Statistics NZ'!J$32:J$107,'Statistics NZ'!J$125:J$200)</f>
        <v>15430.642592787824</v>
      </c>
      <c r="K88" s="203">
        <f>'Statistics NZ'!K$88*'Economic Forecasts'!M$9*1000000/SUM('Statistics NZ'!K$32:K$107,'Statistics NZ'!K$125:K$200)</f>
        <v>17145.171126136982</v>
      </c>
      <c r="L88" s="203">
        <f>'Statistics NZ'!L$88*'Economic Forecasts'!N$9*1000000/SUM('Statistics NZ'!L$32:L$107,'Statistics NZ'!L$125:L$200)</f>
        <v>18082.443705463182</v>
      </c>
      <c r="M88" s="203">
        <f>'Statistics NZ'!M$88*'Economic Forecasts'!O$9*1000000/SUM('Statistics NZ'!M$32:M$107,'Statistics NZ'!M$125:M$200)</f>
        <v>19001.37802405312</v>
      </c>
      <c r="N88" s="203">
        <f>'Statistics NZ'!N$88*'Economic Forecasts'!P$9*1000000/SUM('Statistics NZ'!N$32:N$107,'Statistics NZ'!N$125:N$200)</f>
        <v>22223.843080129081</v>
      </c>
      <c r="O88" s="203">
        <f>'Statistics NZ'!O$88*'Economic Forecasts'!Q$9*1000000/SUM('Statistics NZ'!O$32:O$107,'Statistics NZ'!O$125:O$200)</f>
        <v>22450.755363228054</v>
      </c>
      <c r="P88" s="203">
        <f>'Statistics NZ'!P$88*'Economic Forecasts'!R$9*1000000/SUM('Statistics NZ'!P$32:P$107,'Statistics NZ'!P$125:P$200)</f>
        <v>22234.417225042707</v>
      </c>
      <c r="Q88" s="121">
        <f>SUM('Statistics NZ'!Q$88,$P$13/5*(Q$9-Q$10)*1000)*'Economic Forecasts'!S$9*1000000/SUM('Statistics NZ'!Q$32:Q$107,'Statistics NZ'!Q$125:Q$200,SUM($E$13:$Q$14)*(Q$9-Q$10)*1000)</f>
        <v>22965.164881412536</v>
      </c>
      <c r="R88" s="205">
        <f>SUM('Statistics NZ'!R$88,$P$13/5*(R$9-R$10)*1000)*'Economic Forecasts'!T$9*1000000/SUM('Statistics NZ'!R$32:R$107,'Statistics NZ'!R$125:R$200,SUM($E$13:$Q$14)*(R$9-R$10)*1000)</f>
        <v>22902.649577082149</v>
      </c>
      <c r="S88" s="205">
        <f>SUM('Statistics NZ'!S$88,$P$13/5*(S$9-S$10)*1000)*'Economic Forecasts'!U$9*1000000/SUM('Statistics NZ'!S$32:S$107,'Statistics NZ'!S$125:S$200,SUM($E$13:$Q$14)*(S$9-S$10)*1000)</f>
        <v>23653.518813450373</v>
      </c>
      <c r="T88" s="205">
        <f>SUM('Statistics NZ'!T$88,$P$13/5*(T$9-T$10)*1000)*'Economic Forecasts'!V$9*1000000/SUM('Statistics NZ'!T$32:T$107,'Statistics NZ'!T$125:T$200,SUM($E$13:$Q$14)*(T$9-T$10)*1000)</f>
        <v>24249.002160779295</v>
      </c>
      <c r="U88" s="205">
        <f>SUM('Statistics NZ'!U$88,$P$13/5*(U$9-U$10)*1000)*'Economic Forecasts'!W$9*1000000/SUM('Statistics NZ'!U$32:U$107,'Statistics NZ'!U$125:U$200,SUM($E$13:$Q$14)*(U$9-U$10)*1000)</f>
        <v>25155.223829001148</v>
      </c>
      <c r="V88" s="111">
        <f>SUM(U$88,'Statistics NZ'!V$88-'Statistics NZ'!U$88,$P$13/5*(V$9-V$10)*1000)</f>
        <v>26033.707866226683</v>
      </c>
      <c r="W88" s="111">
        <f>SUM(V$88,'Statistics NZ'!W$88-'Statistics NZ'!V$88,$P$13/5*(W$9-W$10)*1000)</f>
        <v>26721.131398799025</v>
      </c>
      <c r="X88" s="111">
        <f>SUM(W$88,'Statistics NZ'!X$88-'Statistics NZ'!W$88,$P$13/5*(X$9-X$10)*1000)</f>
        <v>27377.494426718175</v>
      </c>
      <c r="Y88" s="111">
        <f>SUM(X$88,'Statistics NZ'!Y$88-'Statistics NZ'!X$88,$P$13/5*(Y$9-Y$10)*1000)</f>
        <v>28292.796949984135</v>
      </c>
      <c r="Z88" s="111">
        <f>SUM(Y$88,'Statistics NZ'!Z$88-'Statistics NZ'!Y$88,$P$13/5*(Z$9-Z$10)*1000)</f>
        <v>29357.038968596902</v>
      </c>
      <c r="AA88" s="111">
        <f>SUM(Z$88,'Statistics NZ'!AA$88-'Statistics NZ'!Z$88,$P$13/5*(AA$9-AA$10)*1000)</f>
        <v>29920.220482556477</v>
      </c>
      <c r="AB88" s="111">
        <f>SUM(AA$88,'Statistics NZ'!AB$88-'Statistics NZ'!AA$88,$P$13/5*(AB$9-AB$10)*1000)</f>
        <v>31292.341491862859</v>
      </c>
      <c r="AC88" s="111">
        <f>SUM(AB$88,'Statistics NZ'!AC$88-'Statistics NZ'!AB$88,$P$13/5*(AC$9-AC$10)*1000)</f>
        <v>32113.401996516051</v>
      </c>
      <c r="AD88" s="111">
        <f>SUM(AC$88,'Statistics NZ'!AD$88-'Statistics NZ'!AC$88,$P$13/5*(AD$9-AD$10)*1000)</f>
        <v>32673.401996516051</v>
      </c>
      <c r="AE88" s="111">
        <f>SUM(AD$88,'Statistics NZ'!AE$88-'Statistics NZ'!AD$88,$P$13/5*(AE$9-AE$10)*1000)</f>
        <v>32003.401996516051</v>
      </c>
      <c r="AF88" s="111">
        <f>SUM(AE$88,'Statistics NZ'!AF$88-'Statistics NZ'!AE$88,$P$13/5*(AF$9-AF$10)*1000)</f>
        <v>31223.401996516051</v>
      </c>
      <c r="AG88" s="111">
        <f>SUM(AF$88,'Statistics NZ'!AG$88-'Statistics NZ'!AF$88,$P$13/5*(AG$9-AG$10)*1000)</f>
        <v>30773.401996516051</v>
      </c>
      <c r="AH88" s="111">
        <f>SUM(AG$88,'Statistics NZ'!AH$88-'Statistics NZ'!AG$88,$P$13/5*(AH$9-AH$10)*1000)</f>
        <v>31233.401996516051</v>
      </c>
      <c r="AI88" s="111">
        <f>SUM(AH$88,'Statistics NZ'!AI$88-'Statistics NZ'!AH$88,$P$13/5*(AI$9-AI$10)*1000)</f>
        <v>31943.401996516051</v>
      </c>
      <c r="AJ88" s="111">
        <f>SUM(AI$88,'Statistics NZ'!AJ$88-'Statistics NZ'!AI$88,$P$13/5*(AJ$9-AJ$10)*1000)</f>
        <v>32543.401996516051</v>
      </c>
      <c r="AK88" s="111">
        <f>SUM(AJ$88,'Statistics NZ'!AK$88-'Statistics NZ'!AJ$88,$P$13/5*(AK$9-AK$10)*1000)</f>
        <v>32393.401996516051</v>
      </c>
      <c r="AL88" s="111">
        <f>SUM(AK$88,'Statistics NZ'!AL$88-'Statistics NZ'!AK$88,$P$13/5*(AL$9-AL$10)*1000)</f>
        <v>33773.401996516055</v>
      </c>
      <c r="AM88" s="111">
        <f>SUM(AL$88,'Statistics NZ'!AM$88-'Statistics NZ'!AL$88,$P$13/5*(AM$9-AM$10)*1000)</f>
        <v>33373.401996516055</v>
      </c>
      <c r="AN88" s="111">
        <f>SUM(AM$88,'Statistics NZ'!AN$88-'Statistics NZ'!AM$88,$P$13/5*(AN$9-AN$10)*1000)</f>
        <v>32233.401996516055</v>
      </c>
      <c r="AO88" s="111">
        <f>SUM(AN$88,'Statistics NZ'!AO$88-'Statistics NZ'!AN$88,$P$13/5*(AO$9-AO$10)*1000)</f>
        <v>31573.401996516055</v>
      </c>
      <c r="AP88" s="111">
        <f>SUM(AO$88,'Statistics NZ'!AP$88-'Statistics NZ'!AO$88,$P$13/5*(AP$9-AP$10)*1000)</f>
        <v>30403.401996516055</v>
      </c>
      <c r="AQ88" s="111">
        <f>SUM(AP$88,'Statistics NZ'!AQ$88-'Statistics NZ'!AP$88,$P$13/5*(AQ$9-AQ$10)*1000)</f>
        <v>29183.401996516055</v>
      </c>
      <c r="AR88" s="111">
        <f>SUM(AQ$88,'Statistics NZ'!AR$88-'Statistics NZ'!AQ$88,$P$13/5*(AR$9-AR$10)*1000)</f>
        <v>29393.401996516055</v>
      </c>
      <c r="AS88" s="111">
        <f>SUM(AR$88,'Statistics NZ'!AS$88-'Statistics NZ'!AR$88,$P$13/5*(AS$9-AS$10)*1000)</f>
        <v>29353.401996516055</v>
      </c>
      <c r="AT88" s="111">
        <f>SUM(AS$88,'Statistics NZ'!AT$88-'Statistics NZ'!AS$88,$P$13/5*(AT$9-AT$10)*1000)</f>
        <v>30303.401996516055</v>
      </c>
      <c r="AU88" s="111">
        <f>SUM(AT$88,'Statistics NZ'!AU$88-'Statistics NZ'!AT$88,$P$13/5*(AU$9-AU$10)*1000)</f>
        <v>30713.401996516055</v>
      </c>
      <c r="AV88" s="111">
        <f>SUM(AU$88,'Statistics NZ'!AV$88-'Statistics NZ'!AU$88,$P$13/5*(AV$9-AV$10)*1000)</f>
        <v>31113.401996516055</v>
      </c>
      <c r="AW88" s="111">
        <f>SUM(AV$88,'Statistics NZ'!AW$88-'Statistics NZ'!AV$88,$P$13/5*(AW$9-AW$10)*1000)</f>
        <v>32183.401996516055</v>
      </c>
      <c r="AX88" s="111">
        <f>SUM(AW$88,'Statistics NZ'!AX$88-'Statistics NZ'!AW$88,$P$13/5*(AX$9-AX$10)*1000)</f>
        <v>32963.401996516055</v>
      </c>
      <c r="AY88" s="111">
        <f>SUM(AX$88,'Statistics NZ'!AY$88-'Statistics NZ'!AX$88,$P$13/5*(AY$9-AY$10)*1000)</f>
        <v>33743.401996516055</v>
      </c>
      <c r="AZ88" s="111">
        <f>SUM(AY$88,'Statistics NZ'!AZ$88-'Statistics NZ'!AY$88,$P$13/5*(AZ$9-AZ$10)*1000)</f>
        <v>34533.401996516055</v>
      </c>
      <c r="BA88" s="111">
        <f>SUM(AZ$88,'Statistics NZ'!BA$88-'Statistics NZ'!AZ$88,$P$13/5*(BA$9-BA$10)*1000)</f>
        <v>35153.401996516055</v>
      </c>
      <c r="BB88" s="111">
        <f>SUM(BA$88,'Statistics NZ'!BB$88-'Statistics NZ'!BA$88,$P$13/5*(BB$9-BB$10)*1000)</f>
        <v>36013.401996516055</v>
      </c>
      <c r="BC88" s="111">
        <f>SUM(BB$88,'Statistics NZ'!BC$88-'Statistics NZ'!BB$88,$P$13/5*(BC$9-BC$10)*1000)</f>
        <v>38413.401996516055</v>
      </c>
      <c r="BD88" s="111">
        <f>SUM(BC$88,'Statistics NZ'!BD$88-'Statistics NZ'!BC$88,$P$13/5*(BD$9-BD$10)*1000)</f>
        <v>38783.401996516055</v>
      </c>
      <c r="BE88" s="111">
        <f>SUM(BD$88,'Statistics NZ'!BE$88-'Statistics NZ'!BD$88,$P$13/5*(BE$9-BE$10)*1000)</f>
        <v>40423.401996516055</v>
      </c>
      <c r="BF88" s="111">
        <f>SUM(BE$88,'Statistics NZ'!BF$88-'Statistics NZ'!BE$88,$P$13/5*(BF$9-BF$10)*1000)</f>
        <v>41023.401996516055</v>
      </c>
      <c r="BG88" s="111">
        <f>SUM(BF$88,'Statistics NZ'!BG$88-'Statistics NZ'!BF$88,$P$13/5*(BG$9-BG$10)*1000)</f>
        <v>40713.401996516055</v>
      </c>
      <c r="BH88" s="111">
        <f>SUM(BG$88,'Statistics NZ'!BH$88-'Statistics NZ'!BG$88,$P$13/5*(BH$9-BH$10)*1000)</f>
        <v>40073.401996516055</v>
      </c>
      <c r="BI88" s="111">
        <f>SUM(BH$88,'Statistics NZ'!BI$88-'Statistics NZ'!BH$88,$P$13/5*(BI$9-BI$10)*1000)</f>
        <v>38953.401996516055</v>
      </c>
      <c r="BJ88" s="111">
        <f>SUM(BI$88,'Statistics NZ'!BJ$88-'Statistics NZ'!BI$88,$P$13/5*(BJ$9-BJ$10)*1000)</f>
        <v>38773.401996516055</v>
      </c>
      <c r="BK88" s="111">
        <f>SUM(BJ$88,'Statistics NZ'!BK$88-'Statistics NZ'!BJ$88,$P$13/5*(BK$9-BK$10)*1000)</f>
        <v>38453.401996516055</v>
      </c>
      <c r="BL88" s="111">
        <f>SUM(BK$88,'Statistics NZ'!BL$88-'Statistics NZ'!BK$88,$P$13/5*(BL$9-BL$10)*1000)</f>
        <v>38143.401996516055</v>
      </c>
      <c r="BM88" s="195">
        <f>SUM(BL$88,'Statistics NZ'!BM$88-'Statistics NZ'!BL$88,$P$13/5*(BM$9-BM$10)*1000)</f>
        <v>38143.401996516055</v>
      </c>
      <c r="BN88" s="195">
        <f>SUM(BM$88,'Statistics NZ'!BN$88-'Statistics NZ'!BM$88,$P$13/5*(BN$9-BN$10)*1000)</f>
        <v>37623.401996516055</v>
      </c>
      <c r="BO88" s="195">
        <f>SUM(BN$88,'Statistics NZ'!BO$88-'Statistics NZ'!BN$88,$P$13/5*(BO$9-BO$10)*1000)</f>
        <v>38393.401996516055</v>
      </c>
      <c r="BP88" s="195">
        <f>SUM(BO$88,'Statistics NZ'!BP$88-'Statistics NZ'!BO$88,$P$13/5*(BP$9-BP$10)*1000)</f>
        <v>38073.401996516055</v>
      </c>
      <c r="BQ88" s="195">
        <f>SUM(BP$88,'Statistics NZ'!BQ$88-'Statistics NZ'!BP$88,$P$13/5*(BQ$9-BQ$10)*1000)</f>
        <v>37213.401996516055</v>
      </c>
    </row>
    <row r="89" spans="1:69">
      <c r="A89" s="105">
        <v>72</v>
      </c>
      <c r="B89" s="118">
        <f>'Statistics NZ'!B$89*'Economic Forecasts'!D$9*1000000/SUM('Statistics NZ'!B$32:B$107,'Statistics NZ'!B$125:B$200)</f>
        <v>12224.997512377438</v>
      </c>
      <c r="C89" s="118">
        <f>'Statistics NZ'!C$89*'Economic Forecasts'!E$9*1000000/SUM('Statistics NZ'!C$32:C$107,'Statistics NZ'!C$125:C$200)</f>
        <v>12263.846052284131</v>
      </c>
      <c r="D89" s="118">
        <f>'Statistics NZ'!D$89*'Economic Forecasts'!F$9*1000000/SUM('Statistics NZ'!D$32:D$107,'Statistics NZ'!D$125:D$200)</f>
        <v>12852.359879200058</v>
      </c>
      <c r="E89" s="118">
        <f>'Statistics NZ'!E$89*'Economic Forecasts'!G$9*1000000/SUM('Statistics NZ'!E$32:E$107,'Statistics NZ'!E$125:E$200)</f>
        <v>13334.875625839721</v>
      </c>
      <c r="F89" s="118">
        <f>'Statistics NZ'!F$89*'Economic Forecasts'!H$9*1000000/SUM('Statistics NZ'!F$32:F$107,'Statistics NZ'!F$125:F$200)</f>
        <v>13792.269057931229</v>
      </c>
      <c r="G89" s="118">
        <f>'Statistics NZ'!G$89*'Economic Forecasts'!I$9*1000000/SUM('Statistics NZ'!G$32:G$107,'Statistics NZ'!G$125:G$200)</f>
        <v>14355.640291829577</v>
      </c>
      <c r="H89" s="118">
        <f>'Statistics NZ'!H$89*'Economic Forecasts'!J$9*1000000/SUM('Statistics NZ'!H$32:H$107,'Statistics NZ'!H$125:H$200)</f>
        <v>15444.273548741199</v>
      </c>
      <c r="I89" s="118">
        <f>'Statistics NZ'!I$89*'Economic Forecasts'!K$9*1000000/SUM('Statistics NZ'!I$32:I$107,'Statistics NZ'!I$125:I$200)</f>
        <v>16690.286218871257</v>
      </c>
      <c r="J89" s="203">
        <f>'Statistics NZ'!J$89*'Economic Forecasts'!L$9*1000000/SUM('Statistics NZ'!J$32:J$107,'Statistics NZ'!J$125:J$200)</f>
        <v>17022.849025928987</v>
      </c>
      <c r="K89" s="203">
        <f>'Statistics NZ'!K$89*'Economic Forecasts'!M$9*1000000/SUM('Statistics NZ'!K$32:K$107,'Statistics NZ'!K$125:K$200)</f>
        <v>15180.10853288346</v>
      </c>
      <c r="L89" s="203">
        <f>'Statistics NZ'!L$89*'Economic Forecasts'!N$9*1000000/SUM('Statistics NZ'!L$32:L$107,'Statistics NZ'!L$125:L$200)</f>
        <v>16910.433465294271</v>
      </c>
      <c r="M89" s="203">
        <f>'Statistics NZ'!M$89*'Economic Forecasts'!O$9*1000000/SUM('Statistics NZ'!M$32:M$107,'Statistics NZ'!M$125:M$200)</f>
        <v>17799.631980022805</v>
      </c>
      <c r="N89" s="203">
        <f>'Statistics NZ'!N$89*'Economic Forecasts'!P$9*1000000/SUM('Statistics NZ'!N$32:N$107,'Statistics NZ'!N$125:N$200)</f>
        <v>18730.397054211815</v>
      </c>
      <c r="O89" s="203">
        <f>'Statistics NZ'!O$89*'Economic Forecasts'!Q$9*1000000/SUM('Statistics NZ'!O$32:O$107,'Statistics NZ'!O$125:O$200)</f>
        <v>21967.200632327756</v>
      </c>
      <c r="P89" s="203">
        <f>'Statistics NZ'!P$89*'Economic Forecasts'!R$9*1000000/SUM('Statistics NZ'!P$32:P$107,'Statistics NZ'!P$125:P$200)</f>
        <v>22402.261404805464</v>
      </c>
      <c r="Q89" s="121">
        <f>SUM('Statistics NZ'!Q$89,$P$13/5*(Q$9-Q$10)*1000)*'Economic Forecasts'!S$9*1000000/SUM('Statistics NZ'!Q$32:Q$107,'Statistics NZ'!Q$125:Q$200,SUM($E$13:$Q$14)*(Q$9-Q$10)*1000)</f>
        <v>22006.181838336743</v>
      </c>
      <c r="R89" s="205">
        <f>SUM('Statistics NZ'!R$89,$P$13/5*(R$9-R$10)*1000)*'Economic Forecasts'!T$9*1000000/SUM('Statistics NZ'!R$32:R$107,'Statistics NZ'!R$125:R$200,SUM($E$13:$Q$14)*(R$9-R$10)*1000)</f>
        <v>22714.831174082217</v>
      </c>
      <c r="S89" s="205">
        <f>SUM('Statistics NZ'!S$89,$P$13/5*(S$9-S$10)*1000)*'Economic Forecasts'!U$9*1000000/SUM('Statistics NZ'!S$32:S$107,'Statistics NZ'!S$125:S$200,SUM($E$13:$Q$14)*(S$9-S$10)*1000)</f>
        <v>22645.769420518085</v>
      </c>
      <c r="T89" s="205">
        <f>SUM('Statistics NZ'!T$89,$P$13/5*(T$9-T$10)*1000)*'Economic Forecasts'!V$9*1000000/SUM('Statistics NZ'!T$32:T$107,'Statistics NZ'!T$125:T$200,SUM($E$13:$Q$14)*(T$9-T$10)*1000)</f>
        <v>23409.262996141781</v>
      </c>
      <c r="U89" s="205">
        <f>SUM('Statistics NZ'!U$89,$P$13/5*(U$9-U$10)*1000)*'Economic Forecasts'!W$9*1000000/SUM('Statistics NZ'!U$32:U$107,'Statistics NZ'!U$125:U$200,SUM($E$13:$Q$14)*(U$9-U$10)*1000)</f>
        <v>24037.413681833204</v>
      </c>
      <c r="V89" s="111">
        <f>SUM(U$89,'Statistics NZ'!V$89-'Statistics NZ'!U$89,$P$13/5*(V$9-V$10)*1000)</f>
        <v>24925.897719058739</v>
      </c>
      <c r="W89" s="111">
        <f>SUM(V$89,'Statistics NZ'!W$89-'Statistics NZ'!V$89,$P$13/5*(W$9-W$10)*1000)</f>
        <v>25803.321251631081</v>
      </c>
      <c r="X89" s="111">
        <f>SUM(W$89,'Statistics NZ'!X$89-'Statistics NZ'!W$89,$P$13/5*(X$9-X$10)*1000)</f>
        <v>26479.684279550231</v>
      </c>
      <c r="Y89" s="111">
        <f>SUM(X$89,'Statistics NZ'!Y$89-'Statistics NZ'!X$89,$P$13/5*(Y$9-Y$10)*1000)</f>
        <v>27134.986802816191</v>
      </c>
      <c r="Z89" s="111">
        <f>SUM(Y$89,'Statistics NZ'!Z$89-'Statistics NZ'!Y$89,$P$13/5*(Z$9-Z$10)*1000)</f>
        <v>28049.228821428958</v>
      </c>
      <c r="AA89" s="111">
        <f>SUM(Z$89,'Statistics NZ'!AA$89-'Statistics NZ'!Z$89,$P$13/5*(AA$9-AA$10)*1000)</f>
        <v>29102.410335388533</v>
      </c>
      <c r="AB89" s="111">
        <f>SUM(AA$89,'Statistics NZ'!AB$89-'Statistics NZ'!AA$89,$P$13/5*(AB$9-AB$10)*1000)</f>
        <v>29664.531344694915</v>
      </c>
      <c r="AC89" s="111">
        <f>SUM(AB$89,'Statistics NZ'!AC$89-'Statistics NZ'!AB$89,$P$13/5*(AC$9-AC$10)*1000)</f>
        <v>31035.591849348108</v>
      </c>
      <c r="AD89" s="111">
        <f>SUM(AC$89,'Statistics NZ'!AD$89-'Statistics NZ'!AC$89,$P$13/5*(AD$9-AD$10)*1000)</f>
        <v>31855.591849348108</v>
      </c>
      <c r="AE89" s="111">
        <f>SUM(AD$89,'Statistics NZ'!AE$89-'Statistics NZ'!AD$89,$P$13/5*(AE$9-AE$10)*1000)</f>
        <v>32405.591849348108</v>
      </c>
      <c r="AF89" s="111">
        <f>SUM(AE$89,'Statistics NZ'!AF$89-'Statistics NZ'!AE$89,$P$13/5*(AF$9-AF$10)*1000)</f>
        <v>31755.591849348108</v>
      </c>
      <c r="AG89" s="111">
        <f>SUM(AF$89,'Statistics NZ'!AG$89-'Statistics NZ'!AF$89,$P$13/5*(AG$9-AG$10)*1000)</f>
        <v>30985.591849348108</v>
      </c>
      <c r="AH89" s="111">
        <f>SUM(AG$89,'Statistics NZ'!AH$89-'Statistics NZ'!AG$89,$P$13/5*(AH$9-AH$10)*1000)</f>
        <v>30545.591849348108</v>
      </c>
      <c r="AI89" s="111">
        <f>SUM(AH$89,'Statistics NZ'!AI$89-'Statistics NZ'!AH$89,$P$13/5*(AI$9-AI$10)*1000)</f>
        <v>31005.591849348108</v>
      </c>
      <c r="AJ89" s="111">
        <f>SUM(AI$89,'Statistics NZ'!AJ$89-'Statistics NZ'!AI$89,$P$13/5*(AJ$9-AJ$10)*1000)</f>
        <v>31715.591849348108</v>
      </c>
      <c r="AK89" s="111">
        <f>SUM(AJ$89,'Statistics NZ'!AK$89-'Statistics NZ'!AJ$89,$P$13/5*(AK$9-AK$10)*1000)</f>
        <v>32315.591849348108</v>
      </c>
      <c r="AL89" s="111">
        <f>SUM(AK$89,'Statistics NZ'!AL$89-'Statistics NZ'!AK$89,$P$13/5*(AL$9-AL$10)*1000)</f>
        <v>32165.591849348108</v>
      </c>
      <c r="AM89" s="111">
        <f>SUM(AL$89,'Statistics NZ'!AM$89-'Statistics NZ'!AL$89,$P$13/5*(AM$9-AM$10)*1000)</f>
        <v>33555.591849348108</v>
      </c>
      <c r="AN89" s="111">
        <f>SUM(AM$89,'Statistics NZ'!AN$89-'Statistics NZ'!AM$89,$P$13/5*(AN$9-AN$10)*1000)</f>
        <v>33155.591849348108</v>
      </c>
      <c r="AO89" s="111">
        <f>SUM(AN$89,'Statistics NZ'!AO$89-'Statistics NZ'!AN$89,$P$13/5*(AO$9-AO$10)*1000)</f>
        <v>32035.591849348108</v>
      </c>
      <c r="AP89" s="111">
        <f>SUM(AO$89,'Statistics NZ'!AP$89-'Statistics NZ'!AO$89,$P$13/5*(AP$9-AP$10)*1000)</f>
        <v>31375.591849348108</v>
      </c>
      <c r="AQ89" s="111">
        <f>SUM(AP$89,'Statistics NZ'!AQ$89-'Statistics NZ'!AP$89,$P$13/5*(AQ$9-AQ$10)*1000)</f>
        <v>30225.591849348108</v>
      </c>
      <c r="AR89" s="111">
        <f>SUM(AQ$89,'Statistics NZ'!AR$89-'Statistics NZ'!AQ$89,$P$13/5*(AR$9-AR$10)*1000)</f>
        <v>29005.591849348108</v>
      </c>
      <c r="AS89" s="111">
        <f>SUM(AR$89,'Statistics NZ'!AS$89-'Statistics NZ'!AR$89,$P$13/5*(AS$9-AS$10)*1000)</f>
        <v>29225.591849348108</v>
      </c>
      <c r="AT89" s="111">
        <f>SUM(AS$89,'Statistics NZ'!AT$89-'Statistics NZ'!AS$89,$P$13/5*(AT$9-AT$10)*1000)</f>
        <v>29185.591849348108</v>
      </c>
      <c r="AU89" s="111">
        <f>SUM(AT$89,'Statistics NZ'!AU$89-'Statistics NZ'!AT$89,$P$13/5*(AU$9-AU$10)*1000)</f>
        <v>30135.591849348108</v>
      </c>
      <c r="AV89" s="111">
        <f>SUM(AU$89,'Statistics NZ'!AV$89-'Statistics NZ'!AU$89,$P$13/5*(AV$9-AV$10)*1000)</f>
        <v>30545.591849348108</v>
      </c>
      <c r="AW89" s="111">
        <f>SUM(AV$89,'Statistics NZ'!AW$89-'Statistics NZ'!AV$89,$P$13/5*(AW$9-AW$10)*1000)</f>
        <v>30955.591849348108</v>
      </c>
      <c r="AX89" s="111">
        <f>SUM(AW$89,'Statistics NZ'!AX$89-'Statistics NZ'!AW$89,$P$13/5*(AX$9-AX$10)*1000)</f>
        <v>32015.591849348108</v>
      </c>
      <c r="AY89" s="111">
        <f>SUM(AX$89,'Statistics NZ'!AY$89-'Statistics NZ'!AX$89,$P$13/5*(AY$9-AY$10)*1000)</f>
        <v>32795.591849348108</v>
      </c>
      <c r="AZ89" s="111">
        <f>SUM(AY$89,'Statistics NZ'!AZ$89-'Statistics NZ'!AY$89,$P$13/5*(AZ$9-AZ$10)*1000)</f>
        <v>33575.591849348108</v>
      </c>
      <c r="BA89" s="111">
        <f>SUM(AZ$89,'Statistics NZ'!BA$89-'Statistics NZ'!AZ$89,$P$13/5*(BA$9-BA$10)*1000)</f>
        <v>34365.591849348108</v>
      </c>
      <c r="BB89" s="111">
        <f>SUM(BA$89,'Statistics NZ'!BB$89-'Statistics NZ'!BA$89,$P$13/5*(BB$9-BB$10)*1000)</f>
        <v>34985.591849348108</v>
      </c>
      <c r="BC89" s="111">
        <f>SUM(BB$89,'Statistics NZ'!BC$89-'Statistics NZ'!BB$89,$P$13/5*(BC$9-BC$10)*1000)</f>
        <v>35845.591849348108</v>
      </c>
      <c r="BD89" s="111">
        <f>SUM(BC$89,'Statistics NZ'!BD$89-'Statistics NZ'!BC$89,$P$13/5*(BD$9-BD$10)*1000)</f>
        <v>38235.591849348108</v>
      </c>
      <c r="BE89" s="111">
        <f>SUM(BD$89,'Statistics NZ'!BE$89-'Statistics NZ'!BD$89,$P$13/5*(BE$9-BE$10)*1000)</f>
        <v>38605.591849348108</v>
      </c>
      <c r="BF89" s="111">
        <f>SUM(BE$89,'Statistics NZ'!BF$89-'Statistics NZ'!BE$89,$P$13/5*(BF$9-BF$10)*1000)</f>
        <v>40245.591849348108</v>
      </c>
      <c r="BG89" s="111">
        <f>SUM(BF$89,'Statistics NZ'!BG$89-'Statistics NZ'!BF$89,$P$13/5*(BG$9-BG$10)*1000)</f>
        <v>40845.591849348108</v>
      </c>
      <c r="BH89" s="111">
        <f>SUM(BG$89,'Statistics NZ'!BH$89-'Statistics NZ'!BG$89,$P$13/5*(BH$9-BH$10)*1000)</f>
        <v>40545.591849348108</v>
      </c>
      <c r="BI89" s="111">
        <f>SUM(BH$89,'Statistics NZ'!BI$89-'Statistics NZ'!BH$89,$P$13/5*(BI$9-BI$10)*1000)</f>
        <v>39905.591849348108</v>
      </c>
      <c r="BJ89" s="111">
        <f>SUM(BI$89,'Statistics NZ'!BJ$89-'Statistics NZ'!BI$89,$P$13/5*(BJ$9-BJ$10)*1000)</f>
        <v>38795.591849348108</v>
      </c>
      <c r="BK89" s="111">
        <f>SUM(BJ$89,'Statistics NZ'!BK$89-'Statistics NZ'!BJ$89,$P$13/5*(BK$9-BK$10)*1000)</f>
        <v>38625.591849348108</v>
      </c>
      <c r="BL89" s="111">
        <f>SUM(BK$89,'Statistics NZ'!BL$89-'Statistics NZ'!BK$89,$P$13/5*(BL$9-BL$10)*1000)</f>
        <v>38305.591849348108</v>
      </c>
      <c r="BM89" s="195">
        <f>SUM(BL$89,'Statistics NZ'!BM$89-'Statistics NZ'!BL$89,$P$13/5*(BM$9-BM$10)*1000)</f>
        <v>38005.591849348108</v>
      </c>
      <c r="BN89" s="195">
        <f>SUM(BM$89,'Statistics NZ'!BN$89-'Statistics NZ'!BM$89,$P$13/5*(BN$9-BN$10)*1000)</f>
        <v>38005.591849348108</v>
      </c>
      <c r="BO89" s="195">
        <f>SUM(BN$89,'Statistics NZ'!BO$89-'Statistics NZ'!BN$89,$P$13/5*(BO$9-BO$10)*1000)</f>
        <v>37485.591849348108</v>
      </c>
      <c r="BP89" s="195">
        <f>SUM(BO$89,'Statistics NZ'!BP$89-'Statistics NZ'!BO$89,$P$13/5*(BP$9-BP$10)*1000)</f>
        <v>38265.591849348108</v>
      </c>
      <c r="BQ89" s="195">
        <f>SUM(BP$89,'Statistics NZ'!BQ$89-'Statistics NZ'!BP$89,$P$13/5*(BQ$9-BQ$10)*1000)</f>
        <v>37945.591849348108</v>
      </c>
    </row>
    <row r="90" spans="1:69">
      <c r="A90" s="105">
        <v>73</v>
      </c>
      <c r="B90" s="118">
        <f>'Statistics NZ'!B$90*'Economic Forecasts'!D$9*1000000/SUM('Statistics NZ'!B$32:B$107,'Statistics NZ'!B$125:B$200)</f>
        <v>12116.637341034851</v>
      </c>
      <c r="C90" s="118">
        <f>'Statistics NZ'!C$90*'Economic Forecasts'!E$9*1000000/SUM('Statistics NZ'!C$32:C$107,'Statistics NZ'!C$125:C$200)</f>
        <v>11977.952534988117</v>
      </c>
      <c r="D90" s="118">
        <f>'Statistics NZ'!D$90*'Economic Forecasts'!F$9*1000000/SUM('Statistics NZ'!D$32:D$107,'Statistics NZ'!D$125:D$200)</f>
        <v>12004.734917841772</v>
      </c>
      <c r="E90" s="118">
        <f>'Statistics NZ'!E$90*'Economic Forecasts'!G$9*1000000/SUM('Statistics NZ'!E$32:E$107,'Statistics NZ'!E$125:E$200)</f>
        <v>12586.389253931435</v>
      </c>
      <c r="F90" s="118">
        <f>'Statistics NZ'!F$90*'Economic Forecasts'!H$9*1000000/SUM('Statistics NZ'!F$32:F$107,'Statistics NZ'!F$125:F$200)</f>
        <v>13082.952363523338</v>
      </c>
      <c r="G90" s="118">
        <f>'Statistics NZ'!G$90*'Economic Forecasts'!I$9*1000000/SUM('Statistics NZ'!G$32:G$107,'Statistics NZ'!G$125:G$200)</f>
        <v>13557.557338062799</v>
      </c>
      <c r="H90" s="118">
        <f>'Statistics NZ'!H$90*'Economic Forecasts'!J$9*1000000/SUM('Statistics NZ'!H$32:H$107,'Statistics NZ'!H$125:H$200)</f>
        <v>14134.268203089046</v>
      </c>
      <c r="I90" s="118">
        <f>'Statistics NZ'!I$90*'Economic Forecasts'!K$9*1000000/SUM('Statistics NZ'!I$32:I$107,'Statistics NZ'!I$125:I$200)</f>
        <v>15243.663533627108</v>
      </c>
      <c r="J90" s="203">
        <f>'Statistics NZ'!J$90*'Economic Forecasts'!L$9*1000000/SUM('Statistics NZ'!J$32:J$107,'Statistics NZ'!J$125:J$200)</f>
        <v>16413.486070035455</v>
      </c>
      <c r="K90" s="203">
        <f>'Statistics NZ'!K$90*'Economic Forecasts'!M$9*1000000/SUM('Statistics NZ'!K$32:K$107,'Statistics NZ'!K$125:K$200)</f>
        <v>16752.158607486279</v>
      </c>
      <c r="L90" s="203">
        <f>'Statistics NZ'!L$90*'Economic Forecasts'!N$9*1000000/SUM('Statistics NZ'!L$32:L$107,'Statistics NZ'!L$125:L$200)</f>
        <v>14970.214832409605</v>
      </c>
      <c r="M90" s="203">
        <f>'Statistics NZ'!M$90*'Economic Forecasts'!O$9*1000000/SUM('Statistics NZ'!M$32:M$107,'Statistics NZ'!M$125:M$200)</f>
        <v>16588.035558582404</v>
      </c>
      <c r="N90" s="203">
        <f>'Statistics NZ'!N$90*'Economic Forecasts'!P$9*1000000/SUM('Statistics NZ'!N$32:N$107,'Statistics NZ'!N$125:N$200)</f>
        <v>17486.96711278363</v>
      </c>
      <c r="O90" s="203">
        <f>'Statistics NZ'!O$90*'Economic Forecasts'!Q$9*1000000/SUM('Statistics NZ'!O$32:O$107,'Statistics NZ'!O$125:O$200)</f>
        <v>18444.159021482737</v>
      </c>
      <c r="P90" s="203">
        <f>'Statistics NZ'!P$90*'Economic Forecasts'!R$9*1000000/SUM('Statistics NZ'!P$32:P$107,'Statistics NZ'!P$125:P$200)</f>
        <v>21869.109304382593</v>
      </c>
      <c r="Q90" s="121">
        <f>SUM('Statistics NZ'!Q$90,$P$13/5*(Q$9-Q$10)*1000)*'Economic Forecasts'!S$9*1000000/SUM('Statistics NZ'!Q$32:Q$107,'Statistics NZ'!Q$125:Q$200,SUM($E$13:$Q$14)*(Q$9-Q$10)*1000)</f>
        <v>22144.591762079643</v>
      </c>
      <c r="R90" s="205">
        <f>SUM('Statistics NZ'!R$90,$P$13/5*(R$9-R$10)*1000)*'Economic Forecasts'!T$9*1000000/SUM('Statistics NZ'!R$32:R$107,'Statistics NZ'!R$125:R$200,SUM($E$13:$Q$14)*(R$9-R$10)*1000)</f>
        <v>21726.313263556236</v>
      </c>
      <c r="S90" s="205">
        <f>SUM('Statistics NZ'!S$90,$P$13/5*(S$9-S$10)*1000)*'Economic Forecasts'!U$9*1000000/SUM('Statistics NZ'!S$32:S$107,'Statistics NZ'!S$125:S$200,SUM($E$13:$Q$14)*(S$9-S$10)*1000)</f>
        <v>22428.411708317006</v>
      </c>
      <c r="T90" s="205">
        <f>SUM('Statistics NZ'!T$90,$P$13/5*(T$9-T$10)*1000)*'Economic Forecasts'!V$9*1000000/SUM('Statistics NZ'!T$32:T$107,'Statistics NZ'!T$125:T$200,SUM($E$13:$Q$14)*(T$9-T$10)*1000)</f>
        <v>22381.817429997056</v>
      </c>
      <c r="U90" s="205">
        <f>SUM('Statistics NZ'!U$90,$P$13/5*(U$9-U$10)*1000)*'Economic Forecasts'!W$9*1000000/SUM('Statistics NZ'!U$32:U$107,'Statistics NZ'!U$125:U$200,SUM($E$13:$Q$14)*(U$9-U$10)*1000)</f>
        <v>23166.906664569669</v>
      </c>
      <c r="V90" s="111">
        <f>SUM(U$90,'Statistics NZ'!V$90-'Statistics NZ'!U$90,$P$13/5*(V$9-V$10)*1000)</f>
        <v>23785.390701795204</v>
      </c>
      <c r="W90" s="111">
        <f>SUM(V$90,'Statistics NZ'!W$90-'Statistics NZ'!V$90,$P$13/5*(W$9-W$10)*1000)</f>
        <v>24662.814234367546</v>
      </c>
      <c r="X90" s="111">
        <f>SUM(W$90,'Statistics NZ'!X$90-'Statistics NZ'!W$90,$P$13/5*(X$9-X$10)*1000)</f>
        <v>25529.177262286696</v>
      </c>
      <c r="Y90" s="111">
        <f>SUM(X$90,'Statistics NZ'!Y$90-'Statistics NZ'!X$90,$P$13/5*(Y$9-Y$10)*1000)</f>
        <v>26214.479785552656</v>
      </c>
      <c r="Z90" s="111">
        <f>SUM(Y$90,'Statistics NZ'!Z$90-'Statistics NZ'!Y$90,$P$13/5*(Z$9-Z$10)*1000)</f>
        <v>26868.721804165423</v>
      </c>
      <c r="AA90" s="111">
        <f>SUM(Z$90,'Statistics NZ'!AA$90-'Statistics NZ'!Z$90,$P$13/5*(AA$9-AA$10)*1000)</f>
        <v>27771.903318124998</v>
      </c>
      <c r="AB90" s="111">
        <f>SUM(AA$90,'Statistics NZ'!AB$90-'Statistics NZ'!AA$90,$P$13/5*(AB$9-AB$10)*1000)</f>
        <v>28824.02432743138</v>
      </c>
      <c r="AC90" s="111">
        <f>SUM(AB$90,'Statistics NZ'!AC$90-'Statistics NZ'!AB$90,$P$13/5*(AC$9-AC$10)*1000)</f>
        <v>29385.084832084573</v>
      </c>
      <c r="AD90" s="111">
        <f>SUM(AC$90,'Statistics NZ'!AD$90-'Statistics NZ'!AC$90,$P$13/5*(AD$9-AD$10)*1000)</f>
        <v>30745.084832084573</v>
      </c>
      <c r="AE90" s="111">
        <f>SUM(AD$90,'Statistics NZ'!AE$90-'Statistics NZ'!AD$90,$P$13/5*(AE$9-AE$10)*1000)</f>
        <v>31565.084832084573</v>
      </c>
      <c r="AF90" s="111">
        <f>SUM(AE$90,'Statistics NZ'!AF$90-'Statistics NZ'!AE$90,$P$13/5*(AF$9-AF$10)*1000)</f>
        <v>32115.084832084573</v>
      </c>
      <c r="AG90" s="111">
        <f>SUM(AF$90,'Statistics NZ'!AG$90-'Statistics NZ'!AF$90,$P$13/5*(AG$9-AG$10)*1000)</f>
        <v>31475.084832084573</v>
      </c>
      <c r="AH90" s="111">
        <f>SUM(AG$90,'Statistics NZ'!AH$90-'Statistics NZ'!AG$90,$P$13/5*(AH$9-AH$10)*1000)</f>
        <v>30725.084832084573</v>
      </c>
      <c r="AI90" s="111">
        <f>SUM(AH$90,'Statistics NZ'!AI$90-'Statistics NZ'!AH$90,$P$13/5*(AI$9-AI$10)*1000)</f>
        <v>30285.084832084573</v>
      </c>
      <c r="AJ90" s="111">
        <f>SUM(AI$90,'Statistics NZ'!AJ$90-'Statistics NZ'!AI$90,$P$13/5*(AJ$9-AJ$10)*1000)</f>
        <v>30755.084832084573</v>
      </c>
      <c r="AK90" s="111">
        <f>SUM(AJ$90,'Statistics NZ'!AK$90-'Statistics NZ'!AJ$90,$P$13/5*(AK$9-AK$10)*1000)</f>
        <v>31465.084832084573</v>
      </c>
      <c r="AL90" s="111">
        <f>SUM(AK$90,'Statistics NZ'!AL$90-'Statistics NZ'!AK$90,$P$13/5*(AL$9-AL$10)*1000)</f>
        <v>32065.084832084573</v>
      </c>
      <c r="AM90" s="111">
        <f>SUM(AL$90,'Statistics NZ'!AM$90-'Statistics NZ'!AL$90,$P$13/5*(AM$9-AM$10)*1000)</f>
        <v>31925.084832084573</v>
      </c>
      <c r="AN90" s="111">
        <f>SUM(AM$90,'Statistics NZ'!AN$90-'Statistics NZ'!AM$90,$P$13/5*(AN$9-AN$10)*1000)</f>
        <v>33295.084832084569</v>
      </c>
      <c r="AO90" s="111">
        <f>SUM(AN$90,'Statistics NZ'!AO$90-'Statistics NZ'!AN$90,$P$13/5*(AO$9-AO$10)*1000)</f>
        <v>32915.084832084569</v>
      </c>
      <c r="AP90" s="111">
        <f>SUM(AO$90,'Statistics NZ'!AP$90-'Statistics NZ'!AO$90,$P$13/5*(AP$9-AP$10)*1000)</f>
        <v>31805.084832084569</v>
      </c>
      <c r="AQ90" s="111">
        <f>SUM(AP$90,'Statistics NZ'!AQ$90-'Statistics NZ'!AP$90,$P$13/5*(AQ$9-AQ$10)*1000)</f>
        <v>31155.084832084569</v>
      </c>
      <c r="AR90" s="111">
        <f>SUM(AQ$90,'Statistics NZ'!AR$90-'Statistics NZ'!AQ$90,$P$13/5*(AR$9-AR$10)*1000)</f>
        <v>30015.084832084569</v>
      </c>
      <c r="AS90" s="111">
        <f>SUM(AR$90,'Statistics NZ'!AS$90-'Statistics NZ'!AR$90,$P$13/5*(AS$9-AS$10)*1000)</f>
        <v>28815.084832084569</v>
      </c>
      <c r="AT90" s="111">
        <f>SUM(AS$90,'Statistics NZ'!AT$90-'Statistics NZ'!AS$90,$P$13/5*(AT$9-AT$10)*1000)</f>
        <v>29035.084832084569</v>
      </c>
      <c r="AU90" s="111">
        <f>SUM(AT$90,'Statistics NZ'!AU$90-'Statistics NZ'!AT$90,$P$13/5*(AU$9-AU$10)*1000)</f>
        <v>29005.084832084569</v>
      </c>
      <c r="AV90" s="111">
        <f>SUM(AU$90,'Statistics NZ'!AV$90-'Statistics NZ'!AU$90,$P$13/5*(AV$9-AV$10)*1000)</f>
        <v>29945.084832084569</v>
      </c>
      <c r="AW90" s="111">
        <f>SUM(AV$90,'Statistics NZ'!AW$90-'Statistics NZ'!AV$90,$P$13/5*(AW$9-AW$10)*1000)</f>
        <v>30355.084832084569</v>
      </c>
      <c r="AX90" s="111">
        <f>SUM(AW$90,'Statistics NZ'!AX$90-'Statistics NZ'!AW$90,$P$13/5*(AX$9-AX$10)*1000)</f>
        <v>30765.084832084569</v>
      </c>
      <c r="AY90" s="111">
        <f>SUM(AX$90,'Statistics NZ'!AY$90-'Statistics NZ'!AX$90,$P$13/5*(AY$9-AY$10)*1000)</f>
        <v>31825.084832084569</v>
      </c>
      <c r="AZ90" s="111">
        <f>SUM(AY$90,'Statistics NZ'!AZ$90-'Statistics NZ'!AY$90,$P$13/5*(AZ$9-AZ$10)*1000)</f>
        <v>32605.084832084569</v>
      </c>
      <c r="BA90" s="111">
        <f>SUM(AZ$90,'Statistics NZ'!BA$90-'Statistics NZ'!AZ$90,$P$13/5*(BA$9-BA$10)*1000)</f>
        <v>33385.084832084569</v>
      </c>
      <c r="BB90" s="111">
        <f>SUM(BA$90,'Statistics NZ'!BB$90-'Statistics NZ'!BA$90,$P$13/5*(BB$9-BB$10)*1000)</f>
        <v>34175.084832084569</v>
      </c>
      <c r="BC90" s="111">
        <f>SUM(BB$90,'Statistics NZ'!BC$90-'Statistics NZ'!BB$90,$P$13/5*(BC$9-BC$10)*1000)</f>
        <v>34795.084832084569</v>
      </c>
      <c r="BD90" s="111">
        <f>SUM(BC$90,'Statistics NZ'!BD$90-'Statistics NZ'!BC$90,$P$13/5*(BD$9-BD$10)*1000)</f>
        <v>35655.084832084569</v>
      </c>
      <c r="BE90" s="111">
        <f>SUM(BD$90,'Statistics NZ'!BE$90-'Statistics NZ'!BD$90,$P$13/5*(BE$9-BE$10)*1000)</f>
        <v>38035.084832084569</v>
      </c>
      <c r="BF90" s="111">
        <f>SUM(BE$90,'Statistics NZ'!BF$90-'Statistics NZ'!BE$90,$P$13/5*(BF$9-BF$10)*1000)</f>
        <v>38405.084832084569</v>
      </c>
      <c r="BG90" s="111">
        <f>SUM(BF$90,'Statistics NZ'!BG$90-'Statistics NZ'!BF$90,$P$13/5*(BG$9-BG$10)*1000)</f>
        <v>40045.084832084569</v>
      </c>
      <c r="BH90" s="111">
        <f>SUM(BG$90,'Statistics NZ'!BH$90-'Statistics NZ'!BG$90,$P$13/5*(BH$9-BH$10)*1000)</f>
        <v>40645.084832084569</v>
      </c>
      <c r="BI90" s="111">
        <f>SUM(BH$90,'Statistics NZ'!BI$90-'Statistics NZ'!BH$90,$P$13/5*(BI$9-BI$10)*1000)</f>
        <v>40345.084832084569</v>
      </c>
      <c r="BJ90" s="111">
        <f>SUM(BI$90,'Statistics NZ'!BJ$90-'Statistics NZ'!BI$90,$P$13/5*(BJ$9-BJ$10)*1000)</f>
        <v>39715.084832084569</v>
      </c>
      <c r="BK90" s="111">
        <f>SUM(BJ$90,'Statistics NZ'!BK$90-'Statistics NZ'!BJ$90,$P$13/5*(BK$9-BK$10)*1000)</f>
        <v>38615.084832084569</v>
      </c>
      <c r="BL90" s="111">
        <f>SUM(BK$90,'Statistics NZ'!BL$90-'Statistics NZ'!BK$90,$P$13/5*(BL$9-BL$10)*1000)</f>
        <v>38445.084832084569</v>
      </c>
      <c r="BM90" s="195">
        <f>SUM(BL$90,'Statistics NZ'!BM$90-'Statistics NZ'!BL$90,$P$13/5*(BM$9-BM$10)*1000)</f>
        <v>38135.084832084569</v>
      </c>
      <c r="BN90" s="195">
        <f>SUM(BM$90,'Statistics NZ'!BN$90-'Statistics NZ'!BM$90,$P$13/5*(BN$9-BN$10)*1000)</f>
        <v>37835.084832084569</v>
      </c>
      <c r="BO90" s="195">
        <f>SUM(BN$90,'Statistics NZ'!BO$90-'Statistics NZ'!BN$90,$P$13/5*(BO$9-BO$10)*1000)</f>
        <v>37845.084832084569</v>
      </c>
      <c r="BP90" s="195">
        <f>SUM(BO$90,'Statistics NZ'!BP$90-'Statistics NZ'!BO$90,$P$13/5*(BP$9-BP$10)*1000)</f>
        <v>37335.084832084569</v>
      </c>
      <c r="BQ90" s="195">
        <f>SUM(BP$90,'Statistics NZ'!BQ$90-'Statistics NZ'!BP$90,$P$13/5*(BQ$9-BQ$10)*1000)</f>
        <v>38105.084832084569</v>
      </c>
    </row>
    <row r="91" spans="1:69">
      <c r="A91" s="105">
        <v>74</v>
      </c>
      <c r="B91" s="118">
        <f>'Statistics NZ'!B$91*'Economic Forecasts'!D$9*1000000/SUM('Statistics NZ'!B$32:B$107,'Statistics NZ'!B$125:B$200)</f>
        <v>11781.70590233958</v>
      </c>
      <c r="C91" s="118">
        <f>'Statistics NZ'!C$91*'Economic Forecasts'!E$9*1000000/SUM('Statistics NZ'!C$32:C$107,'Statistics NZ'!C$125:C$200)</f>
        <v>11859.651769210457</v>
      </c>
      <c r="D91" s="118">
        <f>'Statistics NZ'!D$91*'Economic Forecasts'!F$9*1000000/SUM('Statistics NZ'!D$32:D$107,'Statistics NZ'!D$125:D$200)</f>
        <v>11709.051791786555</v>
      </c>
      <c r="E91" s="118">
        <f>'Statistics NZ'!E$91*'Economic Forecasts'!G$9*1000000/SUM('Statistics NZ'!E$32:E$107,'Statistics NZ'!E$125:E$200)</f>
        <v>11749.266337981378</v>
      </c>
      <c r="F91" s="118">
        <f>'Statistics NZ'!F$91*'Economic Forecasts'!H$9*1000000/SUM('Statistics NZ'!F$32:F$107,'Statistics NZ'!F$125:F$200)</f>
        <v>12314.525944581455</v>
      </c>
      <c r="G91" s="118">
        <f>'Statistics NZ'!G$91*'Economic Forecasts'!I$9*1000000/SUM('Statistics NZ'!G$32:G$107,'Statistics NZ'!G$125:G$200)</f>
        <v>12858.003144020315</v>
      </c>
      <c r="H91" s="118">
        <f>'Statistics NZ'!H$91*'Economic Forecasts'!J$9*1000000/SUM('Statistics NZ'!H$32:H$107,'Statistics NZ'!H$125:H$200)</f>
        <v>13306.89640583505</v>
      </c>
      <c r="I91" s="118">
        <f>'Statistics NZ'!I$91*'Economic Forecasts'!K$9*1000000/SUM('Statistics NZ'!I$32:I$107,'Statistics NZ'!I$125:I$200)</f>
        <v>13836.404730974637</v>
      </c>
      <c r="J91" s="203">
        <f>'Statistics NZ'!J$91*'Economic Forecasts'!L$9*1000000/SUM('Statistics NZ'!J$32:J$107,'Statistics NZ'!J$125:J$200)</f>
        <v>14978.534593253913</v>
      </c>
      <c r="K91" s="203">
        <f>'Statistics NZ'!K$91*'Economic Forecasts'!M$9*1000000/SUM('Statistics NZ'!K$32:K$107,'Statistics NZ'!K$125:K$200)</f>
        <v>16084.03732578008</v>
      </c>
      <c r="L91" s="203">
        <f>'Statistics NZ'!L$91*'Economic Forecasts'!N$9*1000000/SUM('Statistics NZ'!L$32:L$107,'Statistics NZ'!L$125:L$200)</f>
        <v>16477.085141198204</v>
      </c>
      <c r="M91" s="203">
        <f>'Statistics NZ'!M$91*'Economic Forecasts'!O$9*1000000/SUM('Statistics NZ'!M$32:M$107,'Statistics NZ'!M$125:M$200)</f>
        <v>14667.211963615913</v>
      </c>
      <c r="N91" s="203">
        <f>'Statistics NZ'!N$91*'Economic Forecasts'!P$9*1000000/SUM('Statistics NZ'!N$32:N$107,'Statistics NZ'!N$125:N$200)</f>
        <v>16273.142646151357</v>
      </c>
      <c r="O91" s="203">
        <f>'Statistics NZ'!O$91*'Economic Forecasts'!Q$9*1000000/SUM('Statistics NZ'!O$32:O$107,'Statistics NZ'!O$125:O$200)</f>
        <v>17190.864106700337</v>
      </c>
      <c r="P91" s="203">
        <f>'Statistics NZ'!P$91*'Economic Forecasts'!R$9*1000000/SUM('Statistics NZ'!P$32:P$107,'Statistics NZ'!P$125:P$200)</f>
        <v>18344.381529364724</v>
      </c>
      <c r="Q91" s="121">
        <f>SUM('Statistics NZ'!Q$91,$P$13/5*(Q$9-Q$10)*1000)*'Economic Forecasts'!S$9*1000000/SUM('Statistics NZ'!Q$32:Q$107,'Statistics NZ'!Q$125:Q$200,SUM($E$13:$Q$14)*(Q$9-Q$10)*1000)</f>
        <v>21571.179220859063</v>
      </c>
      <c r="R91" s="205">
        <f>SUM('Statistics NZ'!R$91,$P$13/5*(R$9-R$10)*1000)*'Economic Forecasts'!T$9*1000000/SUM('Statistics NZ'!R$32:R$107,'Statistics NZ'!R$125:R$200,SUM($E$13:$Q$14)*(R$9-R$10)*1000)</f>
        <v>21825.165054608835</v>
      </c>
      <c r="S91" s="205">
        <f>SUM('Statistics NZ'!S$91,$P$13/5*(S$9-S$10)*1000)*'Economic Forecasts'!U$9*1000000/SUM('Statistics NZ'!S$32:S$107,'Statistics NZ'!S$125:S$200,SUM($E$13:$Q$14)*(S$9-S$10)*1000)</f>
        <v>21420.662315384718</v>
      </c>
      <c r="T91" s="205">
        <f>SUM('Statistics NZ'!T$91,$P$13/5*(T$9-T$10)*1000)*'Economic Forecasts'!V$9*1000000/SUM('Statistics NZ'!T$32:T$107,'Statistics NZ'!T$125:T$200,SUM($E$13:$Q$14)*(T$9-T$10)*1000)</f>
        <v>22124.956038460874</v>
      </c>
      <c r="U91" s="205">
        <f>SUM('Statistics NZ'!U$91,$P$13/5*(U$9-U$10)*1000)*'Economic Forecasts'!W$9*1000000/SUM('Statistics NZ'!U$32:U$107,'Statistics NZ'!U$125:U$200,SUM($E$13:$Q$14)*(U$9-U$10)*1000)</f>
        <v>22118.341393774961</v>
      </c>
      <c r="V91" s="111">
        <f>SUM(U$91,'Statistics NZ'!V$91-'Statistics NZ'!U$91,$P$13/5*(V$9-V$10)*1000)</f>
        <v>22886.825431000496</v>
      </c>
      <c r="W91" s="111">
        <f>SUM(V$91,'Statistics NZ'!W$91-'Statistics NZ'!V$91,$P$13/5*(W$9-W$10)*1000)</f>
        <v>23494.248963572838</v>
      </c>
      <c r="X91" s="111">
        <f>SUM(W$91,'Statistics NZ'!X$91-'Statistics NZ'!W$91,$P$13/5*(X$9-X$10)*1000)</f>
        <v>24370.611991491987</v>
      </c>
      <c r="Y91" s="111">
        <f>SUM(X$91,'Statistics NZ'!Y$91-'Statistics NZ'!X$91,$P$13/5*(Y$9-Y$10)*1000)</f>
        <v>25235.914514757947</v>
      </c>
      <c r="Z91" s="111">
        <f>SUM(Y$91,'Statistics NZ'!Z$91-'Statistics NZ'!Y$91,$P$13/5*(Z$9-Z$10)*1000)</f>
        <v>25920.156533370715</v>
      </c>
      <c r="AA91" s="111">
        <f>SUM(Z$91,'Statistics NZ'!AA$91-'Statistics NZ'!Z$91,$P$13/5*(AA$9-AA$10)*1000)</f>
        <v>26573.33804733029</v>
      </c>
      <c r="AB91" s="111">
        <f>SUM(AA$91,'Statistics NZ'!AB$91-'Statistics NZ'!AA$91,$P$13/5*(AB$9-AB$10)*1000)</f>
        <v>27475.459056636671</v>
      </c>
      <c r="AC91" s="111">
        <f>SUM(AB$91,'Statistics NZ'!AC$91-'Statistics NZ'!AB$91,$P$13/5*(AC$9-AC$10)*1000)</f>
        <v>28516.519561289864</v>
      </c>
      <c r="AD91" s="111">
        <f>SUM(AC$91,'Statistics NZ'!AD$91-'Statistics NZ'!AC$91,$P$13/5*(AD$9-AD$10)*1000)</f>
        <v>29076.519561289864</v>
      </c>
      <c r="AE91" s="111">
        <f>SUM(AD$91,'Statistics NZ'!AE$91-'Statistics NZ'!AD$91,$P$13/5*(AE$9-AE$10)*1000)</f>
        <v>30426.519561289864</v>
      </c>
      <c r="AF91" s="111">
        <f>SUM(AE$91,'Statistics NZ'!AF$91-'Statistics NZ'!AE$91,$P$13/5*(AF$9-AF$10)*1000)</f>
        <v>31236.519561289864</v>
      </c>
      <c r="AG91" s="111">
        <f>SUM(AF$91,'Statistics NZ'!AG$91-'Statistics NZ'!AF$91,$P$13/5*(AG$9-AG$10)*1000)</f>
        <v>31796.519561289864</v>
      </c>
      <c r="AH91" s="111">
        <f>SUM(AG$91,'Statistics NZ'!AH$91-'Statistics NZ'!AG$91,$P$13/5*(AH$9-AH$10)*1000)</f>
        <v>31166.519561289864</v>
      </c>
      <c r="AI91" s="111">
        <f>SUM(AH$91,'Statistics NZ'!AI$91-'Statistics NZ'!AH$91,$P$13/5*(AI$9-AI$10)*1000)</f>
        <v>30436.519561289864</v>
      </c>
      <c r="AJ91" s="111">
        <f>SUM(AI$91,'Statistics NZ'!AJ$91-'Statistics NZ'!AI$91,$P$13/5*(AJ$9-AJ$10)*1000)</f>
        <v>30006.519561289864</v>
      </c>
      <c r="AK91" s="111">
        <f>SUM(AJ$91,'Statistics NZ'!AK$91-'Statistics NZ'!AJ$91,$P$13/5*(AK$9-AK$10)*1000)</f>
        <v>30476.519561289864</v>
      </c>
      <c r="AL91" s="111">
        <f>SUM(AK$91,'Statistics NZ'!AL$91-'Statistics NZ'!AK$91,$P$13/5*(AL$9-AL$10)*1000)</f>
        <v>31186.519561289864</v>
      </c>
      <c r="AM91" s="111">
        <f>SUM(AL$91,'Statistics NZ'!AM$91-'Statistics NZ'!AL$91,$P$13/5*(AM$9-AM$10)*1000)</f>
        <v>31786.519561289864</v>
      </c>
      <c r="AN91" s="111">
        <f>SUM(AM$91,'Statistics NZ'!AN$91-'Statistics NZ'!AM$91,$P$13/5*(AN$9-AN$10)*1000)</f>
        <v>31646.519561289864</v>
      </c>
      <c r="AO91" s="111">
        <f>SUM(AN$91,'Statistics NZ'!AO$91-'Statistics NZ'!AN$91,$P$13/5*(AO$9-AO$10)*1000)</f>
        <v>33016.519561289868</v>
      </c>
      <c r="AP91" s="111">
        <f>SUM(AO$91,'Statistics NZ'!AP$91-'Statistics NZ'!AO$91,$P$13/5*(AP$9-AP$10)*1000)</f>
        <v>32646.519561289868</v>
      </c>
      <c r="AQ91" s="111">
        <f>SUM(AP$91,'Statistics NZ'!AQ$91-'Statistics NZ'!AP$91,$P$13/5*(AQ$9-AQ$10)*1000)</f>
        <v>31546.519561289868</v>
      </c>
      <c r="AR91" s="111">
        <f>SUM(AQ$91,'Statistics NZ'!AR$91-'Statistics NZ'!AQ$91,$P$13/5*(AR$9-AR$10)*1000)</f>
        <v>30906.519561289868</v>
      </c>
      <c r="AS91" s="111">
        <f>SUM(AR$91,'Statistics NZ'!AS$91-'Statistics NZ'!AR$91,$P$13/5*(AS$9-AS$10)*1000)</f>
        <v>29786.519561289868</v>
      </c>
      <c r="AT91" s="111">
        <f>SUM(AS$91,'Statistics NZ'!AT$91-'Statistics NZ'!AS$91,$P$13/5*(AT$9-AT$10)*1000)</f>
        <v>28596.519561289868</v>
      </c>
      <c r="AU91" s="111">
        <f>SUM(AT$91,'Statistics NZ'!AU$91-'Statistics NZ'!AT$91,$P$13/5*(AU$9-AU$10)*1000)</f>
        <v>28816.519561289868</v>
      </c>
      <c r="AV91" s="111">
        <f>SUM(AU$91,'Statistics NZ'!AV$91-'Statistics NZ'!AU$91,$P$13/5*(AV$9-AV$10)*1000)</f>
        <v>28796.519561289868</v>
      </c>
      <c r="AW91" s="111">
        <f>SUM(AV$91,'Statistics NZ'!AW$91-'Statistics NZ'!AV$91,$P$13/5*(AW$9-AW$10)*1000)</f>
        <v>29736.519561289868</v>
      </c>
      <c r="AX91" s="111">
        <f>SUM(AW$91,'Statistics NZ'!AX$91-'Statistics NZ'!AW$91,$P$13/5*(AX$9-AX$10)*1000)</f>
        <v>30146.519561289868</v>
      </c>
      <c r="AY91" s="111">
        <f>SUM(AX$91,'Statistics NZ'!AY$91-'Statistics NZ'!AX$91,$P$13/5*(AY$9-AY$10)*1000)</f>
        <v>30556.519561289868</v>
      </c>
      <c r="AZ91" s="111">
        <f>SUM(AY$91,'Statistics NZ'!AZ$91-'Statistics NZ'!AY$91,$P$13/5*(AZ$9-AZ$10)*1000)</f>
        <v>31616.519561289868</v>
      </c>
      <c r="BA91" s="111">
        <f>SUM(AZ$91,'Statistics NZ'!BA$91-'Statistics NZ'!AZ$91,$P$13/5*(BA$9-BA$10)*1000)</f>
        <v>32396.519561289868</v>
      </c>
      <c r="BB91" s="111">
        <f>SUM(BA$91,'Statistics NZ'!BB$91-'Statistics NZ'!BA$91,$P$13/5*(BB$9-BB$10)*1000)</f>
        <v>33166.519561289868</v>
      </c>
      <c r="BC91" s="111">
        <f>SUM(BB$91,'Statistics NZ'!BC$91-'Statistics NZ'!BB$91,$P$13/5*(BC$9-BC$10)*1000)</f>
        <v>33966.519561289868</v>
      </c>
      <c r="BD91" s="111">
        <f>SUM(BC$91,'Statistics NZ'!BD$91-'Statistics NZ'!BC$91,$P$13/5*(BD$9-BD$10)*1000)</f>
        <v>34586.519561289868</v>
      </c>
      <c r="BE91" s="111">
        <f>SUM(BD$91,'Statistics NZ'!BE$91-'Statistics NZ'!BD$91,$P$13/5*(BE$9-BE$10)*1000)</f>
        <v>35436.519561289868</v>
      </c>
      <c r="BF91" s="111">
        <f>SUM(BE$91,'Statistics NZ'!BF$91-'Statistics NZ'!BE$91,$P$13/5*(BF$9-BF$10)*1000)</f>
        <v>37806.519561289868</v>
      </c>
      <c r="BG91" s="111">
        <f>SUM(BF$91,'Statistics NZ'!BG$91-'Statistics NZ'!BF$91,$P$13/5*(BG$9-BG$10)*1000)</f>
        <v>38186.519561289868</v>
      </c>
      <c r="BH91" s="111">
        <f>SUM(BG$91,'Statistics NZ'!BH$91-'Statistics NZ'!BG$91,$P$13/5*(BH$9-BH$10)*1000)</f>
        <v>39816.519561289868</v>
      </c>
      <c r="BI91" s="111">
        <f>SUM(BH$91,'Statistics NZ'!BI$91-'Statistics NZ'!BH$91,$P$13/5*(BI$9-BI$10)*1000)</f>
        <v>40416.519561289868</v>
      </c>
      <c r="BJ91" s="111">
        <f>SUM(BI$91,'Statistics NZ'!BJ$91-'Statistics NZ'!BI$91,$P$13/5*(BJ$9-BJ$10)*1000)</f>
        <v>40126.519561289868</v>
      </c>
      <c r="BK91" s="111">
        <f>SUM(BJ$91,'Statistics NZ'!BK$91-'Statistics NZ'!BJ$91,$P$13/5*(BK$9-BK$10)*1000)</f>
        <v>39506.519561289868</v>
      </c>
      <c r="BL91" s="111">
        <f>SUM(BK$91,'Statistics NZ'!BL$91-'Statistics NZ'!BK$91,$P$13/5*(BL$9-BL$10)*1000)</f>
        <v>38416.519561289868</v>
      </c>
      <c r="BM91" s="195">
        <f>SUM(BL$91,'Statistics NZ'!BM$91-'Statistics NZ'!BL$91,$P$13/5*(BM$9-BM$10)*1000)</f>
        <v>38256.519561289868</v>
      </c>
      <c r="BN91" s="195">
        <f>SUM(BM$91,'Statistics NZ'!BN$91-'Statistics NZ'!BM$91,$P$13/5*(BN$9-BN$10)*1000)</f>
        <v>37946.519561289868</v>
      </c>
      <c r="BO91" s="195">
        <f>SUM(BN$91,'Statistics NZ'!BO$91-'Statistics NZ'!BN$91,$P$13/5*(BO$9-BO$10)*1000)</f>
        <v>37656.519561289868</v>
      </c>
      <c r="BP91" s="195">
        <f>SUM(BO$91,'Statistics NZ'!BP$91-'Statistics NZ'!BO$91,$P$13/5*(BP$9-BP$10)*1000)</f>
        <v>37666.519561289868</v>
      </c>
      <c r="BQ91" s="195">
        <f>SUM(BP$91,'Statistics NZ'!BQ$91-'Statistics NZ'!BP$91,$P$13/5*(BQ$9-BQ$10)*1000)</f>
        <v>37166.519561289868</v>
      </c>
    </row>
    <row r="92" spans="1:69">
      <c r="A92" s="105">
        <v>75</v>
      </c>
      <c r="B92" s="118">
        <f>'Statistics NZ'!B$92*'Economic Forecasts'!D$9*1000000/SUM('Statistics NZ'!B$32:B$107,'Statistics NZ'!B$125:B$200)</f>
        <v>11949.171621687212</v>
      </c>
      <c r="C92" s="118">
        <f>'Statistics NZ'!C$92*'Economic Forecasts'!E$9*1000000/SUM('Statistics NZ'!C$32:C$107,'Statistics NZ'!C$125:C$200)</f>
        <v>11485.032677581199</v>
      </c>
      <c r="D92" s="118">
        <f>'Statistics NZ'!D$92*'Economic Forecasts'!F$9*1000000/SUM('Statistics NZ'!D$32:D$107,'Statistics NZ'!D$125:D$200)</f>
        <v>11551.354124557107</v>
      </c>
      <c r="E92" s="118">
        <f>'Statistics NZ'!E$92*'Economic Forecasts'!G$9*1000000/SUM('Statistics NZ'!E$32:E$107,'Statistics NZ'!E$125:E$200)</f>
        <v>11404.568666707826</v>
      </c>
      <c r="F92" s="118">
        <f>'Statistics NZ'!F$92*'Economic Forecasts'!H$9*1000000/SUM('Statistics NZ'!F$32:F$107,'Statistics NZ'!F$125:F$200)</f>
        <v>11486.989801105583</v>
      </c>
      <c r="G92" s="118">
        <f>'Statistics NZ'!G$92*'Economic Forecasts'!I$9*1000000/SUM('Statistics NZ'!G$32:G$107,'Statistics NZ'!G$125:G$200)</f>
        <v>12030.361562336248</v>
      </c>
      <c r="H92" s="118">
        <f>'Statistics NZ'!H$92*'Economic Forecasts'!J$9*1000000/SUM('Statistics NZ'!H$32:H$107,'Statistics NZ'!H$125:H$200)</f>
        <v>12558.32192260525</v>
      </c>
      <c r="I92" s="118">
        <f>'Statistics NZ'!I$92*'Economic Forecasts'!K$9*1000000/SUM('Statistics NZ'!I$32:I$107,'Statistics NZ'!I$125:I$200)</f>
        <v>13009.763196549409</v>
      </c>
      <c r="J92" s="203">
        <f>'Statistics NZ'!J$92*'Economic Forecasts'!L$9*1000000/SUM('Statistics NZ'!J$32:J$107,'Statistics NZ'!J$125:J$200)</f>
        <v>13563.239986017321</v>
      </c>
      <c r="K92" s="203">
        <f>'Statistics NZ'!K$92*'Economic Forecasts'!M$9*1000000/SUM('Statistics NZ'!K$32:K$107,'Statistics NZ'!K$125:K$200)</f>
        <v>14698.668197536346</v>
      </c>
      <c r="L92" s="203">
        <f>'Statistics NZ'!L$92*'Economic Forecasts'!N$9*1000000/SUM('Statistics NZ'!L$32:L$107,'Statistics NZ'!L$125:L$200)</f>
        <v>15797.516178411188</v>
      </c>
      <c r="M92" s="203">
        <f>'Statistics NZ'!M$92*'Economic Forecasts'!O$9*1000000/SUM('Statistics NZ'!M$32:M$107,'Statistics NZ'!M$125:M$200)</f>
        <v>16134.918197718516</v>
      </c>
      <c r="N92" s="203">
        <f>'Statistics NZ'!N$92*'Economic Forecasts'!P$9*1000000/SUM('Statistics NZ'!N$32:N$107,'Statistics NZ'!N$125:N$200)</f>
        <v>14348.786784417265</v>
      </c>
      <c r="O92" s="203">
        <f>'Statistics NZ'!O$92*'Economic Forecasts'!Q$9*1000000/SUM('Statistics NZ'!O$32:O$107,'Statistics NZ'!O$125:O$200)</f>
        <v>15977.043047501635</v>
      </c>
      <c r="P92" s="203">
        <f>'Statistics NZ'!P$92*'Economic Forecasts'!R$9*1000000/SUM('Statistics NZ'!P$32:P$107,'Statistics NZ'!P$125:P$200)</f>
        <v>17031.24765239728</v>
      </c>
      <c r="Q92" s="121">
        <f>SUM('Statistics NZ'!Q$92,$Q$13/16*(Q$9-Q$10)*1000)*'Economic Forecasts'!S$9*1000000/SUM('Statistics NZ'!Q$32:Q$107,'Statistics NZ'!Q$125:Q$200,SUM($E$13:$Q$14)*(Q$9-Q$10)*1000)</f>
        <v>18072.167118017489</v>
      </c>
      <c r="R92" s="205">
        <f>SUM('Statistics NZ'!R$92,$Q$13/16*(R$9-R$10)*1000)*'Economic Forecasts'!T$9*1000000/SUM('Statistics NZ'!R$32:R$107,'Statistics NZ'!R$125:R$200,SUM($E$13:$Q$14)*(R$9-R$10)*1000)</f>
        <v>21233.08270943641</v>
      </c>
      <c r="S92" s="205">
        <f>SUM('Statistics NZ'!S$92,$Q$13/16*(S$9-S$10)*1000)*'Economic Forecasts'!U$9*1000000/SUM('Statistics NZ'!S$32:S$107,'Statistics NZ'!S$125:S$200,SUM($E$13:$Q$14)*(S$9-S$10)*1000)</f>
        <v>21488.999306234207</v>
      </c>
      <c r="T92" s="205">
        <f>SUM('Statistics NZ'!T$92,$Q$13/16*(T$9-T$10)*1000)*'Economic Forecasts'!V$9*1000000/SUM('Statistics NZ'!T$32:T$107,'Statistics NZ'!T$125:T$200,SUM($E$13:$Q$14)*(T$9-T$10)*1000)</f>
        <v>21103.278605093547</v>
      </c>
      <c r="U92" s="205">
        <f>SUM('Statistics NZ'!U$92,$Q$13/16*(U$9-U$10)*1000)*'Economic Forecasts'!W$9*1000000/SUM('Statistics NZ'!U$32:U$107,'Statistics NZ'!U$125:U$200,SUM($E$13:$Q$14)*(U$9-U$10)*1000)</f>
        <v>21824.060071889264</v>
      </c>
      <c r="V92" s="111">
        <f>SUM(U$92,'Statistics NZ'!V$92-'Statistics NZ'!U$92,$Q$13/16*(V$9-V$10)*1000)</f>
        <v>21795.885891548685</v>
      </c>
      <c r="W92" s="111">
        <f>SUM(V$92,'Statistics NZ'!W$92-'Statistics NZ'!V$92,$Q$13/16*(W$9-W$10)*1000)</f>
        <v>22557.483483750679</v>
      </c>
      <c r="X92" s="111">
        <f>SUM(W$92,'Statistics NZ'!X$92-'Statistics NZ'!W$92,$Q$13/16*(X$9-X$10)*1000)</f>
        <v>23158.852848495244</v>
      </c>
      <c r="Y92" s="111">
        <f>SUM(X$92,'Statistics NZ'!Y$92-'Statistics NZ'!X$92,$Q$13/16*(Y$9-Y$10)*1000)</f>
        <v>24019.993985782381</v>
      </c>
      <c r="Z92" s="111">
        <f>SUM(Y$92,'Statistics NZ'!Z$92-'Statistics NZ'!Y$92,$Q$13/16*(Z$9-Z$10)*1000)</f>
        <v>24870.906895612094</v>
      </c>
      <c r="AA92" s="111">
        <f>SUM(Z$92,'Statistics NZ'!AA$92-'Statistics NZ'!Z$92,$Q$13/16*(AA$9-AA$10)*1000)</f>
        <v>25551.591577984378</v>
      </c>
      <c r="AB92" s="111">
        <f>SUM(AA$92,'Statistics NZ'!AB$92-'Statistics NZ'!AA$92,$Q$13/16*(AB$9-AB$10)*1000)</f>
        <v>26192.048032899234</v>
      </c>
      <c r="AC92" s="111">
        <f>SUM(AB$92,'Statistics NZ'!AC$92-'Statistics NZ'!AB$92,$Q$13/16*(AC$9-AC$10)*1000)</f>
        <v>27092.276260356663</v>
      </c>
      <c r="AD92" s="111">
        <f>SUM(AC$92,'Statistics NZ'!AD$92-'Statistics NZ'!AC$92,$Q$13/16*(AD$9-AD$10)*1000)</f>
        <v>28132.276260356663</v>
      </c>
      <c r="AE92" s="111">
        <f>SUM(AD$92,'Statistics NZ'!AE$92-'Statistics NZ'!AD$92,$Q$13/16*(AE$9-AE$10)*1000)</f>
        <v>28682.276260356663</v>
      </c>
      <c r="AF92" s="111">
        <f>SUM(AE$92,'Statistics NZ'!AF$92-'Statistics NZ'!AE$92,$Q$13/16*(AF$9-AF$10)*1000)</f>
        <v>30022.276260356663</v>
      </c>
      <c r="AG92" s="111">
        <f>SUM(AF$92,'Statistics NZ'!AG$92-'Statistics NZ'!AF$92,$Q$13/16*(AG$9-AG$10)*1000)</f>
        <v>30842.276260356663</v>
      </c>
      <c r="AH92" s="111">
        <f>SUM(AG$92,'Statistics NZ'!AH$92-'Statistics NZ'!AG$92,$Q$13/16*(AH$9-AH$10)*1000)</f>
        <v>31402.276260356663</v>
      </c>
      <c r="AI92" s="111">
        <f>SUM(AH$92,'Statistics NZ'!AI$92-'Statistics NZ'!AH$92,$Q$13/16*(AI$9-AI$10)*1000)</f>
        <v>30782.276260356663</v>
      </c>
      <c r="AJ92" s="111">
        <f>SUM(AI$92,'Statistics NZ'!AJ$92-'Statistics NZ'!AI$92,$Q$13/16*(AJ$9-AJ$10)*1000)</f>
        <v>30062.276260356663</v>
      </c>
      <c r="AK92" s="111">
        <f>SUM(AJ$92,'Statistics NZ'!AK$92-'Statistics NZ'!AJ$92,$Q$13/16*(AK$9-AK$10)*1000)</f>
        <v>29652.276260356663</v>
      </c>
      <c r="AL92" s="111">
        <f>SUM(AK$92,'Statistics NZ'!AL$92-'Statistics NZ'!AK$92,$Q$13/16*(AL$9-AL$10)*1000)</f>
        <v>30122.276260356663</v>
      </c>
      <c r="AM92" s="111">
        <f>SUM(AL$92,'Statistics NZ'!AM$92-'Statistics NZ'!AL$92,$Q$13/16*(AM$9-AM$10)*1000)</f>
        <v>30822.276260356663</v>
      </c>
      <c r="AN92" s="111">
        <f>SUM(AM$92,'Statistics NZ'!AN$92-'Statistics NZ'!AM$92,$Q$13/16*(AN$9-AN$10)*1000)</f>
        <v>31422.276260356663</v>
      </c>
      <c r="AO92" s="111">
        <f>SUM(AN$92,'Statistics NZ'!AO$92-'Statistics NZ'!AN$92,$Q$13/16*(AO$9-AO$10)*1000)</f>
        <v>31302.276260356663</v>
      </c>
      <c r="AP92" s="111">
        <f>SUM(AO$92,'Statistics NZ'!AP$92-'Statistics NZ'!AO$92,$Q$13/16*(AP$9-AP$10)*1000)</f>
        <v>32662.276260356663</v>
      </c>
      <c r="AQ92" s="111">
        <f>SUM(AP$92,'Statistics NZ'!AQ$92-'Statistics NZ'!AP$92,$Q$13/16*(AQ$9-AQ$10)*1000)</f>
        <v>32292.276260356663</v>
      </c>
      <c r="AR92" s="111">
        <f>SUM(AQ$92,'Statistics NZ'!AR$92-'Statistics NZ'!AQ$92,$Q$13/16*(AR$9-AR$10)*1000)</f>
        <v>31212.276260356663</v>
      </c>
      <c r="AS92" s="111">
        <f>SUM(AR$92,'Statistics NZ'!AS$92-'Statistics NZ'!AR$92,$Q$13/16*(AS$9-AS$10)*1000)</f>
        <v>30592.276260356663</v>
      </c>
      <c r="AT92" s="111">
        <f>SUM(AS$92,'Statistics NZ'!AT$92-'Statistics NZ'!AS$92,$Q$13/16*(AT$9-AT$10)*1000)</f>
        <v>29482.276260356663</v>
      </c>
      <c r="AU92" s="111">
        <f>SUM(AT$92,'Statistics NZ'!AU$92-'Statistics NZ'!AT$92,$Q$13/16*(AU$9-AU$10)*1000)</f>
        <v>28312.276260356663</v>
      </c>
      <c r="AV92" s="111">
        <f>SUM(AU$92,'Statistics NZ'!AV$92-'Statistics NZ'!AU$92,$Q$13/16*(AV$9-AV$10)*1000)</f>
        <v>28532.276260356663</v>
      </c>
      <c r="AW92" s="111">
        <f>SUM(AV$92,'Statistics NZ'!AW$92-'Statistics NZ'!AV$92,$Q$13/16*(AW$9-AW$10)*1000)</f>
        <v>28512.276260356663</v>
      </c>
      <c r="AX92" s="111">
        <f>SUM(AW$92,'Statistics NZ'!AX$92-'Statistics NZ'!AW$92,$Q$13/16*(AX$9-AX$10)*1000)</f>
        <v>29452.276260356663</v>
      </c>
      <c r="AY92" s="111">
        <f>SUM(AX$92,'Statistics NZ'!AY$92-'Statistics NZ'!AX$92,$Q$13/16*(AY$9-AY$10)*1000)</f>
        <v>29872.276260356663</v>
      </c>
      <c r="AZ92" s="111">
        <f>SUM(AY$92,'Statistics NZ'!AZ$92-'Statistics NZ'!AY$92,$Q$13/16*(AZ$9-AZ$10)*1000)</f>
        <v>30282.276260356663</v>
      </c>
      <c r="BA92" s="111">
        <f>SUM(AZ$92,'Statistics NZ'!BA$92-'Statistics NZ'!AZ$92,$Q$13/16*(BA$9-BA$10)*1000)</f>
        <v>31332.276260356663</v>
      </c>
      <c r="BB92" s="111">
        <f>SUM(BA$92,'Statistics NZ'!BB$92-'Statistics NZ'!BA$92,$Q$13/16*(BB$9-BB$10)*1000)</f>
        <v>32112.276260356663</v>
      </c>
      <c r="BC92" s="111">
        <f>SUM(BB$92,'Statistics NZ'!BC$92-'Statistics NZ'!BB$92,$Q$13/16*(BC$9-BC$10)*1000)</f>
        <v>32882.276260356666</v>
      </c>
      <c r="BD92" s="111">
        <f>SUM(BC$92,'Statistics NZ'!BD$92-'Statistics NZ'!BC$92,$Q$13/16*(BD$9-BD$10)*1000)</f>
        <v>33672.276260356666</v>
      </c>
      <c r="BE92" s="111">
        <f>SUM(BD$92,'Statistics NZ'!BE$92-'Statistics NZ'!BD$92,$Q$13/16*(BE$9-BE$10)*1000)</f>
        <v>34302.276260356666</v>
      </c>
      <c r="BF92" s="111">
        <f>SUM(BE$92,'Statistics NZ'!BF$92-'Statistics NZ'!BE$92,$Q$13/16*(BF$9-BF$10)*1000)</f>
        <v>35152.276260356666</v>
      </c>
      <c r="BG92" s="111">
        <f>SUM(BF$92,'Statistics NZ'!BG$92-'Statistics NZ'!BF$92,$Q$13/16*(BG$9-BG$10)*1000)</f>
        <v>37512.276260356666</v>
      </c>
      <c r="BH92" s="111">
        <f>SUM(BG$92,'Statistics NZ'!BH$92-'Statistics NZ'!BG$92,$Q$13/16*(BH$9-BH$10)*1000)</f>
        <v>37892.276260356666</v>
      </c>
      <c r="BI92" s="111">
        <f>SUM(BH$92,'Statistics NZ'!BI$92-'Statistics NZ'!BH$92,$Q$13/16*(BI$9-BI$10)*1000)</f>
        <v>39512.276260356666</v>
      </c>
      <c r="BJ92" s="111">
        <f>SUM(BI$92,'Statistics NZ'!BJ$92-'Statistics NZ'!BI$92,$Q$13/16*(BJ$9-BJ$10)*1000)</f>
        <v>40112.276260356666</v>
      </c>
      <c r="BK92" s="111">
        <f>SUM(BJ$92,'Statistics NZ'!BK$92-'Statistics NZ'!BJ$92,$Q$13/16*(BK$9-BK$10)*1000)</f>
        <v>39832.276260356666</v>
      </c>
      <c r="BL92" s="111">
        <f>SUM(BK$92,'Statistics NZ'!BL$92-'Statistics NZ'!BK$92,$Q$13/16*(BL$9-BL$10)*1000)</f>
        <v>39222.276260356666</v>
      </c>
      <c r="BM92" s="195">
        <f>SUM(BL$92,'Statistics NZ'!BM$92-'Statistics NZ'!BL$92,$Q$13/16*(BM$9-BM$10)*1000)</f>
        <v>38142.276260356666</v>
      </c>
      <c r="BN92" s="195">
        <f>SUM(BM$92,'Statistics NZ'!BN$92-'Statistics NZ'!BM$92,$Q$13/16*(BN$9-BN$10)*1000)</f>
        <v>37982.276260356666</v>
      </c>
      <c r="BO92" s="195">
        <f>SUM(BN$92,'Statistics NZ'!BO$92-'Statistics NZ'!BN$92,$Q$13/16*(BO$9-BO$10)*1000)</f>
        <v>37692.276260356666</v>
      </c>
      <c r="BP92" s="195">
        <f>SUM(BO$92,'Statistics NZ'!BP$92-'Statistics NZ'!BO$92,$Q$13/16*(BP$9-BP$10)*1000)</f>
        <v>37402.276260356666</v>
      </c>
      <c r="BQ92" s="195">
        <f>SUM(BP$92,'Statistics NZ'!BQ$92-'Statistics NZ'!BP$92,$Q$13/16*(BQ$9-BQ$10)*1000)</f>
        <v>37412.276260356666</v>
      </c>
    </row>
    <row r="93" spans="1:69">
      <c r="A93" s="105">
        <v>76</v>
      </c>
      <c r="B93" s="118">
        <f>'Statistics NZ'!B$93*'Economic Forecasts'!D$9*1000000/SUM('Statistics NZ'!B$32:B$107,'Statistics NZ'!B$125:B$200)</f>
        <v>11633.942032326957</v>
      </c>
      <c r="C93" s="118">
        <f>'Statistics NZ'!C$93*'Economic Forecasts'!E$9*1000000/SUM('Statistics NZ'!C$32:C$107,'Statistics NZ'!C$125:C$200)</f>
        <v>11642.767031951413</v>
      </c>
      <c r="D93" s="118">
        <f>'Statistics NZ'!D$93*'Economic Forecasts'!F$9*1000000/SUM('Statistics NZ'!D$32:D$107,'Statistics NZ'!D$125:D$200)</f>
        <v>11206.390477492689</v>
      </c>
      <c r="E93" s="118">
        <f>'Statistics NZ'!E$93*'Economic Forecasts'!G$9*1000000/SUM('Statistics NZ'!E$32:E$107,'Statistics NZ'!E$125:E$200)</f>
        <v>11276.538103091932</v>
      </c>
      <c r="F93" s="118">
        <f>'Statistics NZ'!F$93*'Economic Forecasts'!H$9*1000000/SUM('Statistics NZ'!F$32:F$107,'Statistics NZ'!F$125:F$200)</f>
        <v>11152.034695412967</v>
      </c>
      <c r="G93" s="118">
        <f>'Statistics NZ'!G$93*'Economic Forecasts'!I$9*1000000/SUM('Statistics NZ'!G$32:G$107,'Statistics NZ'!G$125:G$200)</f>
        <v>11212.572856624613</v>
      </c>
      <c r="H93" s="118">
        <f>'Statistics NZ'!H$93*'Economic Forecasts'!J$9*1000000/SUM('Statistics NZ'!H$32:H$107,'Statistics NZ'!H$125:H$200)</f>
        <v>11701.401132592184</v>
      </c>
      <c r="I93" s="118">
        <f>'Statistics NZ'!I$93*'Economic Forecasts'!K$9*1000000/SUM('Statistics NZ'!I$32:I$107,'Statistics NZ'!I$125:I$200)</f>
        <v>12271.690397955459</v>
      </c>
      <c r="J93" s="203">
        <f>'Statistics NZ'!J$93*'Economic Forecasts'!L$9*1000000/SUM('Statistics NZ'!J$32:J$107,'Statistics NZ'!J$125:J$200)</f>
        <v>12708.166160811883</v>
      </c>
      <c r="K93" s="203">
        <f>'Statistics NZ'!K$93*'Economic Forecasts'!M$9*1000000/SUM('Statistics NZ'!K$32:K$107,'Statistics NZ'!K$125:K$200)</f>
        <v>13264.172504461276</v>
      </c>
      <c r="L93" s="203">
        <f>'Statistics NZ'!L$93*'Economic Forecasts'!N$9*1000000/SUM('Statistics NZ'!L$32:L$107,'Statistics NZ'!L$125:L$200)</f>
        <v>14418.680601741884</v>
      </c>
      <c r="M93" s="203">
        <f>'Statistics NZ'!M$93*'Economic Forecasts'!O$9*1000000/SUM('Statistics NZ'!M$32:M$107,'Statistics NZ'!M$125:M$200)</f>
        <v>15435.54140160251</v>
      </c>
      <c r="N93" s="203">
        <f>'Statistics NZ'!N$93*'Economic Forecasts'!P$9*1000000/SUM('Statistics NZ'!N$32:N$107,'Statistics NZ'!N$125:N$200)</f>
        <v>15809.323541015448</v>
      </c>
      <c r="O93" s="203">
        <f>'Statistics NZ'!O$93*'Economic Forecasts'!Q$9*1000000/SUM('Statistics NZ'!O$32:O$107,'Statistics NZ'!O$125:O$200)</f>
        <v>14052.692587796373</v>
      </c>
      <c r="P93" s="203">
        <f>'Statistics NZ'!P$93*'Economic Forecasts'!R$9*1000000/SUM('Statistics NZ'!P$32:P$107,'Statistics NZ'!P$125:P$200)</f>
        <v>15797.09927178878</v>
      </c>
      <c r="Q93" s="121">
        <f>SUM('Statistics NZ'!Q$93,$Q$13/16*(Q$9-Q$10)*1000)*'Economic Forecasts'!S$9*1000000/SUM('Statistics NZ'!Q$32:Q$107,'Statistics NZ'!Q$125:Q$200,SUM($E$13:$Q$14)*(Q$9-Q$10)*1000)</f>
        <v>16737.499996210969</v>
      </c>
      <c r="R93" s="205">
        <f>SUM('Statistics NZ'!R$93,$Q$13/16*(R$9-R$10)*1000)*'Economic Forecasts'!T$9*1000000/SUM('Statistics NZ'!R$32:R$107,'Statistics NZ'!R$125:R$200,SUM($E$13:$Q$14)*(R$9-R$10)*1000)</f>
        <v>17753.499664384955</v>
      </c>
      <c r="S93" s="205">
        <f>SUM('Statistics NZ'!S$93,$Q$13/16*(S$9-S$10)*1000)*'Economic Forecasts'!U$9*1000000/SUM('Statistics NZ'!S$32:S$107,'Statistics NZ'!S$125:S$200,SUM($E$13:$Q$14)*(S$9-S$10)*1000)</f>
        <v>20856.68596164924</v>
      </c>
      <c r="T93" s="205">
        <f>SUM('Statistics NZ'!T$93,$Q$13/16*(T$9-T$10)*1000)*'Economic Forecasts'!V$9*1000000/SUM('Statistics NZ'!T$32:T$107,'Statistics NZ'!T$125:T$200,SUM($E$13:$Q$14)*(T$9-T$10)*1000)</f>
        <v>21123.037173673252</v>
      </c>
      <c r="U93" s="205">
        <f>SUM('Statistics NZ'!U$93,$Q$13/16*(U$9-U$10)*1000)*'Economic Forecasts'!W$9*1000000/SUM('Statistics NZ'!U$32:U$107,'Statistics NZ'!U$125:U$200,SUM($E$13:$Q$14)*(U$9-U$10)*1000)</f>
        <v>20775.494801094555</v>
      </c>
      <c r="V93" s="111">
        <f>SUM(U$93,'Statistics NZ'!V$93-'Statistics NZ'!U$93,$Q$13/16*(V$9-V$10)*1000)</f>
        <v>21477.320620753977</v>
      </c>
      <c r="W93" s="111">
        <f>SUM(V$93,'Statistics NZ'!W$93-'Statistics NZ'!V$93,$Q$13/16*(W$9-W$10)*1000)</f>
        <v>21458.91821295597</v>
      </c>
      <c r="X93" s="111">
        <f>SUM(W$93,'Statistics NZ'!X$93-'Statistics NZ'!W$93,$Q$13/16*(X$9-X$10)*1000)</f>
        <v>22210.287577700536</v>
      </c>
      <c r="Y93" s="111">
        <f>SUM(X$93,'Statistics NZ'!Y$93-'Statistics NZ'!X$93,$Q$13/16*(Y$9-Y$10)*1000)</f>
        <v>22811.428714987673</v>
      </c>
      <c r="Z93" s="111">
        <f>SUM(Y$93,'Statistics NZ'!Z$93-'Statistics NZ'!Y$93,$Q$13/16*(Z$9-Z$10)*1000)</f>
        <v>23662.341624817385</v>
      </c>
      <c r="AA93" s="111">
        <f>SUM(Z$93,'Statistics NZ'!AA$93-'Statistics NZ'!Z$93,$Q$13/16*(AA$9-AA$10)*1000)</f>
        <v>24513.02630718967</v>
      </c>
      <c r="AB93" s="111">
        <f>SUM(AA$93,'Statistics NZ'!AB$93-'Statistics NZ'!AA$93,$Q$13/16*(AB$9-AB$10)*1000)</f>
        <v>25183.482762104526</v>
      </c>
      <c r="AC93" s="111">
        <f>SUM(AB$93,'Statistics NZ'!AC$93-'Statistics NZ'!AB$93,$Q$13/16*(AC$9-AC$10)*1000)</f>
        <v>25833.710989561954</v>
      </c>
      <c r="AD93" s="111">
        <f>SUM(AC$93,'Statistics NZ'!AD$93-'Statistics NZ'!AC$93,$Q$13/16*(AD$9-AD$10)*1000)</f>
        <v>26723.710989561954</v>
      </c>
      <c r="AE93" s="111">
        <f>SUM(AD$93,'Statistics NZ'!AE$93-'Statistics NZ'!AD$93,$Q$13/16*(AE$9-AE$10)*1000)</f>
        <v>27753.710989561954</v>
      </c>
      <c r="AF93" s="111">
        <f>SUM(AE$93,'Statistics NZ'!AF$93-'Statistics NZ'!AE$93,$Q$13/16*(AF$9-AF$10)*1000)</f>
        <v>28303.710989561954</v>
      </c>
      <c r="AG93" s="111">
        <f>SUM(AF$93,'Statistics NZ'!AG$93-'Statistics NZ'!AF$93,$Q$13/16*(AG$9-AG$10)*1000)</f>
        <v>29643.710989561954</v>
      </c>
      <c r="AH93" s="111">
        <f>SUM(AG$93,'Statistics NZ'!AH$93-'Statistics NZ'!AG$93,$Q$13/16*(AH$9-AH$10)*1000)</f>
        <v>30453.710989561954</v>
      </c>
      <c r="AI93" s="111">
        <f>SUM(AH$93,'Statistics NZ'!AI$93-'Statistics NZ'!AH$93,$Q$13/16*(AI$9-AI$10)*1000)</f>
        <v>31003.710989561954</v>
      </c>
      <c r="AJ93" s="111">
        <f>SUM(AI$93,'Statistics NZ'!AJ$93-'Statistics NZ'!AI$93,$Q$13/16*(AJ$9-AJ$10)*1000)</f>
        <v>30403.710989561954</v>
      </c>
      <c r="AK93" s="111">
        <f>SUM(AJ$93,'Statistics NZ'!AK$93-'Statistics NZ'!AJ$93,$Q$13/16*(AK$9-AK$10)*1000)</f>
        <v>29703.710989561954</v>
      </c>
      <c r="AL93" s="111">
        <f>SUM(AK$93,'Statistics NZ'!AL$93-'Statistics NZ'!AK$93,$Q$13/16*(AL$9-AL$10)*1000)</f>
        <v>29303.710989561954</v>
      </c>
      <c r="AM93" s="111">
        <f>SUM(AL$93,'Statistics NZ'!AM$93-'Statistics NZ'!AL$93,$Q$13/16*(AM$9-AM$10)*1000)</f>
        <v>29773.710989561954</v>
      </c>
      <c r="AN93" s="111">
        <f>SUM(AM$93,'Statistics NZ'!AN$93-'Statistics NZ'!AM$93,$Q$13/16*(AN$9-AN$10)*1000)</f>
        <v>30473.710989561954</v>
      </c>
      <c r="AO93" s="111">
        <f>SUM(AN$93,'Statistics NZ'!AO$93-'Statistics NZ'!AN$93,$Q$13/16*(AO$9-AO$10)*1000)</f>
        <v>31073.710989561954</v>
      </c>
      <c r="AP93" s="111">
        <f>SUM(AO$93,'Statistics NZ'!AP$93-'Statistics NZ'!AO$93,$Q$13/16*(AP$9-AP$10)*1000)</f>
        <v>30963.710989561954</v>
      </c>
      <c r="AQ93" s="111">
        <f>SUM(AP$93,'Statistics NZ'!AQ$93-'Statistics NZ'!AP$93,$Q$13/16*(AQ$9-AQ$10)*1000)</f>
        <v>32313.710989561954</v>
      </c>
      <c r="AR93" s="111">
        <f>SUM(AQ$93,'Statistics NZ'!AR$93-'Statistics NZ'!AQ$93,$Q$13/16*(AR$9-AR$10)*1000)</f>
        <v>31963.710989561954</v>
      </c>
      <c r="AS93" s="111">
        <f>SUM(AR$93,'Statistics NZ'!AS$93-'Statistics NZ'!AR$93,$Q$13/16*(AS$9-AS$10)*1000)</f>
        <v>30893.710989561954</v>
      </c>
      <c r="AT93" s="111">
        <f>SUM(AS$93,'Statistics NZ'!AT$93-'Statistics NZ'!AS$93,$Q$13/16*(AT$9-AT$10)*1000)</f>
        <v>30283.710989561954</v>
      </c>
      <c r="AU93" s="111">
        <f>SUM(AT$93,'Statistics NZ'!AU$93-'Statistics NZ'!AT$93,$Q$13/16*(AU$9-AU$10)*1000)</f>
        <v>29193.710989561954</v>
      </c>
      <c r="AV93" s="111">
        <f>SUM(AU$93,'Statistics NZ'!AV$93-'Statistics NZ'!AU$93,$Q$13/16*(AV$9-AV$10)*1000)</f>
        <v>28043.710989561954</v>
      </c>
      <c r="AW93" s="111">
        <f>SUM(AV$93,'Statistics NZ'!AW$93-'Statistics NZ'!AV$93,$Q$13/16*(AW$9-AW$10)*1000)</f>
        <v>28273.710989561954</v>
      </c>
      <c r="AX93" s="111">
        <f>SUM(AW$93,'Statistics NZ'!AX$93-'Statistics NZ'!AW$93,$Q$13/16*(AX$9-AX$10)*1000)</f>
        <v>28253.710989561954</v>
      </c>
      <c r="AY93" s="111">
        <f>SUM(AX$93,'Statistics NZ'!AY$93-'Statistics NZ'!AX$93,$Q$13/16*(AY$9-AY$10)*1000)</f>
        <v>29193.710989561954</v>
      </c>
      <c r="AZ93" s="111">
        <f>SUM(AY$93,'Statistics NZ'!AZ$93-'Statistics NZ'!AY$93,$Q$13/16*(AZ$9-AZ$10)*1000)</f>
        <v>29603.710989561954</v>
      </c>
      <c r="BA93" s="111">
        <f>SUM(AZ$93,'Statistics NZ'!BA$93-'Statistics NZ'!AZ$93,$Q$13/16*(BA$9-BA$10)*1000)</f>
        <v>30013.710989561954</v>
      </c>
      <c r="BB93" s="111">
        <f>SUM(BA$93,'Statistics NZ'!BB$93-'Statistics NZ'!BA$93,$Q$13/16*(BB$9-BB$10)*1000)</f>
        <v>31063.710989561954</v>
      </c>
      <c r="BC93" s="111">
        <f>SUM(BB$93,'Statistics NZ'!BC$93-'Statistics NZ'!BB$93,$Q$13/16*(BC$9-BC$10)*1000)</f>
        <v>31843.710989561954</v>
      </c>
      <c r="BD93" s="111">
        <f>SUM(BC$93,'Statistics NZ'!BD$93-'Statistics NZ'!BC$93,$Q$13/16*(BD$9-BD$10)*1000)</f>
        <v>32613.710989561954</v>
      </c>
      <c r="BE93" s="111">
        <f>SUM(BD$93,'Statistics NZ'!BE$93-'Statistics NZ'!BD$93,$Q$13/16*(BE$9-BE$10)*1000)</f>
        <v>33403.710989561951</v>
      </c>
      <c r="BF93" s="111">
        <f>SUM(BE$93,'Statistics NZ'!BF$93-'Statistics NZ'!BE$93,$Q$13/16*(BF$9-BF$10)*1000)</f>
        <v>34033.710989561951</v>
      </c>
      <c r="BG93" s="111">
        <f>SUM(BF$93,'Statistics NZ'!BG$93-'Statistics NZ'!BF$93,$Q$13/16*(BG$9-BG$10)*1000)</f>
        <v>34873.710989561951</v>
      </c>
      <c r="BH93" s="111">
        <f>SUM(BG$93,'Statistics NZ'!BH$93-'Statistics NZ'!BG$93,$Q$13/16*(BH$9-BH$10)*1000)</f>
        <v>37223.710989561951</v>
      </c>
      <c r="BI93" s="111">
        <f>SUM(BH$93,'Statistics NZ'!BI$93-'Statistics NZ'!BH$93,$Q$13/16*(BI$9-BI$10)*1000)</f>
        <v>37603.710989561951</v>
      </c>
      <c r="BJ93" s="111">
        <f>SUM(BI$93,'Statistics NZ'!BJ$93-'Statistics NZ'!BI$93,$Q$13/16*(BJ$9-BJ$10)*1000)</f>
        <v>39223.710989561951</v>
      </c>
      <c r="BK93" s="111">
        <f>SUM(BJ$93,'Statistics NZ'!BK$93-'Statistics NZ'!BJ$93,$Q$13/16*(BK$9-BK$10)*1000)</f>
        <v>39823.710989561951</v>
      </c>
      <c r="BL93" s="111">
        <f>SUM(BK$93,'Statistics NZ'!BL$93-'Statistics NZ'!BK$93,$Q$13/16*(BL$9-BL$10)*1000)</f>
        <v>39553.710989561951</v>
      </c>
      <c r="BM93" s="195">
        <f>SUM(BL$93,'Statistics NZ'!BM$93-'Statistics NZ'!BL$93,$Q$13/16*(BM$9-BM$10)*1000)</f>
        <v>38953.710989561951</v>
      </c>
      <c r="BN93" s="195">
        <f>SUM(BM$93,'Statistics NZ'!BN$93-'Statistics NZ'!BM$93,$Q$13/16*(BN$9-BN$10)*1000)</f>
        <v>37883.710989561951</v>
      </c>
      <c r="BO93" s="195">
        <f>SUM(BN$93,'Statistics NZ'!BO$93-'Statistics NZ'!BN$93,$Q$13/16*(BO$9-BO$10)*1000)</f>
        <v>37733.710989561951</v>
      </c>
      <c r="BP93" s="195">
        <f>SUM(BO$93,'Statistics NZ'!BP$93-'Statistics NZ'!BO$93,$Q$13/16*(BP$9-BP$10)*1000)</f>
        <v>37443.710989561951</v>
      </c>
      <c r="BQ93" s="195">
        <f>SUM(BP$93,'Statistics NZ'!BQ$93-'Statistics NZ'!BP$93,$Q$13/16*(BQ$9-BQ$10)*1000)</f>
        <v>37163.710989561951</v>
      </c>
    </row>
    <row r="94" spans="1:69">
      <c r="A94" s="105">
        <v>77</v>
      </c>
      <c r="B94" s="118">
        <f>'Statistics NZ'!B$94*'Economic Forecasts'!D$9*1000000/SUM('Statistics NZ'!B$32:B$107,'Statistics NZ'!B$125:B$200)</f>
        <v>10914.824531598873</v>
      </c>
      <c r="C94" s="118">
        <f>'Statistics NZ'!C$94*'Economic Forecasts'!E$9*1000000/SUM('Statistics NZ'!C$32:C$107,'Statistics NZ'!C$125:C$200)</f>
        <v>11297.72313176657</v>
      </c>
      <c r="D94" s="118">
        <f>'Statistics NZ'!D$94*'Economic Forecasts'!F$9*1000000/SUM('Statistics NZ'!D$32:D$107,'Statistics NZ'!D$125:D$200)</f>
        <v>11304.951519511093</v>
      </c>
      <c r="E94" s="118">
        <f>'Statistics NZ'!E$94*'Economic Forecasts'!G$9*1000000/SUM('Statistics NZ'!E$32:E$107,'Statistics NZ'!E$125:E$200)</f>
        <v>10882.597907350731</v>
      </c>
      <c r="F94" s="118">
        <f>'Statistics NZ'!F$94*'Economic Forecasts'!H$9*1000000/SUM('Statistics NZ'!F$32:F$107,'Statistics NZ'!F$125:F$200)</f>
        <v>10955.002280299663</v>
      </c>
      <c r="G94" s="118">
        <f>'Statistics NZ'!G$94*'Economic Forecasts'!I$9*1000000/SUM('Statistics NZ'!G$32:G$107,'Statistics NZ'!G$125:G$200)</f>
        <v>10887.427949534442</v>
      </c>
      <c r="H94" s="118">
        <f>'Statistics NZ'!H$94*'Economic Forecasts'!J$9*1000000/SUM('Statistics NZ'!H$32:H$107,'Statistics NZ'!H$125:H$200)</f>
        <v>10903.578328097263</v>
      </c>
      <c r="I94" s="118">
        <f>'Statistics NZ'!I$94*'Economic Forecasts'!K$9*1000000/SUM('Statistics NZ'!I$32:I$107,'Statistics NZ'!I$125:I$200)</f>
        <v>11356.480127698955</v>
      </c>
      <c r="J94" s="203">
        <f>'Statistics NZ'!J$94*'Economic Forecasts'!L$9*1000000/SUM('Statistics NZ'!J$32:J$107,'Statistics NZ'!J$125:J$200)</f>
        <v>11912.062944241301</v>
      </c>
      <c r="K94" s="203">
        <f>'Statistics NZ'!K$94*'Economic Forecasts'!M$9*1000000/SUM('Statistics NZ'!K$32:K$107,'Statistics NZ'!K$125:K$200)</f>
        <v>12399.544963429726</v>
      </c>
      <c r="L94" s="203">
        <f>'Statistics NZ'!L$94*'Economic Forecasts'!N$9*1000000/SUM('Statistics NZ'!L$32:L$107,'Statistics NZ'!L$125:L$200)</f>
        <v>12980.752071786748</v>
      </c>
      <c r="M94" s="203">
        <f>'Statistics NZ'!M$94*'Economic Forecasts'!O$9*1000000/SUM('Statistics NZ'!M$32:M$107,'Statistics NZ'!M$125:M$200)</f>
        <v>14076.18931901084</v>
      </c>
      <c r="N94" s="203">
        <f>'Statistics NZ'!N$94*'Economic Forecasts'!P$9*1000000/SUM('Statistics NZ'!N$32:N$107,'Statistics NZ'!N$125:N$200)</f>
        <v>15049.449687920447</v>
      </c>
      <c r="O94" s="203">
        <f>'Statistics NZ'!O$94*'Economic Forecasts'!Q$9*1000000/SUM('Statistics NZ'!O$32:O$107,'Statistics NZ'!O$125:O$200)</f>
        <v>15463.882924913565</v>
      </c>
      <c r="P94" s="203">
        <f>'Statistics NZ'!P$94*'Economic Forecasts'!R$9*1000000/SUM('Statistics NZ'!P$32:P$107,'Statistics NZ'!P$125:P$200)</f>
        <v>13861.954610994655</v>
      </c>
      <c r="Q94" s="121">
        <f>SUM('Statistics NZ'!Q$94,$Q$13/16*(Q$9-Q$10)*1000)*'Economic Forecasts'!S$9*1000000/SUM('Statistics NZ'!Q$32:Q$107,'Statistics NZ'!Q$125:Q$200,SUM($E$13:$Q$14)*(Q$9-Q$10)*1000)</f>
        <v>15491.810682524889</v>
      </c>
      <c r="R94" s="205">
        <f>SUM('Statistics NZ'!R$94,$Q$13/16*(R$9-R$10)*1000)*'Economic Forecasts'!T$9*1000000/SUM('Statistics NZ'!R$32:R$107,'Statistics NZ'!R$125:R$200,SUM($E$13:$Q$14)*(R$9-R$10)*1000)</f>
        <v>16409.115306069623</v>
      </c>
      <c r="S94" s="205">
        <f>SUM('Statistics NZ'!S$94,$Q$13/16*(S$9-S$10)*1000)*'Economic Forecasts'!U$9*1000000/SUM('Statistics NZ'!S$32:S$107,'Statistics NZ'!S$125:S$200,SUM($E$13:$Q$14)*(S$9-S$10)*1000)</f>
        <v>17398.722358450224</v>
      </c>
      <c r="T94" s="205">
        <f>SUM('Statistics NZ'!T$94,$Q$13/16*(T$9-T$10)*1000)*'Economic Forecasts'!V$9*1000000/SUM('Statistics NZ'!T$32:T$107,'Statistics NZ'!T$125:T$200,SUM($E$13:$Q$14)*(T$9-T$10)*1000)</f>
        <v>20451.245841963242</v>
      </c>
      <c r="U94" s="205">
        <f>SUM('Statistics NZ'!U$94,$Q$13/16*(U$9-U$10)*1000)*'Economic Forecasts'!W$9*1000000/SUM('Statistics NZ'!U$32:U$107,'Statistics NZ'!U$125:U$200,SUM($E$13:$Q$14)*(U$9-U$10)*1000)</f>
        <v>20745.818425506022</v>
      </c>
      <c r="V94" s="111">
        <f>SUM(U$94,'Statistics NZ'!V$94-'Statistics NZ'!U$94,$Q$13/16*(V$9-V$10)*1000)</f>
        <v>20387.644245165444</v>
      </c>
      <c r="W94" s="111">
        <f>SUM(V$94,'Statistics NZ'!W$94-'Statistics NZ'!V$94,$Q$13/16*(W$9-W$10)*1000)</f>
        <v>21089.241837367437</v>
      </c>
      <c r="X94" s="111">
        <f>SUM(W$94,'Statistics NZ'!X$94-'Statistics NZ'!W$94,$Q$13/16*(X$9-X$10)*1000)</f>
        <v>21070.611202112003</v>
      </c>
      <c r="Y94" s="111">
        <f>SUM(X$94,'Statistics NZ'!Y$94-'Statistics NZ'!X$94,$Q$13/16*(Y$9-Y$10)*1000)</f>
        <v>21821.75233939914</v>
      </c>
      <c r="Z94" s="111">
        <f>SUM(Y$94,'Statistics NZ'!Z$94-'Statistics NZ'!Y$94,$Q$13/16*(Z$9-Z$10)*1000)</f>
        <v>22412.665249228852</v>
      </c>
      <c r="AA94" s="111">
        <f>SUM(Z$94,'Statistics NZ'!AA$94-'Statistics NZ'!Z$94,$Q$13/16*(AA$9-AA$10)*1000)</f>
        <v>23263.349931601137</v>
      </c>
      <c r="AB94" s="111">
        <f>SUM(AA$94,'Statistics NZ'!AB$94-'Statistics NZ'!AA$94,$Q$13/16*(AB$9-AB$10)*1000)</f>
        <v>24103.806386515993</v>
      </c>
      <c r="AC94" s="111">
        <f>SUM(AB$94,'Statistics NZ'!AC$94-'Statistics NZ'!AB$94,$Q$13/16*(AC$9-AC$10)*1000)</f>
        <v>24774.034613973421</v>
      </c>
      <c r="AD94" s="111">
        <f>SUM(AC$94,'Statistics NZ'!AD$94-'Statistics NZ'!AC$94,$Q$13/16*(AD$9-AD$10)*1000)</f>
        <v>25414.034613973421</v>
      </c>
      <c r="AE94" s="111">
        <f>SUM(AD$94,'Statistics NZ'!AE$94-'Statistics NZ'!AD$94,$Q$13/16*(AE$9-AE$10)*1000)</f>
        <v>26304.034613973421</v>
      </c>
      <c r="AF94" s="111">
        <f>SUM(AE$94,'Statistics NZ'!AF$94-'Statistics NZ'!AE$94,$Q$13/16*(AF$9-AF$10)*1000)</f>
        <v>27324.034613973421</v>
      </c>
      <c r="AG94" s="111">
        <f>SUM(AF$94,'Statistics NZ'!AG$94-'Statistics NZ'!AF$94,$Q$13/16*(AG$9-AG$10)*1000)</f>
        <v>27884.034613973421</v>
      </c>
      <c r="AH94" s="111">
        <f>SUM(AG$94,'Statistics NZ'!AH$94-'Statistics NZ'!AG$94,$Q$13/16*(AH$9-AH$10)*1000)</f>
        <v>29194.034613973421</v>
      </c>
      <c r="AI94" s="111">
        <f>SUM(AH$94,'Statistics NZ'!AI$94-'Statistics NZ'!AH$94,$Q$13/16*(AI$9-AI$10)*1000)</f>
        <v>30004.034613973421</v>
      </c>
      <c r="AJ94" s="111">
        <f>SUM(AI$94,'Statistics NZ'!AJ$94-'Statistics NZ'!AI$94,$Q$13/16*(AJ$9-AJ$10)*1000)</f>
        <v>30564.034613973421</v>
      </c>
      <c r="AK94" s="111">
        <f>SUM(AJ$94,'Statistics NZ'!AK$94-'Statistics NZ'!AJ$94,$Q$13/16*(AK$9-AK$10)*1000)</f>
        <v>29974.034613973421</v>
      </c>
      <c r="AL94" s="111">
        <f>SUM(AK$94,'Statistics NZ'!AL$94-'Statistics NZ'!AK$94,$Q$13/16*(AL$9-AL$10)*1000)</f>
        <v>29294.034613973421</v>
      </c>
      <c r="AM94" s="111">
        <f>SUM(AL$94,'Statistics NZ'!AM$94-'Statistics NZ'!AL$94,$Q$13/16*(AM$9-AM$10)*1000)</f>
        <v>28904.034613973421</v>
      </c>
      <c r="AN94" s="111">
        <f>SUM(AM$94,'Statistics NZ'!AN$94-'Statistics NZ'!AM$94,$Q$13/16*(AN$9-AN$10)*1000)</f>
        <v>29374.034613973421</v>
      </c>
      <c r="AO94" s="111">
        <f>SUM(AN$94,'Statistics NZ'!AO$94-'Statistics NZ'!AN$94,$Q$13/16*(AO$9-AO$10)*1000)</f>
        <v>30084.034613973421</v>
      </c>
      <c r="AP94" s="111">
        <f>SUM(AO$94,'Statistics NZ'!AP$94-'Statistics NZ'!AO$94,$Q$13/16*(AP$9-AP$10)*1000)</f>
        <v>30684.034613973421</v>
      </c>
      <c r="AQ94" s="111">
        <f>SUM(AP$94,'Statistics NZ'!AQ$94-'Statistics NZ'!AP$94,$Q$13/16*(AQ$9-AQ$10)*1000)</f>
        <v>30574.034613973421</v>
      </c>
      <c r="AR94" s="111">
        <f>SUM(AQ$94,'Statistics NZ'!AR$94-'Statistics NZ'!AQ$94,$Q$13/16*(AR$9-AR$10)*1000)</f>
        <v>31914.034613973421</v>
      </c>
      <c r="AS94" s="111">
        <f>SUM(AR$94,'Statistics NZ'!AS$94-'Statistics NZ'!AR$94,$Q$13/16*(AS$9-AS$10)*1000)</f>
        <v>31574.034613973421</v>
      </c>
      <c r="AT94" s="111">
        <f>SUM(AS$94,'Statistics NZ'!AT$94-'Statistics NZ'!AS$94,$Q$13/16*(AT$9-AT$10)*1000)</f>
        <v>30524.034613973421</v>
      </c>
      <c r="AU94" s="111">
        <f>SUM(AT$94,'Statistics NZ'!AU$94-'Statistics NZ'!AT$94,$Q$13/16*(AU$9-AU$10)*1000)</f>
        <v>29934.034613973421</v>
      </c>
      <c r="AV94" s="111">
        <f>SUM(AU$94,'Statistics NZ'!AV$94-'Statistics NZ'!AU$94,$Q$13/16*(AV$9-AV$10)*1000)</f>
        <v>28864.034613973421</v>
      </c>
      <c r="AW94" s="111">
        <f>SUM(AV$94,'Statistics NZ'!AW$94-'Statistics NZ'!AV$94,$Q$13/16*(AW$9-AW$10)*1000)</f>
        <v>27724.034613973421</v>
      </c>
      <c r="AX94" s="111">
        <f>SUM(AW$94,'Statistics NZ'!AX$94-'Statistics NZ'!AW$94,$Q$13/16*(AX$9-AX$10)*1000)</f>
        <v>27954.034613973421</v>
      </c>
      <c r="AY94" s="111">
        <f>SUM(AX$94,'Statistics NZ'!AY$94-'Statistics NZ'!AX$94,$Q$13/16*(AY$9-AY$10)*1000)</f>
        <v>27954.034613973421</v>
      </c>
      <c r="AZ94" s="111">
        <f>SUM(AY$94,'Statistics NZ'!AZ$94-'Statistics NZ'!AY$94,$Q$13/16*(AZ$9-AZ$10)*1000)</f>
        <v>28884.034613973421</v>
      </c>
      <c r="BA94" s="111">
        <f>SUM(AZ$94,'Statistics NZ'!BA$94-'Statistics NZ'!AZ$94,$Q$13/16*(BA$9-BA$10)*1000)</f>
        <v>29294.034613973421</v>
      </c>
      <c r="BB94" s="111">
        <f>SUM(BA$94,'Statistics NZ'!BB$94-'Statistics NZ'!BA$94,$Q$13/16*(BB$9-BB$10)*1000)</f>
        <v>29714.034613973421</v>
      </c>
      <c r="BC94" s="111">
        <f>SUM(BB$94,'Statistics NZ'!BC$94-'Statistics NZ'!BB$94,$Q$13/16*(BC$9-BC$10)*1000)</f>
        <v>30754.034613973421</v>
      </c>
      <c r="BD94" s="111">
        <f>SUM(BC$94,'Statistics NZ'!BD$94-'Statistics NZ'!BC$94,$Q$13/16*(BD$9-BD$10)*1000)</f>
        <v>31524.034613973421</v>
      </c>
      <c r="BE94" s="111">
        <f>SUM(BD$94,'Statistics NZ'!BE$94-'Statistics NZ'!BD$94,$Q$13/16*(BE$9-BE$10)*1000)</f>
        <v>32294.034613973421</v>
      </c>
      <c r="BF94" s="111">
        <f>SUM(BE$94,'Statistics NZ'!BF$94-'Statistics NZ'!BE$94,$Q$13/16*(BF$9-BF$10)*1000)</f>
        <v>33084.034613973417</v>
      </c>
      <c r="BG94" s="111">
        <f>SUM(BF$94,'Statistics NZ'!BG$94-'Statistics NZ'!BF$94,$Q$13/16*(BG$9-BG$10)*1000)</f>
        <v>33714.034613973417</v>
      </c>
      <c r="BH94" s="111">
        <f>SUM(BG$94,'Statistics NZ'!BH$94-'Statistics NZ'!BG$94,$Q$13/16*(BH$9-BH$10)*1000)</f>
        <v>34554.034613973417</v>
      </c>
      <c r="BI94" s="111">
        <f>SUM(BH$94,'Statistics NZ'!BI$94-'Statistics NZ'!BH$94,$Q$13/16*(BI$9-BI$10)*1000)</f>
        <v>36884.034613973417</v>
      </c>
      <c r="BJ94" s="111">
        <f>SUM(BI$94,'Statistics NZ'!BJ$94-'Statistics NZ'!BI$94,$Q$13/16*(BJ$9-BJ$10)*1000)</f>
        <v>37274.034613973417</v>
      </c>
      <c r="BK94" s="111">
        <f>SUM(BJ$94,'Statistics NZ'!BK$94-'Statistics NZ'!BJ$94,$Q$13/16*(BK$9-BK$10)*1000)</f>
        <v>38884.034613973417</v>
      </c>
      <c r="BL94" s="111">
        <f>SUM(BK$94,'Statistics NZ'!BL$94-'Statistics NZ'!BK$94,$Q$13/16*(BL$9-BL$10)*1000)</f>
        <v>39484.034613973417</v>
      </c>
      <c r="BM94" s="195">
        <f>SUM(BL$94,'Statistics NZ'!BM$94-'Statistics NZ'!BL$94,$Q$13/16*(BM$9-BM$10)*1000)</f>
        <v>39214.034613973417</v>
      </c>
      <c r="BN94" s="195">
        <f>SUM(BM$94,'Statistics NZ'!BN$94-'Statistics NZ'!BM$94,$Q$13/16*(BN$9-BN$10)*1000)</f>
        <v>38624.034613973417</v>
      </c>
      <c r="BO94" s="195">
        <f>SUM(BN$94,'Statistics NZ'!BO$94-'Statistics NZ'!BN$94,$Q$13/16*(BO$9-BO$10)*1000)</f>
        <v>37584.034613973417</v>
      </c>
      <c r="BP94" s="195">
        <f>SUM(BO$94,'Statistics NZ'!BP$94-'Statistics NZ'!BO$94,$Q$13/16*(BP$9-BP$10)*1000)</f>
        <v>37434.034613973417</v>
      </c>
      <c r="BQ94" s="195">
        <f>SUM(BP$94,'Statistics NZ'!BQ$94-'Statistics NZ'!BP$94,$Q$13/16*(BQ$9-BQ$10)*1000)</f>
        <v>37154.034613973417</v>
      </c>
    </row>
    <row r="95" spans="1:69">
      <c r="A95" s="105">
        <v>78</v>
      </c>
      <c r="B95" s="118">
        <f>'Statistics NZ'!B$95*'Economic Forecasts'!D$9*1000000/SUM('Statistics NZ'!B$32:B$107,'Statistics NZ'!B$125:B$200)</f>
        <v>10638.998640908647</v>
      </c>
      <c r="C95" s="118">
        <f>'Statistics NZ'!C$95*'Economic Forecasts'!E$9*1000000/SUM('Statistics NZ'!C$32:C$107,'Statistics NZ'!C$125:C$200)</f>
        <v>10587.918537100608</v>
      </c>
      <c r="D95" s="118">
        <f>'Statistics NZ'!D$95*'Economic Forecasts'!F$9*1000000/SUM('Statistics NZ'!D$32:D$107,'Statistics NZ'!D$125:D$200)</f>
        <v>10950.131768244833</v>
      </c>
      <c r="E95" s="118">
        <f>'Statistics NZ'!E$95*'Economic Forecasts'!G$9*1000000/SUM('Statistics NZ'!E$32:E$107,'Statistics NZ'!E$125:E$200)</f>
        <v>10961.385946498971</v>
      </c>
      <c r="F95" s="118">
        <f>'Statistics NZ'!F$95*'Economic Forecasts'!H$9*1000000/SUM('Statistics NZ'!F$32:F$107,'Statistics NZ'!F$125:F$200)</f>
        <v>10551.085829317391</v>
      </c>
      <c r="G95" s="118">
        <f>'Statistics NZ'!G$95*'Economic Forecasts'!I$9*1000000/SUM('Statistics NZ'!G$32:G$107,'Statistics NZ'!G$125:G$200)</f>
        <v>10641.106050223709</v>
      </c>
      <c r="H95" s="118">
        <f>'Statistics NZ'!H$95*'Economic Forecasts'!J$9*1000000/SUM('Statistics NZ'!H$32:H$107,'Statistics NZ'!H$125:H$200)</f>
        <v>10588.389072000504</v>
      </c>
      <c r="I95" s="118">
        <f>'Statistics NZ'!I$95*'Economic Forecasts'!K$9*1000000/SUM('Statistics NZ'!I$32:I$107,'Statistics NZ'!I$125:I$200)</f>
        <v>10559.361505217485</v>
      </c>
      <c r="J95" s="203">
        <f>'Statistics NZ'!J$95*'Economic Forecasts'!L$9*1000000/SUM('Statistics NZ'!J$32:J$107,'Statistics NZ'!J$125:J$200)</f>
        <v>10988.190075628527</v>
      </c>
      <c r="K95" s="203">
        <f>'Statistics NZ'!K$95*'Economic Forecasts'!M$9*1000000/SUM('Statistics NZ'!K$32:K$107,'Statistics NZ'!K$125:K$200)</f>
        <v>11544.742735364443</v>
      </c>
      <c r="L95" s="203">
        <f>'Statistics NZ'!L$95*'Economic Forecasts'!N$9*1000000/SUM('Statistics NZ'!L$32:L$107,'Statistics NZ'!L$125:L$200)</f>
        <v>12035.264819213513</v>
      </c>
      <c r="M95" s="203">
        <f>'Statistics NZ'!M$95*'Economic Forecasts'!O$9*1000000/SUM('Statistics NZ'!M$32:M$107,'Statistics NZ'!M$125:M$200)</f>
        <v>12647.884594548581</v>
      </c>
      <c r="N95" s="203">
        <f>'Statistics NZ'!N$95*'Economic Forecasts'!P$9*1000000/SUM('Statistics NZ'!N$32:N$107,'Statistics NZ'!N$125:N$200)</f>
        <v>13677.729355709995</v>
      </c>
      <c r="O95" s="203">
        <f>'Statistics NZ'!O$95*'Economic Forecasts'!Q$9*1000000/SUM('Statistics NZ'!O$32:O$107,'Statistics NZ'!O$125:O$200)</f>
        <v>14684.274277135535</v>
      </c>
      <c r="P95" s="203">
        <f>'Statistics NZ'!P$95*'Economic Forecasts'!R$9*1000000/SUM('Statistics NZ'!P$32:P$107,'Statistics NZ'!P$125:P$200)</f>
        <v>15175.088487962097</v>
      </c>
      <c r="Q95" s="121">
        <f>SUM('Statistics NZ'!Q$95,$Q$13/16*(Q$9-Q$10)*1000)*'Economic Forecasts'!S$9*1000000/SUM('Statistics NZ'!Q$32:Q$107,'Statistics NZ'!Q$125:Q$200,SUM($E$13:$Q$14)*(Q$9-Q$10)*1000)</f>
        <v>13554.071750124314</v>
      </c>
      <c r="R95" s="205">
        <f>SUM('Statistics NZ'!R$95,$Q$13/16*(R$9-R$10)*1000)*'Economic Forecasts'!T$9*1000000/SUM('Statistics NZ'!R$32:R$107,'Statistics NZ'!R$125:R$200,SUM($E$13:$Q$14)*(R$9-R$10)*1000)</f>
        <v>15143.812380596364</v>
      </c>
      <c r="S95" s="205">
        <f>SUM('Statistics NZ'!S$95,$Q$13/16*(S$9-S$10)*1000)*'Economic Forecasts'!U$9*1000000/SUM('Statistics NZ'!S$32:S$107,'Statistics NZ'!S$125:S$200,SUM($E$13:$Q$14)*(S$9-S$10)*1000)</f>
        <v>16035.296709188895</v>
      </c>
      <c r="T95" s="205">
        <f>SUM('Statistics NZ'!T$95,$Q$13/16*(T$9-T$10)*1000)*'Economic Forecasts'!V$9*1000000/SUM('Statistics NZ'!T$32:T$107,'Statistics NZ'!T$125:T$200,SUM($E$13:$Q$14)*(T$9-T$10)*1000)</f>
        <v>17013.254909094365</v>
      </c>
      <c r="U95" s="205">
        <f>SUM('Statistics NZ'!U$95,$Q$13/16*(U$9-U$10)*1000)*'Economic Forecasts'!W$9*1000000/SUM('Statistics NZ'!U$32:U$107,'Statistics NZ'!U$125:U$200,SUM($E$13:$Q$14)*(U$9-U$10)*1000)</f>
        <v>20043.477536577491</v>
      </c>
      <c r="V95" s="111">
        <f>SUM(U$95,'Statistics NZ'!V$95-'Statistics NZ'!U$95,$Q$13/16*(V$9-V$10)*1000)</f>
        <v>20315.303356236913</v>
      </c>
      <c r="W95" s="111">
        <f>SUM(V$95,'Statistics NZ'!W$95-'Statistics NZ'!V$95,$Q$13/16*(W$9-W$10)*1000)</f>
        <v>19976.900948438906</v>
      </c>
      <c r="X95" s="111">
        <f>SUM(W$95,'Statistics NZ'!X$95-'Statistics NZ'!W$95,$Q$13/16*(X$9-X$10)*1000)</f>
        <v>20668.270313183471</v>
      </c>
      <c r="Y95" s="111">
        <f>SUM(X$95,'Statistics NZ'!Y$95-'Statistics NZ'!X$95,$Q$13/16*(Y$9-Y$10)*1000)</f>
        <v>20659.411450470609</v>
      </c>
      <c r="Z95" s="111">
        <f>SUM(Y$95,'Statistics NZ'!Z$95-'Statistics NZ'!Y$95,$Q$13/16*(Z$9-Z$10)*1000)</f>
        <v>21400.324360300321</v>
      </c>
      <c r="AA95" s="111">
        <f>SUM(Z$95,'Statistics NZ'!AA$95-'Statistics NZ'!Z$95,$Q$13/16*(AA$9-AA$10)*1000)</f>
        <v>21991.009042672606</v>
      </c>
      <c r="AB95" s="111">
        <f>SUM(AA$95,'Statistics NZ'!AB$95-'Statistics NZ'!AA$95,$Q$13/16*(AB$9-AB$10)*1000)</f>
        <v>22831.465497587462</v>
      </c>
      <c r="AC95" s="111">
        <f>SUM(AB$95,'Statistics NZ'!AC$95-'Statistics NZ'!AB$95,$Q$13/16*(AC$9-AC$10)*1000)</f>
        <v>23661.69372504489</v>
      </c>
      <c r="AD95" s="111">
        <f>SUM(AC$95,'Statistics NZ'!AD$95-'Statistics NZ'!AC$95,$Q$13/16*(AD$9-AD$10)*1000)</f>
        <v>24331.69372504489</v>
      </c>
      <c r="AE95" s="111">
        <f>SUM(AD$95,'Statistics NZ'!AE$95-'Statistics NZ'!AD$95,$Q$13/16*(AE$9-AE$10)*1000)</f>
        <v>24971.69372504489</v>
      </c>
      <c r="AF95" s="111">
        <f>SUM(AE$95,'Statistics NZ'!AF$95-'Statistics NZ'!AE$95,$Q$13/16*(AF$9-AF$10)*1000)</f>
        <v>25841.69372504489</v>
      </c>
      <c r="AG95" s="111">
        <f>SUM(AF$95,'Statistics NZ'!AG$95-'Statistics NZ'!AF$95,$Q$13/16*(AG$9-AG$10)*1000)</f>
        <v>26851.69372504489</v>
      </c>
      <c r="AH95" s="111">
        <f>SUM(AG$95,'Statistics NZ'!AH$95-'Statistics NZ'!AG$95,$Q$13/16*(AH$9-AH$10)*1000)</f>
        <v>27411.69372504489</v>
      </c>
      <c r="AI95" s="111">
        <f>SUM(AH$95,'Statistics NZ'!AI$95-'Statistics NZ'!AH$95,$Q$13/16*(AI$9-AI$10)*1000)</f>
        <v>28711.69372504489</v>
      </c>
      <c r="AJ95" s="111">
        <f>SUM(AI$95,'Statistics NZ'!AJ$95-'Statistics NZ'!AI$95,$Q$13/16*(AJ$9-AJ$10)*1000)</f>
        <v>29521.69372504489</v>
      </c>
      <c r="AK95" s="111">
        <f>SUM(AJ$95,'Statistics NZ'!AK$95-'Statistics NZ'!AJ$95,$Q$13/16*(AK$9-AK$10)*1000)</f>
        <v>30071.69372504489</v>
      </c>
      <c r="AL95" s="111">
        <f>SUM(AK$95,'Statistics NZ'!AL$95-'Statistics NZ'!AK$95,$Q$13/16*(AL$9-AL$10)*1000)</f>
        <v>29511.69372504489</v>
      </c>
      <c r="AM95" s="111">
        <f>SUM(AL$95,'Statistics NZ'!AM$95-'Statistics NZ'!AL$95,$Q$13/16*(AM$9-AM$10)*1000)</f>
        <v>28841.69372504489</v>
      </c>
      <c r="AN95" s="111">
        <f>SUM(AM$95,'Statistics NZ'!AN$95-'Statistics NZ'!AM$95,$Q$13/16*(AN$9-AN$10)*1000)</f>
        <v>28471.69372504489</v>
      </c>
      <c r="AO95" s="111">
        <f>SUM(AN$95,'Statistics NZ'!AO$95-'Statistics NZ'!AN$95,$Q$13/16*(AO$9-AO$10)*1000)</f>
        <v>28941.69372504489</v>
      </c>
      <c r="AP95" s="111">
        <f>SUM(AO$95,'Statistics NZ'!AP$95-'Statistics NZ'!AO$95,$Q$13/16*(AP$9-AP$10)*1000)</f>
        <v>29641.69372504489</v>
      </c>
      <c r="AQ95" s="111">
        <f>SUM(AP$95,'Statistics NZ'!AQ$95-'Statistics NZ'!AP$95,$Q$13/16*(AQ$9-AQ$10)*1000)</f>
        <v>30241.69372504489</v>
      </c>
      <c r="AR95" s="111">
        <f>SUM(AQ$95,'Statistics NZ'!AR$95-'Statistics NZ'!AQ$95,$Q$13/16*(AR$9-AR$10)*1000)</f>
        <v>30141.69372504489</v>
      </c>
      <c r="AS95" s="111">
        <f>SUM(AR$95,'Statistics NZ'!AS$95-'Statistics NZ'!AR$95,$Q$13/16*(AS$9-AS$10)*1000)</f>
        <v>31471.69372504489</v>
      </c>
      <c r="AT95" s="111">
        <f>SUM(AS$95,'Statistics NZ'!AT$95-'Statistics NZ'!AS$95,$Q$13/16*(AT$9-AT$10)*1000)</f>
        <v>31141.69372504489</v>
      </c>
      <c r="AU95" s="111">
        <f>SUM(AT$95,'Statistics NZ'!AU$95-'Statistics NZ'!AT$95,$Q$13/16*(AU$9-AU$10)*1000)</f>
        <v>30121.69372504489</v>
      </c>
      <c r="AV95" s="111">
        <f>SUM(AU$95,'Statistics NZ'!AV$95-'Statistics NZ'!AU$95,$Q$13/16*(AV$9-AV$10)*1000)</f>
        <v>29541.69372504489</v>
      </c>
      <c r="AW95" s="111">
        <f>SUM(AV$95,'Statistics NZ'!AW$95-'Statistics NZ'!AV$95,$Q$13/16*(AW$9-AW$10)*1000)</f>
        <v>28491.69372504489</v>
      </c>
      <c r="AX95" s="111">
        <f>SUM(AW$95,'Statistics NZ'!AX$95-'Statistics NZ'!AW$95,$Q$13/16*(AX$9-AX$10)*1000)</f>
        <v>27381.69372504489</v>
      </c>
      <c r="AY95" s="111">
        <f>SUM(AX$95,'Statistics NZ'!AY$95-'Statistics NZ'!AX$95,$Q$13/16*(AY$9-AY$10)*1000)</f>
        <v>27611.69372504489</v>
      </c>
      <c r="AZ95" s="111">
        <f>SUM(AY$95,'Statistics NZ'!AZ$95-'Statistics NZ'!AY$95,$Q$13/16*(AZ$9-AZ$10)*1000)</f>
        <v>27611.69372504489</v>
      </c>
      <c r="BA95" s="111">
        <f>SUM(AZ$95,'Statistics NZ'!BA$95-'Statistics NZ'!AZ$95,$Q$13/16*(BA$9-BA$10)*1000)</f>
        <v>28531.69372504489</v>
      </c>
      <c r="BB95" s="111">
        <f>SUM(BA$95,'Statistics NZ'!BB$95-'Statistics NZ'!BA$95,$Q$13/16*(BB$9-BB$10)*1000)</f>
        <v>28951.69372504489</v>
      </c>
      <c r="BC95" s="111">
        <f>SUM(BB$95,'Statistics NZ'!BC$95-'Statistics NZ'!BB$95,$Q$13/16*(BC$9-BC$10)*1000)</f>
        <v>29371.69372504489</v>
      </c>
      <c r="BD95" s="111">
        <f>SUM(BC$95,'Statistics NZ'!BD$95-'Statistics NZ'!BC$95,$Q$13/16*(BD$9-BD$10)*1000)</f>
        <v>30411.69372504489</v>
      </c>
      <c r="BE95" s="111">
        <f>SUM(BD$95,'Statistics NZ'!BE$95-'Statistics NZ'!BD$95,$Q$13/16*(BE$9-BE$10)*1000)</f>
        <v>31181.69372504489</v>
      </c>
      <c r="BF95" s="111">
        <f>SUM(BE$95,'Statistics NZ'!BF$95-'Statistics NZ'!BE$95,$Q$13/16*(BF$9-BF$10)*1000)</f>
        <v>31941.69372504489</v>
      </c>
      <c r="BG95" s="111">
        <f>SUM(BF$95,'Statistics NZ'!BG$95-'Statistics NZ'!BF$95,$Q$13/16*(BG$9-BG$10)*1000)</f>
        <v>32731.69372504489</v>
      </c>
      <c r="BH95" s="111">
        <f>SUM(BG$95,'Statistics NZ'!BH$95-'Statistics NZ'!BG$95,$Q$13/16*(BH$9-BH$10)*1000)</f>
        <v>33361.69372504489</v>
      </c>
      <c r="BI95" s="111">
        <f>SUM(BH$95,'Statistics NZ'!BI$95-'Statistics NZ'!BH$95,$Q$13/16*(BI$9-BI$10)*1000)</f>
        <v>34201.69372504489</v>
      </c>
      <c r="BJ95" s="111">
        <f>SUM(BI$95,'Statistics NZ'!BJ$95-'Statistics NZ'!BI$95,$Q$13/16*(BJ$9-BJ$10)*1000)</f>
        <v>36511.69372504489</v>
      </c>
      <c r="BK95" s="111">
        <f>SUM(BJ$95,'Statistics NZ'!BK$95-'Statistics NZ'!BJ$95,$Q$13/16*(BK$9-BK$10)*1000)</f>
        <v>36901.69372504489</v>
      </c>
      <c r="BL95" s="111">
        <f>SUM(BK$95,'Statistics NZ'!BL$95-'Statistics NZ'!BK$95,$Q$13/16*(BL$9-BL$10)*1000)</f>
        <v>38501.69372504489</v>
      </c>
      <c r="BM95" s="195">
        <f>SUM(BL$95,'Statistics NZ'!BM$95-'Statistics NZ'!BL$95,$Q$13/16*(BM$9-BM$10)*1000)</f>
        <v>39101.69372504489</v>
      </c>
      <c r="BN95" s="195">
        <f>SUM(BM$95,'Statistics NZ'!BN$95-'Statistics NZ'!BM$95,$Q$13/16*(BN$9-BN$10)*1000)</f>
        <v>38841.69372504489</v>
      </c>
      <c r="BO95" s="195">
        <f>SUM(BN$95,'Statistics NZ'!BO$95-'Statistics NZ'!BN$95,$Q$13/16*(BO$9-BO$10)*1000)</f>
        <v>38271.69372504489</v>
      </c>
      <c r="BP95" s="195">
        <f>SUM(BO$95,'Statistics NZ'!BP$95-'Statistics NZ'!BO$95,$Q$13/16*(BP$9-BP$10)*1000)</f>
        <v>37241.69372504489</v>
      </c>
      <c r="BQ95" s="195">
        <f>SUM(BP$95,'Statistics NZ'!BQ$95-'Statistics NZ'!BP$95,$Q$13/16*(BQ$9-BQ$10)*1000)</f>
        <v>37101.69372504489</v>
      </c>
    </row>
    <row r="96" spans="1:69">
      <c r="A96" s="105">
        <v>79</v>
      </c>
      <c r="B96" s="118">
        <f>'Statistics NZ'!B$96*'Economic Forecasts'!D$9*1000000/SUM('Statistics NZ'!B$32:B$107,'Statistics NZ'!B$125:B$200)</f>
        <v>10067.645010193184</v>
      </c>
      <c r="C96" s="118">
        <f>'Statistics NZ'!C$96*'Economic Forecasts'!E$9*1000000/SUM('Statistics NZ'!C$32:C$107,'Statistics NZ'!C$125:C$200)</f>
        <v>10242.874636915765</v>
      </c>
      <c r="D96" s="118">
        <f>'Statistics NZ'!D$96*'Economic Forecasts'!F$9*1000000/SUM('Statistics NZ'!D$32:D$107,'Statistics NZ'!D$125:D$200)</f>
        <v>10210.923953106794</v>
      </c>
      <c r="E96" s="118">
        <f>'Statistics NZ'!E$96*'Economic Forecasts'!G$9*1000000/SUM('Statistics NZ'!E$32:E$107,'Statistics NZ'!E$125:E$200)</f>
        <v>10547.74874097071</v>
      </c>
      <c r="F96" s="118">
        <f>'Statistics NZ'!F$96*'Economic Forecasts'!H$9*1000000/SUM('Statistics NZ'!F$32:F$107,'Statistics NZ'!F$125:F$200)</f>
        <v>10639.750416118379</v>
      </c>
      <c r="G96" s="118">
        <f>'Statistics NZ'!G$96*'Economic Forecasts'!I$9*1000000/SUM('Statistics NZ'!G$32:G$107,'Statistics NZ'!G$125:G$200)</f>
        <v>10207.579507436818</v>
      </c>
      <c r="H96" s="118">
        <f>'Statistics NZ'!H$96*'Economic Forecasts'!J$9*1000000/SUM('Statistics NZ'!H$32:H$107,'Statistics NZ'!H$125:H$200)</f>
        <v>10302.748808662815</v>
      </c>
      <c r="I96" s="118">
        <f>'Statistics NZ'!I$96*'Economic Forecasts'!K$9*1000000/SUM('Statistics NZ'!I$32:I$107,'Statistics NZ'!I$125:I$200)</f>
        <v>10214.927532540309</v>
      </c>
      <c r="J96" s="203">
        <f>'Statistics NZ'!J$96*'Economic Forecasts'!L$9*1000000/SUM('Statistics NZ'!J$32:J$107,'Statistics NZ'!J$125:J$200)</f>
        <v>10201.915293830421</v>
      </c>
      <c r="K96" s="203">
        <f>'Statistics NZ'!K$96*'Economic Forecasts'!M$9*1000000/SUM('Statistics NZ'!K$32:K$107,'Statistics NZ'!K$125:K$200)</f>
        <v>10640.813942467823</v>
      </c>
      <c r="L96" s="203">
        <f>'Statistics NZ'!L$96*'Economic Forecasts'!N$9*1000000/SUM('Statistics NZ'!L$32:L$107,'Statistics NZ'!L$125:L$200)</f>
        <v>11168.568171021378</v>
      </c>
      <c r="M96" s="203">
        <f>'Statistics NZ'!M$96*'Economic Forecasts'!O$9*1000000/SUM('Statistics NZ'!M$32:M$107,'Statistics NZ'!M$125:M$200)</f>
        <v>11652.996476130038</v>
      </c>
      <c r="N96" s="203">
        <f>'Statistics NZ'!N$96*'Economic Forecasts'!P$9*1000000/SUM('Statistics NZ'!N$32:N$107,'Statistics NZ'!N$125:N$200)</f>
        <v>12246.798073907721</v>
      </c>
      <c r="O96" s="203">
        <f>'Statistics NZ'!O$96*'Economic Forecasts'!Q$9*1000000/SUM('Statistics NZ'!O$32:O$107,'Statistics NZ'!O$125:O$200)</f>
        <v>13263.215476122419</v>
      </c>
      <c r="P96" s="203">
        <f>'Statistics NZ'!P$96*'Economic Forecasts'!R$9*1000000/SUM('Statistics NZ'!P$32:P$107,'Statistics NZ'!P$125:P$200)</f>
        <v>14375.360337327789</v>
      </c>
      <c r="Q96" s="121">
        <f>SUM('Statistics NZ'!Q$96,$Q$13/16*(Q$9-Q$10)*1000)*'Economic Forecasts'!S$9*1000000/SUM('Statistics NZ'!Q$32:Q$107,'Statistics NZ'!Q$125:Q$200,SUM($E$13:$Q$14)*(Q$9-Q$10)*1000)</f>
        <v>14789.874640685905</v>
      </c>
      <c r="R96" s="205">
        <f>SUM('Statistics NZ'!R$96,$Q$13/16*(R$9-R$10)*1000)*'Economic Forecasts'!T$9*1000000/SUM('Statistics NZ'!R$32:R$107,'Statistics NZ'!R$125:R$200,SUM($E$13:$Q$14)*(R$9-R$10)*1000)</f>
        <v>13206.317275965441</v>
      </c>
      <c r="S96" s="205">
        <f>SUM('Statistics NZ'!S$96,$Q$13/16*(S$9-S$10)*1000)*'Economic Forecasts'!U$9*1000000/SUM('Statistics NZ'!S$32:S$107,'Statistics NZ'!S$125:S$200,SUM($E$13:$Q$14)*(S$9-S$10)*1000)</f>
        <v>14750.910228000688</v>
      </c>
      <c r="T96" s="205">
        <f>SUM('Statistics NZ'!T$96,$Q$13/16*(T$9-T$10)*1000)*'Economic Forecasts'!V$9*1000000/SUM('Statistics NZ'!T$32:T$107,'Statistics NZ'!T$125:T$200,SUM($E$13:$Q$14)*(T$9-T$10)*1000)</f>
        <v>15630.155108514937</v>
      </c>
      <c r="U96" s="205">
        <f>SUM('Statistics NZ'!U$96,$Q$13/16*(U$9-U$10)*1000)*'Economic Forecasts'!W$9*1000000/SUM('Statistics NZ'!U$32:U$107,'Statistics NZ'!U$125:U$200,SUM($E$13:$Q$14)*(U$9-U$10)*1000)</f>
        <v>16620.802218700417</v>
      </c>
      <c r="V96" s="111">
        <f>SUM(U$96,'Statistics NZ'!V$96-'Statistics NZ'!U$96,$Q$13/16*(V$9-V$10)*1000)</f>
        <v>19592.628038359839</v>
      </c>
      <c r="W96" s="111">
        <f>SUM(V$96,'Statistics NZ'!W$96-'Statistics NZ'!V$96,$Q$13/16*(W$9-W$10)*1000)</f>
        <v>19874.225630561832</v>
      </c>
      <c r="X96" s="111">
        <f>SUM(W$96,'Statistics NZ'!X$96-'Statistics NZ'!W$96,$Q$13/16*(X$9-X$10)*1000)</f>
        <v>19545.594995306397</v>
      </c>
      <c r="Y96" s="111">
        <f>SUM(X$96,'Statistics NZ'!Y$96-'Statistics NZ'!X$96,$Q$13/16*(Y$9-Y$10)*1000)</f>
        <v>20226.736132593534</v>
      </c>
      <c r="Z96" s="111">
        <f>SUM(Y$96,'Statistics NZ'!Z$96-'Statistics NZ'!Y$96,$Q$13/16*(Z$9-Z$10)*1000)</f>
        <v>20227.649042423247</v>
      </c>
      <c r="AA96" s="111">
        <f>SUM(Z$96,'Statistics NZ'!AA$96-'Statistics NZ'!Z$96,$Q$13/16*(AA$9-AA$10)*1000)</f>
        <v>20958.333724795531</v>
      </c>
      <c r="AB96" s="111">
        <f>SUM(AA$96,'Statistics NZ'!AB$96-'Statistics NZ'!AA$96,$Q$13/16*(AB$9-AB$10)*1000)</f>
        <v>21548.790179710388</v>
      </c>
      <c r="AC96" s="111">
        <f>SUM(AB$96,'Statistics NZ'!AC$96-'Statistics NZ'!AB$96,$Q$13/16*(AC$9-AC$10)*1000)</f>
        <v>22379.018407167816</v>
      </c>
      <c r="AD96" s="111">
        <f>SUM(AC$96,'Statistics NZ'!AD$96-'Statistics NZ'!AC$96,$Q$13/16*(AD$9-AD$10)*1000)</f>
        <v>23209.018407167816</v>
      </c>
      <c r="AE96" s="111">
        <f>SUM(AD$96,'Statistics NZ'!AE$96-'Statistics NZ'!AD$96,$Q$13/16*(AE$9-AE$10)*1000)</f>
        <v>23859.018407167816</v>
      </c>
      <c r="AF96" s="111">
        <f>SUM(AE$96,'Statistics NZ'!AF$96-'Statistics NZ'!AE$96,$Q$13/16*(AF$9-AF$10)*1000)</f>
        <v>24499.018407167816</v>
      </c>
      <c r="AG96" s="111">
        <f>SUM(AF$96,'Statistics NZ'!AG$96-'Statistics NZ'!AF$96,$Q$13/16*(AG$9-AG$10)*1000)</f>
        <v>25359.018407167816</v>
      </c>
      <c r="AH96" s="111">
        <f>SUM(AG$96,'Statistics NZ'!AH$96-'Statistics NZ'!AG$96,$Q$13/16*(AH$9-AH$10)*1000)</f>
        <v>26359.018407167816</v>
      </c>
      <c r="AI96" s="111">
        <f>SUM(AH$96,'Statistics NZ'!AI$96-'Statistics NZ'!AH$96,$Q$13/16*(AI$9-AI$10)*1000)</f>
        <v>26919.018407167816</v>
      </c>
      <c r="AJ96" s="111">
        <f>SUM(AI$96,'Statistics NZ'!AJ$96-'Statistics NZ'!AI$96,$Q$13/16*(AJ$9-AJ$10)*1000)</f>
        <v>28209.018407167816</v>
      </c>
      <c r="AK96" s="111">
        <f>SUM(AJ$96,'Statistics NZ'!AK$96-'Statistics NZ'!AJ$96,$Q$13/16*(AK$9-AK$10)*1000)</f>
        <v>28999.018407167816</v>
      </c>
      <c r="AL96" s="111">
        <f>SUM(AK$96,'Statistics NZ'!AL$96-'Statistics NZ'!AK$96,$Q$13/16*(AL$9-AL$10)*1000)</f>
        <v>29559.018407167816</v>
      </c>
      <c r="AM96" s="111">
        <f>SUM(AL$96,'Statistics NZ'!AM$96-'Statistics NZ'!AL$96,$Q$13/16*(AM$9-AM$10)*1000)</f>
        <v>29009.018407167816</v>
      </c>
      <c r="AN96" s="111">
        <f>SUM(AM$96,'Statistics NZ'!AN$96-'Statistics NZ'!AM$96,$Q$13/16*(AN$9-AN$10)*1000)</f>
        <v>28369.018407167816</v>
      </c>
      <c r="AO96" s="111">
        <f>SUM(AN$96,'Statistics NZ'!AO$96-'Statistics NZ'!AN$96,$Q$13/16*(AO$9-AO$10)*1000)</f>
        <v>28009.018407167816</v>
      </c>
      <c r="AP96" s="111">
        <f>SUM(AO$96,'Statistics NZ'!AP$96-'Statistics NZ'!AO$96,$Q$13/16*(AP$9-AP$10)*1000)</f>
        <v>28479.018407167816</v>
      </c>
      <c r="AQ96" s="111">
        <f>SUM(AP$96,'Statistics NZ'!AQ$96-'Statistics NZ'!AP$96,$Q$13/16*(AQ$9-AQ$10)*1000)</f>
        <v>29179.018407167816</v>
      </c>
      <c r="AR96" s="111">
        <f>SUM(AQ$96,'Statistics NZ'!AR$96-'Statistics NZ'!AQ$96,$Q$13/16*(AR$9-AR$10)*1000)</f>
        <v>29779.018407167816</v>
      </c>
      <c r="AS96" s="111">
        <f>SUM(AR$96,'Statistics NZ'!AS$96-'Statistics NZ'!AR$96,$Q$13/16*(AS$9-AS$10)*1000)</f>
        <v>29689.018407167816</v>
      </c>
      <c r="AT96" s="111">
        <f>SUM(AS$96,'Statistics NZ'!AT$96-'Statistics NZ'!AS$96,$Q$13/16*(AT$9-AT$10)*1000)</f>
        <v>31009.018407167816</v>
      </c>
      <c r="AU96" s="111">
        <f>SUM(AT$96,'Statistics NZ'!AU$96-'Statistics NZ'!AT$96,$Q$13/16*(AU$9-AU$10)*1000)</f>
        <v>30689.018407167816</v>
      </c>
      <c r="AV96" s="111">
        <f>SUM(AU$96,'Statistics NZ'!AV$96-'Statistics NZ'!AU$96,$Q$13/16*(AV$9-AV$10)*1000)</f>
        <v>29689.018407167816</v>
      </c>
      <c r="AW96" s="111">
        <f>SUM(AV$96,'Statistics NZ'!AW$96-'Statistics NZ'!AV$96,$Q$13/16*(AW$9-AW$10)*1000)</f>
        <v>29129.018407167816</v>
      </c>
      <c r="AX96" s="111">
        <f>SUM(AW$96,'Statistics NZ'!AX$96-'Statistics NZ'!AW$96,$Q$13/16*(AX$9-AX$10)*1000)</f>
        <v>28099.018407167816</v>
      </c>
      <c r="AY96" s="111">
        <f>SUM(AX$96,'Statistics NZ'!AY$96-'Statistics NZ'!AX$96,$Q$13/16*(AY$9-AY$10)*1000)</f>
        <v>27009.018407167816</v>
      </c>
      <c r="AZ96" s="111">
        <f>SUM(AY$96,'Statistics NZ'!AZ$96-'Statistics NZ'!AY$96,$Q$13/16*(AZ$9-AZ$10)*1000)</f>
        <v>27249.018407167816</v>
      </c>
      <c r="BA96" s="111">
        <f>SUM(AZ$96,'Statistics NZ'!BA$96-'Statistics NZ'!AZ$96,$Q$13/16*(BA$9-BA$10)*1000)</f>
        <v>27259.018407167816</v>
      </c>
      <c r="BB96" s="111">
        <f>SUM(BA$96,'Statistics NZ'!BB$96-'Statistics NZ'!BA$96,$Q$13/16*(BB$9-BB$10)*1000)</f>
        <v>28169.018407167816</v>
      </c>
      <c r="BC96" s="111">
        <f>SUM(BB$96,'Statistics NZ'!BC$96-'Statistics NZ'!BB$96,$Q$13/16*(BC$9-BC$10)*1000)</f>
        <v>28589.018407167816</v>
      </c>
      <c r="BD96" s="111">
        <f>SUM(BC$96,'Statistics NZ'!BD$96-'Statistics NZ'!BC$96,$Q$13/16*(BD$9-BD$10)*1000)</f>
        <v>29009.018407167816</v>
      </c>
      <c r="BE96" s="111">
        <f>SUM(BD$96,'Statistics NZ'!BE$96-'Statistics NZ'!BD$96,$Q$13/16*(BE$9-BE$10)*1000)</f>
        <v>30039.018407167816</v>
      </c>
      <c r="BF96" s="111">
        <f>SUM(BE$96,'Statistics NZ'!BF$96-'Statistics NZ'!BE$96,$Q$13/16*(BF$9-BF$10)*1000)</f>
        <v>30809.018407167816</v>
      </c>
      <c r="BG96" s="111">
        <f>SUM(BF$96,'Statistics NZ'!BG$96-'Statistics NZ'!BF$96,$Q$13/16*(BG$9-BG$10)*1000)</f>
        <v>31569.018407167816</v>
      </c>
      <c r="BH96" s="111">
        <f>SUM(BG$96,'Statistics NZ'!BH$96-'Statistics NZ'!BG$96,$Q$13/16*(BH$9-BH$10)*1000)</f>
        <v>32349.018407167816</v>
      </c>
      <c r="BI96" s="111">
        <f>SUM(BH$96,'Statistics NZ'!BI$96-'Statistics NZ'!BH$96,$Q$13/16*(BI$9-BI$10)*1000)</f>
        <v>32979.018407167816</v>
      </c>
      <c r="BJ96" s="111">
        <f>SUM(BI$96,'Statistics NZ'!BJ$96-'Statistics NZ'!BI$96,$Q$13/16*(BJ$9-BJ$10)*1000)</f>
        <v>33819.018407167816</v>
      </c>
      <c r="BK96" s="111">
        <f>SUM(BJ$96,'Statistics NZ'!BK$96-'Statistics NZ'!BJ$96,$Q$13/16*(BK$9-BK$10)*1000)</f>
        <v>36109.018407167816</v>
      </c>
      <c r="BL96" s="111">
        <f>SUM(BK$96,'Statistics NZ'!BL$96-'Statistics NZ'!BK$96,$Q$13/16*(BL$9-BL$10)*1000)</f>
        <v>36499.018407167816</v>
      </c>
      <c r="BM96" s="195">
        <f>SUM(BL$96,'Statistics NZ'!BM$96-'Statistics NZ'!BL$96,$Q$13/16*(BM$9-BM$10)*1000)</f>
        <v>38089.018407167816</v>
      </c>
      <c r="BN96" s="195">
        <f>SUM(BM$96,'Statistics NZ'!BN$96-'Statistics NZ'!BM$96,$Q$13/16*(BN$9-BN$10)*1000)</f>
        <v>38689.018407167816</v>
      </c>
      <c r="BO96" s="195">
        <f>SUM(BN$96,'Statistics NZ'!BO$96-'Statistics NZ'!BN$96,$Q$13/16*(BO$9-BO$10)*1000)</f>
        <v>38449.018407167816</v>
      </c>
      <c r="BP96" s="195">
        <f>SUM(BO$96,'Statistics NZ'!BP$96-'Statistics NZ'!BO$96,$Q$13/16*(BP$9-BP$10)*1000)</f>
        <v>37879.018407167816</v>
      </c>
      <c r="BQ96" s="195">
        <f>SUM(BP$96,'Statistics NZ'!BQ$96-'Statistics NZ'!BP$96,$Q$13/16*(BQ$9-BQ$10)*1000)</f>
        <v>36869.018407167816</v>
      </c>
    </row>
    <row r="97" spans="1:69">
      <c r="A97" s="105">
        <v>80</v>
      </c>
      <c r="B97" s="118">
        <f>'Statistics NZ'!B$97*'Economic Forecasts'!D$9*1000000/SUM('Statistics NZ'!B$32:B$107,'Statistics NZ'!B$125:B$200)</f>
        <v>9742.5644961654216</v>
      </c>
      <c r="C97" s="118">
        <f>'Statistics NZ'!C$97*'Economic Forecasts'!E$9*1000000/SUM('Statistics NZ'!C$32:C$107,'Statistics NZ'!C$125:C$200)</f>
        <v>9690.8043966200166</v>
      </c>
      <c r="D97" s="118">
        <f>'Statistics NZ'!D$97*'Economic Forecasts'!F$9*1000000/SUM('Statistics NZ'!D$32:D$107,'Statistics NZ'!D$125:D$200)</f>
        <v>9846.2480976386942</v>
      </c>
      <c r="E97" s="118">
        <f>'Statistics NZ'!E$97*'Economic Forecasts'!G$9*1000000/SUM('Statistics NZ'!E$32:E$107,'Statistics NZ'!E$125:E$200)</f>
        <v>9799.2623690624223</v>
      </c>
      <c r="F97" s="118">
        <f>'Statistics NZ'!F$97*'Economic Forecasts'!H$9*1000000/SUM('Statistics NZ'!F$32:F$107,'Statistics NZ'!F$125:F$200)</f>
        <v>10147.16937833512</v>
      </c>
      <c r="G97" s="118">
        <f>'Statistics NZ'!G$97*'Economic Forecasts'!I$9*1000000/SUM('Statistics NZ'!G$32:G$107,'Statistics NZ'!G$125:G$200)</f>
        <v>10256.843887298965</v>
      </c>
      <c r="H97" s="118">
        <f>'Statistics NZ'!H$97*'Economic Forecasts'!J$9*1000000/SUM('Statistics NZ'!H$32:H$107,'Statistics NZ'!H$125:H$200)</f>
        <v>9780.7166032525583</v>
      </c>
      <c r="I97" s="118">
        <f>'Statistics NZ'!I$97*'Economic Forecasts'!K$9*1000000/SUM('Statistics NZ'!I$32:I$107,'Statistics NZ'!I$125:I$200)</f>
        <v>9929.5393837506472</v>
      </c>
      <c r="J97" s="203">
        <f>'Statistics NZ'!J$97*'Economic Forecasts'!L$9*1000000/SUM('Statistics NZ'!J$32:J$107,'Statistics NZ'!J$125:J$200)</f>
        <v>9828.4347724763211</v>
      </c>
      <c r="K97" s="203">
        <f>'Statistics NZ'!K$97*'Economic Forecasts'!M$9*1000000/SUM('Statistics NZ'!K$32:K$107,'Statistics NZ'!K$125:K$200)</f>
        <v>9835.1382792338791</v>
      </c>
      <c r="L97" s="203">
        <f>'Statistics NZ'!L$97*'Economic Forecasts'!N$9*1000000/SUM('Statistics NZ'!L$32:L$107,'Statistics NZ'!L$125:L$200)</f>
        <v>10262.476220638689</v>
      </c>
      <c r="M97" s="203">
        <f>'Statistics NZ'!M$97*'Economic Forecasts'!O$9*1000000/SUM('Statistics NZ'!M$32:M$107,'Statistics NZ'!M$125:M$200)</f>
        <v>10776.312886632513</v>
      </c>
      <c r="N97" s="203">
        <f>'Statistics NZ'!N$97*'Economic Forecasts'!P$9*1000000/SUM('Statistics NZ'!N$32:N$107,'Statistics NZ'!N$125:N$200)</f>
        <v>11250.08042244545</v>
      </c>
      <c r="O97" s="203">
        <f>'Statistics NZ'!O$97*'Economic Forecasts'!Q$9*1000000/SUM('Statistics NZ'!O$32:O$107,'Statistics NZ'!O$125:O$200)</f>
        <v>11852.025139005227</v>
      </c>
      <c r="P97" s="203">
        <f>'Statistics NZ'!P$97*'Economic Forecasts'!R$9*1000000/SUM('Statistics NZ'!P$32:P$107,'Statistics NZ'!P$125:P$200)</f>
        <v>12884.509093552726</v>
      </c>
      <c r="Q97" s="121">
        <f>SUM('Statistics NZ'!Q$97,$Q$13/16*(Q$9-Q$10)*1000)*'Economic Forecasts'!S$9*1000000/SUM('Statistics NZ'!Q$32:Q$107,'Statistics NZ'!Q$125:Q$200,SUM($E$13:$Q$14)*(Q$9-Q$10)*1000)</f>
        <v>13959.415098228514</v>
      </c>
      <c r="R97" s="205">
        <f>SUM('Statistics NZ'!R$97,$Q$13/16*(R$9-R$10)*1000)*'Economic Forecasts'!T$9*1000000/SUM('Statistics NZ'!R$32:R$107,'Statistics NZ'!R$125:R$200,SUM($E$13:$Q$14)*(R$9-R$10)*1000)</f>
        <v>14352.998052175579</v>
      </c>
      <c r="S97" s="205">
        <f>SUM('Statistics NZ'!S$97,$Q$13/16*(S$9-S$10)*1000)*'Economic Forecasts'!U$9*1000000/SUM('Statistics NZ'!S$32:S$107,'Statistics NZ'!S$125:S$200,SUM($E$13:$Q$14)*(S$9-S$10)*1000)</f>
        <v>12814.450610209236</v>
      </c>
      <c r="T97" s="205">
        <f>SUM('Statistics NZ'!T$97,$Q$13/16*(T$9-T$10)*1000)*'Economic Forecasts'!V$9*1000000/SUM('Statistics NZ'!T$32:T$107,'Statistics NZ'!T$125:T$200,SUM($E$13:$Q$14)*(T$9-T$10)*1000)</f>
        <v>14326.089582254328</v>
      </c>
      <c r="U97" s="205">
        <f>SUM('Statistics NZ'!U$97,$Q$13/16*(U$9-U$10)*1000)*'Economic Forecasts'!W$9*1000000/SUM('Statistics NZ'!U$32:U$107,'Statistics NZ'!U$125:U$200,SUM($E$13:$Q$14)*(U$9-U$10)*1000)</f>
        <v>15216.120440843351</v>
      </c>
      <c r="V97" s="111">
        <f>SUM(U$97,'Statistics NZ'!V$97-'Statistics NZ'!U$97,$Q$13/16*(V$9-V$10)*1000)</f>
        <v>16177.946260502773</v>
      </c>
      <c r="W97" s="111">
        <f>SUM(V$97,'Statistics NZ'!W$97-'Statistics NZ'!V$97,$Q$13/16*(W$9-W$10)*1000)</f>
        <v>19079.543852704766</v>
      </c>
      <c r="X97" s="111">
        <f>SUM(W$97,'Statistics NZ'!X$97-'Statistics NZ'!W$97,$Q$13/16*(X$9-X$10)*1000)</f>
        <v>19350.913217449332</v>
      </c>
      <c r="Y97" s="111">
        <f>SUM(X$97,'Statistics NZ'!Y$97-'Statistics NZ'!X$97,$Q$13/16*(Y$9-Y$10)*1000)</f>
        <v>19042.054354736469</v>
      </c>
      <c r="Z97" s="111">
        <f>SUM(Y$97,'Statistics NZ'!Z$97-'Statistics NZ'!Y$97,$Q$13/16*(Z$9-Z$10)*1000)</f>
        <v>19722.967264566181</v>
      </c>
      <c r="AA97" s="111">
        <f>SUM(Z$97,'Statistics NZ'!AA$97-'Statistics NZ'!Z$97,$Q$13/16*(AA$9-AA$10)*1000)</f>
        <v>19733.651946938466</v>
      </c>
      <c r="AB97" s="111">
        <f>SUM(AA$97,'Statistics NZ'!AB$97-'Statistics NZ'!AA$97,$Q$13/16*(AB$9-AB$10)*1000)</f>
        <v>20454.108401853322</v>
      </c>
      <c r="AC97" s="111">
        <f>SUM(AB$97,'Statistics NZ'!AC$97-'Statistics NZ'!AB$97,$Q$13/16*(AC$9-AC$10)*1000)</f>
        <v>21024.33662931075</v>
      </c>
      <c r="AD97" s="111">
        <f>SUM(AC$97,'Statistics NZ'!AD$97-'Statistics NZ'!AC$97,$Q$13/16*(AD$9-AD$10)*1000)</f>
        <v>21844.33662931075</v>
      </c>
      <c r="AE97" s="111">
        <f>SUM(AD$97,'Statistics NZ'!AE$97-'Statistics NZ'!AD$97,$Q$13/16*(AE$9-AE$10)*1000)</f>
        <v>22664.33662931075</v>
      </c>
      <c r="AF97" s="111">
        <f>SUM(AE$97,'Statistics NZ'!AF$97-'Statistics NZ'!AE$97,$Q$13/16*(AF$9-AF$10)*1000)</f>
        <v>23314.33662931075</v>
      </c>
      <c r="AG97" s="111">
        <f>SUM(AF$97,'Statistics NZ'!AG$97-'Statistics NZ'!AF$97,$Q$13/16*(AG$9-AG$10)*1000)</f>
        <v>23944.33662931075</v>
      </c>
      <c r="AH97" s="111">
        <f>SUM(AG$97,'Statistics NZ'!AH$97-'Statistics NZ'!AG$97,$Q$13/16*(AH$9-AH$10)*1000)</f>
        <v>24794.33662931075</v>
      </c>
      <c r="AI97" s="111">
        <f>SUM(AH$97,'Statistics NZ'!AI$97-'Statistics NZ'!AH$97,$Q$13/16*(AI$9-AI$10)*1000)</f>
        <v>25784.33662931075</v>
      </c>
      <c r="AJ97" s="111">
        <f>SUM(AI$97,'Statistics NZ'!AJ$97-'Statistics NZ'!AI$97,$Q$13/16*(AJ$9-AJ$10)*1000)</f>
        <v>26334.33662931075</v>
      </c>
      <c r="AK97" s="111">
        <f>SUM(AJ$97,'Statistics NZ'!AK$97-'Statistics NZ'!AJ$97,$Q$13/16*(AK$9-AK$10)*1000)</f>
        <v>27604.33662931075</v>
      </c>
      <c r="AL97" s="111">
        <f>SUM(AK$97,'Statistics NZ'!AL$97-'Statistics NZ'!AK$97,$Q$13/16*(AL$9-AL$10)*1000)</f>
        <v>28394.33662931075</v>
      </c>
      <c r="AM97" s="111">
        <f>SUM(AL$97,'Statistics NZ'!AM$97-'Statistics NZ'!AL$97,$Q$13/16*(AM$9-AM$10)*1000)</f>
        <v>28954.33662931075</v>
      </c>
      <c r="AN97" s="111">
        <f>SUM(AM$97,'Statistics NZ'!AN$97-'Statistics NZ'!AM$97,$Q$13/16*(AN$9-AN$10)*1000)</f>
        <v>28424.33662931075</v>
      </c>
      <c r="AO97" s="111">
        <f>SUM(AN$97,'Statistics NZ'!AO$97-'Statistics NZ'!AN$97,$Q$13/16*(AO$9-AO$10)*1000)</f>
        <v>27804.33662931075</v>
      </c>
      <c r="AP97" s="111">
        <f>SUM(AO$97,'Statistics NZ'!AP$97-'Statistics NZ'!AO$97,$Q$13/16*(AP$9-AP$10)*1000)</f>
        <v>27464.33662931075</v>
      </c>
      <c r="AQ97" s="111">
        <f>SUM(AP$97,'Statistics NZ'!AQ$97-'Statistics NZ'!AP$97,$Q$13/16*(AQ$9-AQ$10)*1000)</f>
        <v>27934.33662931075</v>
      </c>
      <c r="AR97" s="111">
        <f>SUM(AQ$97,'Statistics NZ'!AR$97-'Statistics NZ'!AQ$97,$Q$13/16*(AR$9-AR$10)*1000)</f>
        <v>28624.33662931075</v>
      </c>
      <c r="AS97" s="111">
        <f>SUM(AR$97,'Statistics NZ'!AS$97-'Statistics NZ'!AR$97,$Q$13/16*(AS$9-AS$10)*1000)</f>
        <v>29224.33662931075</v>
      </c>
      <c r="AT97" s="111">
        <f>SUM(AS$97,'Statistics NZ'!AT$97-'Statistics NZ'!AS$97,$Q$13/16*(AT$9-AT$10)*1000)</f>
        <v>29144.33662931075</v>
      </c>
      <c r="AU97" s="111">
        <f>SUM(AT$97,'Statistics NZ'!AU$97-'Statistics NZ'!AT$97,$Q$13/16*(AU$9-AU$10)*1000)</f>
        <v>30444.33662931075</v>
      </c>
      <c r="AV97" s="111">
        <f>SUM(AU$97,'Statistics NZ'!AV$97-'Statistics NZ'!AU$97,$Q$13/16*(AV$9-AV$10)*1000)</f>
        <v>30144.33662931075</v>
      </c>
      <c r="AW97" s="111">
        <f>SUM(AV$97,'Statistics NZ'!AW$97-'Statistics NZ'!AV$97,$Q$13/16*(AW$9-AW$10)*1000)</f>
        <v>29174.33662931075</v>
      </c>
      <c r="AX97" s="111">
        <f>SUM(AW$97,'Statistics NZ'!AX$97-'Statistics NZ'!AW$97,$Q$13/16*(AX$9-AX$10)*1000)</f>
        <v>28634.33662931075</v>
      </c>
      <c r="AY97" s="111">
        <f>SUM(AX$97,'Statistics NZ'!AY$97-'Statistics NZ'!AX$97,$Q$13/16*(AY$9-AY$10)*1000)</f>
        <v>27624.33662931075</v>
      </c>
      <c r="AZ97" s="111">
        <f>SUM(AY$97,'Statistics NZ'!AZ$97-'Statistics NZ'!AY$97,$Q$13/16*(AZ$9-AZ$10)*1000)</f>
        <v>26564.33662931075</v>
      </c>
      <c r="BA97" s="111">
        <f>SUM(AZ$97,'Statistics NZ'!BA$97-'Statistics NZ'!AZ$97,$Q$13/16*(BA$9-BA$10)*1000)</f>
        <v>26804.33662931075</v>
      </c>
      <c r="BB97" s="111">
        <f>SUM(BA$97,'Statistics NZ'!BB$97-'Statistics NZ'!BA$97,$Q$13/16*(BB$9-BB$10)*1000)</f>
        <v>26824.33662931075</v>
      </c>
      <c r="BC97" s="111">
        <f>SUM(BB$97,'Statistics NZ'!BC$97-'Statistics NZ'!BB$97,$Q$13/16*(BC$9-BC$10)*1000)</f>
        <v>27734.33662931075</v>
      </c>
      <c r="BD97" s="111">
        <f>SUM(BC$97,'Statistics NZ'!BD$97-'Statistics NZ'!BC$97,$Q$13/16*(BD$9-BD$10)*1000)</f>
        <v>28154.33662931075</v>
      </c>
      <c r="BE97" s="111">
        <f>SUM(BD$97,'Statistics NZ'!BE$97-'Statistics NZ'!BD$97,$Q$13/16*(BE$9-BE$10)*1000)</f>
        <v>28564.33662931075</v>
      </c>
      <c r="BF97" s="111">
        <f>SUM(BE$97,'Statistics NZ'!BF$97-'Statistics NZ'!BE$97,$Q$13/16*(BF$9-BF$10)*1000)</f>
        <v>29594.33662931075</v>
      </c>
      <c r="BG97" s="111">
        <f>SUM(BF$97,'Statistics NZ'!BG$97-'Statistics NZ'!BF$97,$Q$13/16*(BG$9-BG$10)*1000)</f>
        <v>30354.33662931075</v>
      </c>
      <c r="BH97" s="111">
        <f>SUM(BG$97,'Statistics NZ'!BH$97-'Statistics NZ'!BG$97,$Q$13/16*(BH$9-BH$10)*1000)</f>
        <v>31114.33662931075</v>
      </c>
      <c r="BI97" s="111">
        <f>SUM(BH$97,'Statistics NZ'!BI$97-'Statistics NZ'!BH$97,$Q$13/16*(BI$9-BI$10)*1000)</f>
        <v>31894.33662931075</v>
      </c>
      <c r="BJ97" s="111">
        <f>SUM(BI$97,'Statistics NZ'!BJ$97-'Statistics NZ'!BI$97,$Q$13/16*(BJ$9-BJ$10)*1000)</f>
        <v>32514.33662931075</v>
      </c>
      <c r="BK97" s="111">
        <f>SUM(BJ$97,'Statistics NZ'!BK$97-'Statistics NZ'!BJ$97,$Q$13/16*(BK$9-BK$10)*1000)</f>
        <v>33344.336629310754</v>
      </c>
      <c r="BL97" s="111">
        <f>SUM(BK$97,'Statistics NZ'!BL$97-'Statistics NZ'!BK$97,$Q$13/16*(BL$9-BL$10)*1000)</f>
        <v>35614.336629310754</v>
      </c>
      <c r="BM97" s="195">
        <f>SUM(BL$97,'Statistics NZ'!BM$97-'Statistics NZ'!BL$97,$Q$13/16*(BM$9-BM$10)*1000)</f>
        <v>36004.336629310754</v>
      </c>
      <c r="BN97" s="195">
        <f>SUM(BM$97,'Statistics NZ'!BN$97-'Statistics NZ'!BM$97,$Q$13/16*(BN$9-BN$10)*1000)</f>
        <v>37584.336629310754</v>
      </c>
      <c r="BO97" s="195">
        <f>SUM(BN$97,'Statistics NZ'!BO$97-'Statistics NZ'!BN$97,$Q$13/16*(BO$9-BO$10)*1000)</f>
        <v>38184.336629310754</v>
      </c>
      <c r="BP97" s="195">
        <f>SUM(BO$97,'Statistics NZ'!BP$97-'Statistics NZ'!BO$97,$Q$13/16*(BP$9-BP$10)*1000)</f>
        <v>37954.336629310754</v>
      </c>
      <c r="BQ97" s="195">
        <f>SUM(BP$97,'Statistics NZ'!BQ$97-'Statistics NZ'!BP$97,$Q$13/16*(BQ$9-BQ$10)*1000)</f>
        <v>37404.336629310754</v>
      </c>
    </row>
    <row r="98" spans="1:69">
      <c r="A98" s="105">
        <v>81</v>
      </c>
      <c r="B98" s="118">
        <f>'Statistics NZ'!B$98*'Economic Forecasts'!D$9*1000000/SUM('Statistics NZ'!B$32:B$107,'Statistics NZ'!B$125:B$200)</f>
        <v>9466.7386054751969</v>
      </c>
      <c r="C98" s="118">
        <f>'Statistics NZ'!C$98*'Economic Forecasts'!E$9*1000000/SUM('Statistics NZ'!C$32:C$107,'Statistics NZ'!C$125:C$200)</f>
        <v>9316.1853049907568</v>
      </c>
      <c r="D98" s="118">
        <f>'Statistics NZ'!D$98*'Economic Forecasts'!F$9*1000000/SUM('Statistics NZ'!D$32:D$107,'Statistics NZ'!D$125:D$200)</f>
        <v>9245.0257413264208</v>
      </c>
      <c r="E98" s="118">
        <f>'Statistics NZ'!E$98*'Economic Forecasts'!G$9*1000000/SUM('Statistics NZ'!E$32:E$107,'Statistics NZ'!E$125:E$200)</f>
        <v>9395.4736684276904</v>
      </c>
      <c r="F98" s="118">
        <f>'Statistics NZ'!F$98*'Economic Forecasts'!H$9*1000000/SUM('Statistics NZ'!F$32:F$107,'Statistics NZ'!F$125:F$200)</f>
        <v>9368.8913386375716</v>
      </c>
      <c r="G98" s="118">
        <f>'Statistics NZ'!G$98*'Economic Forecasts'!I$9*1000000/SUM('Statistics NZ'!G$32:G$107,'Statistics NZ'!G$125:G$200)</f>
        <v>9675.5242049256321</v>
      </c>
      <c r="H98" s="118">
        <f>'Statistics NZ'!H$98*'Economic Forecasts'!J$9*1000000/SUM('Statistics NZ'!H$32:H$107,'Statistics NZ'!H$125:H$200)</f>
        <v>9810.2655960116299</v>
      </c>
      <c r="I98" s="118">
        <f>'Statistics NZ'!I$98*'Economic Forecasts'!K$9*1000000/SUM('Statistics NZ'!I$32:I$107,'Statistics NZ'!I$125:I$200)</f>
        <v>9368.604056819242</v>
      </c>
      <c r="J98" s="203">
        <f>'Statistics NZ'!J$98*'Economic Forecasts'!L$9*1000000/SUM('Statistics NZ'!J$32:J$107,'Statistics NZ'!J$125:J$200)</f>
        <v>9494.2679902121254</v>
      </c>
      <c r="K98" s="203">
        <f>'Statistics NZ'!K$98*'Economic Forecasts'!M$9*1000000/SUM('Statistics NZ'!K$32:K$107,'Statistics NZ'!K$125:K$200)</f>
        <v>9422.47513465064</v>
      </c>
      <c r="L98" s="203">
        <f>'Statistics NZ'!L$98*'Economic Forecasts'!N$9*1000000/SUM('Statistics NZ'!L$32:L$107,'Statistics NZ'!L$125:L$200)</f>
        <v>9484.4190023752944</v>
      </c>
      <c r="M98" s="203">
        <f>'Statistics NZ'!M$98*'Economic Forecasts'!O$9*1000000/SUM('Statistics NZ'!M$32:M$107,'Statistics NZ'!M$125:M$200)</f>
        <v>9820.8262778543085</v>
      </c>
      <c r="N98" s="203">
        <f>'Statistics NZ'!N$98*'Economic Forecasts'!P$9*1000000/SUM('Statistics NZ'!N$32:N$107,'Statistics NZ'!N$125:N$200)</f>
        <v>10322.442212173632</v>
      </c>
      <c r="O98" s="203">
        <f>'Statistics NZ'!O$98*'Economic Forecasts'!Q$9*1000000/SUM('Statistics NZ'!O$32:O$107,'Statistics NZ'!O$125:O$200)</f>
        <v>10796.099502141315</v>
      </c>
      <c r="P98" s="203">
        <f>'Statistics NZ'!P$98*'Economic Forecasts'!R$9*1000000/SUM('Statistics NZ'!P$32:P$107,'Statistics NZ'!P$125:P$200)</f>
        <v>11462.770159091733</v>
      </c>
      <c r="Q98" s="121">
        <f>SUM('Statistics NZ'!Q$98,$Q$13/16*(Q$9-Q$10)*1000)*'Economic Forecasts'!S$9*1000000/SUM('Statistics NZ'!Q$32:Q$107,'Statistics NZ'!Q$125:Q$200,SUM($E$13:$Q$14)*(Q$9-Q$10)*1000)</f>
        <v>12446.792360181129</v>
      </c>
      <c r="R98" s="205">
        <f>SUM('Statistics NZ'!R$98,$Q$13/16*(R$9-R$10)*1000)*'Economic Forecasts'!T$9*1000000/SUM('Statistics NZ'!R$32:R$107,'Statistics NZ'!R$125:R$200,SUM($E$13:$Q$14)*(R$9-R$10)*1000)</f>
        <v>13483.102290912715</v>
      </c>
      <c r="S98" s="205">
        <f>SUM('Statistics NZ'!S$98,$Q$13/16*(S$9-S$10)*1000)*'Economic Forecasts'!U$9*1000000/SUM('Statistics NZ'!S$32:S$107,'Statistics NZ'!S$125:S$200,SUM($E$13:$Q$14)*(S$9-S$10)*1000)</f>
        <v>13871.599483187221</v>
      </c>
      <c r="T98" s="205">
        <f>SUM('Statistics NZ'!T$98,$Q$13/16*(T$9-T$10)*1000)*'Economic Forecasts'!V$9*1000000/SUM('Statistics NZ'!T$32:T$107,'Statistics NZ'!T$125:T$200,SUM($E$13:$Q$14)*(T$9-T$10)*1000)</f>
        <v>12399.629145732972</v>
      </c>
      <c r="U98" s="205">
        <f>SUM('Statistics NZ'!U$98,$Q$13/16*(U$9-U$10)*1000)*'Economic Forecasts'!W$9*1000000/SUM('Statistics NZ'!U$32:U$107,'Statistics NZ'!U$125:U$200,SUM($E$13:$Q$14)*(U$9-U$10)*1000)</f>
        <v>13890.575664555699</v>
      </c>
      <c r="V98" s="111">
        <f>SUM(U$98,'Statistics NZ'!V$98-'Statistics NZ'!U$98,$Q$13/16*(V$9-V$10)*1000)</f>
        <v>14752.401484215121</v>
      </c>
      <c r="W98" s="111">
        <f>SUM(V$98,'Statistics NZ'!W$98-'Statistics NZ'!V$98,$Q$13/16*(W$9-W$10)*1000)</f>
        <v>15683.999076417114</v>
      </c>
      <c r="X98" s="111">
        <f>SUM(W$98,'Statistics NZ'!X$98-'Statistics NZ'!W$98,$Q$13/16*(X$9-X$10)*1000)</f>
        <v>18505.368441161681</v>
      </c>
      <c r="Y98" s="111">
        <f>SUM(X$98,'Statistics NZ'!Y$98-'Statistics NZ'!X$98,$Q$13/16*(Y$9-Y$10)*1000)</f>
        <v>18776.509578448819</v>
      </c>
      <c r="Z98" s="111">
        <f>SUM(Y$98,'Statistics NZ'!Z$98-'Statistics NZ'!Y$98,$Q$13/16*(Z$9-Z$10)*1000)</f>
        <v>18487.422488278531</v>
      </c>
      <c r="AA98" s="111">
        <f>SUM(Z$98,'Statistics NZ'!AA$98-'Statistics NZ'!Z$98,$Q$13/16*(AA$9-AA$10)*1000)</f>
        <v>19158.107170650816</v>
      </c>
      <c r="AB98" s="111">
        <f>SUM(AA$98,'Statistics NZ'!AB$98-'Statistics NZ'!AA$98,$Q$13/16*(AB$9-AB$10)*1000)</f>
        <v>19168.563625565672</v>
      </c>
      <c r="AC98" s="111">
        <f>SUM(AB$98,'Statistics NZ'!AC$98-'Statistics NZ'!AB$98,$Q$13/16*(AC$9-AC$10)*1000)</f>
        <v>19878.7918530231</v>
      </c>
      <c r="AD98" s="111">
        <f>SUM(AC$98,'Statistics NZ'!AD$98-'Statistics NZ'!AC$98,$Q$13/16*(AD$9-AD$10)*1000)</f>
        <v>20448.7918530231</v>
      </c>
      <c r="AE98" s="111">
        <f>SUM(AD$98,'Statistics NZ'!AE$98-'Statistics NZ'!AD$98,$Q$13/16*(AE$9-AE$10)*1000)</f>
        <v>21258.7918530231</v>
      </c>
      <c r="AF98" s="111">
        <f>SUM(AE$98,'Statistics NZ'!AF$98-'Statistics NZ'!AE$98,$Q$13/16*(AF$9-AF$10)*1000)</f>
        <v>22058.7918530231</v>
      </c>
      <c r="AG98" s="111">
        <f>SUM(AF$98,'Statistics NZ'!AG$98-'Statistics NZ'!AF$98,$Q$13/16*(AG$9-AG$10)*1000)</f>
        <v>22698.7918530231</v>
      </c>
      <c r="AH98" s="111">
        <f>SUM(AG$98,'Statistics NZ'!AH$98-'Statistics NZ'!AG$98,$Q$13/16*(AH$9-AH$10)*1000)</f>
        <v>23318.7918530231</v>
      </c>
      <c r="AI98" s="111">
        <f>SUM(AH$98,'Statistics NZ'!AI$98-'Statistics NZ'!AH$98,$Q$13/16*(AI$9-AI$10)*1000)</f>
        <v>24168.7918530231</v>
      </c>
      <c r="AJ98" s="111">
        <f>SUM(AI$98,'Statistics NZ'!AJ$98-'Statistics NZ'!AI$98,$Q$13/16*(AJ$9-AJ$10)*1000)</f>
        <v>25138.7918530231</v>
      </c>
      <c r="AK98" s="111">
        <f>SUM(AJ$98,'Statistics NZ'!AK$98-'Statistics NZ'!AJ$98,$Q$13/16*(AK$9-AK$10)*1000)</f>
        <v>25688.7918530231</v>
      </c>
      <c r="AL98" s="111">
        <f>SUM(AK$98,'Statistics NZ'!AL$98-'Statistics NZ'!AK$98,$Q$13/16*(AL$9-AL$10)*1000)</f>
        <v>26938.7918530231</v>
      </c>
      <c r="AM98" s="111">
        <f>SUM(AL$98,'Statistics NZ'!AM$98-'Statistics NZ'!AL$98,$Q$13/16*(AM$9-AM$10)*1000)</f>
        <v>27718.7918530231</v>
      </c>
      <c r="AN98" s="111">
        <f>SUM(AM$98,'Statistics NZ'!AN$98-'Statistics NZ'!AM$98,$Q$13/16*(AN$9-AN$10)*1000)</f>
        <v>28268.7918530231</v>
      </c>
      <c r="AO98" s="111">
        <f>SUM(AN$98,'Statistics NZ'!AO$98-'Statistics NZ'!AN$98,$Q$13/16*(AO$9-AO$10)*1000)</f>
        <v>27768.7918530231</v>
      </c>
      <c r="AP98" s="111">
        <f>SUM(AO$98,'Statistics NZ'!AP$98-'Statistics NZ'!AO$98,$Q$13/16*(AP$9-AP$10)*1000)</f>
        <v>27168.7918530231</v>
      </c>
      <c r="AQ98" s="111">
        <f>SUM(AP$98,'Statistics NZ'!AQ$98-'Statistics NZ'!AP$98,$Q$13/16*(AQ$9-AQ$10)*1000)</f>
        <v>26838.7918530231</v>
      </c>
      <c r="AR98" s="111">
        <f>SUM(AQ$98,'Statistics NZ'!AR$98-'Statistics NZ'!AQ$98,$Q$13/16*(AR$9-AR$10)*1000)</f>
        <v>27308.7918530231</v>
      </c>
      <c r="AS98" s="111">
        <f>SUM(AR$98,'Statistics NZ'!AS$98-'Statistics NZ'!AR$98,$Q$13/16*(AS$9-AS$10)*1000)</f>
        <v>27998.7918530231</v>
      </c>
      <c r="AT98" s="111">
        <f>SUM(AS$98,'Statistics NZ'!AT$98-'Statistics NZ'!AS$98,$Q$13/16*(AT$9-AT$10)*1000)</f>
        <v>28588.7918530231</v>
      </c>
      <c r="AU98" s="111">
        <f>SUM(AT$98,'Statistics NZ'!AU$98-'Statistics NZ'!AT$98,$Q$13/16*(AU$9-AU$10)*1000)</f>
        <v>28518.7918530231</v>
      </c>
      <c r="AV98" s="111">
        <f>SUM(AU$98,'Statistics NZ'!AV$98-'Statistics NZ'!AU$98,$Q$13/16*(AV$9-AV$10)*1000)</f>
        <v>29808.7918530231</v>
      </c>
      <c r="AW98" s="111">
        <f>SUM(AV$98,'Statistics NZ'!AW$98-'Statistics NZ'!AV$98,$Q$13/16*(AW$9-AW$10)*1000)</f>
        <v>29518.7918530231</v>
      </c>
      <c r="AX98" s="111">
        <f>SUM(AW$98,'Statistics NZ'!AX$98-'Statistics NZ'!AW$98,$Q$13/16*(AX$9-AX$10)*1000)</f>
        <v>28578.7918530231</v>
      </c>
      <c r="AY98" s="111">
        <f>SUM(AX$98,'Statistics NZ'!AY$98-'Statistics NZ'!AX$98,$Q$13/16*(AY$9-AY$10)*1000)</f>
        <v>28058.7918530231</v>
      </c>
      <c r="AZ98" s="111">
        <f>SUM(AY$98,'Statistics NZ'!AZ$98-'Statistics NZ'!AY$98,$Q$13/16*(AZ$9-AZ$10)*1000)</f>
        <v>27088.7918530231</v>
      </c>
      <c r="BA98" s="111">
        <f>SUM(AZ$98,'Statistics NZ'!BA$98-'Statistics NZ'!AZ$98,$Q$13/16*(BA$9-BA$10)*1000)</f>
        <v>26058.7918530231</v>
      </c>
      <c r="BB98" s="111">
        <f>SUM(BA$98,'Statistics NZ'!BB$98-'Statistics NZ'!BA$98,$Q$13/16*(BB$9-BB$10)*1000)</f>
        <v>26298.7918530231</v>
      </c>
      <c r="BC98" s="111">
        <f>SUM(BB$98,'Statistics NZ'!BC$98-'Statistics NZ'!BB$98,$Q$13/16*(BC$9-BC$10)*1000)</f>
        <v>26318.7918530231</v>
      </c>
      <c r="BD98" s="111">
        <f>SUM(BC$98,'Statistics NZ'!BD$98-'Statistics NZ'!BC$98,$Q$13/16*(BD$9-BD$10)*1000)</f>
        <v>27218.7918530231</v>
      </c>
      <c r="BE98" s="111">
        <f>SUM(BD$98,'Statistics NZ'!BE$98-'Statistics NZ'!BD$98,$Q$13/16*(BE$9-BE$10)*1000)</f>
        <v>27638.7918530231</v>
      </c>
      <c r="BF98" s="111">
        <f>SUM(BE$98,'Statistics NZ'!BF$98-'Statistics NZ'!BE$98,$Q$13/16*(BF$9-BF$10)*1000)</f>
        <v>28048.7918530231</v>
      </c>
      <c r="BG98" s="111">
        <f>SUM(BF$98,'Statistics NZ'!BG$98-'Statistics NZ'!BF$98,$Q$13/16*(BG$9-BG$10)*1000)</f>
        <v>29068.7918530231</v>
      </c>
      <c r="BH98" s="111">
        <f>SUM(BG$98,'Statistics NZ'!BH$98-'Statistics NZ'!BG$98,$Q$13/16*(BH$9-BH$10)*1000)</f>
        <v>29818.7918530231</v>
      </c>
      <c r="BI98" s="111">
        <f>SUM(BH$98,'Statistics NZ'!BI$98-'Statistics NZ'!BH$98,$Q$13/16*(BI$9-BI$10)*1000)</f>
        <v>30578.7918530231</v>
      </c>
      <c r="BJ98" s="111">
        <f>SUM(BI$98,'Statistics NZ'!BJ$98-'Statistics NZ'!BI$98,$Q$13/16*(BJ$9-BJ$10)*1000)</f>
        <v>31348.7918530231</v>
      </c>
      <c r="BK98" s="111">
        <f>SUM(BJ$98,'Statistics NZ'!BK$98-'Statistics NZ'!BJ$98,$Q$13/16*(BK$9-BK$10)*1000)</f>
        <v>31968.7918530231</v>
      </c>
      <c r="BL98" s="111">
        <f>SUM(BK$98,'Statistics NZ'!BL$98-'Statistics NZ'!BK$98,$Q$13/16*(BL$9-BL$10)*1000)</f>
        <v>32798.791853023096</v>
      </c>
      <c r="BM98" s="195">
        <f>SUM(BL$98,'Statistics NZ'!BM$98-'Statistics NZ'!BL$98,$Q$13/16*(BM$9-BM$10)*1000)</f>
        <v>35038.791853023096</v>
      </c>
      <c r="BN98" s="195">
        <f>SUM(BM$98,'Statistics NZ'!BN$98-'Statistics NZ'!BM$98,$Q$13/16*(BN$9-BN$10)*1000)</f>
        <v>35428.791853023096</v>
      </c>
      <c r="BO98" s="195">
        <f>SUM(BN$98,'Statistics NZ'!BO$98-'Statistics NZ'!BN$98,$Q$13/16*(BO$9-BO$10)*1000)</f>
        <v>36988.791853023096</v>
      </c>
      <c r="BP98" s="195">
        <f>SUM(BO$98,'Statistics NZ'!BP$98-'Statistics NZ'!BO$98,$Q$13/16*(BP$9-BP$10)*1000)</f>
        <v>37598.791853023096</v>
      </c>
      <c r="BQ98" s="195">
        <f>SUM(BP$98,'Statistics NZ'!BQ$98-'Statistics NZ'!BP$98,$Q$13/16*(BQ$9-BQ$10)*1000)</f>
        <v>37368.791853023096</v>
      </c>
    </row>
    <row r="99" spans="1:69">
      <c r="A99" s="105">
        <v>82</v>
      </c>
      <c r="B99" s="118">
        <f>'Statistics NZ'!B$99*'Economic Forecasts'!D$9*1000000/SUM('Statistics NZ'!B$32:B$107,'Statistics NZ'!B$125:B$200)</f>
        <v>8639.2609334045246</v>
      </c>
      <c r="C99" s="118">
        <f>'Statistics NZ'!C$99*'Economic Forecasts'!E$9*1000000/SUM('Statistics NZ'!C$32:C$107,'Statistics NZ'!C$125:C$200)</f>
        <v>8980.9998019540526</v>
      </c>
      <c r="D99" s="118">
        <f>'Statistics NZ'!D$99*'Economic Forecasts'!F$9*1000000/SUM('Statistics NZ'!D$32:D$107,'Statistics NZ'!D$125:D$200)</f>
        <v>8840.9254690509588</v>
      </c>
      <c r="E99" s="118">
        <f>'Statistics NZ'!E$99*'Economic Forecasts'!G$9*1000000/SUM('Statistics NZ'!E$32:E$107,'Statistics NZ'!E$125:E$200)</f>
        <v>8794.7148699223562</v>
      </c>
      <c r="F99" s="118">
        <f>'Statistics NZ'!F$99*'Economic Forecasts'!H$9*1000000/SUM('Statistics NZ'!F$32:F$107,'Statistics NZ'!F$125:F$200)</f>
        <v>8945.2716461439704</v>
      </c>
      <c r="G99" s="118">
        <f>'Statistics NZ'!G$99*'Economic Forecasts'!I$9*1000000/SUM('Statistics NZ'!G$32:G$107,'Statistics NZ'!G$125:G$200)</f>
        <v>8906.999879076142</v>
      </c>
      <c r="H99" s="118">
        <f>'Statistics NZ'!H$99*'Economic Forecasts'!J$9*1000000/SUM('Statistics NZ'!H$32:H$107,'Statistics NZ'!H$125:H$200)</f>
        <v>9199.5864123241572</v>
      </c>
      <c r="I99" s="118">
        <f>'Statistics NZ'!I$99*'Economic Forecasts'!K$9*1000000/SUM('Statistics NZ'!I$32:I$107,'Statistics NZ'!I$125:I$200)</f>
        <v>9378.4450274671617</v>
      </c>
      <c r="J99" s="203">
        <f>'Statistics NZ'!J$99*'Economic Forecasts'!L$9*1000000/SUM('Statistics NZ'!J$32:J$107,'Statistics NZ'!J$125:J$200)</f>
        <v>8924.2187734084982</v>
      </c>
      <c r="K99" s="203">
        <f>'Statistics NZ'!K$99*'Economic Forecasts'!M$9*1000000/SUM('Statistics NZ'!K$32:K$107,'Statistics NZ'!K$125:K$200)</f>
        <v>8999.986677101133</v>
      </c>
      <c r="L99" s="203">
        <f>'Statistics NZ'!L$99*'Economic Forecasts'!N$9*1000000/SUM('Statistics NZ'!L$32:L$107,'Statistics NZ'!L$125:L$200)</f>
        <v>9011.6753760886768</v>
      </c>
      <c r="M99" s="203">
        <f>'Statistics NZ'!M$99*'Economic Forecasts'!O$9*1000000/SUM('Statistics NZ'!M$32:M$107,'Statistics NZ'!M$125:M$200)</f>
        <v>9042.6464624576292</v>
      </c>
      <c r="N99" s="203">
        <f>'Statistics NZ'!N$99*'Economic Forecasts'!P$9*1000000/SUM('Statistics NZ'!N$32:N$107,'Statistics NZ'!N$125:N$200)</f>
        <v>9355.3300355072679</v>
      </c>
      <c r="O99" s="203">
        <f>'Statistics NZ'!O$99*'Economic Forecasts'!Q$9*1000000/SUM('Statistics NZ'!O$32:O$107,'Statistics NZ'!O$125:O$200)</f>
        <v>9858.5954320284945</v>
      </c>
      <c r="P99" s="203">
        <f>'Statistics NZ'!P$99*'Economic Forecasts'!R$9*1000000/SUM('Statistics NZ'!P$32:P$107,'Statistics NZ'!P$125:P$200)</f>
        <v>10465.578267560068</v>
      </c>
      <c r="Q99" s="121">
        <f>SUM('Statistics NZ'!Q$99,$Q$13/16*(Q$9-Q$10)*1000)*'Economic Forecasts'!S$9*1000000/SUM('Statistics NZ'!Q$32:Q$107,'Statistics NZ'!Q$125:Q$200,SUM($E$13:$Q$14)*(Q$9-Q$10)*1000)</f>
        <v>11023.147430254174</v>
      </c>
      <c r="R99" s="205">
        <f>SUM('Statistics NZ'!R$99,$Q$13/16*(R$9-R$10)*1000)*'Economic Forecasts'!T$9*1000000/SUM('Statistics NZ'!R$32:R$107,'Statistics NZ'!R$125:R$200,SUM($E$13:$Q$14)*(R$9-R$10)*1000)</f>
        <v>11960.784708702704</v>
      </c>
      <c r="S99" s="205">
        <f>SUM('Statistics NZ'!S$99,$Q$13/16*(S$9-S$10)*1000)*'Economic Forecasts'!U$9*1000000/SUM('Statistics NZ'!S$32:S$107,'Statistics NZ'!S$125:S$200,SUM($E$13:$Q$14)*(S$9-S$10)*1000)</f>
        <v>12962.649050346337</v>
      </c>
      <c r="T99" s="205">
        <f>SUM('Statistics NZ'!T$99,$Q$13/16*(T$9-T$10)*1000)*'Economic Forecasts'!V$9*1000000/SUM('Statistics NZ'!T$32:T$107,'Statistics NZ'!T$125:T$200,SUM($E$13:$Q$14)*(T$9-T$10)*1000)</f>
        <v>13348.040437558871</v>
      </c>
      <c r="U99" s="205">
        <f>SUM('Statistics NZ'!U$99,$Q$13/16*(U$9-U$10)*1000)*'Economic Forecasts'!W$9*1000000/SUM('Statistics NZ'!U$32:U$107,'Statistics NZ'!U$125:U$200,SUM($E$13:$Q$14)*(U$9-U$10)*1000)</f>
        <v>11951.719126105103</v>
      </c>
      <c r="V99" s="111">
        <f>SUM(U$99,'Statistics NZ'!V$99-'Statistics NZ'!U$99,$Q$13/16*(V$9-V$10)*1000)</f>
        <v>13393.544945764525</v>
      </c>
      <c r="W99" s="111">
        <f>SUM(V$99,'Statistics NZ'!W$99-'Statistics NZ'!V$99,$Q$13/16*(W$9-W$10)*1000)</f>
        <v>14235.142537966518</v>
      </c>
      <c r="X99" s="111">
        <f>SUM(W$99,'Statistics NZ'!X$99-'Statistics NZ'!W$99,$Q$13/16*(X$9-X$10)*1000)</f>
        <v>15146.511902711085</v>
      </c>
      <c r="Y99" s="111">
        <f>SUM(X$99,'Statistics NZ'!Y$99-'Statistics NZ'!X$99,$Q$13/16*(Y$9-Y$10)*1000)</f>
        <v>17867.653039998222</v>
      </c>
      <c r="Z99" s="111">
        <f>SUM(Y$99,'Statistics NZ'!Z$99-'Statistics NZ'!Y$99,$Q$13/16*(Z$9-Z$10)*1000)</f>
        <v>18148.565949827935</v>
      </c>
      <c r="AA99" s="111">
        <f>SUM(Z$99,'Statistics NZ'!AA$99-'Statistics NZ'!Z$99,$Q$13/16*(AA$9-AA$10)*1000)</f>
        <v>17879.250632200219</v>
      </c>
      <c r="AB99" s="111">
        <f>SUM(AA$99,'Statistics NZ'!AB$99-'Statistics NZ'!AA$99,$Q$13/16*(AB$9-AB$10)*1000)</f>
        <v>18529.707087115075</v>
      </c>
      <c r="AC99" s="111">
        <f>SUM(AB$99,'Statistics NZ'!AC$99-'Statistics NZ'!AB$99,$Q$13/16*(AC$9-AC$10)*1000)</f>
        <v>18559.935314572504</v>
      </c>
      <c r="AD99" s="111">
        <f>SUM(AC$99,'Statistics NZ'!AD$99-'Statistics NZ'!AC$99,$Q$13/16*(AD$9-AD$10)*1000)</f>
        <v>19249.935314572504</v>
      </c>
      <c r="AE99" s="111">
        <f>SUM(AD$99,'Statistics NZ'!AE$99-'Statistics NZ'!AD$99,$Q$13/16*(AE$9-AE$10)*1000)</f>
        <v>19809.935314572504</v>
      </c>
      <c r="AF99" s="111">
        <f>SUM(AE$99,'Statistics NZ'!AF$99-'Statistics NZ'!AE$99,$Q$13/16*(AF$9-AF$10)*1000)</f>
        <v>20599.935314572504</v>
      </c>
      <c r="AG99" s="111">
        <f>SUM(AF$99,'Statistics NZ'!AG$99-'Statistics NZ'!AF$99,$Q$13/16*(AG$9-AG$10)*1000)</f>
        <v>21389.935314572504</v>
      </c>
      <c r="AH99" s="111">
        <f>SUM(AG$99,'Statistics NZ'!AH$99-'Statistics NZ'!AG$99,$Q$13/16*(AH$9-AH$10)*1000)</f>
        <v>22019.935314572504</v>
      </c>
      <c r="AI99" s="111">
        <f>SUM(AH$99,'Statistics NZ'!AI$99-'Statistics NZ'!AH$99,$Q$13/16*(AI$9-AI$10)*1000)</f>
        <v>22629.935314572504</v>
      </c>
      <c r="AJ99" s="111">
        <f>SUM(AI$99,'Statistics NZ'!AJ$99-'Statistics NZ'!AI$99,$Q$13/16*(AJ$9-AJ$10)*1000)</f>
        <v>23459.935314572504</v>
      </c>
      <c r="AK99" s="111">
        <f>SUM(AJ$99,'Statistics NZ'!AK$99-'Statistics NZ'!AJ$99,$Q$13/16*(AK$9-AK$10)*1000)</f>
        <v>24409.935314572504</v>
      </c>
      <c r="AL99" s="111">
        <f>SUM(AK$99,'Statistics NZ'!AL$99-'Statistics NZ'!AK$99,$Q$13/16*(AL$9-AL$10)*1000)</f>
        <v>24959.935314572504</v>
      </c>
      <c r="AM99" s="111">
        <f>SUM(AL$99,'Statistics NZ'!AM$99-'Statistics NZ'!AL$99,$Q$13/16*(AM$9-AM$10)*1000)</f>
        <v>26179.935314572504</v>
      </c>
      <c r="AN99" s="111">
        <f>SUM(AM$99,'Statistics NZ'!AN$99-'Statistics NZ'!AM$99,$Q$13/16*(AN$9-AN$10)*1000)</f>
        <v>26949.935314572504</v>
      </c>
      <c r="AO99" s="111">
        <f>SUM(AN$99,'Statistics NZ'!AO$99-'Statistics NZ'!AN$99,$Q$13/16*(AO$9-AO$10)*1000)</f>
        <v>27499.935314572504</v>
      </c>
      <c r="AP99" s="111">
        <f>SUM(AO$99,'Statistics NZ'!AP$99-'Statistics NZ'!AO$99,$Q$13/16*(AP$9-AP$10)*1000)</f>
        <v>27019.935314572504</v>
      </c>
      <c r="AQ99" s="111">
        <f>SUM(AP$99,'Statistics NZ'!AQ$99-'Statistics NZ'!AP$99,$Q$13/16*(AQ$9-AQ$10)*1000)</f>
        <v>26449.935314572504</v>
      </c>
      <c r="AR99" s="111">
        <f>SUM(AQ$99,'Statistics NZ'!AR$99-'Statistics NZ'!AQ$99,$Q$13/16*(AR$9-AR$10)*1000)</f>
        <v>26139.935314572504</v>
      </c>
      <c r="AS99" s="111">
        <f>SUM(AR$99,'Statistics NZ'!AS$99-'Statistics NZ'!AR$99,$Q$13/16*(AS$9-AS$10)*1000)</f>
        <v>26609.935314572504</v>
      </c>
      <c r="AT99" s="111">
        <f>SUM(AS$99,'Statistics NZ'!AT$99-'Statistics NZ'!AS$99,$Q$13/16*(AT$9-AT$10)*1000)</f>
        <v>27289.935314572504</v>
      </c>
      <c r="AU99" s="111">
        <f>SUM(AT$99,'Statistics NZ'!AU$99-'Statistics NZ'!AT$99,$Q$13/16*(AU$9-AU$10)*1000)</f>
        <v>27879.935314572504</v>
      </c>
      <c r="AV99" s="111">
        <f>SUM(AU$99,'Statistics NZ'!AV$99-'Statistics NZ'!AU$99,$Q$13/16*(AV$9-AV$10)*1000)</f>
        <v>27819.935314572504</v>
      </c>
      <c r="AW99" s="111">
        <f>SUM(AV$99,'Statistics NZ'!AW$99-'Statistics NZ'!AV$99,$Q$13/16*(AW$9-AW$10)*1000)</f>
        <v>29089.935314572504</v>
      </c>
      <c r="AX99" s="111">
        <f>SUM(AW$99,'Statistics NZ'!AX$99-'Statistics NZ'!AW$99,$Q$13/16*(AX$9-AX$10)*1000)</f>
        <v>28819.935314572504</v>
      </c>
      <c r="AY99" s="111">
        <f>SUM(AX$99,'Statistics NZ'!AY$99-'Statistics NZ'!AX$99,$Q$13/16*(AY$9-AY$10)*1000)</f>
        <v>27909.935314572504</v>
      </c>
      <c r="AZ99" s="111">
        <f>SUM(AY$99,'Statistics NZ'!AZ$99-'Statistics NZ'!AY$99,$Q$13/16*(AZ$9-AZ$10)*1000)</f>
        <v>27409.935314572504</v>
      </c>
      <c r="BA99" s="111">
        <f>SUM(AZ$99,'Statistics NZ'!BA$99-'Statistics NZ'!AZ$99,$Q$13/16*(BA$9-BA$10)*1000)</f>
        <v>26469.935314572504</v>
      </c>
      <c r="BB99" s="111">
        <f>SUM(BA$99,'Statistics NZ'!BB$99-'Statistics NZ'!BA$99,$Q$13/16*(BB$9-BB$10)*1000)</f>
        <v>25469.935314572504</v>
      </c>
      <c r="BC99" s="111">
        <f>SUM(BB$99,'Statistics NZ'!BC$99-'Statistics NZ'!BB$99,$Q$13/16*(BC$9-BC$10)*1000)</f>
        <v>25709.935314572504</v>
      </c>
      <c r="BD99" s="111">
        <f>SUM(BC$99,'Statistics NZ'!BD$99-'Statistics NZ'!BC$99,$Q$13/16*(BD$9-BD$10)*1000)</f>
        <v>25739.935314572504</v>
      </c>
      <c r="BE99" s="111">
        <f>SUM(BD$99,'Statistics NZ'!BE$99-'Statistics NZ'!BD$99,$Q$13/16*(BE$9-BE$10)*1000)</f>
        <v>26629.935314572504</v>
      </c>
      <c r="BF99" s="111">
        <f>SUM(BE$99,'Statistics NZ'!BF$99-'Statistics NZ'!BE$99,$Q$13/16*(BF$9-BF$10)*1000)</f>
        <v>27049.935314572504</v>
      </c>
      <c r="BG99" s="111">
        <f>SUM(BF$99,'Statistics NZ'!BG$99-'Statistics NZ'!BF$99,$Q$13/16*(BG$9-BG$10)*1000)</f>
        <v>27469.935314572504</v>
      </c>
      <c r="BH99" s="111">
        <f>SUM(BG$99,'Statistics NZ'!BH$99-'Statistics NZ'!BG$99,$Q$13/16*(BH$9-BH$10)*1000)</f>
        <v>28469.935314572504</v>
      </c>
      <c r="BI99" s="111">
        <f>SUM(BH$99,'Statistics NZ'!BI$99-'Statistics NZ'!BH$99,$Q$13/16*(BI$9-BI$10)*1000)</f>
        <v>29209.935314572504</v>
      </c>
      <c r="BJ99" s="111">
        <f>SUM(BI$99,'Statistics NZ'!BJ$99-'Statistics NZ'!BI$99,$Q$13/16*(BJ$9-BJ$10)*1000)</f>
        <v>29959.935314572504</v>
      </c>
      <c r="BK99" s="111">
        <f>SUM(BJ$99,'Statistics NZ'!BK$99-'Statistics NZ'!BJ$99,$Q$13/16*(BK$9-BK$10)*1000)</f>
        <v>30729.935314572504</v>
      </c>
      <c r="BL99" s="111">
        <f>SUM(BK$99,'Statistics NZ'!BL$99-'Statistics NZ'!BK$99,$Q$13/16*(BL$9-BL$10)*1000)</f>
        <v>31349.935314572504</v>
      </c>
      <c r="BM99" s="195">
        <f>SUM(BL$99,'Statistics NZ'!BM$99-'Statistics NZ'!BL$99,$Q$13/16*(BM$9-BM$10)*1000)</f>
        <v>32169.935314572504</v>
      </c>
      <c r="BN99" s="195">
        <f>SUM(BM$99,'Statistics NZ'!BN$99-'Statistics NZ'!BM$99,$Q$13/16*(BN$9-BN$10)*1000)</f>
        <v>34369.935314572504</v>
      </c>
      <c r="BO99" s="195">
        <f>SUM(BN$99,'Statistics NZ'!BO$99-'Statistics NZ'!BN$99,$Q$13/16*(BO$9-BO$10)*1000)</f>
        <v>34769.935314572504</v>
      </c>
      <c r="BP99" s="195">
        <f>SUM(BO$99,'Statistics NZ'!BP$99-'Statistics NZ'!BO$99,$Q$13/16*(BP$9-BP$10)*1000)</f>
        <v>36299.935314572504</v>
      </c>
      <c r="BQ99" s="195">
        <f>SUM(BP$99,'Statistics NZ'!BQ$99-'Statistics NZ'!BP$99,$Q$13/16*(BQ$9-BQ$10)*1000)</f>
        <v>36909.935314572504</v>
      </c>
    </row>
    <row r="100" spans="1:69">
      <c r="A100" s="105">
        <v>83</v>
      </c>
      <c r="B100" s="118">
        <f>'Statistics NZ'!B$100*'Economic Forecasts'!D$9*1000000/SUM('Statistics NZ'!B$32:B$107,'Statistics NZ'!B$125:B$200)</f>
        <v>7910.2925080089299</v>
      </c>
      <c r="C100" s="118">
        <f>'Statistics NZ'!C$100*'Economic Forecasts'!E$9*1000000/SUM('Statistics NZ'!C$32:C$107,'Statistics NZ'!C$125:C$200)</f>
        <v>8152.8944415104306</v>
      </c>
      <c r="D100" s="118">
        <f>'Statistics NZ'!D$100*'Economic Forecasts'!F$9*1000000/SUM('Statistics NZ'!D$32:D$107,'Statistics NZ'!D$125:D$200)</f>
        <v>8446.6813009773377</v>
      </c>
      <c r="E100" s="118">
        <f>'Statistics NZ'!E$100*'Economic Forecasts'!G$9*1000000/SUM('Statistics NZ'!E$32:E$107,'Statistics NZ'!E$125:E$200)</f>
        <v>8312.1381301393831</v>
      </c>
      <c r="F100" s="118">
        <f>'Statistics NZ'!F$100*'Economic Forecasts'!H$9*1000000/SUM('Statistics NZ'!F$32:F$107,'Statistics NZ'!F$125:F$200)</f>
        <v>8275.3614347587391</v>
      </c>
      <c r="G100" s="118">
        <f>'Statistics NZ'!G$100*'Economic Forecasts'!I$9*1000000/SUM('Statistics NZ'!G$32:G$107,'Statistics NZ'!G$125:G$200)</f>
        <v>8463.6204603168208</v>
      </c>
      <c r="H100" s="118">
        <f>'Statistics NZ'!H$100*'Economic Forecasts'!J$9*1000000/SUM('Statistics NZ'!H$32:H$107,'Statistics NZ'!H$125:H$200)</f>
        <v>8421.4629363352851</v>
      </c>
      <c r="I100" s="118">
        <f>'Statistics NZ'!I$100*'Economic Forecasts'!K$9*1000000/SUM('Statistics NZ'!I$32:I$107,'Statistics NZ'!I$125:I$200)</f>
        <v>8679.7361114648866</v>
      </c>
      <c r="J100" s="203">
        <f>'Statistics NZ'!J$100*'Economic Forecasts'!L$9*1000000/SUM('Statistics NZ'!J$32:J$107,'Statistics NZ'!J$125:J$200)</f>
        <v>8875.076599546117</v>
      </c>
      <c r="K100" s="203">
        <f>'Statistics NZ'!K$100*'Economic Forecasts'!M$9*1000000/SUM('Statistics NZ'!K$32:K$107,'Statistics NZ'!K$125:K$200)</f>
        <v>8400.6425861588086</v>
      </c>
      <c r="L100" s="203">
        <f>'Statistics NZ'!L$100*'Economic Forecasts'!N$9*1000000/SUM('Statistics NZ'!L$32:L$107,'Statistics NZ'!L$125:L$200)</f>
        <v>8558.6294008973346</v>
      </c>
      <c r="M100" s="203">
        <f>'Statistics NZ'!M$100*'Economic Forecasts'!O$9*1000000/SUM('Statistics NZ'!M$32:M$107,'Statistics NZ'!M$125:M$200)</f>
        <v>8550.1275919534</v>
      </c>
      <c r="N100" s="203">
        <f>'Statistics NZ'!N$100*'Economic Forecasts'!P$9*1000000/SUM('Statistics NZ'!N$32:N$107,'Statistics NZ'!N$125:N$200)</f>
        <v>8585.5876908136324</v>
      </c>
      <c r="O100" s="203">
        <f>'Statistics NZ'!O$100*'Economic Forecasts'!Q$9*1000000/SUM('Statistics NZ'!O$32:O$107,'Statistics NZ'!O$125:O$200)</f>
        <v>8901.3544341238266</v>
      </c>
      <c r="P100" s="203">
        <f>'Statistics NZ'!P$100*'Economic Forecasts'!R$9*1000000/SUM('Statistics NZ'!P$32:P$107,'Statistics NZ'!P$125:P$200)</f>
        <v>9379.5276926245897</v>
      </c>
      <c r="Q100" s="121">
        <f>SUM('Statistics NZ'!Q$100,$Q$13/16*(Q$9-Q$10)*1000)*'Economic Forecasts'!S$9*1000000/SUM('Statistics NZ'!Q$32:Q$107,'Statistics NZ'!Q$125:Q$200,SUM($E$13:$Q$14)*(Q$9-Q$10)*1000)</f>
        <v>10004.845848431423</v>
      </c>
      <c r="R100" s="205">
        <f>SUM('Statistics NZ'!R$100,$Q$13/16*(R$9-R$10)*1000)*'Economic Forecasts'!T$9*1000000/SUM('Statistics NZ'!R$32:R$107,'Statistics NZ'!R$125:R$200,SUM($E$13:$Q$14)*(R$9-R$10)*1000)</f>
        <v>10527.43373844003</v>
      </c>
      <c r="S100" s="205">
        <f>SUM('Statistics NZ'!S$100,$Q$13/16*(S$9-S$10)*1000)*'Economic Forecasts'!U$9*1000000/SUM('Statistics NZ'!S$32:S$107,'Statistics NZ'!S$125:S$200,SUM($E$13:$Q$14)*(S$9-S$10)*1000)</f>
        <v>11431.265168929629</v>
      </c>
      <c r="T100" s="205">
        <f>SUM('Statistics NZ'!T$100,$Q$13/16*(T$9-T$10)*1000)*'Economic Forecasts'!V$9*1000000/SUM('Statistics NZ'!T$32:T$107,'Statistics NZ'!T$125:T$200,SUM($E$13:$Q$14)*(T$9-T$10)*1000)</f>
        <v>12399.629145732972</v>
      </c>
      <c r="U100" s="205">
        <f>SUM('Statistics NZ'!U$100,$Q$13/16*(U$9-U$10)*1000)*'Economic Forecasts'!W$9*1000000/SUM('Statistics NZ'!U$32:U$107,'Statistics NZ'!U$125:U$200,SUM($E$13:$Q$14)*(U$9-U$10)*1000)</f>
        <v>12792.549767780105</v>
      </c>
      <c r="V100" s="111">
        <f>SUM(U$100,'Statistics NZ'!V$100-'Statistics NZ'!U$100,$Q$13/16*(V$9-V$10)*1000)</f>
        <v>11434.375587439526</v>
      </c>
      <c r="W100" s="111">
        <f>SUM(V$100,'Statistics NZ'!W$100-'Statistics NZ'!V$100,$Q$13/16*(W$9-W$10)*1000)</f>
        <v>12825.97317964152</v>
      </c>
      <c r="X100" s="111">
        <f>SUM(W$100,'Statistics NZ'!X$100-'Statistics NZ'!W$100,$Q$13/16*(X$9-X$10)*1000)</f>
        <v>13637.342544386087</v>
      </c>
      <c r="Y100" s="111">
        <f>SUM(X$100,'Statistics NZ'!Y$100-'Statistics NZ'!X$100,$Q$13/16*(Y$9-Y$10)*1000)</f>
        <v>14518.483681673226</v>
      </c>
      <c r="Z100" s="111">
        <f>SUM(Y$100,'Statistics NZ'!Z$100-'Statistics NZ'!Y$100,$Q$13/16*(Z$9-Z$10)*1000)</f>
        <v>17149.39659150294</v>
      </c>
      <c r="AA100" s="111">
        <f>SUM(Z$100,'Statistics NZ'!AA$100-'Statistics NZ'!Z$100,$Q$13/16*(AA$9-AA$10)*1000)</f>
        <v>17420.081273875225</v>
      </c>
      <c r="AB100" s="111">
        <f>SUM(AA$100,'Statistics NZ'!AB$100-'Statistics NZ'!AA$100,$Q$13/16*(AB$9-AB$10)*1000)</f>
        <v>17170.537728790081</v>
      </c>
      <c r="AC100" s="111">
        <f>SUM(AB$100,'Statistics NZ'!AC$100-'Statistics NZ'!AB$100,$Q$13/16*(AC$9-AC$10)*1000)</f>
        <v>17800.765956247509</v>
      </c>
      <c r="AD100" s="111">
        <f>SUM(AC$100,'Statistics NZ'!AD$100-'Statistics NZ'!AC$100,$Q$13/16*(AD$9-AD$10)*1000)</f>
        <v>17840.765956247509</v>
      </c>
      <c r="AE100" s="111">
        <f>SUM(AD$100,'Statistics NZ'!AE$100-'Statistics NZ'!AD$100,$Q$13/16*(AE$9-AE$10)*1000)</f>
        <v>18520.765956247509</v>
      </c>
      <c r="AF100" s="111">
        <f>SUM(AE$100,'Statistics NZ'!AF$100-'Statistics NZ'!AE$100,$Q$13/16*(AF$9-AF$10)*1000)</f>
        <v>19070.765956247509</v>
      </c>
      <c r="AG100" s="111">
        <f>SUM(AF$100,'Statistics NZ'!AG$100-'Statistics NZ'!AF$100,$Q$13/16*(AG$9-AG$10)*1000)</f>
        <v>19840.765956247509</v>
      </c>
      <c r="AH100" s="111">
        <f>SUM(AG$100,'Statistics NZ'!AH$100-'Statistics NZ'!AG$100,$Q$13/16*(AH$9-AH$10)*1000)</f>
        <v>20610.765956247509</v>
      </c>
      <c r="AI100" s="111">
        <f>SUM(AH$100,'Statistics NZ'!AI$100-'Statistics NZ'!AH$100,$Q$13/16*(AI$9-AI$10)*1000)</f>
        <v>21230.765956247509</v>
      </c>
      <c r="AJ100" s="111">
        <f>SUM(AI$100,'Statistics NZ'!AJ$100-'Statistics NZ'!AI$100,$Q$13/16*(AJ$9-AJ$10)*1000)</f>
        <v>21830.765956247509</v>
      </c>
      <c r="AK100" s="111">
        <f>SUM(AJ$100,'Statistics NZ'!AK$100-'Statistics NZ'!AJ$100,$Q$13/16*(AK$9-AK$10)*1000)</f>
        <v>22640.765956247509</v>
      </c>
      <c r="AL100" s="111">
        <f>SUM(AK$100,'Statistics NZ'!AL$100-'Statistics NZ'!AK$100,$Q$13/16*(AL$9-AL$10)*1000)</f>
        <v>23570.765956247509</v>
      </c>
      <c r="AM100" s="111">
        <f>SUM(AL$100,'Statistics NZ'!AM$100-'Statistics NZ'!AL$100,$Q$13/16*(AM$9-AM$10)*1000)</f>
        <v>24110.765956247509</v>
      </c>
      <c r="AN100" s="111">
        <f>SUM(AM$100,'Statistics NZ'!AN$100-'Statistics NZ'!AM$100,$Q$13/16*(AN$9-AN$10)*1000)</f>
        <v>25300.765956247509</v>
      </c>
      <c r="AO100" s="111">
        <f>SUM(AN$100,'Statistics NZ'!AO$100-'Statistics NZ'!AN$100,$Q$13/16*(AO$9-AO$10)*1000)</f>
        <v>26050.765956247509</v>
      </c>
      <c r="AP100" s="111">
        <f>SUM(AO$100,'Statistics NZ'!AP$100-'Statistics NZ'!AO$100,$Q$13/16*(AP$9-AP$10)*1000)</f>
        <v>26600.765956247509</v>
      </c>
      <c r="AQ100" s="111">
        <f>SUM(AP$100,'Statistics NZ'!AQ$100-'Statistics NZ'!AP$100,$Q$13/16*(AQ$9-AQ$10)*1000)</f>
        <v>26150.765956247509</v>
      </c>
      <c r="AR100" s="111">
        <f>SUM(AQ$100,'Statistics NZ'!AR$100-'Statistics NZ'!AQ$100,$Q$13/16*(AR$9-AR$10)*1000)</f>
        <v>25610.765956247509</v>
      </c>
      <c r="AS100" s="111">
        <f>SUM(AR$100,'Statistics NZ'!AS$100-'Statistics NZ'!AR$100,$Q$13/16*(AS$9-AS$10)*1000)</f>
        <v>25320.765956247509</v>
      </c>
      <c r="AT100" s="111">
        <f>SUM(AS$100,'Statistics NZ'!AT$100-'Statistics NZ'!AS$100,$Q$13/16*(AT$9-AT$10)*1000)</f>
        <v>25790.765956247509</v>
      </c>
      <c r="AU100" s="111">
        <f>SUM(AT$100,'Statistics NZ'!AU$100-'Statistics NZ'!AT$100,$Q$13/16*(AU$9-AU$10)*1000)</f>
        <v>26450.765956247509</v>
      </c>
      <c r="AV100" s="111">
        <f>SUM(AU$100,'Statistics NZ'!AV$100-'Statistics NZ'!AU$100,$Q$13/16*(AV$9-AV$10)*1000)</f>
        <v>27030.765956247509</v>
      </c>
      <c r="AW100" s="111">
        <f>SUM(AV$100,'Statistics NZ'!AW$100-'Statistics NZ'!AV$100,$Q$13/16*(AW$9-AW$10)*1000)</f>
        <v>26990.765956247509</v>
      </c>
      <c r="AX100" s="111">
        <f>SUM(AW$100,'Statistics NZ'!AX$100-'Statistics NZ'!AW$100,$Q$13/16*(AX$9-AX$10)*1000)</f>
        <v>28230.765956247509</v>
      </c>
      <c r="AY100" s="111">
        <f>SUM(AX$100,'Statistics NZ'!AY$100-'Statistics NZ'!AX$100,$Q$13/16*(AY$9-AY$10)*1000)</f>
        <v>27980.765956247509</v>
      </c>
      <c r="AZ100" s="111">
        <f>SUM(AY$100,'Statistics NZ'!AZ$100-'Statistics NZ'!AY$100,$Q$13/16*(AZ$9-AZ$10)*1000)</f>
        <v>27110.765956247509</v>
      </c>
      <c r="BA100" s="111">
        <f>SUM(AZ$100,'Statistics NZ'!BA$100-'Statistics NZ'!AZ$100,$Q$13/16*(BA$9-BA$10)*1000)</f>
        <v>26630.765956247509</v>
      </c>
      <c r="BB100" s="111">
        <f>SUM(BA$100,'Statistics NZ'!BB$100-'Statistics NZ'!BA$100,$Q$13/16*(BB$9-BB$10)*1000)</f>
        <v>25730.765956247509</v>
      </c>
      <c r="BC100" s="111">
        <f>SUM(BB$100,'Statistics NZ'!BC$100-'Statistics NZ'!BB$100,$Q$13/16*(BC$9-BC$10)*1000)</f>
        <v>24770.765956247509</v>
      </c>
      <c r="BD100" s="111">
        <f>SUM(BC$100,'Statistics NZ'!BD$100-'Statistics NZ'!BC$100,$Q$13/16*(BD$9-BD$10)*1000)</f>
        <v>25010.765956247509</v>
      </c>
      <c r="BE100" s="111">
        <f>SUM(BD$100,'Statistics NZ'!BE$100-'Statistics NZ'!BD$100,$Q$13/16*(BE$9-BE$10)*1000)</f>
        <v>25050.765956247509</v>
      </c>
      <c r="BF100" s="111">
        <f>SUM(BE$100,'Statistics NZ'!BF$100-'Statistics NZ'!BE$100,$Q$13/16*(BF$9-BF$10)*1000)</f>
        <v>25920.765956247509</v>
      </c>
      <c r="BG100" s="111">
        <f>SUM(BF$100,'Statistics NZ'!BG$100-'Statistics NZ'!BF$100,$Q$13/16*(BG$9-BG$10)*1000)</f>
        <v>26340.765956247509</v>
      </c>
      <c r="BH100" s="111">
        <f>SUM(BG$100,'Statistics NZ'!BH$100-'Statistics NZ'!BG$100,$Q$13/16*(BH$9-BH$10)*1000)</f>
        <v>26760.765956247509</v>
      </c>
      <c r="BI100" s="111">
        <f>SUM(BH$100,'Statistics NZ'!BI$100-'Statistics NZ'!BH$100,$Q$13/16*(BI$9-BI$10)*1000)</f>
        <v>27740.765956247509</v>
      </c>
      <c r="BJ100" s="111">
        <f>SUM(BI$100,'Statistics NZ'!BJ$100-'Statistics NZ'!BI$100,$Q$13/16*(BJ$9-BJ$10)*1000)</f>
        <v>28480.765956247509</v>
      </c>
      <c r="BK100" s="111">
        <f>SUM(BJ$100,'Statistics NZ'!BK$100-'Statistics NZ'!BJ$100,$Q$13/16*(BK$9-BK$10)*1000)</f>
        <v>29220.765956247509</v>
      </c>
      <c r="BL100" s="111">
        <f>SUM(BK$100,'Statistics NZ'!BL$100-'Statistics NZ'!BK$100,$Q$13/16*(BL$9-BL$10)*1000)</f>
        <v>29980.765956247509</v>
      </c>
      <c r="BM100" s="195">
        <f>SUM(BL$100,'Statistics NZ'!BM$100-'Statistics NZ'!BL$100,$Q$13/16*(BM$9-BM$10)*1000)</f>
        <v>30590.765956247509</v>
      </c>
      <c r="BN100" s="195">
        <f>SUM(BM$100,'Statistics NZ'!BN$100-'Statistics NZ'!BM$100,$Q$13/16*(BN$9-BN$10)*1000)</f>
        <v>31400.765956247509</v>
      </c>
      <c r="BO100" s="195">
        <f>SUM(BN$100,'Statistics NZ'!BO$100-'Statistics NZ'!BN$100,$Q$13/16*(BO$9-BO$10)*1000)</f>
        <v>33560.765956247509</v>
      </c>
      <c r="BP100" s="195">
        <f>SUM(BO$100,'Statistics NZ'!BP$100-'Statistics NZ'!BO$100,$Q$13/16*(BP$9-BP$10)*1000)</f>
        <v>33960.765956247509</v>
      </c>
      <c r="BQ100" s="195">
        <f>SUM(BP$100,'Statistics NZ'!BQ$100-'Statistics NZ'!BP$100,$Q$13/16*(BQ$9-BQ$10)*1000)</f>
        <v>35470.765956247509</v>
      </c>
    </row>
    <row r="101" spans="1:69">
      <c r="A101" s="105">
        <v>84</v>
      </c>
      <c r="B101" s="118">
        <f>'Statistics NZ'!B$101*'Economic Forecasts'!D$9*1000000/SUM('Statistics NZ'!B$32:B$107,'Statistics NZ'!B$125:B$200)</f>
        <v>7585.2119939811655</v>
      </c>
      <c r="C101" s="118">
        <f>'Statistics NZ'!C$101*'Economic Forecasts'!E$9*1000000/SUM('Statistics NZ'!C$32:C$107,'Statistics NZ'!C$125:C$200)</f>
        <v>7383.9394639556376</v>
      </c>
      <c r="D101" s="118">
        <f>'Statistics NZ'!D$101*'Economic Forecasts'!F$9*1000000/SUM('Statistics NZ'!D$32:D$107,'Statistics NZ'!D$125:D$200)</f>
        <v>7618.7685480227328</v>
      </c>
      <c r="E101" s="118">
        <f>'Statistics NZ'!E$101*'Economic Forecasts'!G$9*1000000/SUM('Statistics NZ'!E$32:E$107,'Statistics NZ'!E$125:E$200)</f>
        <v>7918.1979343981793</v>
      </c>
      <c r="F101" s="118">
        <f>'Statistics NZ'!F$101*'Economic Forecasts'!H$9*1000000/SUM('Statistics NZ'!F$32:F$107,'Statistics NZ'!F$125:F$200)</f>
        <v>7772.9287762198155</v>
      </c>
      <c r="G101" s="118">
        <f>'Statistics NZ'!G$101*'Economic Forecasts'!I$9*1000000/SUM('Statistics NZ'!G$32:G$107,'Statistics NZ'!G$125:G$200)</f>
        <v>7754.2133903019067</v>
      </c>
      <c r="H101" s="118">
        <f>'Statistics NZ'!H$101*'Economic Forecasts'!J$9*1000000/SUM('Statistics NZ'!H$32:H$107,'Statistics NZ'!H$125:H$200)</f>
        <v>7860.032073912932</v>
      </c>
      <c r="I101" s="118">
        <f>'Statistics NZ'!I$101*'Economic Forecasts'!K$9*1000000/SUM('Statistics NZ'!I$32:I$107,'Statistics NZ'!I$125:I$200)</f>
        <v>7931.8223422230149</v>
      </c>
      <c r="J101" s="203">
        <f>'Statistics NZ'!J$101*'Economic Forecasts'!L$9*1000000/SUM('Statistics NZ'!J$32:J$107,'Statistics NZ'!J$125:J$200)</f>
        <v>8206.7430350177274</v>
      </c>
      <c r="K101" s="203">
        <f>'Statistics NZ'!K$101*'Economic Forecasts'!M$9*1000000/SUM('Statistics NZ'!K$32:K$107,'Statistics NZ'!K$125:K$200)</f>
        <v>8302.3894564961302</v>
      </c>
      <c r="L101" s="203">
        <f>'Statistics NZ'!L$101*'Economic Forecasts'!N$9*1000000/SUM('Statistics NZ'!L$32:L$107,'Statistics NZ'!L$125:L$200)</f>
        <v>7967.6998680390607</v>
      </c>
      <c r="M101" s="203">
        <f>'Statistics NZ'!M$101*'Economic Forecasts'!O$9*1000000/SUM('Statistics NZ'!M$32:M$107,'Statistics NZ'!M$125:M$200)</f>
        <v>8018.2072118088336</v>
      </c>
      <c r="N101" s="203">
        <f>'Statistics NZ'!N$101*'Economic Forecasts'!P$9*1000000/SUM('Statistics NZ'!N$32:N$107,'Statistics NZ'!N$125:N$200)</f>
        <v>8062.557636085905</v>
      </c>
      <c r="O101" s="203">
        <f>'Statistics NZ'!O$101*'Economic Forecasts'!Q$9*1000000/SUM('Statistics NZ'!O$32:O$107,'Statistics NZ'!O$125:O$200)</f>
        <v>8111.8773224498727</v>
      </c>
      <c r="P101" s="203">
        <f>'Statistics NZ'!P$101*'Economic Forecasts'!R$9*1000000/SUM('Statistics NZ'!P$32:P$107,'Statistics NZ'!P$125:P$200)</f>
        <v>8451.4481104069982</v>
      </c>
      <c r="Q101" s="121">
        <f>SUM('Statistics NZ'!Q$101,$Q$13/16*(Q$9-Q$10)*1000)*'Economic Forecasts'!S$9*1000000/SUM('Statistics NZ'!Q$32:Q$107,'Statistics NZ'!Q$125:Q$200,SUM($E$13:$Q$14)*(Q$9-Q$10)*1000)</f>
        <v>8897.5664584882416</v>
      </c>
      <c r="R101" s="205">
        <f>SUM('Statistics NZ'!R$101,$Q$13/16*(R$9-R$10)*1000)*'Economic Forecasts'!T$9*1000000/SUM('Statistics NZ'!R$32:R$107,'Statistics NZ'!R$125:R$200,SUM($E$13:$Q$14)*(R$9-R$10)*1000)</f>
        <v>9489.4899323877489</v>
      </c>
      <c r="S101" s="205">
        <f>SUM('Statistics NZ'!S$101,$Q$13/16*(S$9-S$10)*1000)*'Economic Forecasts'!U$9*1000000/SUM('Statistics NZ'!S$32:S$107,'Statistics NZ'!S$125:S$200,SUM($E$13:$Q$14)*(S$9-S$10)*1000)</f>
        <v>9988.8003515951805</v>
      </c>
      <c r="T101" s="205">
        <f>SUM('Statistics NZ'!T$101,$Q$13/16*(T$9-T$10)*1000)*'Economic Forecasts'!V$9*1000000/SUM('Statistics NZ'!T$32:T$107,'Statistics NZ'!T$125:T$200,SUM($E$13:$Q$14)*(T$9-T$10)*1000)</f>
        <v>10858.46079651589</v>
      </c>
      <c r="U101" s="205">
        <f>SUM('Statistics NZ'!U$101,$Q$13/16*(U$9-U$10)*1000)*'Economic Forecasts'!W$9*1000000/SUM('Statistics NZ'!U$32:U$107,'Statistics NZ'!U$125:U$200,SUM($E$13:$Q$14)*(U$9-U$10)*1000)</f>
        <v>11803.337248162454</v>
      </c>
      <c r="V101" s="111">
        <f>SUM(U$101,'Statistics NZ'!V$101-'Statistics NZ'!U$101,$Q$13/16*(V$9-V$10)*1000)</f>
        <v>12175.163067821875</v>
      </c>
      <c r="W101" s="111">
        <f>SUM(V$101,'Statistics NZ'!W$101-'Statistics NZ'!V$101,$Q$13/16*(W$9-W$10)*1000)</f>
        <v>10896.760660023869</v>
      </c>
      <c r="X101" s="111">
        <f>SUM(W$101,'Statistics NZ'!X$101-'Statistics NZ'!W$101,$Q$13/16*(X$9-X$10)*1000)</f>
        <v>12228.130024768436</v>
      </c>
      <c r="Y101" s="111">
        <f>SUM(X$101,'Statistics NZ'!Y$101-'Statistics NZ'!X$101,$Q$13/16*(Y$9-Y$10)*1000)</f>
        <v>13009.271162055575</v>
      </c>
      <c r="Z101" s="111">
        <f>SUM(Y$101,'Statistics NZ'!Z$101-'Statistics NZ'!Y$101,$Q$13/16*(Z$9-Z$10)*1000)</f>
        <v>13850.184071885285</v>
      </c>
      <c r="AA101" s="111">
        <f>SUM(Z$101,'Statistics NZ'!AA$101-'Statistics NZ'!Z$101,$Q$13/16*(AA$9-AA$10)*1000)</f>
        <v>16370.868754257568</v>
      </c>
      <c r="AB101" s="111">
        <f>SUM(AA$101,'Statistics NZ'!AB$101-'Statistics NZ'!AA$101,$Q$13/16*(AB$9-AB$10)*1000)</f>
        <v>16641.325209172424</v>
      </c>
      <c r="AC101" s="111">
        <f>SUM(AB$101,'Statistics NZ'!AC$101-'Statistics NZ'!AB$101,$Q$13/16*(AC$9-AC$10)*1000)</f>
        <v>16411.553436629853</v>
      </c>
      <c r="AD101" s="111">
        <f>SUM(AC$101,'Statistics NZ'!AD$101-'Statistics NZ'!AC$101,$Q$13/16*(AD$9-AD$10)*1000)</f>
        <v>17031.553436629853</v>
      </c>
      <c r="AE101" s="111">
        <f>SUM(AD$101,'Statistics NZ'!AE$101-'Statistics NZ'!AD$101,$Q$13/16*(AE$9-AE$10)*1000)</f>
        <v>17071.553436629853</v>
      </c>
      <c r="AF101" s="111">
        <f>SUM(AE$101,'Statistics NZ'!AF$101-'Statistics NZ'!AE$101,$Q$13/16*(AF$9-AF$10)*1000)</f>
        <v>17731.553436629853</v>
      </c>
      <c r="AG101" s="111">
        <f>SUM(AF$101,'Statistics NZ'!AG$101-'Statistics NZ'!AF$101,$Q$13/16*(AG$9-AG$10)*1000)</f>
        <v>18261.553436629853</v>
      </c>
      <c r="AH101" s="111">
        <f>SUM(AG$101,'Statistics NZ'!AH$101-'Statistics NZ'!AG$101,$Q$13/16*(AH$9-AH$10)*1000)</f>
        <v>19011.553436629853</v>
      </c>
      <c r="AI101" s="111">
        <f>SUM(AH$101,'Statistics NZ'!AI$101-'Statistics NZ'!AH$101,$Q$13/16*(AI$9-AI$10)*1000)</f>
        <v>19761.553436629853</v>
      </c>
      <c r="AJ101" s="111">
        <f>SUM(AI$101,'Statistics NZ'!AJ$101-'Statistics NZ'!AI$101,$Q$13/16*(AJ$9-AJ$10)*1000)</f>
        <v>20361.553436629853</v>
      </c>
      <c r="AK101" s="111">
        <f>SUM(AJ$101,'Statistics NZ'!AK$101-'Statistics NZ'!AJ$101,$Q$13/16*(AK$9-AK$10)*1000)</f>
        <v>20951.553436629853</v>
      </c>
      <c r="AL101" s="111">
        <f>SUM(AK$101,'Statistics NZ'!AL$101-'Statistics NZ'!AK$101,$Q$13/16*(AL$9-AL$10)*1000)</f>
        <v>21741.553436629853</v>
      </c>
      <c r="AM101" s="111">
        <f>SUM(AL$101,'Statistics NZ'!AM$101-'Statistics NZ'!AL$101,$Q$13/16*(AM$9-AM$10)*1000)</f>
        <v>22651.553436629853</v>
      </c>
      <c r="AN101" s="111">
        <f>SUM(AM$101,'Statistics NZ'!AN$101-'Statistics NZ'!AM$101,$Q$13/16*(AN$9-AN$10)*1000)</f>
        <v>23171.553436629853</v>
      </c>
      <c r="AO101" s="111">
        <f>SUM(AN$101,'Statistics NZ'!AO$101-'Statistics NZ'!AN$101,$Q$13/16*(AO$9-AO$10)*1000)</f>
        <v>24331.553436629853</v>
      </c>
      <c r="AP101" s="111">
        <f>SUM(AO$101,'Statistics NZ'!AP$101-'Statistics NZ'!AO$101,$Q$13/16*(AP$9-AP$10)*1000)</f>
        <v>25071.553436629853</v>
      </c>
      <c r="AQ101" s="111">
        <f>SUM(AP$101,'Statistics NZ'!AQ$101-'Statistics NZ'!AP$101,$Q$13/16*(AQ$9-AQ$10)*1000)</f>
        <v>25601.553436629853</v>
      </c>
      <c r="AR101" s="111">
        <f>SUM(AQ$101,'Statistics NZ'!AR$101-'Statistics NZ'!AQ$101,$Q$13/16*(AR$9-AR$10)*1000)</f>
        <v>25181.553436629853</v>
      </c>
      <c r="AS101" s="111">
        <f>SUM(AR$101,'Statistics NZ'!AS$101-'Statistics NZ'!AR$101,$Q$13/16*(AS$9-AS$10)*1000)</f>
        <v>24671.553436629853</v>
      </c>
      <c r="AT101" s="111">
        <f>SUM(AS$101,'Statistics NZ'!AT$101-'Statistics NZ'!AS$101,$Q$13/16*(AT$9-AT$10)*1000)</f>
        <v>24411.553436629853</v>
      </c>
      <c r="AU101" s="111">
        <f>SUM(AT$101,'Statistics NZ'!AU$101-'Statistics NZ'!AT$101,$Q$13/16*(AU$9-AU$10)*1000)</f>
        <v>24871.553436629853</v>
      </c>
      <c r="AV101" s="111">
        <f>SUM(AU$101,'Statistics NZ'!AV$101-'Statistics NZ'!AU$101,$Q$13/16*(AV$9-AV$10)*1000)</f>
        <v>25531.553436629853</v>
      </c>
      <c r="AW101" s="111">
        <f>SUM(AV$101,'Statistics NZ'!AW$101-'Statistics NZ'!AV$101,$Q$13/16*(AW$9-AW$10)*1000)</f>
        <v>26101.553436629853</v>
      </c>
      <c r="AX101" s="111">
        <f>SUM(AW$101,'Statistics NZ'!AX$101-'Statistics NZ'!AW$101,$Q$13/16*(AX$9-AX$10)*1000)</f>
        <v>26071.553436629853</v>
      </c>
      <c r="AY101" s="111">
        <f>SUM(AX$101,'Statistics NZ'!AY$101-'Statistics NZ'!AX$101,$Q$13/16*(AY$9-AY$10)*1000)</f>
        <v>27281.553436629853</v>
      </c>
      <c r="AZ101" s="111">
        <f>SUM(AY$101,'Statistics NZ'!AZ$101-'Statistics NZ'!AY$101,$Q$13/16*(AZ$9-AZ$10)*1000)</f>
        <v>27051.553436629853</v>
      </c>
      <c r="BA101" s="111">
        <f>SUM(AZ$101,'Statistics NZ'!BA$101-'Statistics NZ'!AZ$101,$Q$13/16*(BA$9-BA$10)*1000)</f>
        <v>26221.553436629853</v>
      </c>
      <c r="BB101" s="111">
        <f>SUM(BA$101,'Statistics NZ'!BB$101-'Statistics NZ'!BA$101,$Q$13/16*(BB$9-BB$10)*1000)</f>
        <v>25771.553436629853</v>
      </c>
      <c r="BC101" s="111">
        <f>SUM(BB$101,'Statistics NZ'!BC$101-'Statistics NZ'!BB$101,$Q$13/16*(BC$9-BC$10)*1000)</f>
        <v>24901.553436629853</v>
      </c>
      <c r="BD101" s="111">
        <f>SUM(BC$101,'Statistics NZ'!BD$101-'Statistics NZ'!BC$101,$Q$13/16*(BD$9-BD$10)*1000)</f>
        <v>23981.553436629853</v>
      </c>
      <c r="BE101" s="111">
        <f>SUM(BD$101,'Statistics NZ'!BE$101-'Statistics NZ'!BD$101,$Q$13/16*(BE$9-BE$10)*1000)</f>
        <v>24231.553436629853</v>
      </c>
      <c r="BF101" s="111">
        <f>SUM(BE$101,'Statistics NZ'!BF$101-'Statistics NZ'!BE$101,$Q$13/16*(BF$9-BF$10)*1000)</f>
        <v>24281.553436629853</v>
      </c>
      <c r="BG101" s="111">
        <f>SUM(BF$101,'Statistics NZ'!BG$101-'Statistics NZ'!BF$101,$Q$13/16*(BG$9-BG$10)*1000)</f>
        <v>25131.553436629853</v>
      </c>
      <c r="BH101" s="111">
        <f>SUM(BG$101,'Statistics NZ'!BH$101-'Statistics NZ'!BG$101,$Q$13/16*(BH$9-BH$10)*1000)</f>
        <v>25551.553436629853</v>
      </c>
      <c r="BI101" s="111">
        <f>SUM(BH$101,'Statistics NZ'!BI$101-'Statistics NZ'!BH$101,$Q$13/16*(BI$9-BI$10)*1000)</f>
        <v>25961.553436629853</v>
      </c>
      <c r="BJ101" s="111">
        <f>SUM(BI$101,'Statistics NZ'!BJ$101-'Statistics NZ'!BI$101,$Q$13/16*(BJ$9-BJ$10)*1000)</f>
        <v>26921.553436629853</v>
      </c>
      <c r="BK101" s="111">
        <f>SUM(BJ$101,'Statistics NZ'!BK$101-'Statistics NZ'!BJ$101,$Q$13/16*(BK$9-BK$10)*1000)</f>
        <v>27651.553436629853</v>
      </c>
      <c r="BL101" s="111">
        <f>SUM(BK$101,'Statistics NZ'!BL$101-'Statistics NZ'!BK$101,$Q$13/16*(BL$9-BL$10)*1000)</f>
        <v>28381.553436629853</v>
      </c>
      <c r="BM101" s="195">
        <f>SUM(BL$101,'Statistics NZ'!BM$101-'Statistics NZ'!BL$101,$Q$13/16*(BM$9-BM$10)*1000)</f>
        <v>29131.553436629853</v>
      </c>
      <c r="BN101" s="195">
        <f>SUM(BM$101,'Statistics NZ'!BN$101-'Statistics NZ'!BM$101,$Q$13/16*(BN$9-BN$10)*1000)</f>
        <v>29731.553436629853</v>
      </c>
      <c r="BO101" s="195">
        <f>SUM(BN$101,'Statistics NZ'!BO$101-'Statistics NZ'!BN$101,$Q$13/16*(BO$9-BO$10)*1000)</f>
        <v>30531.553436629853</v>
      </c>
      <c r="BP101" s="195">
        <f>SUM(BO$101,'Statistics NZ'!BP$101-'Statistics NZ'!BO$101,$Q$13/16*(BP$9-BP$10)*1000)</f>
        <v>32641.553436629853</v>
      </c>
      <c r="BQ101" s="195">
        <f>SUM(BP$101,'Statistics NZ'!BQ$101-'Statistics NZ'!BP$101,$Q$13/16*(BQ$9-BQ$10)*1000)</f>
        <v>33041.553436629853</v>
      </c>
    </row>
    <row r="102" spans="1:69">
      <c r="A102" s="105">
        <v>85</v>
      </c>
      <c r="B102" s="118">
        <f>'Statistics NZ'!B$102*'Economic Forecasts'!D$9*1000000/SUM('Statistics NZ'!B$32:B$107,'Statistics NZ'!B$125:B$200)</f>
        <v>6836.5417192505583</v>
      </c>
      <c r="C102" s="118">
        <f>'Statistics NZ'!C$102*'Economic Forecasts'!E$9*1000000/SUM('Statistics NZ'!C$32:C$107,'Statistics NZ'!C$125:C$200)</f>
        <v>7029.0371666226565</v>
      </c>
      <c r="D102" s="118">
        <f>'Statistics NZ'!D$102*'Economic Forecasts'!F$9*1000000/SUM('Statistics NZ'!D$32:D$107,'Statistics NZ'!D$125:D$200)</f>
        <v>6859.8485244810117</v>
      </c>
      <c r="E102" s="118">
        <f>'Statistics NZ'!E$102*'Economic Forecasts'!G$9*1000000/SUM('Statistics NZ'!E$32:E$107,'Statistics NZ'!E$125:E$200)</f>
        <v>7051.5295037675332</v>
      </c>
      <c r="F102" s="118">
        <f>'Statistics NZ'!F$102*'Economic Forecasts'!H$9*1000000/SUM('Statistics NZ'!F$32:F$107,'Statistics NZ'!F$125:F$200)</f>
        <v>7369.0123252375433</v>
      </c>
      <c r="G102" s="118">
        <f>'Statistics NZ'!G$102*'Economic Forecasts'!I$9*1000000/SUM('Statistics NZ'!G$32:G$107,'Statistics NZ'!G$125:G$200)</f>
        <v>7182.7465839010038</v>
      </c>
      <c r="H102" s="118">
        <f>'Statistics NZ'!H$102*'Economic Forecasts'!J$9*1000000/SUM('Statistics NZ'!H$32:H$107,'Statistics NZ'!H$125:H$200)</f>
        <v>7239.5032259724367</v>
      </c>
      <c r="I102" s="118">
        <f>'Statistics NZ'!I$102*'Economic Forecasts'!K$9*1000000/SUM('Statistics NZ'!I$32:I$107,'Statistics NZ'!I$125:I$200)</f>
        <v>7262.6363381644969</v>
      </c>
      <c r="J102" s="203">
        <f>'Statistics NZ'!J$102*'Economic Forecasts'!L$9*1000000/SUM('Statistics NZ'!J$32:J$107,'Statistics NZ'!J$125:J$200)</f>
        <v>7381.1545141297174</v>
      </c>
      <c r="K102" s="203">
        <f>'Statistics NZ'!K$102*'Economic Forecasts'!M$9*1000000/SUM('Statistics NZ'!K$32:K$107,'Statistics NZ'!K$125:K$200)</f>
        <v>7614.617548857399</v>
      </c>
      <c r="L102" s="203">
        <f>'Statistics NZ'!L$102*'Economic Forecasts'!N$9*1000000/SUM('Statistics NZ'!L$32:L$107,'Statistics NZ'!L$125:L$200)</f>
        <v>7731.32805489575</v>
      </c>
      <c r="M102" s="203">
        <f>'Statistics NZ'!M$102*'Economic Forecasts'!O$9*1000000/SUM('Statistics NZ'!M$32:M$107,'Statistics NZ'!M$125:M$200)</f>
        <v>7417.3341897936753</v>
      </c>
      <c r="N102" s="203">
        <f>'Statistics NZ'!N$102*'Economic Forecasts'!P$9*1000000/SUM('Statistics NZ'!N$32:N$107,'Statistics NZ'!N$125:N$200)</f>
        <v>7500.0536149636328</v>
      </c>
      <c r="O102" s="203">
        <f>'Statistics NZ'!O$102*'Economic Forecasts'!Q$9*1000000/SUM('Statistics NZ'!O$32:O$107,'Statistics NZ'!O$125:O$200)</f>
        <v>7549.3748803821809</v>
      </c>
      <c r="P102" s="203">
        <f>'Statistics NZ'!P$102*'Economic Forecasts'!R$9*1000000/SUM('Statistics NZ'!P$32:P$107,'Statistics NZ'!P$125:P$200)</f>
        <v>7622.1003986380865</v>
      </c>
      <c r="Q102" s="121">
        <f>SUM('Statistics NZ'!Q$102,$Q$13/16*(Q$9-Q$10)*1000)*'Economic Forecasts'!S$9*1000000/SUM('Statistics NZ'!Q$32:Q$107,'Statistics NZ'!Q$125:Q$200,SUM($E$13:$Q$14)*(Q$9-Q$10)*1000)</f>
        <v>7958.3562616614299</v>
      </c>
      <c r="R102" s="205">
        <f>SUM('Statistics NZ'!R$102,$Q$13/16*(R$9-R$10)*1000)*'Economic Forecasts'!T$9*1000000/SUM('Statistics NZ'!R$32:R$107,'Statistics NZ'!R$125:R$200,SUM($E$13:$Q$14)*(R$9-R$10)*1000)</f>
        <v>8372.464693493388</v>
      </c>
      <c r="S102" s="205">
        <f>SUM('Statistics NZ'!S$102,$Q$13/16*(S$9-S$10)*1000)*'Economic Forecasts'!U$9*1000000/SUM('Statistics NZ'!S$32:S$107,'Statistics NZ'!S$125:S$200,SUM($E$13:$Q$14)*(S$9-S$10)*1000)</f>
        <v>8931.6514786171938</v>
      </c>
      <c r="T102" s="205">
        <f>SUM('Statistics NZ'!T$102,$Q$13/16*(T$9-T$10)*1000)*'Economic Forecasts'!V$9*1000000/SUM('Statistics NZ'!T$32:T$107,'Statistics NZ'!T$125:T$200,SUM($E$13:$Q$14)*(T$9-T$10)*1000)</f>
        <v>9416.0852901973376</v>
      </c>
      <c r="U102" s="205">
        <f>SUM('Statistics NZ'!U$102,$Q$13/16*(U$9-U$10)*1000)*'Economic Forecasts'!W$9*1000000/SUM('Statistics NZ'!U$32:U$107,'Statistics NZ'!U$125:U$200,SUM($E$13:$Q$14)*(U$9-U$10)*1000)</f>
        <v>10260.165717558919</v>
      </c>
      <c r="V102" s="111">
        <f>SUM(U$102,'Statistics NZ'!V$102-'Statistics NZ'!U$102,$Q$13/16*(V$9-V$10)*1000)</f>
        <v>11151.99153721834</v>
      </c>
      <c r="W102" s="111">
        <f>SUM(V$102,'Statistics NZ'!W$102-'Statistics NZ'!V$102,$Q$13/16*(W$9-W$10)*1000)</f>
        <v>11513.589129420334</v>
      </c>
      <c r="X102" s="111">
        <f>SUM(W$102,'Statistics NZ'!X$102-'Statistics NZ'!W$102,$Q$13/16*(X$9-X$10)*1000)</f>
        <v>10304.958494164901</v>
      </c>
      <c r="Y102" s="111">
        <f>SUM(X$102,'Statistics NZ'!Y$102-'Statistics NZ'!X$102,$Q$13/16*(Y$9-Y$10)*1000)</f>
        <v>11576.09963145204</v>
      </c>
      <c r="Z102" s="111">
        <f>SUM(Y$102,'Statistics NZ'!Z$102-'Statistics NZ'!Y$102,$Q$13/16*(Z$9-Z$10)*1000)</f>
        <v>12317.012541281751</v>
      </c>
      <c r="AA102" s="111">
        <f>SUM(Z$102,'Statistics NZ'!AA$102-'Statistics NZ'!Z$102,$Q$13/16*(AA$9-AA$10)*1000)</f>
        <v>13127.697223654033</v>
      </c>
      <c r="AB102" s="111">
        <f>SUM(AA$102,'Statistics NZ'!AB$102-'Statistics NZ'!AA$102,$Q$13/16*(AB$9-AB$10)*1000)</f>
        <v>15518.15367856889</v>
      </c>
      <c r="AC102" s="111">
        <f>SUM(AB$102,'Statistics NZ'!AC$102-'Statistics NZ'!AB$102,$Q$13/16*(AC$9-AC$10)*1000)</f>
        <v>15788.381906026318</v>
      </c>
      <c r="AD102" s="111">
        <f>SUM(AC$102,'Statistics NZ'!AD$102-'Statistics NZ'!AC$102,$Q$13/16*(AD$9-AD$10)*1000)</f>
        <v>15578.381906026318</v>
      </c>
      <c r="AE102" s="111">
        <f>SUM(AD$102,'Statistics NZ'!AE$102-'Statistics NZ'!AD$102,$Q$13/16*(AE$9-AE$10)*1000)</f>
        <v>16178.381906026318</v>
      </c>
      <c r="AF102" s="111">
        <f>SUM(AE$102,'Statistics NZ'!AF$102-'Statistics NZ'!AE$102,$Q$13/16*(AF$9-AF$10)*1000)</f>
        <v>16228.381906026318</v>
      </c>
      <c r="AG102" s="111">
        <f>SUM(AF$102,'Statistics NZ'!AG$102-'Statistics NZ'!AF$102,$Q$13/16*(AG$9-AG$10)*1000)</f>
        <v>16858.381906026319</v>
      </c>
      <c r="AH102" s="111">
        <f>SUM(AG$102,'Statistics NZ'!AH$102-'Statistics NZ'!AG$102,$Q$13/16*(AH$9-AH$10)*1000)</f>
        <v>17378.381906026319</v>
      </c>
      <c r="AI102" s="111">
        <f>SUM(AH$102,'Statistics NZ'!AI$102-'Statistics NZ'!AH$102,$Q$13/16*(AI$9-AI$10)*1000)</f>
        <v>18108.381906026319</v>
      </c>
      <c r="AJ102" s="111">
        <f>SUM(AI$102,'Statistics NZ'!AJ$102-'Statistics NZ'!AI$102,$Q$13/16*(AJ$9-AJ$10)*1000)</f>
        <v>18828.381906026319</v>
      </c>
      <c r="AK102" s="111">
        <f>SUM(AJ$102,'Statistics NZ'!AK$102-'Statistics NZ'!AJ$102,$Q$13/16*(AK$9-AK$10)*1000)</f>
        <v>19418.381906026319</v>
      </c>
      <c r="AL102" s="111">
        <f>SUM(AK$102,'Statistics NZ'!AL$102-'Statistics NZ'!AK$102,$Q$13/16*(AL$9-AL$10)*1000)</f>
        <v>19988.381906026319</v>
      </c>
      <c r="AM102" s="111">
        <f>SUM(AL$102,'Statistics NZ'!AM$102-'Statistics NZ'!AL$102,$Q$13/16*(AM$9-AM$10)*1000)</f>
        <v>20748.381906026319</v>
      </c>
      <c r="AN102" s="111">
        <f>SUM(AM$102,'Statistics NZ'!AN$102-'Statistics NZ'!AM$102,$Q$13/16*(AN$9-AN$10)*1000)</f>
        <v>21628.381906026319</v>
      </c>
      <c r="AO102" s="111">
        <f>SUM(AN$102,'Statistics NZ'!AO$102-'Statistics NZ'!AN$102,$Q$13/16*(AO$9-AO$10)*1000)</f>
        <v>22138.381906026319</v>
      </c>
      <c r="AP102" s="111">
        <f>SUM(AO$102,'Statistics NZ'!AP$102-'Statistics NZ'!AO$102,$Q$13/16*(AP$9-AP$10)*1000)</f>
        <v>23258.381906026319</v>
      </c>
      <c r="AQ102" s="111">
        <f>SUM(AP$102,'Statistics NZ'!AQ$102-'Statistics NZ'!AP$102,$Q$13/16*(AQ$9-AQ$10)*1000)</f>
        <v>23978.381906026319</v>
      </c>
      <c r="AR102" s="111">
        <f>SUM(AQ$102,'Statistics NZ'!AR$102-'Statistics NZ'!AQ$102,$Q$13/16*(AR$9-AR$10)*1000)</f>
        <v>24498.381906026319</v>
      </c>
      <c r="AS102" s="111">
        <f>SUM(AR$102,'Statistics NZ'!AS$102-'Statistics NZ'!AR$102,$Q$13/16*(AS$9-AS$10)*1000)</f>
        <v>24108.381906026319</v>
      </c>
      <c r="AT102" s="111">
        <f>SUM(AS$102,'Statistics NZ'!AT$102-'Statistics NZ'!AS$102,$Q$13/16*(AT$9-AT$10)*1000)</f>
        <v>23638.381906026319</v>
      </c>
      <c r="AU102" s="111">
        <f>SUM(AT$102,'Statistics NZ'!AU$102-'Statistics NZ'!AT$102,$Q$13/16*(AU$9-AU$10)*1000)</f>
        <v>23398.381906026319</v>
      </c>
      <c r="AV102" s="111">
        <f>SUM(AU$102,'Statistics NZ'!AV$102-'Statistics NZ'!AU$102,$Q$13/16*(AV$9-AV$10)*1000)</f>
        <v>23848.381906026319</v>
      </c>
      <c r="AW102" s="111">
        <f>SUM(AV$102,'Statistics NZ'!AW$102-'Statistics NZ'!AV$102,$Q$13/16*(AW$9-AW$10)*1000)</f>
        <v>24488.381906026319</v>
      </c>
      <c r="AX102" s="111">
        <f>SUM(AW$102,'Statistics NZ'!AX$102-'Statistics NZ'!AW$102,$Q$13/16*(AX$9-AX$10)*1000)</f>
        <v>25048.381906026319</v>
      </c>
      <c r="AY102" s="111">
        <f>SUM(AX$102,'Statistics NZ'!AY$102-'Statistics NZ'!AX$102,$Q$13/16*(AY$9-AY$10)*1000)</f>
        <v>25028.381906026319</v>
      </c>
      <c r="AZ102" s="111">
        <f>SUM(AY$102,'Statistics NZ'!AZ$102-'Statistics NZ'!AY$102,$Q$13/16*(AZ$9-AZ$10)*1000)</f>
        <v>26208.381906026319</v>
      </c>
      <c r="BA102" s="111">
        <f>SUM(AZ$102,'Statistics NZ'!BA$102-'Statistics NZ'!AZ$102,$Q$13/16*(BA$9-BA$10)*1000)</f>
        <v>25998.381906026319</v>
      </c>
      <c r="BB102" s="111">
        <f>SUM(BA$102,'Statistics NZ'!BB$102-'Statistics NZ'!BA$102,$Q$13/16*(BB$9-BB$10)*1000)</f>
        <v>25208.381906026319</v>
      </c>
      <c r="BC102" s="111">
        <f>SUM(BB$102,'Statistics NZ'!BC$102-'Statistics NZ'!BB$102,$Q$13/16*(BC$9-BC$10)*1000)</f>
        <v>24788.381906026319</v>
      </c>
      <c r="BD102" s="111">
        <f>SUM(BC$102,'Statistics NZ'!BD$102-'Statistics NZ'!BC$102,$Q$13/16*(BD$9-BD$10)*1000)</f>
        <v>23968.381906026319</v>
      </c>
      <c r="BE102" s="111">
        <f>SUM(BD$102,'Statistics NZ'!BE$102-'Statistics NZ'!BD$102,$Q$13/16*(BE$9-BE$10)*1000)</f>
        <v>23098.381906026319</v>
      </c>
      <c r="BF102" s="111">
        <f>SUM(BE$102,'Statistics NZ'!BF$102-'Statistics NZ'!BE$102,$Q$13/16*(BF$9-BF$10)*1000)</f>
        <v>23348.381906026319</v>
      </c>
      <c r="BG102" s="111">
        <f>SUM(BF$102,'Statistics NZ'!BG$102-'Statistics NZ'!BF$102,$Q$13/16*(BG$9-BG$10)*1000)</f>
        <v>23398.381906026319</v>
      </c>
      <c r="BH102" s="111">
        <f>SUM(BG$102,'Statistics NZ'!BH$102-'Statistics NZ'!BG$102,$Q$13/16*(BH$9-BH$10)*1000)</f>
        <v>24238.381906026319</v>
      </c>
      <c r="BI102" s="111">
        <f>SUM(BH$102,'Statistics NZ'!BI$102-'Statistics NZ'!BH$102,$Q$13/16*(BI$9-BI$10)*1000)</f>
        <v>24648.381906026319</v>
      </c>
      <c r="BJ102" s="111">
        <f>SUM(BI$102,'Statistics NZ'!BJ$102-'Statistics NZ'!BI$102,$Q$13/16*(BJ$9-BJ$10)*1000)</f>
        <v>25058.381906026319</v>
      </c>
      <c r="BK102" s="111">
        <f>SUM(BJ$102,'Statistics NZ'!BK$102-'Statistics NZ'!BJ$102,$Q$13/16*(BK$9-BK$10)*1000)</f>
        <v>25998.381906026319</v>
      </c>
      <c r="BL102" s="111">
        <f>SUM(BK$102,'Statistics NZ'!BL$102-'Statistics NZ'!BK$102,$Q$13/16*(BL$9-BL$10)*1000)</f>
        <v>26708.381906026319</v>
      </c>
      <c r="BM102" s="195">
        <f>SUM(BL$102,'Statistics NZ'!BM$102-'Statistics NZ'!BL$102,$Q$13/16*(BM$9-BM$10)*1000)</f>
        <v>27418.381906026319</v>
      </c>
      <c r="BN102" s="195">
        <f>SUM(BM$102,'Statistics NZ'!BN$102-'Statistics NZ'!BM$102,$Q$13/16*(BN$9-BN$10)*1000)</f>
        <v>28158.381906026319</v>
      </c>
      <c r="BO102" s="195">
        <f>SUM(BN$102,'Statistics NZ'!BO$102-'Statistics NZ'!BN$102,$Q$13/16*(BO$9-BO$10)*1000)</f>
        <v>28748.381906026319</v>
      </c>
      <c r="BP102" s="195">
        <f>SUM(BO$102,'Statistics NZ'!BP$102-'Statistics NZ'!BO$102,$Q$13/16*(BP$9-BP$10)*1000)</f>
        <v>29538.381906026319</v>
      </c>
      <c r="BQ102" s="195">
        <f>SUM(BP$102,'Statistics NZ'!BQ$102-'Statistics NZ'!BP$102,$Q$13/16*(BQ$9-BQ$10)*1000)</f>
        <v>31588.381906026319</v>
      </c>
    </row>
    <row r="103" spans="1:69">
      <c r="A103" s="105">
        <v>86</v>
      </c>
      <c r="B103" s="118">
        <f>'Statistics NZ'!B$103*'Economic Forecasts'!D$9*1000000/SUM('Statistics NZ'!B$32:B$107,'Statistics NZ'!B$125:B$200)</f>
        <v>6146.9769925249966</v>
      </c>
      <c r="C103" s="118">
        <f>'Statistics NZ'!C$103*'Economic Forecasts'!E$9*1000000/SUM('Statistics NZ'!C$32:C$107,'Statistics NZ'!C$125:C$200)</f>
        <v>6299.5157776604174</v>
      </c>
      <c r="D103" s="118">
        <f>'Statistics NZ'!D$103*'Economic Forecasts'!F$9*1000000/SUM('Statistics NZ'!D$32:D$107,'Statistics NZ'!D$125:D$200)</f>
        <v>6445.8921480037097</v>
      </c>
      <c r="E103" s="118">
        <f>'Statistics NZ'!E$103*'Economic Forecasts'!G$9*1000000/SUM('Statistics NZ'!E$32:E$107,'Statistics NZ'!E$125:E$200)</f>
        <v>6283.3461220721874</v>
      </c>
      <c r="F103" s="118">
        <f>'Statistics NZ'!F$103*'Economic Forecasts'!H$9*1000000/SUM('Statistics NZ'!F$32:F$107,'Statistics NZ'!F$125:F$200)</f>
        <v>6462.6632157163485</v>
      </c>
      <c r="G103" s="118">
        <f>'Statistics NZ'!G$103*'Economic Forecasts'!I$9*1000000/SUM('Statistics NZ'!G$32:G$107,'Statistics NZ'!G$125:G$200)</f>
        <v>6798.4844209762587</v>
      </c>
      <c r="H103" s="118">
        <f>'Statistics NZ'!H$103*'Economic Forecasts'!J$9*1000000/SUM('Statistics NZ'!H$32:H$107,'Statistics NZ'!H$125:H$200)</f>
        <v>6550.0267282607765</v>
      </c>
      <c r="I103" s="118">
        <f>'Statistics NZ'!I$103*'Economic Forecasts'!K$9*1000000/SUM('Statistics NZ'!I$32:I$107,'Statistics NZ'!I$125:I$200)</f>
        <v>6642.6551873455755</v>
      </c>
      <c r="J103" s="203">
        <f>'Statistics NZ'!J$103*'Economic Forecasts'!L$9*1000000/SUM('Statistics NZ'!J$32:J$107,'Statistics NZ'!J$125:J$200)</f>
        <v>6732.4778191462801</v>
      </c>
      <c r="K103" s="203">
        <f>'Statistics NZ'!K$103*'Economic Forecasts'!M$9*1000000/SUM('Statistics NZ'!K$32:K$107,'Statistics NZ'!K$125:K$200)</f>
        <v>6818.7671985897223</v>
      </c>
      <c r="L103" s="203">
        <f>'Statistics NZ'!L$103*'Economic Forecasts'!N$9*1000000/SUM('Statistics NZ'!L$32:L$107,'Statistics NZ'!L$125:L$200)</f>
        <v>7051.7590921087349</v>
      </c>
      <c r="M103" s="203">
        <f>'Statistics NZ'!M$103*'Economic Forecasts'!O$9*1000000/SUM('Statistics NZ'!M$32:M$107,'Statistics NZ'!M$125:M$200)</f>
        <v>7092.2717352608852</v>
      </c>
      <c r="N103" s="203">
        <f>'Statistics NZ'!N$103*'Economic Forecasts'!P$9*1000000/SUM('Statistics NZ'!N$32:N$107,'Statistics NZ'!N$125:N$200)</f>
        <v>6838.8646778549974</v>
      </c>
      <c r="O103" s="203">
        <f>'Statistics NZ'!O$103*'Economic Forecasts'!Q$9*1000000/SUM('Statistics NZ'!O$32:O$107,'Statistics NZ'!O$125:O$200)</f>
        <v>6927.6616549389419</v>
      </c>
      <c r="P103" s="203">
        <f>'Statistics NZ'!P$103*'Economic Forecasts'!R$9*1000000/SUM('Statistics NZ'!P$32:P$107,'Statistics NZ'!P$125:P$200)</f>
        <v>7059.3287370806111</v>
      </c>
      <c r="Q103" s="121">
        <f>SUM('Statistics NZ'!Q$103,$Q$13/16*(Q$9-Q$10)*1000)*'Economic Forecasts'!S$9*1000000/SUM('Statistics NZ'!Q$32:Q$107,'Statistics NZ'!Q$125:Q$200,SUM($E$13:$Q$14)*(Q$9-Q$10)*1000)</f>
        <v>7098.2374498305635</v>
      </c>
      <c r="R103" s="205">
        <f>SUM('Statistics NZ'!R$103,$Q$13/16*(R$9-R$10)*1000)*'Economic Forecasts'!T$9*1000000/SUM('Statistics NZ'!R$32:R$107,'Statistics NZ'!R$125:R$200,SUM($E$13:$Q$14)*(R$9-R$10)*1000)</f>
        <v>7413.6023202831866</v>
      </c>
      <c r="S103" s="205">
        <f>SUM('Statistics NZ'!S$103,$Q$13/16*(S$9-S$10)*1000)*'Economic Forecasts'!U$9*1000000/SUM('Statistics NZ'!S$32:S$107,'Statistics NZ'!S$125:S$200,SUM($E$13:$Q$14)*(S$9-S$10)*1000)</f>
        <v>7805.3433335752279</v>
      </c>
      <c r="T103" s="205">
        <f>SUM('Statistics NZ'!T$103,$Q$13/16*(T$9-T$10)*1000)*'Economic Forecasts'!V$9*1000000/SUM('Statistics NZ'!T$32:T$107,'Statistics NZ'!T$125:T$200,SUM($E$13:$Q$14)*(T$9-T$10)*1000)</f>
        <v>8339.2433026033505</v>
      </c>
      <c r="U103" s="205">
        <f>SUM('Statistics NZ'!U$103,$Q$13/16*(U$9-U$10)*1000)*'Economic Forecasts'!W$9*1000000/SUM('Statistics NZ'!U$32:U$107,'Statistics NZ'!U$125:U$200,SUM($E$13:$Q$14)*(U$9-U$10)*1000)</f>
        <v>8815.9154389171472</v>
      </c>
      <c r="V103" s="111">
        <f>SUM(U$103,'Statistics NZ'!V$103-'Statistics NZ'!U$103,$Q$13/16*(V$9-V$10)*1000)</f>
        <v>9607.7412585765687</v>
      </c>
      <c r="W103" s="111">
        <f>SUM(V$103,'Statistics NZ'!W$103-'Statistics NZ'!V$103,$Q$13/16*(W$9-W$10)*1000)</f>
        <v>10449.338850778562</v>
      </c>
      <c r="X103" s="111">
        <f>SUM(W$103,'Statistics NZ'!X$103-'Statistics NZ'!W$103,$Q$13/16*(X$9-X$10)*1000)</f>
        <v>10790.708215523129</v>
      </c>
      <c r="Y103" s="111">
        <f>SUM(X$103,'Statistics NZ'!Y$103-'Statistics NZ'!X$103,$Q$13/16*(Y$9-Y$10)*1000)</f>
        <v>9671.8493528102681</v>
      </c>
      <c r="Z103" s="111">
        <f>SUM(Y$103,'Statistics NZ'!Z$103-'Statistics NZ'!Y$103,$Q$13/16*(Z$9-Z$10)*1000)</f>
        <v>10862.762262639979</v>
      </c>
      <c r="AA103" s="111">
        <f>SUM(Z$103,'Statistics NZ'!AA$103-'Statistics NZ'!Z$103,$Q$13/16*(AA$9-AA$10)*1000)</f>
        <v>11573.446945012261</v>
      </c>
      <c r="AB103" s="111">
        <f>SUM(AA$103,'Statistics NZ'!AB$103-'Statistics NZ'!AA$103,$Q$13/16*(AB$9-AB$10)*1000)</f>
        <v>12343.903399927118</v>
      </c>
      <c r="AC103" s="111">
        <f>SUM(AB$103,'Statistics NZ'!AC$103-'Statistics NZ'!AB$103,$Q$13/16*(AC$9-AC$10)*1000)</f>
        <v>14594.131627384546</v>
      </c>
      <c r="AD103" s="111">
        <f>SUM(AC$103,'Statistics NZ'!AD$103-'Statistics NZ'!AC$103,$Q$13/16*(AD$9-AD$10)*1000)</f>
        <v>14854.131627384546</v>
      </c>
      <c r="AE103" s="111">
        <f>SUM(AD$103,'Statistics NZ'!AE$103-'Statistics NZ'!AD$103,$Q$13/16*(AE$9-AE$10)*1000)</f>
        <v>14674.131627384546</v>
      </c>
      <c r="AF103" s="111">
        <f>SUM(AE$103,'Statistics NZ'!AF$103-'Statistics NZ'!AE$103,$Q$13/16*(AF$9-AF$10)*1000)</f>
        <v>15244.131627384546</v>
      </c>
      <c r="AG103" s="111">
        <f>SUM(AF$103,'Statistics NZ'!AG$103-'Statistics NZ'!AF$103,$Q$13/16*(AG$9-AG$10)*1000)</f>
        <v>15304.131627384546</v>
      </c>
      <c r="AH103" s="111">
        <f>SUM(AG$103,'Statistics NZ'!AH$103-'Statistics NZ'!AG$103,$Q$13/16*(AH$9-AH$10)*1000)</f>
        <v>15904.131627384546</v>
      </c>
      <c r="AI103" s="111">
        <f>SUM(AH$103,'Statistics NZ'!AI$103-'Statistics NZ'!AH$103,$Q$13/16*(AI$9-AI$10)*1000)</f>
        <v>16414.131627384544</v>
      </c>
      <c r="AJ103" s="111">
        <f>SUM(AI$103,'Statistics NZ'!AJ$103-'Statistics NZ'!AI$103,$Q$13/16*(AJ$9-AJ$10)*1000)</f>
        <v>17104.131627384544</v>
      </c>
      <c r="AK103" s="111">
        <f>SUM(AJ$103,'Statistics NZ'!AK$103-'Statistics NZ'!AJ$103,$Q$13/16*(AK$9-AK$10)*1000)</f>
        <v>17794.131627384544</v>
      </c>
      <c r="AL103" s="111">
        <f>SUM(AK$103,'Statistics NZ'!AL$103-'Statistics NZ'!AK$103,$Q$13/16*(AL$9-AL$10)*1000)</f>
        <v>18364.131627384544</v>
      </c>
      <c r="AM103" s="111">
        <f>SUM(AL$103,'Statistics NZ'!AM$103-'Statistics NZ'!AL$103,$Q$13/16*(AM$9-AM$10)*1000)</f>
        <v>18914.131627384544</v>
      </c>
      <c r="AN103" s="111">
        <f>SUM(AM$103,'Statistics NZ'!AN$103-'Statistics NZ'!AM$103,$Q$13/16*(AN$9-AN$10)*1000)</f>
        <v>19644.131627384544</v>
      </c>
      <c r="AO103" s="111">
        <f>SUM(AN$103,'Statistics NZ'!AO$103-'Statistics NZ'!AN$103,$Q$13/16*(AO$9-AO$10)*1000)</f>
        <v>20484.131627384544</v>
      </c>
      <c r="AP103" s="111">
        <f>SUM(AO$103,'Statistics NZ'!AP$103-'Statistics NZ'!AO$103,$Q$13/16*(AP$9-AP$10)*1000)</f>
        <v>20984.131627384544</v>
      </c>
      <c r="AQ103" s="111">
        <f>SUM(AP$103,'Statistics NZ'!AQ$103-'Statistics NZ'!AP$103,$Q$13/16*(AQ$9-AQ$10)*1000)</f>
        <v>22064.131627384544</v>
      </c>
      <c r="AR103" s="111">
        <f>SUM(AQ$103,'Statistics NZ'!AR$103-'Statistics NZ'!AQ$103,$Q$13/16*(AR$9-AR$10)*1000)</f>
        <v>22754.131627384544</v>
      </c>
      <c r="AS103" s="111">
        <f>SUM(AR$103,'Statistics NZ'!AS$103-'Statistics NZ'!AR$103,$Q$13/16*(AS$9-AS$10)*1000)</f>
        <v>23264.131627384544</v>
      </c>
      <c r="AT103" s="111">
        <f>SUM(AS$103,'Statistics NZ'!AT$103-'Statistics NZ'!AS$103,$Q$13/16*(AT$9-AT$10)*1000)</f>
        <v>22904.131627384544</v>
      </c>
      <c r="AU103" s="111">
        <f>SUM(AT$103,'Statistics NZ'!AU$103-'Statistics NZ'!AT$103,$Q$13/16*(AU$9-AU$10)*1000)</f>
        <v>22474.131627384544</v>
      </c>
      <c r="AV103" s="111">
        <f>SUM(AU$103,'Statistics NZ'!AV$103-'Statistics NZ'!AU$103,$Q$13/16*(AV$9-AV$10)*1000)</f>
        <v>22254.131627384544</v>
      </c>
      <c r="AW103" s="111">
        <f>SUM(AV$103,'Statistics NZ'!AW$103-'Statistics NZ'!AV$103,$Q$13/16*(AW$9-AW$10)*1000)</f>
        <v>22694.131627384544</v>
      </c>
      <c r="AX103" s="111">
        <f>SUM(AW$103,'Statistics NZ'!AX$103-'Statistics NZ'!AW$103,$Q$13/16*(AX$9-AX$10)*1000)</f>
        <v>23324.131627384544</v>
      </c>
      <c r="AY103" s="111">
        <f>SUM(AX$103,'Statistics NZ'!AY$103-'Statistics NZ'!AX$103,$Q$13/16*(AY$9-AY$10)*1000)</f>
        <v>23864.131627384544</v>
      </c>
      <c r="AZ103" s="111">
        <f>SUM(AY$103,'Statistics NZ'!AZ$103-'Statistics NZ'!AY$103,$Q$13/16*(AZ$9-AZ$10)*1000)</f>
        <v>23864.131627384544</v>
      </c>
      <c r="BA103" s="111">
        <f>SUM(AZ$103,'Statistics NZ'!BA$103-'Statistics NZ'!AZ$103,$Q$13/16*(BA$9-BA$10)*1000)</f>
        <v>24994.131627384544</v>
      </c>
      <c r="BB103" s="111">
        <f>SUM(BA$103,'Statistics NZ'!BB$103-'Statistics NZ'!BA$103,$Q$13/16*(BB$9-BB$10)*1000)</f>
        <v>24804.131627384544</v>
      </c>
      <c r="BC103" s="111">
        <f>SUM(BB$103,'Statistics NZ'!BC$103-'Statistics NZ'!BB$103,$Q$13/16*(BC$9-BC$10)*1000)</f>
        <v>24074.131627384544</v>
      </c>
      <c r="BD103" s="111">
        <f>SUM(BC$103,'Statistics NZ'!BD$103-'Statistics NZ'!BC$103,$Q$13/16*(BD$9-BD$10)*1000)</f>
        <v>23674.131627384544</v>
      </c>
      <c r="BE103" s="111">
        <f>SUM(BD$103,'Statistics NZ'!BE$103-'Statistics NZ'!BD$103,$Q$13/16*(BE$9-BE$10)*1000)</f>
        <v>22904.131627384544</v>
      </c>
      <c r="BF103" s="111">
        <f>SUM(BE$103,'Statistics NZ'!BF$103-'Statistics NZ'!BE$103,$Q$13/16*(BF$9-BF$10)*1000)</f>
        <v>22084.131627384544</v>
      </c>
      <c r="BG103" s="111">
        <f>SUM(BF$103,'Statistics NZ'!BG$103-'Statistics NZ'!BF$103,$Q$13/16*(BG$9-BG$10)*1000)</f>
        <v>22334.131627384544</v>
      </c>
      <c r="BH103" s="111">
        <f>SUM(BG$103,'Statistics NZ'!BH$103-'Statistics NZ'!BG$103,$Q$13/16*(BH$9-BH$10)*1000)</f>
        <v>22394.131627384544</v>
      </c>
      <c r="BI103" s="111">
        <f>SUM(BH$103,'Statistics NZ'!BI$103-'Statistics NZ'!BH$103,$Q$13/16*(BI$9-BI$10)*1000)</f>
        <v>23204.131627384544</v>
      </c>
      <c r="BJ103" s="111">
        <f>SUM(BI$103,'Statistics NZ'!BJ$103-'Statistics NZ'!BI$103,$Q$13/16*(BJ$9-BJ$10)*1000)</f>
        <v>23614.131627384544</v>
      </c>
      <c r="BK103" s="111">
        <f>SUM(BJ$103,'Statistics NZ'!BK$103-'Statistics NZ'!BJ$103,$Q$13/16*(BK$9-BK$10)*1000)</f>
        <v>24014.131627384544</v>
      </c>
      <c r="BL103" s="111">
        <f>SUM(BK$103,'Statistics NZ'!BL$103-'Statistics NZ'!BK$103,$Q$13/16*(BL$9-BL$10)*1000)</f>
        <v>24924.131627384544</v>
      </c>
      <c r="BM103" s="195">
        <f>SUM(BL$103,'Statistics NZ'!BM$103-'Statistics NZ'!BL$103,$Q$13/16*(BM$9-BM$10)*1000)</f>
        <v>25624.131627384544</v>
      </c>
      <c r="BN103" s="195">
        <f>SUM(BM$103,'Statistics NZ'!BN$103-'Statistics NZ'!BM$103,$Q$13/16*(BN$9-BN$10)*1000)</f>
        <v>26314.131627384544</v>
      </c>
      <c r="BO103" s="195">
        <f>SUM(BN$103,'Statistics NZ'!BO$103-'Statistics NZ'!BN$103,$Q$13/16*(BO$9-BO$10)*1000)</f>
        <v>27034.131627384544</v>
      </c>
      <c r="BP103" s="195">
        <f>SUM(BO$103,'Statistics NZ'!BP$103-'Statistics NZ'!BO$103,$Q$13/16*(BP$9-BP$10)*1000)</f>
        <v>27614.131627384544</v>
      </c>
      <c r="BQ103" s="195">
        <f>SUM(BP$103,'Statistics NZ'!BQ$103-'Statistics NZ'!BP$103,$Q$13/16*(BQ$9-BQ$10)*1000)</f>
        <v>28384.131627384544</v>
      </c>
    </row>
    <row r="104" spans="1:69">
      <c r="A104" s="105">
        <v>87</v>
      </c>
      <c r="B104" s="118">
        <f>'Statistics NZ'!B$104*'Economic Forecasts'!D$9*1000000/SUM('Statistics NZ'!B$32:B$107,'Statistics NZ'!B$125:B$200)</f>
        <v>4629.9345937287644</v>
      </c>
      <c r="C104" s="118">
        <f>'Statistics NZ'!C$104*'Economic Forecasts'!E$9*1000000/SUM('Statistics NZ'!C$32:C$107,'Statistics NZ'!C$125:C$200)</f>
        <v>5550.2775944019013</v>
      </c>
      <c r="D104" s="118">
        <f>'Statistics NZ'!D$104*'Economic Forecasts'!F$9*1000000/SUM('Statistics NZ'!D$32:D$107,'Statistics NZ'!D$125:D$200)</f>
        <v>5647.5477076546267</v>
      </c>
      <c r="E104" s="118">
        <f>'Statistics NZ'!E$104*'Economic Forecasts'!G$9*1000000/SUM('Statistics NZ'!E$32:E$107,'Statistics NZ'!E$125:E$200)</f>
        <v>5810.6178871827433</v>
      </c>
      <c r="F104" s="118">
        <f>'Statistics NZ'!F$104*'Economic Forecasts'!H$9*1000000/SUM('Statistics NZ'!F$32:F$107,'Statistics NZ'!F$125:F$200)</f>
        <v>5704.0884175301308</v>
      </c>
      <c r="G104" s="118">
        <f>'Statistics NZ'!G$104*'Economic Forecasts'!I$9*1000000/SUM('Statistics NZ'!G$32:G$107,'Statistics NZ'!G$125:G$200)</f>
        <v>5842.7554516506098</v>
      </c>
      <c r="H104" s="118">
        <f>'Statistics NZ'!H$104*'Economic Forecasts'!J$9*1000000/SUM('Statistics NZ'!H$32:H$107,'Statistics NZ'!H$125:H$200)</f>
        <v>6156.0401581398273</v>
      </c>
      <c r="I104" s="118">
        <f>'Statistics NZ'!I$104*'Economic Forecasts'!K$9*1000000/SUM('Statistics NZ'!I$32:I$107,'Statistics NZ'!I$125:I$200)</f>
        <v>5943.9462713433004</v>
      </c>
      <c r="J104" s="203">
        <f>'Statistics NZ'!J$104*'Economic Forecasts'!L$9*1000000/SUM('Statistics NZ'!J$32:J$107,'Statistics NZ'!J$125:J$200)</f>
        <v>6103.4579937077951</v>
      </c>
      <c r="K104" s="203">
        <f>'Statistics NZ'!K$104*'Economic Forecasts'!M$9*1000000/SUM('Statistics NZ'!K$32:K$107,'Statistics NZ'!K$125:K$200)</f>
        <v>6140.8206039172574</v>
      </c>
      <c r="L104" s="203">
        <f>'Statistics NZ'!L$104*'Economic Forecasts'!N$9*1000000/SUM('Statistics NZ'!L$32:L$107,'Statistics NZ'!L$125:L$200)</f>
        <v>6263.853048297703</v>
      </c>
      <c r="M104" s="203">
        <f>'Statistics NZ'!M$104*'Economic Forecasts'!O$9*1000000/SUM('Statistics NZ'!M$32:M$107,'Statistics NZ'!M$125:M$200)</f>
        <v>6451.9972036053887</v>
      </c>
      <c r="N104" s="203">
        <f>'Statistics NZ'!N$104*'Economic Forecasts'!P$9*1000000/SUM('Statistics NZ'!N$32:N$107,'Statistics NZ'!N$125:N$200)</f>
        <v>6473.7304887054515</v>
      </c>
      <c r="O104" s="203">
        <f>'Statistics NZ'!O$104*'Economic Forecasts'!Q$9*1000000/SUM('Statistics NZ'!O$32:O$107,'Statistics NZ'!O$125:O$200)</f>
        <v>6236.8691822242326</v>
      </c>
      <c r="P104" s="203">
        <f>'Statistics NZ'!P$104*'Economic Forecasts'!R$9*1000000/SUM('Statistics NZ'!P$32:P$107,'Statistics NZ'!P$125:P$200)</f>
        <v>6368.2056439398521</v>
      </c>
      <c r="Q104" s="121">
        <f>SUM('Statistics NZ'!Q$104,$Q$13/16*(Q$9-Q$10)*1000)*'Economic Forecasts'!S$9*1000000/SUM('Statistics NZ'!Q$32:Q$107,'Statistics NZ'!Q$125:Q$200,SUM($E$13:$Q$14)*(Q$9-Q$10)*1000)</f>
        <v>6514.9384854854934</v>
      </c>
      <c r="R104" s="205">
        <f>SUM('Statistics NZ'!R$104,$Q$13/16*(R$9-R$10)*1000)*'Economic Forecasts'!T$9*1000000/SUM('Statistics NZ'!R$32:R$107,'Statistics NZ'!R$125:R$200,SUM($E$13:$Q$14)*(R$9-R$10)*1000)</f>
        <v>6553.5917381255831</v>
      </c>
      <c r="S104" s="205">
        <f>SUM('Statistics NZ'!S$104,$Q$13/16*(S$9-S$10)*1000)*'Economic Forecasts'!U$9*1000000/SUM('Statistics NZ'!S$32:S$107,'Statistics NZ'!S$125:S$200,SUM($E$13:$Q$14)*(S$9-S$10)*1000)</f>
        <v>6846.993420688641</v>
      </c>
      <c r="T104" s="205">
        <f>SUM('Statistics NZ'!T$104,$Q$13/16*(T$9-T$10)*1000)*'Economic Forecasts'!V$9*1000000/SUM('Statistics NZ'!T$32:T$107,'Statistics NZ'!T$125:T$200,SUM($E$13:$Q$14)*(T$9-T$10)*1000)</f>
        <v>7213.004893560098</v>
      </c>
      <c r="U104" s="205">
        <f>SUM('Statistics NZ'!U$104,$Q$13/16*(U$9-U$10)*1000)*'Economic Forecasts'!W$9*1000000/SUM('Statistics NZ'!U$32:U$107,'Statistics NZ'!U$125:U$200,SUM($E$13:$Q$14)*(U$9-U$10)*1000)</f>
        <v>7727.7816673377301</v>
      </c>
      <c r="V104" s="111">
        <f>SUM(U$104,'Statistics NZ'!V$104-'Statistics NZ'!U$104,$Q$13/16*(V$9-V$10)*1000)</f>
        <v>8159.6074869971517</v>
      </c>
      <c r="W104" s="111">
        <f>SUM(V$104,'Statistics NZ'!W$104-'Statistics NZ'!V$104,$Q$13/16*(W$9-W$10)*1000)</f>
        <v>8901.205079199146</v>
      </c>
      <c r="X104" s="111">
        <f>SUM(W$104,'Statistics NZ'!X$104-'Statistics NZ'!W$104,$Q$13/16*(X$9-X$10)*1000)</f>
        <v>9692.574443943713</v>
      </c>
      <c r="Y104" s="111">
        <f>SUM(X$104,'Statistics NZ'!Y$104-'Statistics NZ'!X$104,$Q$13/16*(Y$9-Y$10)*1000)</f>
        <v>10013.715581230852</v>
      </c>
      <c r="Z104" s="111">
        <f>SUM(Y$104,'Statistics NZ'!Z$104-'Statistics NZ'!Y$104,$Q$13/16*(Z$9-Z$10)*1000)</f>
        <v>8984.6284910605627</v>
      </c>
      <c r="AA104" s="111">
        <f>SUM(Z$104,'Statistics NZ'!AA$104-'Statistics NZ'!Z$104,$Q$13/16*(AA$9-AA$10)*1000)</f>
        <v>10095.313173432845</v>
      </c>
      <c r="AB104" s="111">
        <f>SUM(AA$104,'Statistics NZ'!AB$104-'Statistics NZ'!AA$104,$Q$13/16*(AB$9-AB$10)*1000)</f>
        <v>10765.769628347702</v>
      </c>
      <c r="AC104" s="111">
        <f>SUM(AB$104,'Statistics NZ'!AC$104-'Statistics NZ'!AB$104,$Q$13/16*(AC$9-AC$10)*1000)</f>
        <v>11485.99785580513</v>
      </c>
      <c r="AD104" s="111">
        <f>SUM(AC$104,'Statistics NZ'!AD$104-'Statistics NZ'!AC$104,$Q$13/16*(AD$9-AD$10)*1000)</f>
        <v>13595.99785580513</v>
      </c>
      <c r="AE104" s="111">
        <f>SUM(AD$104,'Statistics NZ'!AE$104-'Statistics NZ'!AD$104,$Q$13/16*(AE$9-AE$10)*1000)</f>
        <v>13845.99785580513</v>
      </c>
      <c r="AF104" s="111">
        <f>SUM(AE$104,'Statistics NZ'!AF$104-'Statistics NZ'!AE$104,$Q$13/16*(AF$9-AF$10)*1000)</f>
        <v>13685.99785580513</v>
      </c>
      <c r="AG104" s="111">
        <f>SUM(AF$104,'Statistics NZ'!AG$104-'Statistics NZ'!AF$104,$Q$13/16*(AG$9-AG$10)*1000)</f>
        <v>14225.99785580513</v>
      </c>
      <c r="AH104" s="111">
        <f>SUM(AG$104,'Statistics NZ'!AH$104-'Statistics NZ'!AG$104,$Q$13/16*(AH$9-AH$10)*1000)</f>
        <v>14285.99785580513</v>
      </c>
      <c r="AI104" s="111">
        <f>SUM(AH$104,'Statistics NZ'!AI$104-'Statistics NZ'!AH$104,$Q$13/16*(AI$9-AI$10)*1000)</f>
        <v>14865.99785580513</v>
      </c>
      <c r="AJ104" s="111">
        <f>SUM(AI$104,'Statistics NZ'!AJ$104-'Statistics NZ'!AI$104,$Q$13/16*(AJ$9-AJ$10)*1000)</f>
        <v>15345.99785580513</v>
      </c>
      <c r="AK104" s="111">
        <f>SUM(AJ$104,'Statistics NZ'!AK$104-'Statistics NZ'!AJ$104,$Q$13/16*(AK$9-AK$10)*1000)</f>
        <v>16005.99785580513</v>
      </c>
      <c r="AL104" s="111">
        <f>SUM(AK$104,'Statistics NZ'!AL$104-'Statistics NZ'!AK$104,$Q$13/16*(AL$9-AL$10)*1000)</f>
        <v>16665.99785580513</v>
      </c>
      <c r="AM104" s="111">
        <f>SUM(AL$104,'Statistics NZ'!AM$104-'Statistics NZ'!AL$104,$Q$13/16*(AM$9-AM$10)*1000)</f>
        <v>17205.99785580513</v>
      </c>
      <c r="AN104" s="111">
        <f>SUM(AM$104,'Statistics NZ'!AN$104-'Statistics NZ'!AM$104,$Q$13/16*(AN$9-AN$10)*1000)</f>
        <v>17735.99785580513</v>
      </c>
      <c r="AO104" s="111">
        <f>SUM(AN$104,'Statistics NZ'!AO$104-'Statistics NZ'!AN$104,$Q$13/16*(AO$9-AO$10)*1000)</f>
        <v>18425.99785580513</v>
      </c>
      <c r="AP104" s="111">
        <f>SUM(AO$104,'Statistics NZ'!AP$104-'Statistics NZ'!AO$104,$Q$13/16*(AP$9-AP$10)*1000)</f>
        <v>19235.99785580513</v>
      </c>
      <c r="AQ104" s="111">
        <f>SUM(AP$104,'Statistics NZ'!AQ$104-'Statistics NZ'!AP$104,$Q$13/16*(AQ$9-AQ$10)*1000)</f>
        <v>19715.99785580513</v>
      </c>
      <c r="AR104" s="111">
        <f>SUM(AQ$104,'Statistics NZ'!AR$104-'Statistics NZ'!AQ$104,$Q$13/16*(AR$9-AR$10)*1000)</f>
        <v>20735.99785580513</v>
      </c>
      <c r="AS104" s="111">
        <f>SUM(AR$104,'Statistics NZ'!AS$104-'Statistics NZ'!AR$104,$Q$13/16*(AS$9-AS$10)*1000)</f>
        <v>21395.99785580513</v>
      </c>
      <c r="AT104" s="111">
        <f>SUM(AS$104,'Statistics NZ'!AT$104-'Statistics NZ'!AS$104,$Q$13/16*(AT$9-AT$10)*1000)</f>
        <v>21895.99785580513</v>
      </c>
      <c r="AU104" s="111">
        <f>SUM(AT$104,'Statistics NZ'!AU$104-'Statistics NZ'!AT$104,$Q$13/16*(AU$9-AU$10)*1000)</f>
        <v>21565.99785580513</v>
      </c>
      <c r="AV104" s="111">
        <f>SUM(AU$104,'Statistics NZ'!AV$104-'Statistics NZ'!AU$104,$Q$13/16*(AV$9-AV$10)*1000)</f>
        <v>21165.99785580513</v>
      </c>
      <c r="AW104" s="111">
        <f>SUM(AV$104,'Statistics NZ'!AW$104-'Statistics NZ'!AV$104,$Q$13/16*(AW$9-AW$10)*1000)</f>
        <v>20975.99785580513</v>
      </c>
      <c r="AX104" s="111">
        <f>SUM(AW$104,'Statistics NZ'!AX$104-'Statistics NZ'!AW$104,$Q$13/16*(AX$9-AX$10)*1000)</f>
        <v>21405.99785580513</v>
      </c>
      <c r="AY104" s="111">
        <f>SUM(AX$104,'Statistics NZ'!AY$104-'Statistics NZ'!AX$104,$Q$13/16*(AY$9-AY$10)*1000)</f>
        <v>22005.99785580513</v>
      </c>
      <c r="AZ104" s="111">
        <f>SUM(AY$104,'Statistics NZ'!AZ$104-'Statistics NZ'!AY$104,$Q$13/16*(AZ$9-AZ$10)*1000)</f>
        <v>22535.99785580513</v>
      </c>
      <c r="BA104" s="111">
        <f>SUM(AZ$104,'Statistics NZ'!BA$104-'Statistics NZ'!AZ$104,$Q$13/16*(BA$9-BA$10)*1000)</f>
        <v>22545.99785580513</v>
      </c>
      <c r="BB104" s="111">
        <f>SUM(BA$104,'Statistics NZ'!BB$104-'Statistics NZ'!BA$104,$Q$13/16*(BB$9-BB$10)*1000)</f>
        <v>23625.99785580513</v>
      </c>
      <c r="BC104" s="111">
        <f>SUM(BB$104,'Statistics NZ'!BC$104-'Statistics NZ'!BB$104,$Q$13/16*(BC$9-BC$10)*1000)</f>
        <v>23465.99785580513</v>
      </c>
      <c r="BD104" s="111">
        <f>SUM(BC$104,'Statistics NZ'!BD$104-'Statistics NZ'!BC$104,$Q$13/16*(BD$9-BD$10)*1000)</f>
        <v>22775.99785580513</v>
      </c>
      <c r="BE104" s="111">
        <f>SUM(BD$104,'Statistics NZ'!BE$104-'Statistics NZ'!BD$104,$Q$13/16*(BE$9-BE$10)*1000)</f>
        <v>22425.99785580513</v>
      </c>
      <c r="BF104" s="111">
        <f>SUM(BE$104,'Statistics NZ'!BF$104-'Statistics NZ'!BE$104,$Q$13/16*(BF$9-BF$10)*1000)</f>
        <v>21705.99785580513</v>
      </c>
      <c r="BG104" s="111">
        <f>SUM(BF$104,'Statistics NZ'!BG$104-'Statistics NZ'!BF$104,$Q$13/16*(BG$9-BG$10)*1000)</f>
        <v>20935.99785580513</v>
      </c>
      <c r="BH104" s="111">
        <f>SUM(BG$104,'Statistics NZ'!BH$104-'Statistics NZ'!BG$104,$Q$13/16*(BH$9-BH$10)*1000)</f>
        <v>21185.99785580513</v>
      </c>
      <c r="BI104" s="111">
        <f>SUM(BH$104,'Statistics NZ'!BI$104-'Statistics NZ'!BH$104,$Q$13/16*(BI$9-BI$10)*1000)</f>
        <v>21255.99785580513</v>
      </c>
      <c r="BJ104" s="111">
        <f>SUM(BI$104,'Statistics NZ'!BJ$104-'Statistics NZ'!BI$104,$Q$13/16*(BJ$9-BJ$10)*1000)</f>
        <v>22035.99785580513</v>
      </c>
      <c r="BK104" s="111">
        <f>SUM(BJ$104,'Statistics NZ'!BK$104-'Statistics NZ'!BJ$104,$Q$13/16*(BK$9-BK$10)*1000)</f>
        <v>22425.99785580513</v>
      </c>
      <c r="BL104" s="111">
        <f>SUM(BK$104,'Statistics NZ'!BL$104-'Statistics NZ'!BK$104,$Q$13/16*(BL$9-BL$10)*1000)</f>
        <v>22825.99785580513</v>
      </c>
      <c r="BM104" s="195">
        <f>SUM(BL$104,'Statistics NZ'!BM$104-'Statistics NZ'!BL$104,$Q$13/16*(BM$9-BM$10)*1000)</f>
        <v>23695.99785580513</v>
      </c>
      <c r="BN104" s="195">
        <f>SUM(BM$104,'Statistics NZ'!BN$104-'Statistics NZ'!BM$104,$Q$13/16*(BN$9-BN$10)*1000)</f>
        <v>24375.99785580513</v>
      </c>
      <c r="BO104" s="195">
        <f>SUM(BN$104,'Statistics NZ'!BO$104-'Statistics NZ'!BN$104,$Q$13/16*(BO$9-BO$10)*1000)</f>
        <v>25045.99785580513</v>
      </c>
      <c r="BP104" s="195">
        <f>SUM(BO$104,'Statistics NZ'!BP$104-'Statistics NZ'!BO$104,$Q$13/16*(BP$9-BP$10)*1000)</f>
        <v>25735.99785580513</v>
      </c>
      <c r="BQ104" s="195">
        <f>SUM(BP$104,'Statistics NZ'!BQ$104-'Statistics NZ'!BP$104,$Q$13/16*(BQ$9-BQ$10)*1000)</f>
        <v>26305.99785580513</v>
      </c>
    </row>
    <row r="105" spans="1:69">
      <c r="A105" s="105">
        <v>88</v>
      </c>
      <c r="B105" s="118">
        <f>'Statistics NZ'!B$105*'Economic Forecasts'!D$9*1000000/SUM('Statistics NZ'!B$32:B$107,'Statistics NZ'!B$125:B$200)</f>
        <v>4196.4939083584113</v>
      </c>
      <c r="C105" s="118">
        <f>'Statistics NZ'!C$105*'Economic Forecasts'!E$9*1000000/SUM('Statistics NZ'!C$32:C$107,'Statistics NZ'!C$125:C$200)</f>
        <v>4150.3851993662529</v>
      </c>
      <c r="D105" s="118">
        <f>'Statistics NZ'!D$105*'Economic Forecasts'!F$9*1000000/SUM('Statistics NZ'!D$32:D$107,'Statistics NZ'!D$125:D$200)</f>
        <v>4918.1959967184266</v>
      </c>
      <c r="E105" s="118">
        <f>'Statistics NZ'!E$105*'Economic Forecasts'!G$9*1000000/SUM('Statistics NZ'!E$32:E$107,'Statistics NZ'!E$125:E$200)</f>
        <v>5062.1315152744583</v>
      </c>
      <c r="F105" s="118">
        <f>'Statistics NZ'!F$105*'Economic Forecasts'!H$9*1000000/SUM('Statistics NZ'!F$32:F$107,'Statistics NZ'!F$125:F$200)</f>
        <v>5201.6557589912072</v>
      </c>
      <c r="G105" s="118">
        <f>'Statistics NZ'!G$105*'Economic Forecasts'!I$9*1000000/SUM('Statistics NZ'!G$32:G$107,'Statistics NZ'!G$125:G$200)</f>
        <v>5093.9368777459786</v>
      </c>
      <c r="H105" s="118">
        <f>'Statistics NZ'!H$105*'Economic Forecasts'!J$9*1000000/SUM('Statistics NZ'!H$32:H$107,'Statistics NZ'!H$125:H$200)</f>
        <v>5200.6227255965259</v>
      </c>
      <c r="I105" s="118">
        <f>'Statistics NZ'!I$105*'Economic Forecasts'!K$9*1000000/SUM('Statistics NZ'!I$32:I$107,'Statistics NZ'!I$125:I$200)</f>
        <v>5520.784533482768</v>
      </c>
      <c r="J105" s="203">
        <f>'Statistics NZ'!J$105*'Economic Forecasts'!L$9*1000000/SUM('Statistics NZ'!J$32:J$107,'Statistics NZ'!J$125:J$200)</f>
        <v>5376.1538205445477</v>
      </c>
      <c r="K105" s="203">
        <f>'Statistics NZ'!K$105*'Economic Forecasts'!M$9*1000000/SUM('Statistics NZ'!K$32:K$107,'Statistics NZ'!K$125:K$200)</f>
        <v>5492.3499481435947</v>
      </c>
      <c r="L105" s="203">
        <f>'Statistics NZ'!L$105*'Economic Forecasts'!N$9*1000000/SUM('Statistics NZ'!L$32:L$107,'Statistics NZ'!L$125:L$200)</f>
        <v>5535.0399577724984</v>
      </c>
      <c r="M105" s="203">
        <f>'Statistics NZ'!M$105*'Economic Forecasts'!O$9*1000000/SUM('Statistics NZ'!M$32:M$107,'Statistics NZ'!M$125:M$200)</f>
        <v>5663.9670107986231</v>
      </c>
      <c r="N105" s="203">
        <f>'Statistics NZ'!N$105*'Economic Forecasts'!P$9*1000000/SUM('Statistics NZ'!N$32:N$107,'Statistics NZ'!N$125:N$200)</f>
        <v>5812.5415515968152</v>
      </c>
      <c r="O105" s="203">
        <f>'Statistics NZ'!O$105*'Economic Forecasts'!Q$9*1000000/SUM('Statistics NZ'!O$32:O$107,'Statistics NZ'!O$125:O$200)</f>
        <v>5851.9990902831805</v>
      </c>
      <c r="P105" s="203">
        <f>'Statistics NZ'!P$105*'Economic Forecasts'!R$9*1000000/SUM('Statistics NZ'!P$32:P$107,'Statistics NZ'!P$125:P$200)</f>
        <v>5677.082550799093</v>
      </c>
      <c r="Q105" s="121">
        <f>SUM('Statistics NZ'!Q$105,$Q$13/16*(Q$9-Q$10)*1000)*'Economic Forecasts'!S$9*1000000/SUM('Statistics NZ'!Q$32:Q$107,'Statistics NZ'!Q$125:Q$200,SUM($E$13:$Q$14)*(Q$9-Q$10)*1000)</f>
        <v>5803.1160205220158</v>
      </c>
      <c r="R105" s="205">
        <f>SUM('Statistics NZ'!R$105,$Q$13/16*(R$9-R$10)*1000)*'Economic Forecasts'!T$9*1000000/SUM('Statistics NZ'!R$32:R$107,'Statistics NZ'!R$125:R$200,SUM($E$13:$Q$14)*(R$9-R$10)*1000)</f>
        <v>5930.8254544942147</v>
      </c>
      <c r="S105" s="205">
        <f>SUM('Statistics NZ'!S$105,$Q$13/16*(S$9-S$10)*1000)*'Economic Forecasts'!U$9*1000000/SUM('Statistics NZ'!S$32:S$107,'Statistics NZ'!S$125:S$200,SUM($E$13:$Q$14)*(S$9-S$10)*1000)</f>
        <v>5967.6826758751758</v>
      </c>
      <c r="T105" s="205">
        <f>SUM('Statistics NZ'!T$105,$Q$13/16*(T$9-T$10)*1000)*'Economic Forecasts'!V$9*1000000/SUM('Statistics NZ'!T$32:T$107,'Statistics NZ'!T$125:T$200,SUM($E$13:$Q$14)*(T$9-T$10)*1000)</f>
        <v>6244.8350331544962</v>
      </c>
      <c r="U105" s="205">
        <f>SUM('Statistics NZ'!U$105,$Q$13/16*(U$9-U$10)*1000)*'Economic Forecasts'!W$9*1000000/SUM('Statistics NZ'!U$32:U$107,'Statistics NZ'!U$125:U$200,SUM($E$13:$Q$14)*(U$9-U$10)*1000)</f>
        <v>6600.079394973608</v>
      </c>
      <c r="V105" s="111">
        <f>SUM(U$105,'Statistics NZ'!V$105-'Statistics NZ'!U$105,$Q$13/16*(V$9-V$10)*1000)</f>
        <v>7071.9052146330296</v>
      </c>
      <c r="W105" s="111">
        <f>SUM(V$105,'Statistics NZ'!W$105-'Statistics NZ'!V$105,$Q$13/16*(W$9-W$10)*1000)</f>
        <v>7473.5028068350239</v>
      </c>
      <c r="X105" s="111">
        <f>SUM(W$105,'Statistics NZ'!X$105-'Statistics NZ'!W$105,$Q$13/16*(X$9-X$10)*1000)</f>
        <v>8154.87217157959</v>
      </c>
      <c r="Y105" s="111">
        <f>SUM(X$105,'Statistics NZ'!Y$105-'Statistics NZ'!X$105,$Q$13/16*(Y$9-Y$10)*1000)</f>
        <v>8886.0133088667299</v>
      </c>
      <c r="Z105" s="111">
        <f>SUM(Y$105,'Statistics NZ'!Z$105-'Statistics NZ'!Y$105,$Q$13/16*(Z$9-Z$10)*1000)</f>
        <v>9186.9262186964406</v>
      </c>
      <c r="AA105" s="111">
        <f>SUM(Z$105,'Statistics NZ'!AA$105-'Statistics NZ'!Z$105,$Q$13/16*(AA$9-AA$10)*1000)</f>
        <v>8257.6109010687233</v>
      </c>
      <c r="AB105" s="111">
        <f>SUM(AA$105,'Statistics NZ'!AB$105-'Statistics NZ'!AA$105,$Q$13/16*(AB$9-AB$10)*1000)</f>
        <v>9278.0673559835795</v>
      </c>
      <c r="AC105" s="111">
        <f>SUM(AB$105,'Statistics NZ'!AC$105-'Statistics NZ'!AB$105,$Q$13/16*(AC$9-AC$10)*1000)</f>
        <v>9898.2955834410077</v>
      </c>
      <c r="AD105" s="111">
        <f>SUM(AC$105,'Statistics NZ'!AD$105-'Statistics NZ'!AC$105,$Q$13/16*(AD$9-AD$10)*1000)</f>
        <v>10578.295583441008</v>
      </c>
      <c r="AE105" s="111">
        <f>SUM(AD$105,'Statistics NZ'!AE$105-'Statistics NZ'!AD$105,$Q$13/16*(AE$9-AE$10)*1000)</f>
        <v>12518.295583441008</v>
      </c>
      <c r="AF105" s="111">
        <f>SUM(AE$105,'Statistics NZ'!AF$105-'Statistics NZ'!AE$105,$Q$13/16*(AF$9-AF$10)*1000)</f>
        <v>12758.295583441008</v>
      </c>
      <c r="AG105" s="111">
        <f>SUM(AF$105,'Statistics NZ'!AG$105-'Statistics NZ'!AF$105,$Q$13/16*(AG$9-AG$10)*1000)</f>
        <v>12618.295583441008</v>
      </c>
      <c r="AH105" s="111">
        <f>SUM(AG$105,'Statistics NZ'!AH$105-'Statistics NZ'!AG$105,$Q$13/16*(AH$9-AH$10)*1000)</f>
        <v>13128.295583441008</v>
      </c>
      <c r="AI105" s="111">
        <f>SUM(AH$105,'Statistics NZ'!AI$105-'Statistics NZ'!AH$105,$Q$13/16*(AI$9-AI$10)*1000)</f>
        <v>13198.295583441008</v>
      </c>
      <c r="AJ105" s="111">
        <f>SUM(AI$105,'Statistics NZ'!AJ$105-'Statistics NZ'!AI$105,$Q$13/16*(AJ$9-AJ$10)*1000)</f>
        <v>13738.295583441008</v>
      </c>
      <c r="AK105" s="111">
        <f>SUM(AJ$105,'Statistics NZ'!AK$105-'Statistics NZ'!AJ$105,$Q$13/16*(AK$9-AK$10)*1000)</f>
        <v>14198.295583441008</v>
      </c>
      <c r="AL105" s="111">
        <f>SUM(AK$105,'Statistics NZ'!AL$105-'Statistics NZ'!AK$105,$Q$13/16*(AL$9-AL$10)*1000)</f>
        <v>14808.295583441008</v>
      </c>
      <c r="AM105" s="111">
        <f>SUM(AL$105,'Statistics NZ'!AM$105-'Statistics NZ'!AL$105,$Q$13/16*(AM$9-AM$10)*1000)</f>
        <v>15428.295583441008</v>
      </c>
      <c r="AN105" s="111">
        <f>SUM(AM$105,'Statistics NZ'!AN$105-'Statistics NZ'!AM$105,$Q$13/16*(AN$9-AN$10)*1000)</f>
        <v>15948.295583441008</v>
      </c>
      <c r="AO105" s="111">
        <f>SUM(AN$105,'Statistics NZ'!AO$105-'Statistics NZ'!AN$105,$Q$13/16*(AO$9-AO$10)*1000)</f>
        <v>16448.29558344101</v>
      </c>
      <c r="AP105" s="111">
        <f>SUM(AO$105,'Statistics NZ'!AP$105-'Statistics NZ'!AO$105,$Q$13/16*(AP$9-AP$10)*1000)</f>
        <v>17108.29558344101</v>
      </c>
      <c r="AQ105" s="111">
        <f>SUM(AP$105,'Statistics NZ'!AQ$105-'Statistics NZ'!AP$105,$Q$13/16*(AQ$9-AQ$10)*1000)</f>
        <v>17858.29558344101</v>
      </c>
      <c r="AR105" s="111">
        <f>SUM(AQ$105,'Statistics NZ'!AR$105-'Statistics NZ'!AQ$105,$Q$13/16*(AR$9-AR$10)*1000)</f>
        <v>18318.29558344101</v>
      </c>
      <c r="AS105" s="111">
        <f>SUM(AR$105,'Statistics NZ'!AS$105-'Statistics NZ'!AR$105,$Q$13/16*(AS$9-AS$10)*1000)</f>
        <v>19278.29558344101</v>
      </c>
      <c r="AT105" s="111">
        <f>SUM(AS$105,'Statistics NZ'!AT$105-'Statistics NZ'!AS$105,$Q$13/16*(AT$9-AT$10)*1000)</f>
        <v>19908.29558344101</v>
      </c>
      <c r="AU105" s="111">
        <f>SUM(AT$105,'Statistics NZ'!AU$105-'Statistics NZ'!AT$105,$Q$13/16*(AU$9-AU$10)*1000)</f>
        <v>20378.29558344101</v>
      </c>
      <c r="AV105" s="111">
        <f>SUM(AU$105,'Statistics NZ'!AV$105-'Statistics NZ'!AU$105,$Q$13/16*(AV$9-AV$10)*1000)</f>
        <v>20098.29558344101</v>
      </c>
      <c r="AW105" s="111">
        <f>SUM(AV$105,'Statistics NZ'!AW$105-'Statistics NZ'!AV$105,$Q$13/16*(AW$9-AW$10)*1000)</f>
        <v>19738.29558344101</v>
      </c>
      <c r="AX105" s="111">
        <f>SUM(AW$105,'Statistics NZ'!AX$105-'Statistics NZ'!AW$105,$Q$13/16*(AX$9-AX$10)*1000)</f>
        <v>19568.29558344101</v>
      </c>
      <c r="AY105" s="111">
        <f>SUM(AX$105,'Statistics NZ'!AY$105-'Statistics NZ'!AX$105,$Q$13/16*(AY$9-AY$10)*1000)</f>
        <v>19988.29558344101</v>
      </c>
      <c r="AZ105" s="111">
        <f>SUM(AY$105,'Statistics NZ'!AZ$105-'Statistics NZ'!AY$105,$Q$13/16*(AZ$9-AZ$10)*1000)</f>
        <v>20558.29558344101</v>
      </c>
      <c r="BA105" s="111">
        <f>SUM(AZ$105,'Statistics NZ'!BA$105-'Statistics NZ'!AZ$105,$Q$13/16*(BA$9-BA$10)*1000)</f>
        <v>21058.29558344101</v>
      </c>
      <c r="BB105" s="111">
        <f>SUM(BA$105,'Statistics NZ'!BB$105-'Statistics NZ'!BA$105,$Q$13/16*(BB$9-BB$10)*1000)</f>
        <v>21088.29558344101</v>
      </c>
      <c r="BC105" s="111">
        <f>SUM(BB$105,'Statistics NZ'!BC$105-'Statistics NZ'!BB$105,$Q$13/16*(BC$9-BC$10)*1000)</f>
        <v>22108.29558344101</v>
      </c>
      <c r="BD105" s="111">
        <f>SUM(BC$105,'Statistics NZ'!BD$105-'Statistics NZ'!BC$105,$Q$13/16*(BD$9-BD$10)*1000)</f>
        <v>21968.29558344101</v>
      </c>
      <c r="BE105" s="111">
        <f>SUM(BD$105,'Statistics NZ'!BE$105-'Statistics NZ'!BD$105,$Q$13/16*(BE$9-BE$10)*1000)</f>
        <v>21338.29558344101</v>
      </c>
      <c r="BF105" s="111">
        <f>SUM(BE$105,'Statistics NZ'!BF$105-'Statistics NZ'!BE$105,$Q$13/16*(BF$9-BF$10)*1000)</f>
        <v>21018.29558344101</v>
      </c>
      <c r="BG105" s="111">
        <f>SUM(BF$105,'Statistics NZ'!BG$105-'Statistics NZ'!BF$105,$Q$13/16*(BG$9-BG$10)*1000)</f>
        <v>20358.29558344101</v>
      </c>
      <c r="BH105" s="111">
        <f>SUM(BG$105,'Statistics NZ'!BH$105-'Statistics NZ'!BG$105,$Q$13/16*(BH$9-BH$10)*1000)</f>
        <v>19648.29558344101</v>
      </c>
      <c r="BI105" s="111">
        <f>SUM(BH$105,'Statistics NZ'!BI$105-'Statistics NZ'!BH$105,$Q$13/16*(BI$9-BI$10)*1000)</f>
        <v>19888.29558344101</v>
      </c>
      <c r="BJ105" s="111">
        <f>SUM(BI$105,'Statistics NZ'!BJ$105-'Statistics NZ'!BI$105,$Q$13/16*(BJ$9-BJ$10)*1000)</f>
        <v>19968.29558344101</v>
      </c>
      <c r="BK105" s="111">
        <f>SUM(BJ$105,'Statistics NZ'!BK$105-'Statistics NZ'!BJ$105,$Q$13/16*(BK$9-BK$10)*1000)</f>
        <v>20718.29558344101</v>
      </c>
      <c r="BL105" s="111">
        <f>SUM(BK$105,'Statistics NZ'!BL$105-'Statistics NZ'!BK$105,$Q$13/16*(BL$9-BL$10)*1000)</f>
        <v>21098.29558344101</v>
      </c>
      <c r="BM105" s="195">
        <f>SUM(BL$105,'Statistics NZ'!BM$105-'Statistics NZ'!BL$105,$Q$13/16*(BM$9-BM$10)*1000)</f>
        <v>21478.29558344101</v>
      </c>
      <c r="BN105" s="195">
        <f>SUM(BM$105,'Statistics NZ'!BN$105-'Statistics NZ'!BM$105,$Q$13/16*(BN$9-BN$10)*1000)</f>
        <v>22318.29558344101</v>
      </c>
      <c r="BO105" s="195">
        <f>SUM(BN$105,'Statistics NZ'!BO$105-'Statistics NZ'!BN$105,$Q$13/16*(BO$9-BO$10)*1000)</f>
        <v>22958.29558344101</v>
      </c>
      <c r="BP105" s="195">
        <f>SUM(BO$105,'Statistics NZ'!BP$105-'Statistics NZ'!BO$105,$Q$13/16*(BP$9-BP$10)*1000)</f>
        <v>23608.29558344101</v>
      </c>
      <c r="BQ105" s="195">
        <f>SUM(BP$105,'Statistics NZ'!BQ$105-'Statistics NZ'!BP$105,$Q$13/16*(BQ$9-BQ$10)*1000)</f>
        <v>24278.29558344101</v>
      </c>
    </row>
    <row r="106" spans="1:69">
      <c r="A106" s="105">
        <v>89</v>
      </c>
      <c r="B106" s="118">
        <f>'Statistics NZ'!B$106*'Economic Forecasts'!D$9*1000000/SUM('Statistics NZ'!B$32:B$107,'Statistics NZ'!B$125:B$200)</f>
        <v>3713.7985996505195</v>
      </c>
      <c r="C106" s="118">
        <f>'Statistics NZ'!C$106*'Economic Forecasts'!E$9*1000000/SUM('Statistics NZ'!C$32:C$107,'Statistics NZ'!C$125:C$200)</f>
        <v>3696.8989305518876</v>
      </c>
      <c r="D106" s="118">
        <f>'Statistics NZ'!D$106*'Economic Forecasts'!F$9*1000000/SUM('Statistics NZ'!D$32:D$107,'Statistics NZ'!D$125:D$200)</f>
        <v>3666.4707630846788</v>
      </c>
      <c r="E106" s="118">
        <f>'Statistics NZ'!E$106*'Economic Forecasts'!G$9*1000000/SUM('Statistics NZ'!E$32:E$107,'Statistics NZ'!E$125:E$200)</f>
        <v>4333.3421531532322</v>
      </c>
      <c r="F106" s="118">
        <f>'Statistics NZ'!F$106*'Economic Forecasts'!H$9*1000000/SUM('Statistics NZ'!F$32:F$107,'Statistics NZ'!F$125:F$200)</f>
        <v>4452.9325815606544</v>
      </c>
      <c r="G106" s="118">
        <f>'Statistics NZ'!G$106*'Economic Forecasts'!I$9*1000000/SUM('Statistics NZ'!G$32:G$107,'Statistics NZ'!G$125:G$200)</f>
        <v>4591.4402031520813</v>
      </c>
      <c r="H106" s="118">
        <f>'Statistics NZ'!H$106*'Economic Forecasts'!J$9*1000000/SUM('Statistics NZ'!H$32:H$107,'Statistics NZ'!H$125:H$200)</f>
        <v>4471.7475708727707</v>
      </c>
      <c r="I106" s="118">
        <f>'Statistics NZ'!I$106*'Economic Forecasts'!K$9*1000000/SUM('Statistics NZ'!I$32:I$107,'Statistics NZ'!I$125:I$200)</f>
        <v>4585.8923219304279</v>
      </c>
      <c r="J106" s="203">
        <f>'Statistics NZ'!J$106*'Economic Forecasts'!L$9*1000000/SUM('Statistics NZ'!J$32:J$107,'Statistics NZ'!J$125:J$200)</f>
        <v>4924.0458210106372</v>
      </c>
      <c r="K106" s="203">
        <f>'Statistics NZ'!K$106*'Economic Forecasts'!M$9*1000000/SUM('Statistics NZ'!K$32:K$107,'Statistics NZ'!K$125:K$200)</f>
        <v>4804.5780405048617</v>
      </c>
      <c r="L106" s="203">
        <f>'Statistics NZ'!L$106*'Economic Forecasts'!N$9*1000000/SUM('Statistics NZ'!L$32:L$107,'Statistics NZ'!L$125:L$200)</f>
        <v>4914.5639482713104</v>
      </c>
      <c r="M106" s="203">
        <f>'Statistics NZ'!M$106*'Economic Forecasts'!O$9*1000000/SUM('Statistics NZ'!M$32:M$107,'Statistics NZ'!M$125:M$200)</f>
        <v>4875.9368179918583</v>
      </c>
      <c r="N106" s="203">
        <f>'Statistics NZ'!N$106*'Economic Forecasts'!P$9*1000000/SUM('Statistics NZ'!N$32:N$107,'Statistics NZ'!N$125:N$200)</f>
        <v>5042.7992069031798</v>
      </c>
      <c r="O106" s="203">
        <f>'Statistics NZ'!O$106*'Economic Forecasts'!Q$9*1000000/SUM('Statistics NZ'!O$32:O$107,'Statistics NZ'!O$125:O$200)</f>
        <v>5171.0750814643952</v>
      </c>
      <c r="P106" s="203">
        <f>'Statistics NZ'!P$106*'Economic Forecasts'!R$9*1000000/SUM('Statistics NZ'!P$32:P$107,'Statistics NZ'!P$125:P$200)</f>
        <v>5203.1695726454291</v>
      </c>
      <c r="Q106" s="121">
        <f>SUM('Statistics NZ'!Q$106,$Q$13/16*(Q$9-Q$10)*1000)*'Economic Forecasts'!S$9*1000000/SUM('Statistics NZ'!Q$32:Q$107,'Statistics NZ'!Q$125:Q$200,SUM($E$13:$Q$14)*(Q$9-Q$10)*1000)</f>
        <v>5101.1799786830334</v>
      </c>
      <c r="R106" s="205">
        <f>SUM('Statistics NZ'!R$106,$Q$13/16*(R$9-R$10)*1000)*'Economic Forecasts'!T$9*1000000/SUM('Statistics NZ'!R$32:R$107,'Statistics NZ'!R$125:R$200,SUM($E$13:$Q$14)*(R$9-R$10)*1000)</f>
        <v>5219.0925589155077</v>
      </c>
      <c r="S106" s="205">
        <f>SUM('Statistics NZ'!S$106,$Q$13/16*(S$9-S$10)*1000)*'Economic Forecasts'!U$9*1000000/SUM('Statistics NZ'!S$32:S$107,'Statistics NZ'!S$125:S$200,SUM($E$13:$Q$14)*(S$9-S$10)*1000)</f>
        <v>5335.3693312902133</v>
      </c>
      <c r="T106" s="205">
        <f>SUM('Statistics NZ'!T$106,$Q$13/16*(T$9-T$10)*1000)*'Economic Forecasts'!V$9*1000000/SUM('Statistics NZ'!T$32:T$107,'Statistics NZ'!T$125:T$200,SUM($E$13:$Q$14)*(T$9-T$10)*1000)</f>
        <v>5375.4580156474231</v>
      </c>
      <c r="U106" s="205">
        <f>SUM('Statistics NZ'!U$106,$Q$13/16*(U$9-U$10)*1000)*'Economic Forecasts'!W$9*1000000/SUM('Statistics NZ'!U$32:U$107,'Statistics NZ'!U$125:U$200,SUM($E$13:$Q$14)*(U$9-U$10)*1000)</f>
        <v>5630.6511257483089</v>
      </c>
      <c r="V106" s="111">
        <f>SUM(U$106,'Statistics NZ'!V$106-'Statistics NZ'!U$106,$Q$13/16*(V$9-V$10)*1000)</f>
        <v>5952.4769454077305</v>
      </c>
      <c r="W106" s="111">
        <f>SUM(V$106,'Statistics NZ'!W$106-'Statistics NZ'!V$106,$Q$13/16*(W$9-W$10)*1000)</f>
        <v>6384.0745376097248</v>
      </c>
      <c r="X106" s="111">
        <f>SUM(W$106,'Statistics NZ'!X$106-'Statistics NZ'!W$106,$Q$13/16*(X$9-X$10)*1000)</f>
        <v>6755.4439023542909</v>
      </c>
      <c r="Y106" s="111">
        <f>SUM(X$106,'Statistics NZ'!Y$106-'Statistics NZ'!X$106,$Q$13/16*(Y$9-Y$10)*1000)</f>
        <v>7376.5850396414298</v>
      </c>
      <c r="Z106" s="111">
        <f>SUM(Y$106,'Statistics NZ'!Z$106-'Statistics NZ'!Y$106,$Q$13/16*(Z$9-Z$10)*1000)</f>
        <v>8047.4979494711406</v>
      </c>
      <c r="AA106" s="111">
        <f>SUM(Z$106,'Statistics NZ'!AA$106-'Statistics NZ'!Z$106,$Q$13/16*(AA$9-AA$10)*1000)</f>
        <v>8328.1826318434232</v>
      </c>
      <c r="AB106" s="111">
        <f>SUM(AA$106,'Statistics NZ'!AB$106-'Statistics NZ'!AA$106,$Q$13/16*(AB$9-AB$10)*1000)</f>
        <v>7478.6390867582786</v>
      </c>
      <c r="AC106" s="111">
        <f>SUM(AB$106,'Statistics NZ'!AC$106-'Statistics NZ'!AB$106,$Q$13/16*(AC$9-AC$10)*1000)</f>
        <v>8418.8673142157058</v>
      </c>
      <c r="AD106" s="111">
        <f>SUM(AC$106,'Statistics NZ'!AD$106-'Statistics NZ'!AC$106,$Q$13/16*(AD$9-AD$10)*1000)</f>
        <v>8988.8673142157058</v>
      </c>
      <c r="AE106" s="111">
        <f>SUM(AD$106,'Statistics NZ'!AE$106-'Statistics NZ'!AD$106,$Q$13/16*(AE$9-AE$10)*1000)</f>
        <v>9608.8673142157058</v>
      </c>
      <c r="AF106" s="111">
        <f>SUM(AE$106,'Statistics NZ'!AF$106-'Statistics NZ'!AE$106,$Q$13/16*(AF$9-AF$10)*1000)</f>
        <v>11378.867314215706</v>
      </c>
      <c r="AG106" s="111">
        <f>SUM(AF$106,'Statistics NZ'!AG$106-'Statistics NZ'!AF$106,$Q$13/16*(AG$9-AG$10)*1000)</f>
        <v>11608.867314215706</v>
      </c>
      <c r="AH106" s="111">
        <f>SUM(AG$106,'Statistics NZ'!AH$106-'Statistics NZ'!AG$106,$Q$13/16*(AH$9-AH$10)*1000)</f>
        <v>11488.867314215706</v>
      </c>
      <c r="AI106" s="111">
        <f>SUM(AH$106,'Statistics NZ'!AI$106-'Statistics NZ'!AH$106,$Q$13/16*(AI$9-AI$10)*1000)</f>
        <v>11958.867314215706</v>
      </c>
      <c r="AJ106" s="111">
        <f>SUM(AI$106,'Statistics NZ'!AJ$106-'Statistics NZ'!AI$106,$Q$13/16*(AJ$9-AJ$10)*1000)</f>
        <v>12038.867314215706</v>
      </c>
      <c r="AK106" s="111">
        <f>SUM(AJ$106,'Statistics NZ'!AK$106-'Statistics NZ'!AJ$106,$Q$13/16*(AK$9-AK$10)*1000)</f>
        <v>12538.867314215706</v>
      </c>
      <c r="AL106" s="111">
        <f>SUM(AK$106,'Statistics NZ'!AL$106-'Statistics NZ'!AK$106,$Q$13/16*(AL$9-AL$10)*1000)</f>
        <v>12958.867314215706</v>
      </c>
      <c r="AM106" s="111">
        <f>SUM(AL$106,'Statistics NZ'!AM$106-'Statistics NZ'!AL$106,$Q$13/16*(AM$9-AM$10)*1000)</f>
        <v>13538.867314215706</v>
      </c>
      <c r="AN106" s="111">
        <f>SUM(AM$106,'Statistics NZ'!AN$106-'Statistics NZ'!AM$106,$Q$13/16*(AN$9-AN$10)*1000)</f>
        <v>14118.867314215706</v>
      </c>
      <c r="AO106" s="111">
        <f>SUM(AN$106,'Statistics NZ'!AO$106-'Statistics NZ'!AN$106,$Q$13/16*(AO$9-AO$10)*1000)</f>
        <v>14588.867314215706</v>
      </c>
      <c r="AP106" s="111">
        <f>SUM(AO$106,'Statistics NZ'!AP$106-'Statistics NZ'!AO$106,$Q$13/16*(AP$9-AP$10)*1000)</f>
        <v>15058.867314215706</v>
      </c>
      <c r="AQ106" s="111">
        <f>SUM(AP$106,'Statistics NZ'!AQ$106-'Statistics NZ'!AP$106,$Q$13/16*(AQ$9-AQ$10)*1000)</f>
        <v>15678.867314215706</v>
      </c>
      <c r="AR106" s="111">
        <f>SUM(AQ$106,'Statistics NZ'!AR$106-'Statistics NZ'!AQ$106,$Q$13/16*(AR$9-AR$10)*1000)</f>
        <v>16378.867314215706</v>
      </c>
      <c r="AS106" s="111">
        <f>SUM(AR$106,'Statistics NZ'!AS$106-'Statistics NZ'!AR$106,$Q$13/16*(AS$9-AS$10)*1000)</f>
        <v>16808.867314215706</v>
      </c>
      <c r="AT106" s="111">
        <f>SUM(AS$106,'Statistics NZ'!AT$106-'Statistics NZ'!AS$106,$Q$13/16*(AT$9-AT$10)*1000)</f>
        <v>17708.867314215706</v>
      </c>
      <c r="AU106" s="111">
        <f>SUM(AT$106,'Statistics NZ'!AU$106-'Statistics NZ'!AT$106,$Q$13/16*(AU$9-AU$10)*1000)</f>
        <v>18298.867314215706</v>
      </c>
      <c r="AV106" s="111">
        <f>SUM(AU$106,'Statistics NZ'!AV$106-'Statistics NZ'!AU$106,$Q$13/16*(AV$9-AV$10)*1000)</f>
        <v>18748.867314215706</v>
      </c>
      <c r="AW106" s="111">
        <f>SUM(AV$106,'Statistics NZ'!AW$106-'Statistics NZ'!AV$106,$Q$13/16*(AW$9-AW$10)*1000)</f>
        <v>18488.867314215706</v>
      </c>
      <c r="AX106" s="111">
        <f>SUM(AW$106,'Statistics NZ'!AX$106-'Statistics NZ'!AW$106,$Q$13/16*(AX$9-AX$10)*1000)</f>
        <v>18178.867314215706</v>
      </c>
      <c r="AY106" s="111">
        <f>SUM(AX$106,'Statistics NZ'!AY$106-'Statistics NZ'!AX$106,$Q$13/16*(AY$9-AY$10)*1000)</f>
        <v>18038.867314215706</v>
      </c>
      <c r="AZ106" s="111">
        <f>SUM(AY$106,'Statistics NZ'!AZ$106-'Statistics NZ'!AY$106,$Q$13/16*(AZ$9-AZ$10)*1000)</f>
        <v>18428.867314215706</v>
      </c>
      <c r="BA106" s="111">
        <f>SUM(AZ$106,'Statistics NZ'!BA$106-'Statistics NZ'!AZ$106,$Q$13/16*(BA$9-BA$10)*1000)</f>
        <v>18968.867314215706</v>
      </c>
      <c r="BB106" s="111">
        <f>SUM(BA$106,'Statistics NZ'!BB$106-'Statistics NZ'!BA$106,$Q$13/16*(BB$9-BB$10)*1000)</f>
        <v>19448.867314215706</v>
      </c>
      <c r="BC106" s="111">
        <f>SUM(BB$106,'Statistics NZ'!BC$106-'Statistics NZ'!BB$106,$Q$13/16*(BC$9-BC$10)*1000)</f>
        <v>19478.867314215706</v>
      </c>
      <c r="BD106" s="111">
        <f>SUM(BC$106,'Statistics NZ'!BD$106-'Statistics NZ'!BC$106,$Q$13/16*(BD$9-BD$10)*1000)</f>
        <v>20438.867314215706</v>
      </c>
      <c r="BE106" s="111">
        <f>SUM(BD$106,'Statistics NZ'!BE$106-'Statistics NZ'!BD$106,$Q$13/16*(BE$9-BE$10)*1000)</f>
        <v>20318.867314215706</v>
      </c>
      <c r="BF106" s="111">
        <f>SUM(BE$106,'Statistics NZ'!BF$106-'Statistics NZ'!BE$106,$Q$13/16*(BF$9-BF$10)*1000)</f>
        <v>19758.867314215706</v>
      </c>
      <c r="BG106" s="111">
        <f>SUM(BF$106,'Statistics NZ'!BG$106-'Statistics NZ'!BF$106,$Q$13/16*(BG$9-BG$10)*1000)</f>
        <v>19468.867314215706</v>
      </c>
      <c r="BH106" s="111">
        <f>SUM(BG$106,'Statistics NZ'!BH$106-'Statistics NZ'!BG$106,$Q$13/16*(BH$9-BH$10)*1000)</f>
        <v>18868.867314215706</v>
      </c>
      <c r="BI106" s="111">
        <f>SUM(BH$106,'Statistics NZ'!BI$106-'Statistics NZ'!BH$106,$Q$13/16*(BI$9-BI$10)*1000)</f>
        <v>18218.867314215706</v>
      </c>
      <c r="BJ106" s="111">
        <f>SUM(BI$106,'Statistics NZ'!BJ$106-'Statistics NZ'!BI$106,$Q$13/16*(BJ$9-BJ$10)*1000)</f>
        <v>18458.867314215706</v>
      </c>
      <c r="BK106" s="111">
        <f>SUM(BJ$106,'Statistics NZ'!BK$106-'Statistics NZ'!BJ$106,$Q$13/16*(BK$9-BK$10)*1000)</f>
        <v>18538.867314215706</v>
      </c>
      <c r="BL106" s="111">
        <f>SUM(BK$106,'Statistics NZ'!BL$106-'Statistics NZ'!BK$106,$Q$13/16*(BL$9-BL$10)*1000)</f>
        <v>19248.867314215706</v>
      </c>
      <c r="BM106" s="195">
        <f>SUM(BL$106,'Statistics NZ'!BM$106-'Statistics NZ'!BL$106,$Q$13/16*(BM$9-BM$10)*1000)</f>
        <v>19608.867314215706</v>
      </c>
      <c r="BN106" s="195">
        <f>SUM(BM$106,'Statistics NZ'!BN$106-'Statistics NZ'!BM$106,$Q$13/16*(BN$9-BN$10)*1000)</f>
        <v>19978.867314215706</v>
      </c>
      <c r="BO106" s="195">
        <f>SUM(BN$106,'Statistics NZ'!BO$106-'Statistics NZ'!BN$106,$Q$13/16*(BO$9-BO$10)*1000)</f>
        <v>20768.867314215706</v>
      </c>
      <c r="BP106" s="195">
        <f>SUM(BO$106,'Statistics NZ'!BP$106-'Statistics NZ'!BO$106,$Q$13/16*(BP$9-BP$10)*1000)</f>
        <v>21378.867314215706</v>
      </c>
      <c r="BQ106" s="195">
        <f>SUM(BP$106,'Statistics NZ'!BQ$106-'Statistics NZ'!BP$106,$Q$13/16*(BQ$9-BQ$10)*1000)</f>
        <v>21998.867314215706</v>
      </c>
    </row>
    <row r="107" spans="1:69">
      <c r="A107" s="105" t="s">
        <v>0</v>
      </c>
      <c r="B107" s="118">
        <f>'Statistics NZ'!B$107*'Economic Forecasts'!D$9*1000000/SUM('Statistics NZ'!B$32:B$107,'Statistics NZ'!B$125:B$200)</f>
        <v>13830.698233181241</v>
      </c>
      <c r="C107" s="118">
        <f>'Statistics NZ'!C$107*'Economic Forecasts'!E$9*1000000/SUM('Statistics NZ'!C$32:C$107,'Statistics NZ'!C$125:C$200)</f>
        <v>14117.224716134144</v>
      </c>
      <c r="D107" s="118">
        <f>'Statistics NZ'!D$107*'Economic Forecasts'!F$9*1000000/SUM('Statistics NZ'!D$32:D$107,'Statistics NZ'!D$125:D$200)</f>
        <v>14498.329280907426</v>
      </c>
      <c r="E107" s="118">
        <f>'Statistics NZ'!E$107*'Economic Forecasts'!G$9*1000000/SUM('Statistics NZ'!E$32:E$107,'Statistics NZ'!E$125:E$200)</f>
        <v>14625.029766892159</v>
      </c>
      <c r="F107" s="118">
        <f>'Statistics NZ'!F$107*'Economic Forecasts'!H$9*1000000/SUM('Statistics NZ'!F$32:F$107,'Statistics NZ'!F$125:F$200)</f>
        <v>15516.302690172632</v>
      </c>
      <c r="G107" s="118">
        <f>'Statistics NZ'!G$107*'Economic Forecasts'!I$9*1000000/SUM('Statistics NZ'!G$32:G$107,'Statistics NZ'!G$125:G$200)</f>
        <v>16188.275222701439</v>
      </c>
      <c r="H107" s="118">
        <f>'Statistics NZ'!H$107*'Economic Forecasts'!J$9*1000000/SUM('Statistics NZ'!H$32:H$107,'Statistics NZ'!H$125:H$200)</f>
        <v>16783.827887152427</v>
      </c>
      <c r="I107" s="118">
        <f>'Statistics NZ'!I$107*'Economic Forecasts'!K$9*1000000/SUM('Statistics NZ'!I$32:I$107,'Statistics NZ'!I$125:I$200)</f>
        <v>17162.652809971383</v>
      </c>
      <c r="J107" s="203">
        <f>'Statistics NZ'!J$107*'Economic Forecasts'!L$9*1000000/SUM('Statistics NZ'!J$32:J$107,'Statistics NZ'!J$125:J$200)</f>
        <v>17887.751285906903</v>
      </c>
      <c r="K107" s="203">
        <f>'Statistics NZ'!K$107*'Economic Forecasts'!M$9*1000000/SUM('Statistics NZ'!K$32:K$107,'Statistics NZ'!K$125:K$200)</f>
        <v>18746.697139638603</v>
      </c>
      <c r="L107" s="203">
        <f>'Statistics NZ'!L$107*'Economic Forecasts'!N$9*1000000/SUM('Statistics NZ'!L$32:L$107,'Statistics NZ'!L$125:L$200)</f>
        <v>19343.093375560831</v>
      </c>
      <c r="M107" s="203">
        <f>'Statistics NZ'!M$107*'Economic Forecasts'!O$9*1000000/SUM('Statistics NZ'!M$32:M$107,'Statistics NZ'!M$125:M$200)</f>
        <v>20015.96689729183</v>
      </c>
      <c r="N107" s="203">
        <f>'Statistics NZ'!N$107*'Economic Forecasts'!P$9*1000000/SUM('Statistics NZ'!N$32:N$107,'Statistics NZ'!N$125:N$200)</f>
        <v>20408.040625979989</v>
      </c>
      <c r="O107" s="203">
        <f>'Statistics NZ'!O$107*'Economic Forecasts'!Q$9*1000000/SUM('Statistics NZ'!O$32:O$107,'Statistics NZ'!O$125:O$200)</f>
        <v>20871.801139880146</v>
      </c>
      <c r="P107" s="203">
        <f>'Statistics NZ'!P$107*'Economic Forecasts'!R$9*1000000/SUM('Statistics NZ'!P$32:P$107,'Statistics NZ'!P$125:P$200)</f>
        <v>21523.547757812212</v>
      </c>
      <c r="Q107" s="121">
        <f>SUM('Statistics NZ'!Q$107,$Q$13/16*(Q$9-Q$10)*1000)*'Economic Forecasts'!S$9*1000000/SUM('Statistics NZ'!Q$32:Q$107,'Statistics NZ'!Q$125:Q$200,SUM($E$13:$Q$14)*(Q$9-Q$10)*1000)</f>
        <v>22165.146291557474</v>
      </c>
      <c r="R107" s="205">
        <f>SUM('Statistics NZ'!R$107,$Q$13/16*(R$9-R$10)*1000)*'Economic Forecasts'!T$9*1000000/SUM('Statistics NZ'!R$32:R$107,'Statistics NZ'!R$125:R$200,SUM($E$13:$Q$14)*(R$9-R$10)*1000)</f>
        <v>22567.581888646488</v>
      </c>
      <c r="S107" s="205">
        <f>SUM('Statistics NZ'!S$107,$Q$13/16*(S$9-S$10)*1000)*'Economic Forecasts'!U$9*1000000/SUM('Statistics NZ'!S$32:S$107,'Statistics NZ'!S$125:S$200,SUM($E$13:$Q$14)*(S$9-S$10)*1000)</f>
        <v>23010.503291641773</v>
      </c>
      <c r="T107" s="205">
        <f>SUM('Statistics NZ'!T$107,$Q$13/16*(T$9-T$10)*1000)*'Economic Forecasts'!V$9*1000000/SUM('Statistics NZ'!T$32:T$107,'Statistics NZ'!T$125:T$200,SUM($E$13:$Q$14)*(T$9-T$10)*1000)</f>
        <v>23494.065403237993</v>
      </c>
      <c r="U107" s="205">
        <f>SUM('Statistics NZ'!U$107,$Q$13/16*(U$9-U$10)*1000)*'Economic Forecasts'!W$9*1000000/SUM('Statistics NZ'!U$32:U$107,'Statistics NZ'!U$125:U$200,SUM($E$13:$Q$14)*(U$9-U$10)*1000)</f>
        <v>23960.75911426339</v>
      </c>
      <c r="V107" s="111">
        <f>SUM(U$107,'Statistics NZ'!V$107-'Statistics NZ'!U$107,$Q$13/16*(V$9-V$10)*1000)</f>
        <v>24572.584933922812</v>
      </c>
      <c r="W107" s="111">
        <f>SUM(V$107,'Statistics NZ'!W$107-'Statistics NZ'!V$107,$Q$13/16*(W$9-W$10)*1000)</f>
        <v>25354.182526124805</v>
      </c>
      <c r="X107" s="111">
        <f>SUM(W$107,'Statistics NZ'!X$107-'Statistics NZ'!W$107,$Q$13/16*(X$9-X$10)*1000)</f>
        <v>26435.55189086937</v>
      </c>
      <c r="Y107" s="111">
        <f>SUM(X$107,'Statistics NZ'!Y$107-'Statistics NZ'!X$107,$Q$13/16*(Y$9-Y$10)*1000)</f>
        <v>27666.693028156507</v>
      </c>
      <c r="Z107" s="111">
        <f>SUM(Y$107,'Statistics NZ'!Z$107-'Statistics NZ'!Y$107,$Q$13/16*(Z$9-Z$10)*1000)</f>
        <v>29287.60593798622</v>
      </c>
      <c r="AA107" s="111">
        <f>SUM(Z$107,'Statistics NZ'!AA$107-'Statistics NZ'!Z$107,$Q$13/16*(AA$9-AA$10)*1000)</f>
        <v>31248.290620358504</v>
      </c>
      <c r="AB107" s="111">
        <f>SUM(AA$107,'Statistics NZ'!AB$107-'Statistics NZ'!AA$107,$Q$13/16*(AB$9-AB$10)*1000)</f>
        <v>33188.747075273357</v>
      </c>
      <c r="AC107" s="111">
        <f>SUM(AB$107,'Statistics NZ'!AC$107-'Statistics NZ'!AB$107,$Q$13/16*(AC$9-AC$10)*1000)</f>
        <v>34078.975302730782</v>
      </c>
      <c r="AD107" s="111">
        <f>SUM(AC$107,'Statistics NZ'!AD$107-'Statistics NZ'!AC$107,$Q$13/16*(AD$9-AD$10)*1000)</f>
        <v>35628.975302730782</v>
      </c>
      <c r="AE107" s="111">
        <f>SUM(AD$107,'Statistics NZ'!AE$107-'Statistics NZ'!AD$107,$Q$13/16*(AE$9-AE$10)*1000)</f>
        <v>37418.975302730782</v>
      </c>
      <c r="AF107" s="111">
        <f>SUM(AE$107,'Statistics NZ'!AF$107-'Statistics NZ'!AE$107,$Q$13/16*(AF$9-AF$10)*1000)</f>
        <v>39488.975302730782</v>
      </c>
      <c r="AG107" s="111">
        <f>SUM(AF$107,'Statistics NZ'!AG$107-'Statistics NZ'!AF$107,$Q$13/16*(AG$9-AG$10)*1000)</f>
        <v>42838.975302730782</v>
      </c>
      <c r="AH107" s="111">
        <f>SUM(AG$107,'Statistics NZ'!AH$107-'Statistics NZ'!AG$107,$Q$13/16*(AH$9-AH$10)*1000)</f>
        <v>45908.975302730782</v>
      </c>
      <c r="AI107" s="111">
        <f>SUM(AH$107,'Statistics NZ'!AI$107-'Statistics NZ'!AH$107,$Q$13/16*(AI$9-AI$10)*1000)</f>
        <v>48408.975302730782</v>
      </c>
      <c r="AJ107" s="111">
        <f>SUM(AI$107,'Statistics NZ'!AJ$107-'Statistics NZ'!AI$107,$Q$13/16*(AJ$9-AJ$10)*1000)</f>
        <v>50938.975302730782</v>
      </c>
      <c r="AK107" s="111">
        <f>SUM(AJ$107,'Statistics NZ'!AK$107-'Statistics NZ'!AJ$107,$Q$13/16*(AK$9-AK$10)*1000)</f>
        <v>53078.975302730782</v>
      </c>
      <c r="AL107" s="111">
        <f>SUM(AK$107,'Statistics NZ'!AL$107-'Statistics NZ'!AK$107,$Q$13/16*(AL$9-AL$10)*1000)</f>
        <v>55318.975302730782</v>
      </c>
      <c r="AM107" s="111">
        <f>SUM(AL$107,'Statistics NZ'!AM$107-'Statistics NZ'!AL$107,$Q$13/16*(AM$9-AM$10)*1000)</f>
        <v>57558.975302730782</v>
      </c>
      <c r="AN107" s="111">
        <f>SUM(AM$107,'Statistics NZ'!AN$107-'Statistics NZ'!AM$107,$Q$13/16*(AN$9-AN$10)*1000)</f>
        <v>59928.975302730782</v>
      </c>
      <c r="AO107" s="111">
        <f>SUM(AN$107,'Statistics NZ'!AO$107-'Statistics NZ'!AN$107,$Q$13/16*(AO$9-AO$10)*1000)</f>
        <v>62438.975302730782</v>
      </c>
      <c r="AP107" s="111">
        <f>SUM(AO$107,'Statistics NZ'!AP$107-'Statistics NZ'!AO$107,$Q$13/16*(AP$9-AP$10)*1000)</f>
        <v>65008.975302730782</v>
      </c>
      <c r="AQ107" s="111">
        <f>SUM(AP$107,'Statistics NZ'!AQ$107-'Statistics NZ'!AP$107,$Q$13/16*(AQ$9-AQ$10)*1000)</f>
        <v>67578.975302730774</v>
      </c>
      <c r="AR107" s="111">
        <f>SUM(AQ$107,'Statistics NZ'!AR$107-'Statistics NZ'!AQ$107,$Q$13/16*(AR$9-AR$10)*1000)</f>
        <v>70308.975302730774</v>
      </c>
      <c r="AS107" s="111">
        <f>SUM(AR$107,'Statistics NZ'!AS$107-'Statistics NZ'!AR$107,$Q$13/16*(AS$9-AS$10)*1000)</f>
        <v>73258.975302730774</v>
      </c>
      <c r="AT107" s="111">
        <f>SUM(AS$107,'Statistics NZ'!AT$107-'Statistics NZ'!AS$107,$Q$13/16*(AT$9-AT$10)*1000)</f>
        <v>76148.975302730774</v>
      </c>
      <c r="AU107" s="111">
        <f>SUM(AT$107,'Statistics NZ'!AU$107-'Statistics NZ'!AT$107,$Q$13/16*(AU$9-AU$10)*1000)</f>
        <v>79418.975302730774</v>
      </c>
      <c r="AV107" s="111">
        <f>SUM(AU$107,'Statistics NZ'!AV$107-'Statistics NZ'!AU$107,$Q$13/16*(AV$9-AV$10)*1000)</f>
        <v>82748.975302730774</v>
      </c>
      <c r="AW107" s="111">
        <f>SUM(AV$107,'Statistics NZ'!AW$107-'Statistics NZ'!AV$107,$Q$13/16*(AW$9-AW$10)*1000)</f>
        <v>85978.975302730774</v>
      </c>
      <c r="AX107" s="111">
        <f>SUM(AW$107,'Statistics NZ'!AX$107-'Statistics NZ'!AW$107,$Q$13/16*(AX$9-AX$10)*1000)</f>
        <v>88478.975302730774</v>
      </c>
      <c r="AY107" s="111">
        <f>SUM(AX$107,'Statistics NZ'!AY$107-'Statistics NZ'!AX$107,$Q$13/16*(AY$9-AY$10)*1000)</f>
        <v>90288.975302730774</v>
      </c>
      <c r="AZ107" s="111">
        <f>SUM(AY$107,'Statistics NZ'!AZ$107-'Statistics NZ'!AY$107,$Q$13/16*(AZ$9-AZ$10)*1000)</f>
        <v>91638.975302730774</v>
      </c>
      <c r="BA107" s="111">
        <f>SUM(AZ$107,'Statistics NZ'!BA$107-'Statistics NZ'!AZ$107,$Q$13/16*(BA$9-BA$10)*1000)</f>
        <v>93078.975302730774</v>
      </c>
      <c r="BB107" s="111">
        <f>SUM(BA$107,'Statistics NZ'!BB$107-'Statistics NZ'!BA$107,$Q$13/16*(BB$9-BB$10)*1000)</f>
        <v>94748.975302730774</v>
      </c>
      <c r="BC107" s="111">
        <f>SUM(BB$107,'Statistics NZ'!BC$107-'Statistics NZ'!BB$107,$Q$13/16*(BC$9-BC$10)*1000)</f>
        <v>96618.975302730774</v>
      </c>
      <c r="BD107" s="111">
        <f>SUM(BC$107,'Statistics NZ'!BD$107-'Statistics NZ'!BC$107,$Q$13/16*(BD$9-BD$10)*1000)</f>
        <v>98228.975302730774</v>
      </c>
      <c r="BE107" s="111">
        <f>SUM(BD$107,'Statistics NZ'!BE$107-'Statistics NZ'!BD$107,$Q$13/16*(BE$9-BE$10)*1000)</f>
        <v>100508.97530273077</v>
      </c>
      <c r="BF107" s="111">
        <f>SUM(BE$107,'Statistics NZ'!BF$107-'Statistics NZ'!BE$107,$Q$13/16*(BF$9-BF$10)*1000)</f>
        <v>102408.97530273077</v>
      </c>
      <c r="BG107" s="111">
        <f>SUM(BF$107,'Statistics NZ'!BG$107-'Statistics NZ'!BF$107,$Q$13/16*(BG$9-BG$10)*1000)</f>
        <v>103498.97530273077</v>
      </c>
      <c r="BH107" s="111">
        <f>SUM(BG$107,'Statistics NZ'!BH$107-'Statistics NZ'!BG$107,$Q$13/16*(BH$9-BH$10)*1000)</f>
        <v>104188.97530273077</v>
      </c>
      <c r="BI107" s="111">
        <f>SUM(BH$107,'Statistics NZ'!BI$107-'Statistics NZ'!BH$107,$Q$13/16*(BI$9-BI$10)*1000)</f>
        <v>104188.97530273077</v>
      </c>
      <c r="BJ107" s="111">
        <f>SUM(BI$107,'Statistics NZ'!BJ$107-'Statistics NZ'!BI$107,$Q$13/16*(BJ$9-BJ$10)*1000)</f>
        <v>103578.97530273077</v>
      </c>
      <c r="BK107" s="111">
        <f>SUM(BJ$107,'Statistics NZ'!BK$107-'Statistics NZ'!BJ$107,$Q$13/16*(BK$9-BK$10)*1000)</f>
        <v>103238.97530273077</v>
      </c>
      <c r="BL107" s="111">
        <f>SUM(BK$107,'Statistics NZ'!BL$107-'Statistics NZ'!BK$107,$Q$13/16*(BL$9-BL$10)*1000)</f>
        <v>102988.97530273077</v>
      </c>
      <c r="BM107" s="195">
        <f>SUM(BL$107,'Statistics NZ'!BM$107-'Statistics NZ'!BL$107,$Q$13/16*(BM$9-BM$10)*1000)</f>
        <v>103488.97530273077</v>
      </c>
      <c r="BN107" s="195">
        <f>SUM(BM$107,'Statistics NZ'!BN$107-'Statistics NZ'!BM$107,$Q$13/16*(BN$9-BN$10)*1000)</f>
        <v>104308.97530273077</v>
      </c>
      <c r="BO107" s="195">
        <f>SUM(BN$107,'Statistics NZ'!BO$107-'Statistics NZ'!BN$107,$Q$13/16*(BO$9-BO$10)*1000)</f>
        <v>105448.97530273077</v>
      </c>
      <c r="BP107" s="195">
        <f>SUM(BO$107,'Statistics NZ'!BP$107-'Statistics NZ'!BO$107,$Q$13/16*(BP$9-BP$10)*1000)</f>
        <v>107268.97530273077</v>
      </c>
      <c r="BQ107" s="195">
        <f>SUM(BP$107,'Statistics NZ'!BQ$107-'Statistics NZ'!BP$107,$Q$13/16*(BQ$9-BQ$10)*1000)</f>
        <v>109478.97530273077</v>
      </c>
    </row>
    <row r="108" spans="1:69">
      <c r="A108" s="108" t="s">
        <v>1</v>
      </c>
      <c r="B108" s="119">
        <f t="shared" ref="B108:BM108" si="14">SUM(B$17:B$107)</f>
        <v>2135739.4654800682</v>
      </c>
      <c r="C108" s="119">
        <f t="shared" si="14"/>
        <v>2156953.1896809558</v>
      </c>
      <c r="D108" s="119">
        <f t="shared" si="14"/>
        <v>2175988.1411980819</v>
      </c>
      <c r="E108" s="119">
        <f t="shared" si="14"/>
        <v>2197540.9295846834</v>
      </c>
      <c r="F108" s="119">
        <f t="shared" si="14"/>
        <v>2222595.9041006919</v>
      </c>
      <c r="G108" s="119">
        <f t="shared" si="14"/>
        <v>2240115.5957522914</v>
      </c>
      <c r="H108" s="119">
        <f t="shared" si="14"/>
        <v>2252661.1629327219</v>
      </c>
      <c r="I108" s="119">
        <f t="shared" si="14"/>
        <v>2269454.8920637653</v>
      </c>
      <c r="J108" s="119">
        <f t="shared" si="14"/>
        <v>2300362.1165646152</v>
      </c>
      <c r="K108" s="119">
        <f t="shared" si="14"/>
        <v>2339069.4258247707</v>
      </c>
      <c r="L108" s="119">
        <f t="shared" si="14"/>
        <v>2385534.9885701179</v>
      </c>
      <c r="M108" s="119">
        <f t="shared" si="14"/>
        <v>2430842.9054868221</v>
      </c>
      <c r="N108" s="119">
        <f t="shared" si="14"/>
        <v>2470458.9958511097</v>
      </c>
      <c r="O108" s="119">
        <f t="shared" si="14"/>
        <v>2508079.9126863028</v>
      </c>
      <c r="P108" s="156">
        <f t="shared" si="14"/>
        <v>2563883.7380185947</v>
      </c>
      <c r="Q108" s="122">
        <f t="shared" si="14"/>
        <v>2581223.7315568649</v>
      </c>
      <c r="R108" s="157">
        <f t="shared" si="14"/>
        <v>2603058.3053098465</v>
      </c>
      <c r="S108" s="157">
        <f t="shared" si="14"/>
        <v>2629347.8243284486</v>
      </c>
      <c r="T108" s="157">
        <f t="shared" si="14"/>
        <v>2659824.1210908471</v>
      </c>
      <c r="U108" s="157">
        <f t="shared" si="14"/>
        <v>2694330.9819369954</v>
      </c>
      <c r="V108" s="114">
        <f t="shared" si="14"/>
        <v>2726081.8591092178</v>
      </c>
      <c r="W108" s="114">
        <f t="shared" si="14"/>
        <v>2756675.1266349168</v>
      </c>
      <c r="X108" s="114">
        <f t="shared" si="14"/>
        <v>2785880.7845140845</v>
      </c>
      <c r="Y108" s="114">
        <f t="shared" si="14"/>
        <v>2813678.8327467255</v>
      </c>
      <c r="Z108" s="114">
        <f t="shared" si="14"/>
        <v>2840119.2713328386</v>
      </c>
      <c r="AA108" s="114">
        <f t="shared" si="14"/>
        <v>2865192.1002724227</v>
      </c>
      <c r="AB108" s="114">
        <f t="shared" si="14"/>
        <v>2888787.3195654782</v>
      </c>
      <c r="AC108" s="114">
        <f t="shared" si="14"/>
        <v>2910894.9292120072</v>
      </c>
      <c r="AD108" s="114">
        <f t="shared" si="14"/>
        <v>2931694.9292120072</v>
      </c>
      <c r="AE108" s="114">
        <f t="shared" si="14"/>
        <v>2951974.9292120072</v>
      </c>
      <c r="AF108" s="114">
        <f t="shared" si="14"/>
        <v>2971764.9292120072</v>
      </c>
      <c r="AG108" s="114">
        <f t="shared" si="14"/>
        <v>2991164.9292120072</v>
      </c>
      <c r="AH108" s="114">
        <f t="shared" si="14"/>
        <v>3010154.9292120072</v>
      </c>
      <c r="AI108" s="114">
        <f t="shared" si="14"/>
        <v>3028714.9292120072</v>
      </c>
      <c r="AJ108" s="114">
        <f t="shared" si="14"/>
        <v>3046964.9292120072</v>
      </c>
      <c r="AK108" s="114">
        <f t="shared" si="14"/>
        <v>3064734.9292120072</v>
      </c>
      <c r="AL108" s="114">
        <f t="shared" si="14"/>
        <v>3082084.9292120072</v>
      </c>
      <c r="AM108" s="114">
        <f t="shared" si="14"/>
        <v>3099054.9292120072</v>
      </c>
      <c r="AN108" s="114">
        <f t="shared" si="14"/>
        <v>3115484.9292120072</v>
      </c>
      <c r="AO108" s="114">
        <f t="shared" si="14"/>
        <v>3131504.9292120072</v>
      </c>
      <c r="AP108" s="114">
        <f t="shared" si="14"/>
        <v>3147034.9292120072</v>
      </c>
      <c r="AQ108" s="114">
        <f t="shared" si="14"/>
        <v>3161984.9292120072</v>
      </c>
      <c r="AR108" s="114">
        <f t="shared" si="14"/>
        <v>3176404.9292120072</v>
      </c>
      <c r="AS108" s="114">
        <f t="shared" si="14"/>
        <v>3190384.9292120072</v>
      </c>
      <c r="AT108" s="114">
        <f t="shared" si="14"/>
        <v>3203774.9292120072</v>
      </c>
      <c r="AU108" s="114">
        <f t="shared" si="14"/>
        <v>3216694.9292120072</v>
      </c>
      <c r="AV108" s="114">
        <f t="shared" si="14"/>
        <v>3229084.9292120072</v>
      </c>
      <c r="AW108" s="114">
        <f t="shared" si="14"/>
        <v>3241144.9292120072</v>
      </c>
      <c r="AX108" s="114">
        <f t="shared" si="14"/>
        <v>3252684.9292120072</v>
      </c>
      <c r="AY108" s="114">
        <f t="shared" si="14"/>
        <v>3263944.9292120072</v>
      </c>
      <c r="AZ108" s="114">
        <f t="shared" si="14"/>
        <v>3274834.9292120072</v>
      </c>
      <c r="BA108" s="114">
        <f t="shared" si="14"/>
        <v>3285584.9292120072</v>
      </c>
      <c r="BB108" s="114">
        <f t="shared" si="14"/>
        <v>3295984.9292120072</v>
      </c>
      <c r="BC108" s="114">
        <f t="shared" si="14"/>
        <v>3306374.9292120072</v>
      </c>
      <c r="BD108" s="114">
        <f t="shared" si="14"/>
        <v>3316554.9292120072</v>
      </c>
      <c r="BE108" s="114">
        <f t="shared" si="14"/>
        <v>3326794.9292120072</v>
      </c>
      <c r="BF108" s="114">
        <f t="shared" si="14"/>
        <v>3336934.9292120072</v>
      </c>
      <c r="BG108" s="114">
        <f t="shared" si="14"/>
        <v>3347074.9292120072</v>
      </c>
      <c r="BH108" s="114">
        <f t="shared" si="14"/>
        <v>3357294.9292120072</v>
      </c>
      <c r="BI108" s="114">
        <f t="shared" si="14"/>
        <v>3367384.9292120072</v>
      </c>
      <c r="BJ108" s="114">
        <f t="shared" si="14"/>
        <v>3377574.9292120072</v>
      </c>
      <c r="BK108" s="114">
        <f t="shared" si="14"/>
        <v>3387844.9292120072</v>
      </c>
      <c r="BL108" s="114">
        <f t="shared" si="14"/>
        <v>3398134.9292120072</v>
      </c>
      <c r="BM108" s="200">
        <f t="shared" si="14"/>
        <v>3408354.9292120072</v>
      </c>
      <c r="BN108" s="200">
        <f t="shared" ref="BN108:BQ108" si="15">SUM(BN$17:BN$107)</f>
        <v>3418534.9292120072</v>
      </c>
      <c r="BO108" s="200">
        <f t="shared" si="15"/>
        <v>3428644.9292120072</v>
      </c>
      <c r="BP108" s="200">
        <f t="shared" si="15"/>
        <v>3438714.9292120072</v>
      </c>
      <c r="BQ108" s="200">
        <f t="shared" si="15"/>
        <v>3448464.9292120072</v>
      </c>
    </row>
    <row r="109" spans="1:69">
      <c r="A109" s="108" t="s">
        <v>1015</v>
      </c>
      <c r="B109" s="120"/>
      <c r="C109" s="120"/>
      <c r="D109" s="120"/>
      <c r="E109" s="120"/>
      <c r="F109" s="120"/>
      <c r="G109" s="120"/>
      <c r="H109" s="120"/>
      <c r="I109" s="120"/>
      <c r="J109" s="120"/>
      <c r="K109" s="120"/>
      <c r="L109" s="120"/>
      <c r="M109" s="120"/>
      <c r="N109" s="120"/>
      <c r="O109" s="120"/>
      <c r="P109" s="204"/>
      <c r="Q109" s="123"/>
      <c r="R109" s="206"/>
      <c r="S109" s="206"/>
      <c r="T109" s="206"/>
      <c r="U109" s="206"/>
    </row>
    <row r="110" spans="1:69">
      <c r="A110" s="105">
        <f>$A$17</f>
        <v>0</v>
      </c>
      <c r="B110" s="118">
        <f>'Statistics NZ'!B$110*('Economic Forecasts'!D$10-'Economic Forecasts'!D$9)*1000000/SUM('Statistics NZ'!B$17:B$31,'Statistics NZ'!B$110:B$124)</f>
        <v>31880.644144499096</v>
      </c>
      <c r="C110" s="118">
        <f>'Statistics NZ'!C$110*('Economic Forecasts'!E$10-'Economic Forecasts'!E$9)*1000000/SUM('Statistics NZ'!C$17:C$31,'Statistics NZ'!C$110:C$124)</f>
        <v>33658.741164591054</v>
      </c>
      <c r="D110" s="118">
        <f>'Statistics NZ'!D$110*('Economic Forecasts'!F$10-'Economic Forecasts'!F$9)*1000000/SUM('Statistics NZ'!D$17:D$31,'Statistics NZ'!D$110:D$124)</f>
        <v>34918.568190193291</v>
      </c>
      <c r="E110" s="118">
        <f>'Statistics NZ'!E$110*('Economic Forecasts'!G$10-'Economic Forecasts'!G$9)*1000000/SUM('Statistics NZ'!E$17:E$31,'Statistics NZ'!E$110:E$124)</f>
        <v>35036.277464601204</v>
      </c>
      <c r="F110" s="118">
        <f>'Statistics NZ'!F$110*('Economic Forecasts'!H$10-'Economic Forecasts'!H$9)*1000000/SUM('Statistics NZ'!F$17:F$31,'Statistics NZ'!F$110:F$124)</f>
        <v>34967.80694606559</v>
      </c>
      <c r="G110" s="118">
        <f>'Statistics NZ'!G$110*('Economic Forecasts'!I$10-'Economic Forecasts'!I$9)*1000000/SUM('Statistics NZ'!G$17:G$31,'Statistics NZ'!G$110:G$124)</f>
        <v>34021.369700563293</v>
      </c>
      <c r="H110" s="118">
        <f>'Statistics NZ'!H$110*('Economic Forecasts'!J$10-'Economic Forecasts'!J$9)*1000000/SUM('Statistics NZ'!H$17:H$31,'Statistics NZ'!H$110:H$124)</f>
        <v>33218.181818181802</v>
      </c>
      <c r="I110" s="118">
        <f>'Statistics NZ'!I$110*('Economic Forecasts'!K$10-'Economic Forecasts'!K$9)*1000000/SUM('Statistics NZ'!I$17:I$31,'Statistics NZ'!I$110:I$124)</f>
        <v>32882.848402821335</v>
      </c>
      <c r="J110" s="203">
        <f>'Statistics NZ'!J$110*('Economic Forecasts'!L$10-'Economic Forecasts'!L$9)*1000000/SUM('Statistics NZ'!J$17:J$31,'Statistics NZ'!J$110:J$124)</f>
        <v>32280.671961038108</v>
      </c>
      <c r="K110" s="203">
        <f>'Statistics NZ'!K$110*('Economic Forecasts'!M$10-'Economic Forecasts'!M$9)*1000000/SUM('Statistics NZ'!K$17:K$31,'Statistics NZ'!K$110:K$124)</f>
        <v>32581.929407142237</v>
      </c>
      <c r="L110" s="203">
        <f>'Statistics NZ'!L$110*('Economic Forecasts'!N$10-'Economic Forecasts'!N$9)*1000000/SUM('Statistics NZ'!L$17:L$31,'Statistics NZ'!L$110:L$124)</f>
        <v>32603.749716127229</v>
      </c>
      <c r="M110" s="203">
        <f>'Statistics NZ'!M$110*('Economic Forecasts'!O$10-'Economic Forecasts'!O$9)*1000000/SUM('Statistics NZ'!M$17:M$31,'Statistics NZ'!M$110:M$124)</f>
        <v>32681.402145487544</v>
      </c>
      <c r="N110" s="203">
        <f>'Statistics NZ'!N$110*('Economic Forecasts'!P$10-'Economic Forecasts'!P$9)*1000000/SUM('Statistics NZ'!N$17:N$31,'Statistics NZ'!N$110:N$124)</f>
        <v>32283.47427810706</v>
      </c>
      <c r="O110" s="203">
        <f>'Statistics NZ'!O$110*('Economic Forecasts'!Q$10-'Economic Forecasts'!Q$9)*1000000/SUM('Statistics NZ'!O$17:O$31,'Statistics NZ'!O$110:O$124)</f>
        <v>32511.996067069016</v>
      </c>
      <c r="P110" s="203">
        <f>'Statistics NZ'!P$110*('Economic Forecasts'!R$10-'Economic Forecasts'!R$9)*1000000/SUM('Statistics NZ'!P$17:P$31,'Statistics NZ'!P$110:P$124)</f>
        <v>32015.508253692478</v>
      </c>
      <c r="Q110" s="121">
        <f>SUM('Statistics NZ'!Q$110,$B$14/5*(Q$9-Q$10)*1000)*('Economic Forecasts'!S$10-'Economic Forecasts'!S$9)*1000000/SUM('Statistics NZ'!Q$17:Q$31,'Statistics NZ'!Q$110:Q$124,SUM($B$13:$D$14)*(Q$9-Q$10)*1000)</f>
        <v>31753.696396189524</v>
      </c>
      <c r="R110" s="205">
        <f>SUM('Statistics NZ'!R$110,$B$14/5*(R$9-R$10)*1000)*('Economic Forecasts'!T$10-'Economic Forecasts'!T$9)*1000000/SUM('Statistics NZ'!R$17:R$31,'Statistics NZ'!R$110:R$124,SUM($B$13:$D$14)*(R$9-R$10)*1000)</f>
        <v>31853.361685153919</v>
      </c>
      <c r="S110" s="205">
        <f>SUM('Statistics NZ'!S$110,$B$14/5*(S$9-S$10)*1000)*('Economic Forecasts'!U$10-'Economic Forecasts'!U$9)*1000000/SUM('Statistics NZ'!S$17:S$31,'Statistics NZ'!S$110:S$124,SUM($B$13:$D$14)*(S$9-S$10)*1000)</f>
        <v>32066.160657187909</v>
      </c>
      <c r="T110" s="205">
        <f>SUM('Statistics NZ'!T$110,$B$14/5*(T$9-T$10)*1000)*('Economic Forecasts'!V$10-'Economic Forecasts'!V$9)*1000000/SUM('Statistics NZ'!T$17:T$31,'Statistics NZ'!T$110:T$124,SUM($B$13:$D$14)*(T$9-T$10)*1000)</f>
        <v>32201.525314209954</v>
      </c>
      <c r="U110" s="205">
        <f>SUM('Statistics NZ'!U$110,$B$14/5*(U$9-U$10)*1000)*('Economic Forecasts'!W$10-'Economic Forecasts'!W$9)*1000000/SUM('Statistics NZ'!U$17:U$31,'Statistics NZ'!U$110:U$124,SUM($B$13:$D$14)*(U$9-U$10)*1000)</f>
        <v>32647.444224508054</v>
      </c>
      <c r="V110" s="111">
        <f>SUM(U$110,'Statistics NZ'!V$110-'Statistics NZ'!U$110,$B$14/5*(V$9-V$10)*1000)</f>
        <v>32840.549292509619</v>
      </c>
      <c r="W110" s="111">
        <f>SUM(V$110,'Statistics NZ'!W$110-'Statistics NZ'!V$110,$B$14/5*(W$9-W$10)*1000)</f>
        <v>32989.516227010987</v>
      </c>
      <c r="X110" s="111">
        <f>SUM(W$110,'Statistics NZ'!X$110-'Statistics NZ'!W$110,$B$14/5*(X$9-X$10)*1000)</f>
        <v>33114.345028012161</v>
      </c>
      <c r="Y110" s="111">
        <f>SUM(X$110,'Statistics NZ'!Y$110-'Statistics NZ'!X$110,$B$14/5*(Y$9-Y$10)*1000)</f>
        <v>33215.035695513143</v>
      </c>
      <c r="Z110" s="111">
        <f>SUM(Y$110,'Statistics NZ'!Z$110-'Statistics NZ'!Y$110,$B$14/5*(Z$9-Z$10)*1000)</f>
        <v>33291.588229513924</v>
      </c>
      <c r="AA110" s="111">
        <f>SUM(Z$110,'Statistics NZ'!AA$110-'Statistics NZ'!Z$110,$B$14/5*(AA$9-AA$10)*1000)</f>
        <v>33364.002630014511</v>
      </c>
      <c r="AB110" s="111">
        <f>SUM(AA$110,'Statistics NZ'!AB$110-'Statistics NZ'!AA$110,$B$14/5*(AB$9-AB$10)*1000)</f>
        <v>33422.278897014905</v>
      </c>
      <c r="AC110" s="111">
        <f>SUM(AB$110,'Statistics NZ'!AC$110-'Statistics NZ'!AB$110,$B$14/5*(AC$9-AC$10)*1000)</f>
        <v>33486.417030515098</v>
      </c>
      <c r="AD110" s="111">
        <f>SUM(AC$110,'Statistics NZ'!AD$110-'Statistics NZ'!AC$110,$B$14/5*(AD$9-AD$10)*1000)</f>
        <v>33546.417030515098</v>
      </c>
      <c r="AE110" s="111">
        <f>SUM(AD$110,'Statistics NZ'!AE$110-'Statistics NZ'!AD$110,$B$14/5*(AE$9-AE$10)*1000)</f>
        <v>33636.417030515098</v>
      </c>
      <c r="AF110" s="111">
        <f>SUM(AE$110,'Statistics NZ'!AF$110-'Statistics NZ'!AE$110,$B$14/5*(AF$9-AF$10)*1000)</f>
        <v>33756.417030515098</v>
      </c>
      <c r="AG110" s="111">
        <f>SUM(AF$110,'Statistics NZ'!AG$110-'Statistics NZ'!AF$110,$B$14/5*(AG$9-AG$10)*1000)</f>
        <v>33896.417030515098</v>
      </c>
      <c r="AH110" s="111">
        <f>SUM(AG$110,'Statistics NZ'!AH$110-'Statistics NZ'!AG$110,$B$14/5*(AH$9-AH$10)*1000)</f>
        <v>34046.417030515098</v>
      </c>
      <c r="AI110" s="111">
        <f>SUM(AH$110,'Statistics NZ'!AI$110-'Statistics NZ'!AH$110,$B$14/5*(AI$9-AI$10)*1000)</f>
        <v>34216.417030515098</v>
      </c>
      <c r="AJ110" s="111">
        <f>SUM(AI$110,'Statistics NZ'!AJ$110-'Statistics NZ'!AI$110,$B$14/5*(AJ$9-AJ$10)*1000)</f>
        <v>34386.417030515098</v>
      </c>
      <c r="AK110" s="111">
        <f>SUM(AJ$110,'Statistics NZ'!AK$110-'Statistics NZ'!AJ$110,$B$14/5*(AK$9-AK$10)*1000)</f>
        <v>34536.417030515098</v>
      </c>
      <c r="AL110" s="111">
        <f>SUM(AK$110,'Statistics NZ'!AL$110-'Statistics NZ'!AK$110,$B$14/5*(AL$9-AL$10)*1000)</f>
        <v>34666.417030515098</v>
      </c>
      <c r="AM110" s="111">
        <f>SUM(AL$110,'Statistics NZ'!AM$110-'Statistics NZ'!AL$110,$B$14/5*(AM$9-AM$10)*1000)</f>
        <v>34766.417030515098</v>
      </c>
      <c r="AN110" s="111">
        <f>SUM(AM$110,'Statistics NZ'!AN$110-'Statistics NZ'!AM$110,$B$14/5*(AN$9-AN$10)*1000)</f>
        <v>34826.417030515098</v>
      </c>
      <c r="AO110" s="111">
        <f>SUM(AN$110,'Statistics NZ'!AO$110-'Statistics NZ'!AN$110,$B$14/5*(AO$9-AO$10)*1000)</f>
        <v>34856.417030515098</v>
      </c>
      <c r="AP110" s="111">
        <f>SUM(AO$110,'Statistics NZ'!AP$110-'Statistics NZ'!AO$110,$B$14/5*(AP$9-AP$10)*1000)</f>
        <v>34856.417030515098</v>
      </c>
      <c r="AQ110" s="111">
        <f>SUM(AP$110,'Statistics NZ'!AQ$110-'Statistics NZ'!AP$110,$B$14/5*(AQ$9-AQ$10)*1000)</f>
        <v>34826.417030515098</v>
      </c>
      <c r="AR110" s="111">
        <f>SUM(AQ$110,'Statistics NZ'!AR$110-'Statistics NZ'!AQ$110,$B$14/5*(AR$9-AR$10)*1000)</f>
        <v>34766.417030515098</v>
      </c>
      <c r="AS110" s="111">
        <f>SUM(AR$110,'Statistics NZ'!AS$110-'Statistics NZ'!AR$110,$B$14/5*(AS$9-AS$10)*1000)</f>
        <v>34686.417030515098</v>
      </c>
      <c r="AT110" s="111">
        <f>SUM(AS$110,'Statistics NZ'!AT$110-'Statistics NZ'!AS$110,$B$14/5*(AT$9-AT$10)*1000)</f>
        <v>34586.417030515098</v>
      </c>
      <c r="AU110" s="111">
        <f>SUM(AT$110,'Statistics NZ'!AU$110-'Statistics NZ'!AT$110,$B$14/5*(AU$9-AU$10)*1000)</f>
        <v>34476.417030515098</v>
      </c>
      <c r="AV110" s="111">
        <f>SUM(AU$110,'Statistics NZ'!AV$110-'Statistics NZ'!AU$110,$B$14/5*(AV$9-AV$10)*1000)</f>
        <v>34376.417030515098</v>
      </c>
      <c r="AW110" s="111">
        <f>SUM(AV$110,'Statistics NZ'!AW$110-'Statistics NZ'!AV$110,$B$14/5*(AW$9-AW$10)*1000)</f>
        <v>34276.417030515098</v>
      </c>
      <c r="AX110" s="111">
        <f>SUM(AW$110,'Statistics NZ'!AX$110-'Statistics NZ'!AW$110,$B$14/5*(AX$9-AX$10)*1000)</f>
        <v>34176.417030515098</v>
      </c>
      <c r="AY110" s="111">
        <f>SUM(AX$110,'Statistics NZ'!AY$110-'Statistics NZ'!AX$110,$B$14/5*(AY$9-AY$10)*1000)</f>
        <v>34106.417030515098</v>
      </c>
      <c r="AZ110" s="111">
        <f>SUM(AY$110,'Statistics NZ'!AZ$110-'Statistics NZ'!AY$110,$B$14/5*(AZ$9-AZ$10)*1000)</f>
        <v>34046.417030515098</v>
      </c>
      <c r="BA110" s="111">
        <f>SUM(AZ$110,'Statistics NZ'!BA$110-'Statistics NZ'!AZ$110,$B$14/5*(BA$9-BA$10)*1000)</f>
        <v>34006.417030515098</v>
      </c>
      <c r="BB110" s="111">
        <f>SUM(BA$110,'Statistics NZ'!BB$110-'Statistics NZ'!BA$110,$B$14/5*(BB$9-BB$10)*1000)</f>
        <v>33986.417030515098</v>
      </c>
      <c r="BC110" s="111">
        <f>SUM(BB$110,'Statistics NZ'!BC$110-'Statistics NZ'!BB$110,$B$14/5*(BC$9-BC$10)*1000)</f>
        <v>33976.417030515098</v>
      </c>
      <c r="BD110" s="111">
        <f>SUM(BC$110,'Statistics NZ'!BD$110-'Statistics NZ'!BC$110,$B$14/5*(BD$9-BD$10)*1000)</f>
        <v>33986.417030515098</v>
      </c>
      <c r="BE110" s="111">
        <f>SUM(BD$110,'Statistics NZ'!BE$110-'Statistics NZ'!BD$110,$B$14/5*(BE$9-BE$10)*1000)</f>
        <v>34006.417030515098</v>
      </c>
      <c r="BF110" s="111">
        <f>SUM(BE$110,'Statistics NZ'!BF$110-'Statistics NZ'!BE$110,$B$14/5*(BF$9-BF$10)*1000)</f>
        <v>34046.417030515098</v>
      </c>
      <c r="BG110" s="111">
        <f>SUM(BF$110,'Statistics NZ'!BG$110-'Statistics NZ'!BF$110,$B$14/5*(BG$9-BG$10)*1000)</f>
        <v>34086.417030515098</v>
      </c>
      <c r="BH110" s="111">
        <f>SUM(BG$110,'Statistics NZ'!BH$110-'Statistics NZ'!BG$110,$B$14/5*(BH$9-BH$10)*1000)</f>
        <v>34136.417030515098</v>
      </c>
      <c r="BI110" s="111">
        <f>SUM(BH$110,'Statistics NZ'!BI$110-'Statistics NZ'!BH$110,$B$14/5*(BI$9-BI$10)*1000)</f>
        <v>34196.417030515098</v>
      </c>
      <c r="BJ110" s="111">
        <f>SUM(BI$110,'Statistics NZ'!BJ$110-'Statistics NZ'!BI$110,$B$14/5*(BJ$9-BJ$10)*1000)</f>
        <v>34256.417030515098</v>
      </c>
      <c r="BK110" s="111">
        <f>SUM(BJ$110,'Statistics NZ'!BK$110-'Statistics NZ'!BJ$110,$B$14/5*(BK$9-BK$10)*1000)</f>
        <v>34326.417030515098</v>
      </c>
      <c r="BL110" s="111">
        <f>SUM(BK$110,'Statistics NZ'!BL$110-'Statistics NZ'!BK$110,$B$14/5*(BL$9-BL$10)*1000)</f>
        <v>34396.417030515098</v>
      </c>
      <c r="BM110" s="195">
        <f>SUM(BL$110,'Statistics NZ'!BM$110-'Statistics NZ'!BL$110,$B$14/5*(BM$9-BM$10)*1000)</f>
        <v>34456.417030515098</v>
      </c>
      <c r="BN110" s="195">
        <f>SUM(BM$110,'Statistics NZ'!BN$110-'Statistics NZ'!BM$110,$B$14/5*(BN$9-BN$10)*1000)</f>
        <v>34526.417030515098</v>
      </c>
      <c r="BO110" s="195">
        <f>SUM(BN$110,'Statistics NZ'!BO$110-'Statistics NZ'!BN$110,$B$14/5*(BO$9-BO$10)*1000)</f>
        <v>34596.417030515098</v>
      </c>
      <c r="BP110" s="195">
        <f>SUM(BO$110,'Statistics NZ'!BP$110-'Statistics NZ'!BO$110,$B$14/5*(BP$9-BP$10)*1000)</f>
        <v>34656.417030515098</v>
      </c>
      <c r="BQ110" s="195">
        <f>SUM(BP$110,'Statistics NZ'!BQ$110-'Statistics NZ'!BP$110,$B$14/5*(BQ$9-BQ$10)*1000)</f>
        <v>34706.417030515098</v>
      </c>
    </row>
    <row r="111" spans="1:69">
      <c r="A111" s="105">
        <f>$A$18</f>
        <v>1</v>
      </c>
      <c r="B111" s="118">
        <f>'Statistics NZ'!B$111*('Economic Forecasts'!D$10-'Economic Forecasts'!D$9)*1000000/SUM('Statistics NZ'!B$17:B$31,'Statistics NZ'!B$110:B$124)</f>
        <v>31066.445272483699</v>
      </c>
      <c r="C111" s="118">
        <f>'Statistics NZ'!C$111*('Economic Forecasts'!E$10-'Economic Forecasts'!E$9)*1000000/SUM('Statistics NZ'!C$17:C$31,'Statistics NZ'!C$110:C$124)</f>
        <v>31833.361157859315</v>
      </c>
      <c r="D111" s="118">
        <f>'Statistics NZ'!D$111*('Economic Forecasts'!F$10-'Economic Forecasts'!F$9)*1000000/SUM('Statistics NZ'!D$17:D$31,'Statistics NZ'!D$110:D$124)</f>
        <v>33576.765418588278</v>
      </c>
      <c r="E111" s="118">
        <f>'Statistics NZ'!E$111*('Economic Forecasts'!G$10-'Economic Forecasts'!G$9)*1000000/SUM('Statistics NZ'!E$17:E$31,'Statistics NZ'!E$110:E$124)</f>
        <v>34951.495183985113</v>
      </c>
      <c r="F111" s="118">
        <f>'Statistics NZ'!F$111*('Economic Forecasts'!H$10-'Economic Forecasts'!H$9)*1000000/SUM('Statistics NZ'!F$17:F$31,'Statistics NZ'!F$110:F$124)</f>
        <v>35084.295703305659</v>
      </c>
      <c r="G111" s="118">
        <f>'Statistics NZ'!G$111*('Economic Forecasts'!I$10-'Economic Forecasts'!I$9)*1000000/SUM('Statistics NZ'!G$17:G$31,'Statistics NZ'!G$110:G$124)</f>
        <v>35006.11522877754</v>
      </c>
      <c r="H111" s="118">
        <f>'Statistics NZ'!H$111*('Economic Forecasts'!J$10-'Economic Forecasts'!J$9)*1000000/SUM('Statistics NZ'!H$17:H$31,'Statistics NZ'!H$110:H$124)</f>
        <v>33992.424242424226</v>
      </c>
      <c r="I111" s="118">
        <f>'Statistics NZ'!I$111*('Economic Forecasts'!K$10-'Economic Forecasts'!K$9)*1000000/SUM('Statistics NZ'!I$17:I$31,'Statistics NZ'!I$110:I$124)</f>
        <v>33436.395867031999</v>
      </c>
      <c r="J111" s="203">
        <f>'Statistics NZ'!J$111*('Economic Forecasts'!L$10-'Economic Forecasts'!L$9)*1000000/SUM('Statistics NZ'!J$17:J$31,'Statistics NZ'!J$110:J$124)</f>
        <v>33201.752846455915</v>
      </c>
      <c r="K111" s="203">
        <f>'Statistics NZ'!K$111*('Economic Forecasts'!M$10-'Economic Forecasts'!M$9)*1000000/SUM('Statistics NZ'!K$17:K$31,'Statistics NZ'!K$110:K$124)</f>
        <v>32614.13559766001</v>
      </c>
      <c r="L111" s="203">
        <f>'Statistics NZ'!L$111*('Economic Forecasts'!N$10-'Economic Forecasts'!N$9)*1000000/SUM('Statistics NZ'!L$17:L$31,'Statistics NZ'!L$110:L$124)</f>
        <v>32646.355073482511</v>
      </c>
      <c r="M111" s="203">
        <f>'Statistics NZ'!M$111*('Economic Forecasts'!O$10-'Economic Forecasts'!O$9)*1000000/SUM('Statistics NZ'!M$17:M$31,'Statistics NZ'!M$110:M$124)</f>
        <v>32936.975182793409</v>
      </c>
      <c r="N111" s="203">
        <f>'Statistics NZ'!N$111*('Economic Forecasts'!P$10-'Economic Forecasts'!P$9)*1000000/SUM('Statistics NZ'!N$17:N$31,'Statistics NZ'!N$110:N$124)</f>
        <v>32674.725030904294</v>
      </c>
      <c r="O111" s="203">
        <f>'Statistics NZ'!O$111*('Economic Forecasts'!Q$10-'Economic Forecasts'!Q$9)*1000000/SUM('Statistics NZ'!O$17:O$31,'Statistics NZ'!O$110:O$124)</f>
        <v>32459.113835339886</v>
      </c>
      <c r="P111" s="203">
        <f>'Statistics NZ'!P$111*('Economic Forecasts'!R$10-'Economic Forecasts'!R$9)*1000000/SUM('Statistics NZ'!P$17:P$31,'Statistics NZ'!P$110:P$124)</f>
        <v>32755.140457573158</v>
      </c>
      <c r="Q111" s="121">
        <f>SUM('Statistics NZ'!Q$111,$B$14/5*(Q$9-Q$10)*1000)*('Economic Forecasts'!S$10-'Economic Forecasts'!S$9)*1000000/SUM('Statistics NZ'!Q$17:Q$31,'Statistics NZ'!Q$110:Q$124,SUM($B$13:$D$14)*(Q$9-Q$10)*1000)</f>
        <v>31974.598489875822</v>
      </c>
      <c r="R111" s="205">
        <f>SUM('Statistics NZ'!R$111,$B$14/5*(R$9-R$10)*1000)*('Economic Forecasts'!T$10-'Economic Forecasts'!T$9)*1000000/SUM('Statistics NZ'!R$17:R$31,'Statistics NZ'!R$110:R$124,SUM($B$13:$D$14)*(R$9-R$10)*1000)</f>
        <v>31916.51617026906</v>
      </c>
      <c r="S111" s="205">
        <f>SUM('Statistics NZ'!S$111,$B$14/5*(S$9-S$10)*1000)*('Economic Forecasts'!U$10-'Economic Forecasts'!U$9)*1000000/SUM('Statistics NZ'!S$17:S$31,'Statistics NZ'!S$110:S$124,SUM($B$13:$D$14)*(S$9-S$10)*1000)</f>
        <v>32118.911224610383</v>
      </c>
      <c r="T111" s="205">
        <f>SUM('Statistics NZ'!T$111,$B$14/5*(T$9-T$10)*1000)*('Economic Forecasts'!V$10-'Economic Forecasts'!V$9)*1000000/SUM('Statistics NZ'!T$17:T$31,'Statistics NZ'!T$110:T$124,SUM($B$13:$D$14)*(T$9-T$10)*1000)</f>
        <v>32286.375888044047</v>
      </c>
      <c r="U111" s="205">
        <f>SUM('Statistics NZ'!U$111,$B$14/5*(U$9-U$10)*1000)*('Economic Forecasts'!W$10-'Economic Forecasts'!W$9)*1000000/SUM('Statistics NZ'!U$17:U$31,'Statistics NZ'!U$110:U$124,SUM($B$13:$D$14)*(U$9-U$10)*1000)</f>
        <v>32508.460894507352</v>
      </c>
      <c r="V111" s="111">
        <f>SUM(U$111,'Statistics NZ'!V$111-'Statistics NZ'!U$111,$B$14/5*(V$9-V$10)*1000)</f>
        <v>32741.565962508917</v>
      </c>
      <c r="W111" s="111">
        <f>SUM(V$111,'Statistics NZ'!W$111-'Statistics NZ'!V$111,$B$14/5*(W$9-W$10)*1000)</f>
        <v>32920.532897010286</v>
      </c>
      <c r="X111" s="111">
        <f>SUM(W$111,'Statistics NZ'!X$111-'Statistics NZ'!W$111,$B$14/5*(X$9-X$10)*1000)</f>
        <v>33055.36169801146</v>
      </c>
      <c r="Y111" s="111">
        <f>SUM(X$111,'Statistics NZ'!Y$111-'Statistics NZ'!X$111,$B$14/5*(Y$9-Y$10)*1000)</f>
        <v>33166.052365512442</v>
      </c>
      <c r="Z111" s="111">
        <f>SUM(Y$111,'Statistics NZ'!Z$111-'Statistics NZ'!Y$111,$B$14/5*(Z$9-Z$10)*1000)</f>
        <v>33252.604899513222</v>
      </c>
      <c r="AA111" s="111">
        <f>SUM(Z$111,'Statistics NZ'!AA$111-'Statistics NZ'!Z$111,$B$14/5*(AA$9-AA$10)*1000)</f>
        <v>33315.01930001381</v>
      </c>
      <c r="AB111" s="111">
        <f>SUM(AA$111,'Statistics NZ'!AB$111-'Statistics NZ'!AA$111,$B$14/5*(AB$9-AB$10)*1000)</f>
        <v>33373.295567014204</v>
      </c>
      <c r="AC111" s="111">
        <f>SUM(AB$111,'Statistics NZ'!AC$111-'Statistics NZ'!AB$111,$B$14/5*(AC$9-AC$10)*1000)</f>
        <v>33417.433700514397</v>
      </c>
      <c r="AD111" s="111">
        <f>SUM(AC$111,'Statistics NZ'!AD$111-'Statistics NZ'!AC$111,$B$14/5*(AD$9-AD$10)*1000)</f>
        <v>33467.433700514397</v>
      </c>
      <c r="AE111" s="111">
        <f>SUM(AD$111,'Statistics NZ'!AE$111-'Statistics NZ'!AD$111,$B$14/5*(AE$9-AE$10)*1000)</f>
        <v>33537.433700514397</v>
      </c>
      <c r="AF111" s="111">
        <f>SUM(AE$111,'Statistics NZ'!AF$111-'Statistics NZ'!AE$111,$B$14/5*(AF$9-AF$10)*1000)</f>
        <v>33627.433700514397</v>
      </c>
      <c r="AG111" s="111">
        <f>SUM(AF$111,'Statistics NZ'!AG$111-'Statistics NZ'!AF$111,$B$14/5*(AG$9-AG$10)*1000)</f>
        <v>33737.433700514397</v>
      </c>
      <c r="AH111" s="111">
        <f>SUM(AG$111,'Statistics NZ'!AH$111-'Statistics NZ'!AG$111,$B$14/5*(AH$9-AH$10)*1000)</f>
        <v>33877.433700514397</v>
      </c>
      <c r="AI111" s="111">
        <f>SUM(AH$111,'Statistics NZ'!AI$111-'Statistics NZ'!AH$111,$B$14/5*(AI$9-AI$10)*1000)</f>
        <v>34037.433700514397</v>
      </c>
      <c r="AJ111" s="111">
        <f>SUM(AI$111,'Statistics NZ'!AJ$111-'Statistics NZ'!AI$111,$B$14/5*(AJ$9-AJ$10)*1000)</f>
        <v>34207.433700514397</v>
      </c>
      <c r="AK111" s="111">
        <f>SUM(AJ$111,'Statistics NZ'!AK$111-'Statistics NZ'!AJ$111,$B$14/5*(AK$9-AK$10)*1000)</f>
        <v>34377.433700514397</v>
      </c>
      <c r="AL111" s="111">
        <f>SUM(AK$111,'Statistics NZ'!AL$111-'Statistics NZ'!AK$111,$B$14/5*(AL$9-AL$10)*1000)</f>
        <v>34527.433700514397</v>
      </c>
      <c r="AM111" s="111">
        <f>SUM(AL$111,'Statistics NZ'!AM$111-'Statistics NZ'!AL$111,$B$14/5*(AM$9-AM$10)*1000)</f>
        <v>34647.433700514397</v>
      </c>
      <c r="AN111" s="111">
        <f>SUM(AM$111,'Statistics NZ'!AN$111-'Statistics NZ'!AM$111,$B$14/5*(AN$9-AN$10)*1000)</f>
        <v>34747.433700514397</v>
      </c>
      <c r="AO111" s="111">
        <f>SUM(AN$111,'Statistics NZ'!AO$111-'Statistics NZ'!AN$111,$B$14/5*(AO$9-AO$10)*1000)</f>
        <v>34817.433700514397</v>
      </c>
      <c r="AP111" s="111">
        <f>SUM(AO$111,'Statistics NZ'!AP$111-'Statistics NZ'!AO$111,$B$14/5*(AP$9-AP$10)*1000)</f>
        <v>34847.433700514397</v>
      </c>
      <c r="AQ111" s="111">
        <f>SUM(AP$111,'Statistics NZ'!AQ$111-'Statistics NZ'!AP$111,$B$14/5*(AQ$9-AQ$10)*1000)</f>
        <v>34847.433700514397</v>
      </c>
      <c r="AR111" s="111">
        <f>SUM(AQ$111,'Statistics NZ'!AR$111-'Statistics NZ'!AQ$111,$B$14/5*(AR$9-AR$10)*1000)</f>
        <v>34817.433700514397</v>
      </c>
      <c r="AS111" s="111">
        <f>SUM(AR$111,'Statistics NZ'!AS$111-'Statistics NZ'!AR$111,$B$14/5*(AS$9-AS$10)*1000)</f>
        <v>34757.433700514397</v>
      </c>
      <c r="AT111" s="111">
        <f>SUM(AS$111,'Statistics NZ'!AT$111-'Statistics NZ'!AS$111,$B$14/5*(AT$9-AT$10)*1000)</f>
        <v>34677.433700514397</v>
      </c>
      <c r="AU111" s="111">
        <f>SUM(AT$111,'Statistics NZ'!AU$111-'Statistics NZ'!AT$111,$B$14/5*(AU$9-AU$10)*1000)</f>
        <v>34577.433700514397</v>
      </c>
      <c r="AV111" s="111">
        <f>SUM(AU$111,'Statistics NZ'!AV$111-'Statistics NZ'!AU$111,$B$14/5*(AV$9-AV$10)*1000)</f>
        <v>34467.433700514397</v>
      </c>
      <c r="AW111" s="111">
        <f>SUM(AV$111,'Statistics NZ'!AW$111-'Statistics NZ'!AV$111,$B$14/5*(AW$9-AW$10)*1000)</f>
        <v>34367.433700514397</v>
      </c>
      <c r="AX111" s="111">
        <f>SUM(AW$111,'Statistics NZ'!AX$111-'Statistics NZ'!AW$111,$B$14/5*(AX$9-AX$10)*1000)</f>
        <v>34267.433700514397</v>
      </c>
      <c r="AY111" s="111">
        <f>SUM(AX$111,'Statistics NZ'!AY$111-'Statistics NZ'!AX$111,$B$14/5*(AY$9-AY$10)*1000)</f>
        <v>34177.433700514397</v>
      </c>
      <c r="AZ111" s="111">
        <f>SUM(AY$111,'Statistics NZ'!AZ$111-'Statistics NZ'!AY$111,$B$14/5*(AZ$9-AZ$10)*1000)</f>
        <v>34097.433700514397</v>
      </c>
      <c r="BA111" s="111">
        <f>SUM(AZ$111,'Statistics NZ'!BA$111-'Statistics NZ'!AZ$111,$B$14/5*(BA$9-BA$10)*1000)</f>
        <v>34037.433700514397</v>
      </c>
      <c r="BB111" s="111">
        <f>SUM(BA$111,'Statistics NZ'!BB$111-'Statistics NZ'!BA$111,$B$14/5*(BB$9-BB$10)*1000)</f>
        <v>33997.433700514397</v>
      </c>
      <c r="BC111" s="111">
        <f>SUM(BB$111,'Statistics NZ'!BC$111-'Statistics NZ'!BB$111,$B$14/5*(BC$9-BC$10)*1000)</f>
        <v>33977.433700514397</v>
      </c>
      <c r="BD111" s="111">
        <f>SUM(BC$111,'Statistics NZ'!BD$111-'Statistics NZ'!BC$111,$B$14/5*(BD$9-BD$10)*1000)</f>
        <v>33977.433700514397</v>
      </c>
      <c r="BE111" s="111">
        <f>SUM(BD$111,'Statistics NZ'!BE$111-'Statistics NZ'!BD$111,$B$14/5*(BE$9-BE$10)*1000)</f>
        <v>33977.433700514397</v>
      </c>
      <c r="BF111" s="111">
        <f>SUM(BE$111,'Statistics NZ'!BF$111-'Statistics NZ'!BE$111,$B$14/5*(BF$9-BF$10)*1000)</f>
        <v>34007.433700514397</v>
      </c>
      <c r="BG111" s="111">
        <f>SUM(BF$111,'Statistics NZ'!BG$111-'Statistics NZ'!BF$111,$B$14/5*(BG$9-BG$10)*1000)</f>
        <v>34037.433700514397</v>
      </c>
      <c r="BH111" s="111">
        <f>SUM(BG$111,'Statistics NZ'!BH$111-'Statistics NZ'!BG$111,$B$14/5*(BH$9-BH$10)*1000)</f>
        <v>34077.433700514397</v>
      </c>
      <c r="BI111" s="111">
        <f>SUM(BH$111,'Statistics NZ'!BI$111-'Statistics NZ'!BH$111,$B$14/5*(BI$9-BI$10)*1000)</f>
        <v>34137.433700514397</v>
      </c>
      <c r="BJ111" s="111">
        <f>SUM(BI$111,'Statistics NZ'!BJ$111-'Statistics NZ'!BI$111,$B$14/5*(BJ$9-BJ$10)*1000)</f>
        <v>34187.433700514397</v>
      </c>
      <c r="BK111" s="111">
        <f>SUM(BJ$111,'Statistics NZ'!BK$111-'Statistics NZ'!BJ$111,$B$14/5*(BK$9-BK$10)*1000)</f>
        <v>34257.433700514397</v>
      </c>
      <c r="BL111" s="111">
        <f>SUM(BK$111,'Statistics NZ'!BL$111-'Statistics NZ'!BK$111,$B$14/5*(BL$9-BL$10)*1000)</f>
        <v>34317.433700514397</v>
      </c>
      <c r="BM111" s="195">
        <f>SUM(BL$111,'Statistics NZ'!BM$111-'Statistics NZ'!BL$111,$B$14/5*(BM$9-BM$10)*1000)</f>
        <v>34387.433700514397</v>
      </c>
      <c r="BN111" s="195">
        <f>SUM(BM$111,'Statistics NZ'!BN$111-'Statistics NZ'!BM$111,$B$14/5*(BN$9-BN$10)*1000)</f>
        <v>34457.433700514397</v>
      </c>
      <c r="BO111" s="195">
        <f>SUM(BN$111,'Statistics NZ'!BO$111-'Statistics NZ'!BN$111,$B$14/5*(BO$9-BO$10)*1000)</f>
        <v>34527.433700514397</v>
      </c>
      <c r="BP111" s="195">
        <f>SUM(BO$111,'Statistics NZ'!BP$111-'Statistics NZ'!BO$111,$B$14/5*(BP$9-BP$10)*1000)</f>
        <v>34587.433700514397</v>
      </c>
      <c r="BQ111" s="195">
        <f>SUM(BP$111,'Statistics NZ'!BQ$111-'Statistics NZ'!BP$111,$B$14/5*(BQ$9-BQ$10)*1000)</f>
        <v>34647.433700514397</v>
      </c>
    </row>
    <row r="112" spans="1:69">
      <c r="A112" s="105">
        <f>$A$19</f>
        <v>2</v>
      </c>
      <c r="B112" s="118">
        <f>'Statistics NZ'!B$112*('Economic Forecasts'!D$10-'Economic Forecasts'!D$9)*1000000/SUM('Statistics NZ'!B$17:B$31,'Statistics NZ'!B$110:B$124)</f>
        <v>31203.90741970708</v>
      </c>
      <c r="C112" s="118">
        <f>'Statistics NZ'!C$112*('Economic Forecasts'!E$10-'Economic Forecasts'!E$9)*1000000/SUM('Statistics NZ'!C$17:C$31,'Statistics NZ'!C$110:C$124)</f>
        <v>31115.870750589031</v>
      </c>
      <c r="D112" s="118">
        <f>'Statistics NZ'!D$112*('Economic Forecasts'!F$10-'Economic Forecasts'!F$9)*1000000/SUM('Statistics NZ'!D$17:D$31,'Statistics NZ'!D$110:D$124)</f>
        <v>31875.73985773469</v>
      </c>
      <c r="E112" s="118">
        <f>'Statistics NZ'!E$112*('Economic Forecasts'!G$10-'Economic Forecasts'!G$9)*1000000/SUM('Statistics NZ'!E$17:E$31,'Statistics NZ'!E$110:E$124)</f>
        <v>33700.956544897716</v>
      </c>
      <c r="F112" s="118">
        <f>'Statistics NZ'!F$112*('Economic Forecasts'!H$10-'Economic Forecasts'!H$9)*1000000/SUM('Statistics NZ'!F$17:F$31,'Statistics NZ'!F$110:F$124)</f>
        <v>35020.75638117471</v>
      </c>
      <c r="G112" s="118">
        <f>'Statistics NZ'!G$112*('Economic Forecasts'!I$10-'Economic Forecasts'!I$9)*1000000/SUM('Statistics NZ'!G$17:G$31,'Statistics NZ'!G$110:G$124)</f>
        <v>35016.703890371246</v>
      </c>
      <c r="H112" s="118">
        <f>'Statistics NZ'!H$112*('Economic Forecasts'!J$10-'Economic Forecasts'!J$9)*1000000/SUM('Statistics NZ'!H$17:H$31,'Statistics NZ'!H$110:H$124)</f>
        <v>34925.757575757561</v>
      </c>
      <c r="I112" s="118">
        <f>'Statistics NZ'!I$112*('Economic Forecasts'!K$10-'Economic Forecasts'!K$9)*1000000/SUM('Statistics NZ'!I$17:I$31,'Statistics NZ'!I$110:I$124)</f>
        <v>34032.523905412701</v>
      </c>
      <c r="J112" s="203">
        <f>'Statistics NZ'!J$112*('Economic Forecasts'!L$10-'Economic Forecasts'!L$9)*1000000/SUM('Statistics NZ'!J$17:J$31,'Statistics NZ'!J$110:J$124)</f>
        <v>33919.339117653508</v>
      </c>
      <c r="K112" s="203">
        <f>'Statistics NZ'!K$112*('Economic Forecasts'!M$10-'Economic Forecasts'!M$9)*1000000/SUM('Statistics NZ'!K$17:K$31,'Statistics NZ'!K$110:K$124)</f>
        <v>33719.881472103385</v>
      </c>
      <c r="L112" s="203">
        <f>'Statistics NZ'!L$112*('Economic Forecasts'!N$10-'Economic Forecasts'!N$9)*1000000/SUM('Statistics NZ'!L$17:L$31,'Statistics NZ'!L$110:L$124)</f>
        <v>32965.895253647104</v>
      </c>
      <c r="M112" s="203">
        <f>'Statistics NZ'!M$112*('Economic Forecasts'!O$10-'Economic Forecasts'!O$9)*1000000/SUM('Statistics NZ'!M$17:M$31,'Statistics NZ'!M$110:M$124)</f>
        <v>33320.334738752201</v>
      </c>
      <c r="N112" s="203">
        <f>'Statistics NZ'!N$112*('Economic Forecasts'!P$10-'Economic Forecasts'!P$9)*1000000/SUM('Statistics NZ'!N$17:N$31,'Statistics NZ'!N$110:N$124)</f>
        <v>33224.590953754465</v>
      </c>
      <c r="O112" s="203">
        <f>'Statistics NZ'!O$112*('Economic Forecasts'!Q$10-'Economic Forecasts'!Q$9)*1000000/SUM('Statistics NZ'!O$17:O$31,'Statistics NZ'!O$110:O$124)</f>
        <v>33178.312186856048</v>
      </c>
      <c r="P112" s="203">
        <f>'Statistics NZ'!P$112*('Economic Forecasts'!R$10-'Economic Forecasts'!R$9)*1000000/SUM('Statistics NZ'!P$17:P$31,'Statistics NZ'!P$110:P$124)</f>
        <v>32945.331595713906</v>
      </c>
      <c r="Q112" s="121">
        <f>SUM('Statistics NZ'!Q$112,$B$14/5*(Q$9-Q$10)*1000)*('Economic Forecasts'!S$10-'Economic Forecasts'!S$9)*1000000/SUM('Statistics NZ'!Q$17:Q$31,'Statistics NZ'!Q$110:Q$124,SUM($B$13:$D$14)*(Q$9-Q$10)*1000)</f>
        <v>32795.091980710647</v>
      </c>
      <c r="R112" s="205">
        <f>SUM('Statistics NZ'!R$112,$B$14/5*(R$9-R$10)*1000)*('Economic Forecasts'!T$10-'Economic Forecasts'!T$9)*1000000/SUM('Statistics NZ'!R$17:R$31,'Statistics NZ'!R$110:R$124,SUM($B$13:$D$14)*(R$9-R$10)*1000)</f>
        <v>32232.288595844748</v>
      </c>
      <c r="S112" s="205">
        <f>SUM('Statistics NZ'!S$112,$B$14/5*(S$9-S$10)*1000)*('Economic Forecasts'!U$10-'Economic Forecasts'!U$9)*1000000/SUM('Statistics NZ'!S$17:S$31,'Statistics NZ'!S$110:S$124,SUM($B$13:$D$14)*(S$9-S$10)*1000)</f>
        <v>32287.713040362327</v>
      </c>
      <c r="T112" s="205">
        <f>SUM('Statistics NZ'!T$112,$B$14/5*(T$9-T$10)*1000)*('Economic Forecasts'!V$10-'Economic Forecasts'!V$9)*1000000/SUM('Statistics NZ'!T$17:T$31,'Statistics NZ'!T$110:T$124,SUM($B$13:$D$14)*(T$9-T$10)*1000)</f>
        <v>32477.28967917075</v>
      </c>
      <c r="U112" s="205">
        <f>SUM('Statistics NZ'!U$112,$B$14/5*(U$9-U$10)*1000)*('Economic Forecasts'!W$10-'Economic Forecasts'!W$9)*1000000/SUM('Statistics NZ'!U$17:U$31,'Statistics NZ'!U$110:U$124,SUM($B$13:$D$14)*(U$9-U$10)*1000)</f>
        <v>32732.97242758541</v>
      </c>
      <c r="V112" s="111">
        <f>SUM(U$112,'Statistics NZ'!V$112-'Statistics NZ'!U$112,$B$14/5*(V$9-V$10)*1000)</f>
        <v>32756.077495586975</v>
      </c>
      <c r="W112" s="111">
        <f>SUM(V$112,'Statistics NZ'!W$112-'Statistics NZ'!V$112,$B$14/5*(W$9-W$10)*1000)</f>
        <v>32975.044430088339</v>
      </c>
      <c r="X112" s="111">
        <f>SUM(W$112,'Statistics NZ'!X$112-'Statistics NZ'!W$112,$B$14/5*(X$9-X$10)*1000)</f>
        <v>33139.873231089514</v>
      </c>
      <c r="Y112" s="111">
        <f>SUM(X$112,'Statistics NZ'!Y$112-'Statistics NZ'!X$112,$B$14/5*(Y$9-Y$10)*1000)</f>
        <v>33270.563898590495</v>
      </c>
      <c r="Z112" s="111">
        <f>SUM(Y$112,'Statistics NZ'!Z$112-'Statistics NZ'!Y$112,$B$14/5*(Z$9-Z$10)*1000)</f>
        <v>33357.116432591276</v>
      </c>
      <c r="AA112" s="111">
        <f>SUM(Z$112,'Statistics NZ'!AA$112-'Statistics NZ'!Z$112,$B$14/5*(AA$9-AA$10)*1000)</f>
        <v>33429.530833091863</v>
      </c>
      <c r="AB112" s="111">
        <f>SUM(AA$112,'Statistics NZ'!AB$112-'Statistics NZ'!AA$112,$B$14/5*(AB$9-AB$10)*1000)</f>
        <v>33477.807100092257</v>
      </c>
      <c r="AC112" s="111">
        <f>SUM(AB$112,'Statistics NZ'!AC$112-'Statistics NZ'!AB$112,$B$14/5*(AC$9-AC$10)*1000)</f>
        <v>33521.945233592451</v>
      </c>
      <c r="AD112" s="111">
        <f>SUM(AC$112,'Statistics NZ'!AD$112-'Statistics NZ'!AC$112,$B$14/5*(AD$9-AD$10)*1000)</f>
        <v>33561.945233592451</v>
      </c>
      <c r="AE112" s="111">
        <f>SUM(AD$112,'Statistics NZ'!AE$112-'Statistics NZ'!AD$112,$B$14/5*(AE$9-AE$10)*1000)</f>
        <v>33601.945233592451</v>
      </c>
      <c r="AF112" s="111">
        <f>SUM(AE$112,'Statistics NZ'!AF$112-'Statistics NZ'!AE$112,$B$14/5*(AF$9-AF$10)*1000)</f>
        <v>33671.945233592451</v>
      </c>
      <c r="AG112" s="111">
        <f>SUM(AF$112,'Statistics NZ'!AG$112-'Statistics NZ'!AF$112,$B$14/5*(AG$9-AG$10)*1000)</f>
        <v>33761.945233592451</v>
      </c>
      <c r="AH112" s="111">
        <f>SUM(AG$112,'Statistics NZ'!AH$112-'Statistics NZ'!AG$112,$B$14/5*(AH$9-AH$10)*1000)</f>
        <v>33881.945233592451</v>
      </c>
      <c r="AI112" s="111">
        <f>SUM(AH$112,'Statistics NZ'!AI$112-'Statistics NZ'!AH$112,$B$14/5*(AI$9-AI$10)*1000)</f>
        <v>34021.945233592451</v>
      </c>
      <c r="AJ112" s="111">
        <f>SUM(AI$112,'Statistics NZ'!AJ$112-'Statistics NZ'!AI$112,$B$14/5*(AJ$9-AJ$10)*1000)</f>
        <v>34171.945233592451</v>
      </c>
      <c r="AK112" s="111">
        <f>SUM(AJ$112,'Statistics NZ'!AK$112-'Statistics NZ'!AJ$112,$B$14/5*(AK$9-AK$10)*1000)</f>
        <v>34341.945233592451</v>
      </c>
      <c r="AL112" s="111">
        <f>SUM(AK$112,'Statistics NZ'!AL$112-'Statistics NZ'!AK$112,$B$14/5*(AL$9-AL$10)*1000)</f>
        <v>34511.945233592451</v>
      </c>
      <c r="AM112" s="111">
        <f>SUM(AL$112,'Statistics NZ'!AM$112-'Statistics NZ'!AL$112,$B$14/5*(AM$9-AM$10)*1000)</f>
        <v>34661.945233592451</v>
      </c>
      <c r="AN112" s="111">
        <f>SUM(AM$112,'Statistics NZ'!AN$112-'Statistics NZ'!AM$112,$B$14/5*(AN$9-AN$10)*1000)</f>
        <v>34791.945233592451</v>
      </c>
      <c r="AO112" s="111">
        <f>SUM(AN$112,'Statistics NZ'!AO$112-'Statistics NZ'!AN$112,$B$14/5*(AO$9-AO$10)*1000)</f>
        <v>34891.945233592451</v>
      </c>
      <c r="AP112" s="111">
        <f>SUM(AO$112,'Statistics NZ'!AP$112-'Statistics NZ'!AO$112,$B$14/5*(AP$9-AP$10)*1000)</f>
        <v>34951.945233592451</v>
      </c>
      <c r="AQ112" s="111">
        <f>SUM(AP$112,'Statistics NZ'!AQ$112-'Statistics NZ'!AP$112,$B$14/5*(AQ$9-AQ$10)*1000)</f>
        <v>34991.945233592451</v>
      </c>
      <c r="AR112" s="111">
        <f>SUM(AQ$112,'Statistics NZ'!AR$112-'Statistics NZ'!AQ$112,$B$14/5*(AR$9-AR$10)*1000)</f>
        <v>34991.945233592451</v>
      </c>
      <c r="AS112" s="111">
        <f>SUM(AR$112,'Statistics NZ'!AS$112-'Statistics NZ'!AR$112,$B$14/5*(AS$9-AS$10)*1000)</f>
        <v>34951.945233592451</v>
      </c>
      <c r="AT112" s="111">
        <f>SUM(AS$112,'Statistics NZ'!AT$112-'Statistics NZ'!AS$112,$B$14/5*(AT$9-AT$10)*1000)</f>
        <v>34891.945233592451</v>
      </c>
      <c r="AU112" s="111">
        <f>SUM(AT$112,'Statistics NZ'!AU$112-'Statistics NZ'!AT$112,$B$14/5*(AU$9-AU$10)*1000)</f>
        <v>34811.945233592451</v>
      </c>
      <c r="AV112" s="111">
        <f>SUM(AU$112,'Statistics NZ'!AV$112-'Statistics NZ'!AU$112,$B$14/5*(AV$9-AV$10)*1000)</f>
        <v>34721.945233592451</v>
      </c>
      <c r="AW112" s="111">
        <f>SUM(AV$112,'Statistics NZ'!AW$112-'Statistics NZ'!AV$112,$B$14/5*(AW$9-AW$10)*1000)</f>
        <v>34611.945233592451</v>
      </c>
      <c r="AX112" s="111">
        <f>SUM(AW$112,'Statistics NZ'!AX$112-'Statistics NZ'!AW$112,$B$14/5*(AX$9-AX$10)*1000)</f>
        <v>34501.945233592451</v>
      </c>
      <c r="AY112" s="111">
        <f>SUM(AX$112,'Statistics NZ'!AY$112-'Statistics NZ'!AX$112,$B$14/5*(AY$9-AY$10)*1000)</f>
        <v>34401.945233592451</v>
      </c>
      <c r="AZ112" s="111">
        <f>SUM(AY$112,'Statistics NZ'!AZ$112-'Statistics NZ'!AY$112,$B$14/5*(AZ$9-AZ$10)*1000)</f>
        <v>34311.945233592451</v>
      </c>
      <c r="BA112" s="111">
        <f>SUM(AZ$112,'Statistics NZ'!BA$112-'Statistics NZ'!AZ$112,$B$14/5*(BA$9-BA$10)*1000)</f>
        <v>34241.945233592451</v>
      </c>
      <c r="BB112" s="111">
        <f>SUM(BA$112,'Statistics NZ'!BB$112-'Statistics NZ'!BA$112,$B$14/5*(BB$9-BB$10)*1000)</f>
        <v>34181.945233592451</v>
      </c>
      <c r="BC112" s="111">
        <f>SUM(BB$112,'Statistics NZ'!BC$112-'Statistics NZ'!BB$112,$B$14/5*(BC$9-BC$10)*1000)</f>
        <v>34141.945233592451</v>
      </c>
      <c r="BD112" s="111">
        <f>SUM(BC$112,'Statistics NZ'!BD$112-'Statistics NZ'!BC$112,$B$14/5*(BD$9-BD$10)*1000)</f>
        <v>34121.945233592451</v>
      </c>
      <c r="BE112" s="111">
        <f>SUM(BD$112,'Statistics NZ'!BE$112-'Statistics NZ'!BD$112,$B$14/5*(BE$9-BE$10)*1000)</f>
        <v>34111.945233592451</v>
      </c>
      <c r="BF112" s="111">
        <f>SUM(BE$112,'Statistics NZ'!BF$112-'Statistics NZ'!BE$112,$B$14/5*(BF$9-BF$10)*1000)</f>
        <v>34121.945233592451</v>
      </c>
      <c r="BG112" s="111">
        <f>SUM(BF$112,'Statistics NZ'!BG$112-'Statistics NZ'!BF$112,$B$14/5*(BG$9-BG$10)*1000)</f>
        <v>34141.945233592451</v>
      </c>
      <c r="BH112" s="111">
        <f>SUM(BG$112,'Statistics NZ'!BH$112-'Statistics NZ'!BG$112,$B$14/5*(BH$9-BH$10)*1000)</f>
        <v>34181.945233592451</v>
      </c>
      <c r="BI112" s="111">
        <f>SUM(BH$112,'Statistics NZ'!BI$112-'Statistics NZ'!BH$112,$B$14/5*(BI$9-BI$10)*1000)</f>
        <v>34221.945233592451</v>
      </c>
      <c r="BJ112" s="111">
        <f>SUM(BI$112,'Statistics NZ'!BJ$112-'Statistics NZ'!BI$112,$B$14/5*(BJ$9-BJ$10)*1000)</f>
        <v>34271.945233592451</v>
      </c>
      <c r="BK112" s="111">
        <f>SUM(BJ$112,'Statistics NZ'!BK$112-'Statistics NZ'!BJ$112,$B$14/5*(BK$9-BK$10)*1000)</f>
        <v>34331.945233592451</v>
      </c>
      <c r="BL112" s="111">
        <f>SUM(BK$112,'Statistics NZ'!BL$112-'Statistics NZ'!BK$112,$B$14/5*(BL$9-BL$10)*1000)</f>
        <v>34391.945233592451</v>
      </c>
      <c r="BM112" s="195">
        <f>SUM(BL$112,'Statistics NZ'!BM$112-'Statistics NZ'!BL$112,$B$14/5*(BM$9-BM$10)*1000)</f>
        <v>34461.945233592451</v>
      </c>
      <c r="BN112" s="195">
        <f>SUM(BM$112,'Statistics NZ'!BN$112-'Statistics NZ'!BM$112,$B$14/5*(BN$9-BN$10)*1000)</f>
        <v>34531.945233592451</v>
      </c>
      <c r="BO112" s="195">
        <f>SUM(BN$112,'Statistics NZ'!BO$112-'Statistics NZ'!BN$112,$B$14/5*(BO$9-BO$10)*1000)</f>
        <v>34601.945233592451</v>
      </c>
      <c r="BP112" s="195">
        <f>SUM(BO$112,'Statistics NZ'!BP$112-'Statistics NZ'!BO$112,$B$14/5*(BP$9-BP$10)*1000)</f>
        <v>34661.945233592451</v>
      </c>
      <c r="BQ112" s="195">
        <f>SUM(BP$112,'Statistics NZ'!BQ$112-'Statistics NZ'!BP$112,$B$14/5*(BQ$9-BQ$10)*1000)</f>
        <v>34731.945233592451</v>
      </c>
    </row>
    <row r="113" spans="1:69">
      <c r="A113" s="105">
        <f>$A$20</f>
        <v>3</v>
      </c>
      <c r="B113" s="118">
        <f>'Statistics NZ'!B$113*('Economic Forecasts'!D$10-'Economic Forecasts'!D$9)*1000000/SUM('Statistics NZ'!B$17:B$31,'Statistics NZ'!B$110:B$124)</f>
        <v>30453.152615640927</v>
      </c>
      <c r="C113" s="118">
        <f>'Statistics NZ'!C$113*('Economic Forecasts'!E$10-'Economic Forecasts'!E$9)*1000000/SUM('Statistics NZ'!C$17:C$31,'Statistics NZ'!C$110:C$124)</f>
        <v>31316.346011443962</v>
      </c>
      <c r="D113" s="118">
        <f>'Statistics NZ'!D$113*('Economic Forecasts'!F$10-'Economic Forecasts'!F$9)*1000000/SUM('Statistics NZ'!D$17:D$31,'Statistics NZ'!D$110:D$124)</f>
        <v>31220.686536163746</v>
      </c>
      <c r="E113" s="118">
        <f>'Statistics NZ'!E$113*('Economic Forecasts'!G$10-'Economic Forecasts'!G$9)*1000000/SUM('Statistics NZ'!E$17:E$31,'Statistics NZ'!E$110:E$124)</f>
        <v>32090.093213191907</v>
      </c>
      <c r="F113" s="118">
        <f>'Statistics NZ'!F$113*('Economic Forecasts'!H$10-'Economic Forecasts'!H$9)*1000000/SUM('Statistics NZ'!F$17:F$31,'Statistics NZ'!F$110:F$124)</f>
        <v>33739.380051533903</v>
      </c>
      <c r="G113" s="118">
        <f>'Statistics NZ'!G$113*('Economic Forecasts'!I$10-'Economic Forecasts'!I$9)*1000000/SUM('Statistics NZ'!G$17:G$31,'Statistics NZ'!G$110:G$124)</f>
        <v>34889.63995124682</v>
      </c>
      <c r="H113" s="118">
        <f>'Statistics NZ'!H$113*('Economic Forecasts'!J$10-'Economic Forecasts'!J$9)*1000000/SUM('Statistics NZ'!H$17:H$31,'Statistics NZ'!H$110:H$124)</f>
        <v>34968.181818181802</v>
      </c>
      <c r="I113" s="118">
        <f>'Statistics NZ'!I$113*('Economic Forecasts'!K$10-'Economic Forecasts'!K$9)*1000000/SUM('Statistics NZ'!I$17:I$31,'Statistics NZ'!I$110:I$124)</f>
        <v>35086.393116121442</v>
      </c>
      <c r="J113" s="203">
        <f>'Statistics NZ'!J$113*('Economic Forecasts'!L$10-'Economic Forecasts'!L$9)*1000000/SUM('Statistics NZ'!J$17:J$31,'Statistics NZ'!J$110:J$124)</f>
        <v>34497.692231753063</v>
      </c>
      <c r="K113" s="203">
        <f>'Statistics NZ'!K$113*('Economic Forecasts'!M$10-'Economic Forecasts'!M$9)*1000000/SUM('Statistics NZ'!K$17:K$31,'Statistics NZ'!K$110:K$124)</f>
        <v>34374.740679298011</v>
      </c>
      <c r="L113" s="203">
        <f>'Statistics NZ'!L$113*('Economic Forecasts'!N$10-'Economic Forecasts'!N$9)*1000000/SUM('Statistics NZ'!L$17:L$31,'Statistics NZ'!L$110:L$124)</f>
        <v>34062.983205545534</v>
      </c>
      <c r="M113" s="203">
        <f>'Statistics NZ'!M$113*('Economic Forecasts'!O$10-'Economic Forecasts'!O$9)*1000000/SUM('Statistics NZ'!M$17:M$31,'Statistics NZ'!M$110:M$124)</f>
        <v>33629.152158830126</v>
      </c>
      <c r="N113" s="203">
        <f>'Statistics NZ'!N$113*('Economic Forecasts'!P$10-'Economic Forecasts'!P$9)*1000000/SUM('Statistics NZ'!N$17:N$31,'Statistics NZ'!N$110:N$124)</f>
        <v>33679.287774572877</v>
      </c>
      <c r="O113" s="203">
        <f>'Statistics NZ'!O$113*('Economic Forecasts'!Q$10-'Economic Forecasts'!Q$9)*1000000/SUM('Statistics NZ'!O$17:O$31,'Statistics NZ'!O$110:O$124)</f>
        <v>33749.440289530648</v>
      </c>
      <c r="P113" s="203">
        <f>'Statistics NZ'!P$113*('Economic Forecasts'!R$10-'Economic Forecasts'!R$9)*1000000/SUM('Statistics NZ'!P$17:P$31,'Statistics NZ'!P$110:P$124)</f>
        <v>33864.588763394182</v>
      </c>
      <c r="Q113" s="121">
        <f>SUM('Statistics NZ'!Q$113,$B$14/5*(Q$9-Q$10)*1000)*('Economic Forecasts'!S$10-'Economic Forecasts'!S$9)*1000000/SUM('Statistics NZ'!Q$17:Q$31,'Statistics NZ'!Q$110:Q$124,SUM($B$13:$D$14)*(Q$9-Q$10)*1000)</f>
        <v>32994.955779760159</v>
      </c>
      <c r="R113" s="205">
        <f>SUM('Statistics NZ'!R$113,$B$14/5*(R$9-R$10)*1000)*('Economic Forecasts'!T$10-'Economic Forecasts'!T$9)*1000000/SUM('Statistics NZ'!R$17:R$31,'Statistics NZ'!R$110:R$124,SUM($B$13:$D$14)*(R$9-R$10)*1000)</f>
        <v>33063.822649860718</v>
      </c>
      <c r="S113" s="205">
        <f>SUM('Statistics NZ'!S$113,$B$14/5*(S$9-S$10)*1000)*('Economic Forecasts'!U$10-'Economic Forecasts'!U$9)*1000000/SUM('Statistics NZ'!S$17:S$31,'Statistics NZ'!S$110:S$124,SUM($B$13:$D$14)*(S$9-S$10)*1000)</f>
        <v>32614.766558381707</v>
      </c>
      <c r="T113" s="205">
        <f>SUM('Statistics NZ'!T$113,$B$14/5*(T$9-T$10)*1000)*('Economic Forecasts'!V$10-'Economic Forecasts'!V$9)*1000000/SUM('Statistics NZ'!T$17:T$31,'Statistics NZ'!T$110:T$124,SUM($B$13:$D$14)*(T$9-T$10)*1000)</f>
        <v>32657.597148568195</v>
      </c>
      <c r="U113" s="205">
        <f>SUM('Statistics NZ'!U$113,$B$14/5*(U$9-U$10)*1000)*('Economic Forecasts'!W$10-'Economic Forecasts'!W$9)*1000000/SUM('Statistics NZ'!U$17:U$31,'Statistics NZ'!U$110:U$124,SUM($B$13:$D$14)*(U$9-U$10)*1000)</f>
        <v>32936.101909894132</v>
      </c>
      <c r="V113" s="111">
        <f>SUM(U$113,'Statistics NZ'!V$113-'Statistics NZ'!U$113,$B$14/5*(V$9-V$10)*1000)</f>
        <v>32989.206977895694</v>
      </c>
      <c r="W113" s="111">
        <f>SUM(V$113,'Statistics NZ'!W$113-'Statistics NZ'!V$113,$B$14/5*(W$9-W$10)*1000)</f>
        <v>32998.173912397062</v>
      </c>
      <c r="X113" s="111">
        <f>SUM(W$113,'Statistics NZ'!X$113-'Statistics NZ'!W$113,$B$14/5*(X$9-X$10)*1000)</f>
        <v>33203.002713398237</v>
      </c>
      <c r="Y113" s="111">
        <f>SUM(X$113,'Statistics NZ'!Y$113-'Statistics NZ'!X$113,$B$14/5*(Y$9-Y$10)*1000)</f>
        <v>33353.693380899218</v>
      </c>
      <c r="Z113" s="111">
        <f>SUM(Y$113,'Statistics NZ'!Z$113-'Statistics NZ'!Y$113,$B$14/5*(Z$9-Z$10)*1000)</f>
        <v>33470.245914899999</v>
      </c>
      <c r="AA113" s="111">
        <f>SUM(Z$113,'Statistics NZ'!AA$113-'Statistics NZ'!Z$113,$B$14/5*(AA$9-AA$10)*1000)</f>
        <v>33542.660315400586</v>
      </c>
      <c r="AB113" s="111">
        <f>SUM(AA$113,'Statistics NZ'!AB$113-'Statistics NZ'!AA$113,$B$14/5*(AB$9-AB$10)*1000)</f>
        <v>33600.93658240098</v>
      </c>
      <c r="AC113" s="111">
        <f>SUM(AB$113,'Statistics NZ'!AC$113-'Statistics NZ'!AB$113,$B$14/5*(AC$9-AC$10)*1000)</f>
        <v>33635.074715901173</v>
      </c>
      <c r="AD113" s="111">
        <f>SUM(AC$113,'Statistics NZ'!AD$113-'Statistics NZ'!AC$113,$B$14/5*(AD$9-AD$10)*1000)</f>
        <v>33665.074715901173</v>
      </c>
      <c r="AE113" s="111">
        <f>SUM(AD$113,'Statistics NZ'!AE$113-'Statistics NZ'!AD$113,$B$14/5*(AE$9-AE$10)*1000)</f>
        <v>33705.074715901173</v>
      </c>
      <c r="AF113" s="111">
        <f>SUM(AE$113,'Statistics NZ'!AF$113-'Statistics NZ'!AE$113,$B$14/5*(AF$9-AF$10)*1000)</f>
        <v>33755.074715901173</v>
      </c>
      <c r="AG113" s="111">
        <f>SUM(AF$113,'Statistics NZ'!AG$113-'Statistics NZ'!AF$113,$B$14/5*(AG$9-AG$10)*1000)</f>
        <v>33815.074715901173</v>
      </c>
      <c r="AH113" s="111">
        <f>SUM(AG$113,'Statistics NZ'!AH$113-'Statistics NZ'!AG$113,$B$14/5*(AH$9-AH$10)*1000)</f>
        <v>33905.074715901173</v>
      </c>
      <c r="AI113" s="111">
        <f>SUM(AH$113,'Statistics NZ'!AI$113-'Statistics NZ'!AH$113,$B$14/5*(AI$9-AI$10)*1000)</f>
        <v>34025.074715901173</v>
      </c>
      <c r="AJ113" s="111">
        <f>SUM(AI$113,'Statistics NZ'!AJ$113-'Statistics NZ'!AI$113,$B$14/5*(AJ$9-AJ$10)*1000)</f>
        <v>34165.074715901173</v>
      </c>
      <c r="AK113" s="111">
        <f>SUM(AJ$113,'Statistics NZ'!AK$113-'Statistics NZ'!AJ$113,$B$14/5*(AK$9-AK$10)*1000)</f>
        <v>34325.074715901173</v>
      </c>
      <c r="AL113" s="111">
        <f>SUM(AK$113,'Statistics NZ'!AL$113-'Statistics NZ'!AK$113,$B$14/5*(AL$9-AL$10)*1000)</f>
        <v>34485.074715901173</v>
      </c>
      <c r="AM113" s="111">
        <f>SUM(AL$113,'Statistics NZ'!AM$113-'Statistics NZ'!AL$113,$B$14/5*(AM$9-AM$10)*1000)</f>
        <v>34655.074715901173</v>
      </c>
      <c r="AN113" s="111">
        <f>SUM(AM$113,'Statistics NZ'!AN$113-'Statistics NZ'!AM$113,$B$14/5*(AN$9-AN$10)*1000)</f>
        <v>34805.074715901173</v>
      </c>
      <c r="AO113" s="111">
        <f>SUM(AN$113,'Statistics NZ'!AO$113-'Statistics NZ'!AN$113,$B$14/5*(AO$9-AO$10)*1000)</f>
        <v>34935.074715901173</v>
      </c>
      <c r="AP113" s="111">
        <f>SUM(AO$113,'Statistics NZ'!AP$113-'Statistics NZ'!AO$113,$B$14/5*(AP$9-AP$10)*1000)</f>
        <v>35035.074715901173</v>
      </c>
      <c r="AQ113" s="111">
        <f>SUM(AP$113,'Statistics NZ'!AQ$113-'Statistics NZ'!AP$113,$B$14/5*(AQ$9-AQ$10)*1000)</f>
        <v>35105.074715901173</v>
      </c>
      <c r="AR113" s="111">
        <f>SUM(AQ$113,'Statistics NZ'!AR$113-'Statistics NZ'!AQ$113,$B$14/5*(AR$9-AR$10)*1000)</f>
        <v>35135.074715901173</v>
      </c>
      <c r="AS113" s="111">
        <f>SUM(AR$113,'Statistics NZ'!AS$113-'Statistics NZ'!AR$113,$B$14/5*(AS$9-AS$10)*1000)</f>
        <v>35135.074715901173</v>
      </c>
      <c r="AT113" s="111">
        <f>SUM(AS$113,'Statistics NZ'!AT$113-'Statistics NZ'!AS$113,$B$14/5*(AT$9-AT$10)*1000)</f>
        <v>35105.074715901173</v>
      </c>
      <c r="AU113" s="111">
        <f>SUM(AT$113,'Statistics NZ'!AU$113-'Statistics NZ'!AT$113,$B$14/5*(AU$9-AU$10)*1000)</f>
        <v>35045.074715901173</v>
      </c>
      <c r="AV113" s="111">
        <f>SUM(AU$113,'Statistics NZ'!AV$113-'Statistics NZ'!AU$113,$B$14/5*(AV$9-AV$10)*1000)</f>
        <v>34955.074715901173</v>
      </c>
      <c r="AW113" s="111">
        <f>SUM(AV$113,'Statistics NZ'!AW$113-'Statistics NZ'!AV$113,$B$14/5*(AW$9-AW$10)*1000)</f>
        <v>34865.074715901173</v>
      </c>
      <c r="AX113" s="111">
        <f>SUM(AW$113,'Statistics NZ'!AX$113-'Statistics NZ'!AW$113,$B$14/5*(AX$9-AX$10)*1000)</f>
        <v>34755.074715901173</v>
      </c>
      <c r="AY113" s="111">
        <f>SUM(AX$113,'Statistics NZ'!AY$113-'Statistics NZ'!AX$113,$B$14/5*(AY$9-AY$10)*1000)</f>
        <v>34655.074715901173</v>
      </c>
      <c r="AZ113" s="111">
        <f>SUM(AY$113,'Statistics NZ'!AZ$113-'Statistics NZ'!AY$113,$B$14/5*(AZ$9-AZ$10)*1000)</f>
        <v>34555.074715901173</v>
      </c>
      <c r="BA113" s="111">
        <f>SUM(AZ$113,'Statistics NZ'!BA$113-'Statistics NZ'!AZ$113,$B$14/5*(BA$9-BA$10)*1000)</f>
        <v>34455.074715901173</v>
      </c>
      <c r="BB113" s="111">
        <f>SUM(BA$113,'Statistics NZ'!BB$113-'Statistics NZ'!BA$113,$B$14/5*(BB$9-BB$10)*1000)</f>
        <v>34385.074715901173</v>
      </c>
      <c r="BC113" s="111">
        <f>SUM(BB$113,'Statistics NZ'!BC$113-'Statistics NZ'!BB$113,$B$14/5*(BC$9-BC$10)*1000)</f>
        <v>34325.074715901173</v>
      </c>
      <c r="BD113" s="111">
        <f>SUM(BC$113,'Statistics NZ'!BD$113-'Statistics NZ'!BC$113,$B$14/5*(BD$9-BD$10)*1000)</f>
        <v>34285.074715901173</v>
      </c>
      <c r="BE113" s="111">
        <f>SUM(BD$113,'Statistics NZ'!BE$113-'Statistics NZ'!BD$113,$B$14/5*(BE$9-BE$10)*1000)</f>
        <v>34265.074715901173</v>
      </c>
      <c r="BF113" s="111">
        <f>SUM(BE$113,'Statistics NZ'!BF$113-'Statistics NZ'!BE$113,$B$14/5*(BF$9-BF$10)*1000)</f>
        <v>34265.074715901173</v>
      </c>
      <c r="BG113" s="111">
        <f>SUM(BF$113,'Statistics NZ'!BG$113-'Statistics NZ'!BF$113,$B$14/5*(BG$9-BG$10)*1000)</f>
        <v>34265.074715901173</v>
      </c>
      <c r="BH113" s="111">
        <f>SUM(BG$113,'Statistics NZ'!BH$113-'Statistics NZ'!BG$113,$B$14/5*(BH$9-BH$10)*1000)</f>
        <v>34295.074715901173</v>
      </c>
      <c r="BI113" s="111">
        <f>SUM(BH$113,'Statistics NZ'!BI$113-'Statistics NZ'!BH$113,$B$14/5*(BI$9-BI$10)*1000)</f>
        <v>34325.074715901173</v>
      </c>
      <c r="BJ113" s="111">
        <f>SUM(BI$113,'Statistics NZ'!BJ$113-'Statistics NZ'!BI$113,$B$14/5*(BJ$9-BJ$10)*1000)</f>
        <v>34375.074715901173</v>
      </c>
      <c r="BK113" s="111">
        <f>SUM(BJ$113,'Statistics NZ'!BK$113-'Statistics NZ'!BJ$113,$B$14/5*(BK$9-BK$10)*1000)</f>
        <v>34425.074715901173</v>
      </c>
      <c r="BL113" s="111">
        <f>SUM(BK$113,'Statistics NZ'!BL$113-'Statistics NZ'!BK$113,$B$14/5*(BL$9-BL$10)*1000)</f>
        <v>34475.074715901173</v>
      </c>
      <c r="BM113" s="195">
        <f>SUM(BL$113,'Statistics NZ'!BM$113-'Statistics NZ'!BL$113,$B$14/5*(BM$9-BM$10)*1000)</f>
        <v>34545.074715901173</v>
      </c>
      <c r="BN113" s="195">
        <f>SUM(BM$113,'Statistics NZ'!BN$113-'Statistics NZ'!BM$113,$B$14/5*(BN$9-BN$10)*1000)</f>
        <v>34605.074715901173</v>
      </c>
      <c r="BO113" s="195">
        <f>SUM(BN$113,'Statistics NZ'!BO$113-'Statistics NZ'!BN$113,$B$14/5*(BO$9-BO$10)*1000)</f>
        <v>34675.074715901173</v>
      </c>
      <c r="BP113" s="195">
        <f>SUM(BO$113,'Statistics NZ'!BP$113-'Statistics NZ'!BO$113,$B$14/5*(BP$9-BP$10)*1000)</f>
        <v>34745.074715901173</v>
      </c>
      <c r="BQ113" s="195">
        <f>SUM(BP$113,'Statistics NZ'!BQ$113-'Statistics NZ'!BP$113,$B$14/5*(BQ$9-BQ$10)*1000)</f>
        <v>34815.074715901173</v>
      </c>
    </row>
    <row r="114" spans="1:69">
      <c r="A114" s="105">
        <f>$A$21</f>
        <v>4</v>
      </c>
      <c r="B114" s="118">
        <f>'Statistics NZ'!B$114*('Economic Forecasts'!D$10-'Economic Forecasts'!D$9)*1000000/SUM('Statistics NZ'!B$17:B$31,'Statistics NZ'!B$110:B$124)</f>
        <v>29998.470128671292</v>
      </c>
      <c r="C114" s="118">
        <f>'Statistics NZ'!C$114*('Economic Forecasts'!E$10-'Economic Forecasts'!E$9)*1000000/SUM('Statistics NZ'!C$17:C$31,'Statistics NZ'!C$110:C$124)</f>
        <v>30567.201615617643</v>
      </c>
      <c r="D114" s="118">
        <f>'Statistics NZ'!D$114*('Economic Forecasts'!F$10-'Economic Forecasts'!F$9)*1000000/SUM('Statistics NZ'!D$17:D$31,'Statistics NZ'!D$110:D$124)</f>
        <v>31421.428683096776</v>
      </c>
      <c r="E114" s="118">
        <f>'Statistics NZ'!E$114*('Economic Forecasts'!G$10-'Economic Forecasts'!G$9)*1000000/SUM('Statistics NZ'!E$17:E$31,'Statistics NZ'!E$110:E$124)</f>
        <v>31443.628323494184</v>
      </c>
      <c r="F114" s="118">
        <f>'Statistics NZ'!F$114*('Economic Forecasts'!H$10-'Economic Forecasts'!H$9)*1000000/SUM('Statistics NZ'!F$17:F$31,'Statistics NZ'!F$110:F$124)</f>
        <v>32076.767789107409</v>
      </c>
      <c r="G114" s="118">
        <f>'Statistics NZ'!G$114*('Economic Forecasts'!I$10-'Economic Forecasts'!I$9)*1000000/SUM('Statistics NZ'!G$17:G$31,'Statistics NZ'!G$110:G$124)</f>
        <v>33682.532529564844</v>
      </c>
      <c r="H114" s="118">
        <f>'Statistics NZ'!H$114*('Economic Forecasts'!J$10-'Economic Forecasts'!J$9)*1000000/SUM('Statistics NZ'!H$17:H$31,'Statistics NZ'!H$110:H$124)</f>
        <v>34809.09090909089</v>
      </c>
      <c r="I114" s="118">
        <f>'Statistics NZ'!I$114*('Economic Forecasts'!K$10-'Economic Forecasts'!K$9)*1000000/SUM('Statistics NZ'!I$17:I$31,'Statistics NZ'!I$110:I$124)</f>
        <v>35054.457685493908</v>
      </c>
      <c r="J114" s="203">
        <f>'Statistics NZ'!J$114*('Economic Forecasts'!L$10-'Economic Forecasts'!L$9)*1000000/SUM('Statistics NZ'!J$17:J$31,'Statistics NZ'!J$110:J$124)</f>
        <v>35450.903845731962</v>
      </c>
      <c r="K114" s="203">
        <f>'Statistics NZ'!K$114*('Economic Forecasts'!M$10-'Economic Forecasts'!M$9)*1000000/SUM('Statistics NZ'!K$17:K$31,'Statistics NZ'!K$110:K$124)</f>
        <v>34932.981314939323</v>
      </c>
      <c r="L114" s="203">
        <f>'Statistics NZ'!L$114*('Economic Forecasts'!N$10-'Economic Forecasts'!N$9)*1000000/SUM('Statistics NZ'!L$17:L$31,'Statistics NZ'!L$110:L$124)</f>
        <v>34574.247493808885</v>
      </c>
      <c r="M114" s="203">
        <f>'Statistics NZ'!M$114*('Economic Forecasts'!O$10-'Economic Forecasts'!O$9)*1000000/SUM('Statistics NZ'!M$17:M$31,'Statistics NZ'!M$110:M$124)</f>
        <v>34598.199925281529</v>
      </c>
      <c r="N114" s="203">
        <f>'Statistics NZ'!N$114*('Economic Forecasts'!P$10-'Economic Forecasts'!P$9)*1000000/SUM('Statistics NZ'!N$17:N$31,'Statistics NZ'!N$110:N$124)</f>
        <v>33964.795080668155</v>
      </c>
      <c r="O114" s="203">
        <f>'Statistics NZ'!O$114*('Economic Forecasts'!Q$10-'Economic Forecasts'!Q$9)*1000000/SUM('Statistics NZ'!O$17:O$31,'Statistics NZ'!O$110:O$124)</f>
        <v>34235.956821438645</v>
      </c>
      <c r="P114" s="203">
        <f>'Statistics NZ'!P$114*('Economic Forecasts'!R$10-'Economic Forecasts'!R$9)*1000000/SUM('Statistics NZ'!P$17:P$31,'Statistics NZ'!P$110:P$124)</f>
        <v>34308.368085722599</v>
      </c>
      <c r="Q114" s="121">
        <f>SUM('Statistics NZ'!Q$114,$B$14/5*(Q$9-Q$10)*1000)*('Economic Forecasts'!S$10-'Economic Forecasts'!S$9)*1000000/SUM('Statistics NZ'!Q$17:Q$31,'Statistics NZ'!Q$110:Q$124,SUM($B$13:$D$14)*(Q$9-Q$10)*1000)</f>
        <v>33899.602449142149</v>
      </c>
      <c r="R114" s="205">
        <f>SUM('Statistics NZ'!R$114,$B$14/5*(R$9-R$10)*1000)*('Economic Forecasts'!T$10-'Economic Forecasts'!T$9)*1000000/SUM('Statistics NZ'!R$17:R$31,'Statistics NZ'!R$110:R$124,SUM($B$13:$D$14)*(R$9-R$10)*1000)</f>
        <v>33263.811852725317</v>
      </c>
      <c r="S114" s="205">
        <f>SUM('Statistics NZ'!S$114,$B$14/5*(S$9-S$10)*1000)*('Economic Forecasts'!U$10-'Economic Forecasts'!U$9)*1000000/SUM('Statistics NZ'!S$17:S$31,'Statistics NZ'!S$110:S$124,SUM($B$13:$D$14)*(S$9-S$10)*1000)</f>
        <v>33458.7756371414</v>
      </c>
      <c r="T114" s="205">
        <f>SUM('Statistics NZ'!T$114,$B$14/5*(T$9-T$10)*1000)*('Economic Forecasts'!V$10-'Economic Forecasts'!V$9)*1000000/SUM('Statistics NZ'!T$17:T$31,'Statistics NZ'!T$110:T$124,SUM($B$13:$D$14)*(T$9-T$10)*1000)</f>
        <v>33007.605765633823</v>
      </c>
      <c r="U114" s="205">
        <f>SUM('Statistics NZ'!U$114,$B$14/5*(U$9-U$10)*1000)*('Economic Forecasts'!W$10-'Economic Forecasts'!W$9)*1000000/SUM('Statistics NZ'!U$17:U$31,'Statistics NZ'!U$110:U$124,SUM($B$13:$D$14)*(U$9-U$10)*1000)</f>
        <v>33139.231392202848</v>
      </c>
      <c r="V114" s="111">
        <f>SUM(U$114,'Statistics NZ'!V$114-'Statistics NZ'!U$114,$B$14/5*(V$9-V$10)*1000)</f>
        <v>33212.336460204409</v>
      </c>
      <c r="W114" s="111">
        <f>SUM(V$114,'Statistics NZ'!W$114-'Statistics NZ'!V$114,$B$14/5*(W$9-W$10)*1000)</f>
        <v>33251.303394705777</v>
      </c>
      <c r="X114" s="111">
        <f>SUM(W$114,'Statistics NZ'!X$114-'Statistics NZ'!W$114,$B$14/5*(X$9-X$10)*1000)</f>
        <v>33246.132195706952</v>
      </c>
      <c r="Y114" s="111">
        <f>SUM(X$114,'Statistics NZ'!Y$114-'Statistics NZ'!X$114,$B$14/5*(Y$9-Y$10)*1000)</f>
        <v>33436.822863207934</v>
      </c>
      <c r="Z114" s="111">
        <f>SUM(Y$114,'Statistics NZ'!Z$114-'Statistics NZ'!Y$114,$B$14/5*(Z$9-Z$10)*1000)</f>
        <v>33573.375397208714</v>
      </c>
      <c r="AA114" s="111">
        <f>SUM(Z$114,'Statistics NZ'!AA$114-'Statistics NZ'!Z$114,$B$14/5*(AA$9-AA$10)*1000)</f>
        <v>33675.789797709302</v>
      </c>
      <c r="AB114" s="111">
        <f>SUM(AA$114,'Statistics NZ'!AB$114-'Statistics NZ'!AA$114,$B$14/5*(AB$9-AB$10)*1000)</f>
        <v>33744.066064709696</v>
      </c>
      <c r="AC114" s="111">
        <f>SUM(AB$114,'Statistics NZ'!AC$114-'Statistics NZ'!AB$114,$B$14/5*(AC$9-AC$10)*1000)</f>
        <v>33778.204198209889</v>
      </c>
      <c r="AD114" s="111">
        <f>SUM(AC$114,'Statistics NZ'!AD$114-'Statistics NZ'!AC$114,$B$14/5*(AD$9-AD$10)*1000)</f>
        <v>33808.204198209889</v>
      </c>
      <c r="AE114" s="111">
        <f>SUM(AD$114,'Statistics NZ'!AE$114-'Statistics NZ'!AD$114,$B$14/5*(AE$9-AE$10)*1000)</f>
        <v>33828.204198209889</v>
      </c>
      <c r="AF114" s="111">
        <f>SUM(AE$114,'Statistics NZ'!AF$114-'Statistics NZ'!AE$114,$B$14/5*(AF$9-AF$10)*1000)</f>
        <v>33868.204198209889</v>
      </c>
      <c r="AG114" s="111">
        <f>SUM(AF$114,'Statistics NZ'!AG$114-'Statistics NZ'!AF$114,$B$14/5*(AG$9-AG$10)*1000)</f>
        <v>33918.204198209889</v>
      </c>
      <c r="AH114" s="111">
        <f>SUM(AG$114,'Statistics NZ'!AH$114-'Statistics NZ'!AG$114,$B$14/5*(AH$9-AH$10)*1000)</f>
        <v>33978.204198209889</v>
      </c>
      <c r="AI114" s="111">
        <f>SUM(AH$114,'Statistics NZ'!AI$114-'Statistics NZ'!AH$114,$B$14/5*(AI$9-AI$10)*1000)</f>
        <v>34078.204198209889</v>
      </c>
      <c r="AJ114" s="111">
        <f>SUM(AI$114,'Statistics NZ'!AJ$114-'Statistics NZ'!AI$114,$B$14/5*(AJ$9-AJ$10)*1000)</f>
        <v>34188.204198209889</v>
      </c>
      <c r="AK114" s="111">
        <f>SUM(AJ$114,'Statistics NZ'!AK$114-'Statistics NZ'!AJ$114,$B$14/5*(AK$9-AK$10)*1000)</f>
        <v>34328.204198209889</v>
      </c>
      <c r="AL114" s="111">
        <f>SUM(AK$114,'Statistics NZ'!AL$114-'Statistics NZ'!AK$114,$B$14/5*(AL$9-AL$10)*1000)</f>
        <v>34488.204198209889</v>
      </c>
      <c r="AM114" s="111">
        <f>SUM(AL$114,'Statistics NZ'!AM$114-'Statistics NZ'!AL$114,$B$14/5*(AM$9-AM$10)*1000)</f>
        <v>34658.204198209889</v>
      </c>
      <c r="AN114" s="111">
        <f>SUM(AM$114,'Statistics NZ'!AN$114-'Statistics NZ'!AM$114,$B$14/5*(AN$9-AN$10)*1000)</f>
        <v>34828.204198209889</v>
      </c>
      <c r="AO114" s="111">
        <f>SUM(AN$114,'Statistics NZ'!AO$114-'Statistics NZ'!AN$114,$B$14/5*(AO$9-AO$10)*1000)</f>
        <v>34968.204198209889</v>
      </c>
      <c r="AP114" s="111">
        <f>SUM(AO$114,'Statistics NZ'!AP$114-'Statistics NZ'!AO$114,$B$14/5*(AP$9-AP$10)*1000)</f>
        <v>35098.204198209889</v>
      </c>
      <c r="AQ114" s="111">
        <f>SUM(AP$114,'Statistics NZ'!AQ$114-'Statistics NZ'!AP$114,$B$14/5*(AQ$9-AQ$10)*1000)</f>
        <v>35198.204198209889</v>
      </c>
      <c r="AR114" s="111">
        <f>SUM(AQ$114,'Statistics NZ'!AR$114-'Statistics NZ'!AQ$114,$B$14/5*(AR$9-AR$10)*1000)</f>
        <v>35268.204198209889</v>
      </c>
      <c r="AS114" s="111">
        <f>SUM(AR$114,'Statistics NZ'!AS$114-'Statistics NZ'!AR$114,$B$14/5*(AS$9-AS$10)*1000)</f>
        <v>35298.204198209889</v>
      </c>
      <c r="AT114" s="111">
        <f>SUM(AS$114,'Statistics NZ'!AT$114-'Statistics NZ'!AS$114,$B$14/5*(AT$9-AT$10)*1000)</f>
        <v>35298.204198209889</v>
      </c>
      <c r="AU114" s="111">
        <f>SUM(AT$114,'Statistics NZ'!AU$114-'Statistics NZ'!AT$114,$B$14/5*(AU$9-AU$10)*1000)</f>
        <v>35268.204198209889</v>
      </c>
      <c r="AV114" s="111">
        <f>SUM(AU$114,'Statistics NZ'!AV$114-'Statistics NZ'!AU$114,$B$14/5*(AV$9-AV$10)*1000)</f>
        <v>35208.204198209889</v>
      </c>
      <c r="AW114" s="111">
        <f>SUM(AV$114,'Statistics NZ'!AW$114-'Statistics NZ'!AV$114,$B$14/5*(AW$9-AW$10)*1000)</f>
        <v>35128.204198209889</v>
      </c>
      <c r="AX114" s="111">
        <f>SUM(AW$114,'Statistics NZ'!AX$114-'Statistics NZ'!AW$114,$B$14/5*(AX$9-AX$10)*1000)</f>
        <v>35028.204198209889</v>
      </c>
      <c r="AY114" s="111">
        <f>SUM(AX$114,'Statistics NZ'!AY$114-'Statistics NZ'!AX$114,$B$14/5*(AY$9-AY$10)*1000)</f>
        <v>34928.204198209889</v>
      </c>
      <c r="AZ114" s="111">
        <f>SUM(AY$114,'Statistics NZ'!AZ$114-'Statistics NZ'!AY$114,$B$14/5*(AZ$9-AZ$10)*1000)</f>
        <v>34818.204198209889</v>
      </c>
      <c r="BA114" s="111">
        <f>SUM(AZ$114,'Statistics NZ'!BA$114-'Statistics NZ'!AZ$114,$B$14/5*(BA$9-BA$10)*1000)</f>
        <v>34718.204198209889</v>
      </c>
      <c r="BB114" s="111">
        <f>SUM(BA$114,'Statistics NZ'!BB$114-'Statistics NZ'!BA$114,$B$14/5*(BB$9-BB$10)*1000)</f>
        <v>34628.204198209889</v>
      </c>
      <c r="BC114" s="111">
        <f>SUM(BB$114,'Statistics NZ'!BC$114-'Statistics NZ'!BB$114,$B$14/5*(BC$9-BC$10)*1000)</f>
        <v>34548.204198209889</v>
      </c>
      <c r="BD114" s="111">
        <f>SUM(BC$114,'Statistics NZ'!BD$114-'Statistics NZ'!BC$114,$B$14/5*(BD$9-BD$10)*1000)</f>
        <v>34498.204198209889</v>
      </c>
      <c r="BE114" s="111">
        <f>SUM(BD$114,'Statistics NZ'!BE$114-'Statistics NZ'!BD$114,$B$14/5*(BE$9-BE$10)*1000)</f>
        <v>34458.204198209889</v>
      </c>
      <c r="BF114" s="111">
        <f>SUM(BE$114,'Statistics NZ'!BF$114-'Statistics NZ'!BE$114,$B$14/5*(BF$9-BF$10)*1000)</f>
        <v>34428.204198209889</v>
      </c>
      <c r="BG114" s="111">
        <f>SUM(BF$114,'Statistics NZ'!BG$114-'Statistics NZ'!BF$114,$B$14/5*(BG$9-BG$10)*1000)</f>
        <v>34428.204198209889</v>
      </c>
      <c r="BH114" s="111">
        <f>SUM(BG$114,'Statistics NZ'!BH$114-'Statistics NZ'!BG$114,$B$14/5*(BH$9-BH$10)*1000)</f>
        <v>34438.204198209889</v>
      </c>
      <c r="BI114" s="111">
        <f>SUM(BH$114,'Statistics NZ'!BI$114-'Statistics NZ'!BH$114,$B$14/5*(BI$9-BI$10)*1000)</f>
        <v>34458.204198209889</v>
      </c>
      <c r="BJ114" s="111">
        <f>SUM(BI$114,'Statistics NZ'!BJ$114-'Statistics NZ'!BI$114,$B$14/5*(BJ$9-BJ$10)*1000)</f>
        <v>34498.204198209889</v>
      </c>
      <c r="BK114" s="111">
        <f>SUM(BJ$114,'Statistics NZ'!BK$114-'Statistics NZ'!BJ$114,$B$14/5*(BK$9-BK$10)*1000)</f>
        <v>34538.204198209889</v>
      </c>
      <c r="BL114" s="111">
        <f>SUM(BK$114,'Statistics NZ'!BL$114-'Statistics NZ'!BK$114,$B$14/5*(BL$9-BL$10)*1000)</f>
        <v>34588.204198209889</v>
      </c>
      <c r="BM114" s="195">
        <f>SUM(BL$114,'Statistics NZ'!BM$114-'Statistics NZ'!BL$114,$B$14/5*(BM$9-BM$10)*1000)</f>
        <v>34648.204198209889</v>
      </c>
      <c r="BN114" s="195">
        <f>SUM(BM$114,'Statistics NZ'!BN$114-'Statistics NZ'!BM$114,$B$14/5*(BN$9-BN$10)*1000)</f>
        <v>34708.204198209889</v>
      </c>
      <c r="BO114" s="195">
        <f>SUM(BN$114,'Statistics NZ'!BO$114-'Statistics NZ'!BN$114,$B$14/5*(BO$9-BO$10)*1000)</f>
        <v>34778.204198209889</v>
      </c>
      <c r="BP114" s="195">
        <f>SUM(BO$114,'Statistics NZ'!BP$114-'Statistics NZ'!BO$114,$B$14/5*(BP$9-BP$10)*1000)</f>
        <v>34848.204198209889</v>
      </c>
      <c r="BQ114" s="195">
        <f>SUM(BP$114,'Statistics NZ'!BQ$114-'Statistics NZ'!BP$114,$B$14/5*(BQ$9-BQ$10)*1000)</f>
        <v>34908.204198209889</v>
      </c>
    </row>
    <row r="115" spans="1:69">
      <c r="A115" s="105">
        <f>$A$22</f>
        <v>5</v>
      </c>
      <c r="B115" s="118">
        <f>'Statistics NZ'!B$115*('Economic Forecasts'!D$10-'Economic Forecasts'!D$9)*1000000/SUM('Statistics NZ'!B$17:B$31,'Statistics NZ'!B$110:B$124)</f>
        <v>31373.091600905085</v>
      </c>
      <c r="C115" s="118">
        <f>'Statistics NZ'!C$115*('Economic Forecasts'!E$10-'Economic Forecasts'!E$9)*1000000/SUM('Statistics NZ'!C$17:C$31,'Statistics NZ'!C$110:C$124)</f>
        <v>30166.25109390778</v>
      </c>
      <c r="D115" s="118">
        <f>'Statistics NZ'!D$115*('Economic Forecasts'!F$10-'Economic Forecasts'!F$9)*1000000/SUM('Statistics NZ'!D$17:D$31,'Statistics NZ'!D$110:D$124)</f>
        <v>30745.244609217087</v>
      </c>
      <c r="E115" s="118">
        <f>'Statistics NZ'!E$115*('Economic Forecasts'!G$10-'Economic Forecasts'!G$9)*1000000/SUM('Statistics NZ'!E$17:E$31,'Statistics NZ'!E$110:E$124)</f>
        <v>31655.584025034426</v>
      </c>
      <c r="F115" s="118">
        <f>'Statistics NZ'!F$115*('Economic Forecasts'!H$10-'Economic Forecasts'!H$9)*1000000/SUM('Statistics NZ'!F$17:F$31,'Statistics NZ'!F$110:F$124)</f>
        <v>31515.503776950689</v>
      </c>
      <c r="G115" s="118">
        <f>'Statistics NZ'!G$115*('Economic Forecasts'!I$10-'Economic Forecasts'!I$9)*1000000/SUM('Statistics NZ'!G$17:G$31,'Statistics NZ'!G$110:G$124)</f>
        <v>32020.112659353686</v>
      </c>
      <c r="H115" s="118">
        <f>'Statistics NZ'!H$115*('Economic Forecasts'!J$10-'Economic Forecasts'!J$9)*1000000/SUM('Statistics NZ'!H$17:H$31,'Statistics NZ'!H$110:H$124)</f>
        <v>33589.393939393922</v>
      </c>
      <c r="I115" s="118">
        <f>'Statistics NZ'!I$115*('Economic Forecasts'!K$10-'Economic Forecasts'!K$9)*1000000/SUM('Statistics NZ'!I$17:I$31,'Statistics NZ'!I$110:I$124)</f>
        <v>34841.554814643649</v>
      </c>
      <c r="J115" s="203">
        <f>'Statistics NZ'!J$115*('Economic Forecasts'!L$10-'Economic Forecasts'!L$9)*1000000/SUM('Statistics NZ'!J$17:J$31,'Statistics NZ'!J$110:J$124)</f>
        <v>35397.352631463487</v>
      </c>
      <c r="K115" s="203">
        <f>'Statistics NZ'!K$115*('Economic Forecasts'!M$10-'Economic Forecasts'!M$9)*1000000/SUM('Statistics NZ'!K$17:K$31,'Statistics NZ'!K$110:K$124)</f>
        <v>35813.283855758324</v>
      </c>
      <c r="L115" s="203">
        <f>'Statistics NZ'!L$115*('Economic Forecasts'!N$10-'Economic Forecasts'!N$9)*1000000/SUM('Statistics NZ'!L$17:L$31,'Statistics NZ'!L$110:L$124)</f>
        <v>35138.768478766331</v>
      </c>
      <c r="M115" s="203">
        <f>'Statistics NZ'!M$115*('Economic Forecasts'!O$10-'Economic Forecasts'!O$9)*1000000/SUM('Statistics NZ'!M$17:M$31,'Statistics NZ'!M$110:M$124)</f>
        <v>35088.048246784441</v>
      </c>
      <c r="N115" s="203">
        <f>'Statistics NZ'!N$115*('Economic Forecasts'!P$10-'Economic Forecasts'!P$9)*1000000/SUM('Statistics NZ'!N$17:N$31,'Statistics NZ'!N$110:N$124)</f>
        <v>34853.040032964585</v>
      </c>
      <c r="O115" s="203">
        <f>'Statistics NZ'!O$115*('Economic Forecasts'!Q$10-'Economic Forecasts'!Q$9)*1000000/SUM('Statistics NZ'!O$17:O$31,'Statistics NZ'!O$110:O$124)</f>
        <v>34563.826658159254</v>
      </c>
      <c r="P115" s="203">
        <f>'Statistics NZ'!P$115*('Economic Forecasts'!R$10-'Economic Forecasts'!R$9)*1000000/SUM('Statistics NZ'!P$17:P$31,'Statistics NZ'!P$110:P$124)</f>
        <v>34815.544454097922</v>
      </c>
      <c r="Q115" s="121">
        <f>SUM('Statistics NZ'!Q$115,$C$14/5*(Q$9-Q$10)*1000)*('Economic Forecasts'!S$10-'Economic Forecasts'!S$9)*1000000/SUM('Statistics NZ'!Q$17:Q$31,'Statistics NZ'!Q$110:Q$124,SUM($B$13:$D$14)*(Q$9-Q$10)*1000)</f>
        <v>34319.75144859901</v>
      </c>
      <c r="R115" s="205">
        <f>SUM('Statistics NZ'!R$115,$C$14/5*(R$9-R$10)*1000)*('Economic Forecasts'!T$10-'Economic Forecasts'!T$9)*1000000/SUM('Statistics NZ'!R$17:R$31,'Statistics NZ'!R$110:R$124,SUM($B$13:$D$14)*(R$9-R$10)*1000)</f>
        <v>34147.162433355137</v>
      </c>
      <c r="S115" s="205">
        <f>SUM('Statistics NZ'!S$115,$C$14/5*(S$9-S$10)*1000)*('Economic Forecasts'!U$10-'Economic Forecasts'!U$9)*1000000/SUM('Statistics NZ'!S$17:S$31,'Statistics NZ'!S$110:S$124,SUM($B$13:$D$14)*(S$9-S$10)*1000)</f>
        <v>33628.22872582337</v>
      </c>
      <c r="T115" s="205">
        <f>SUM('Statistics NZ'!T$115,$C$14/5*(T$9-T$10)*1000)*('Economic Forecasts'!V$10-'Economic Forecasts'!V$9)*1000000/SUM('Statistics NZ'!T$17:T$31,'Statistics NZ'!T$110:T$124,SUM($B$13:$D$14)*(T$9-T$10)*1000)</f>
        <v>33838.172574225369</v>
      </c>
      <c r="U115" s="205">
        <f>SUM('Statistics NZ'!U$115,$C$14/5*(U$9-U$10)*1000)*('Economic Forecasts'!W$10-'Economic Forecasts'!W$9)*1000000/SUM('Statistics NZ'!U$17:U$31,'Statistics NZ'!U$110:U$124,SUM($B$13:$D$14)*(U$9-U$10)*1000)</f>
        <v>33487.283949040888</v>
      </c>
      <c r="V115" s="111">
        <f>SUM(U$115,'Statistics NZ'!V$115-'Statistics NZ'!U$115,$C$14/5*(V$9-V$10)*1000)</f>
        <v>33425.327526422378</v>
      </c>
      <c r="W115" s="111">
        <f>SUM(V$115,'Statistics NZ'!W$115-'Statistics NZ'!V$115,$C$14/5*(W$9-W$10)*1000)</f>
        <v>33488.615656631184</v>
      </c>
      <c r="X115" s="111">
        <f>SUM(W$115,'Statistics NZ'!X$115-'Statistics NZ'!W$115,$C$14/5*(X$9-X$10)*1000)</f>
        <v>33517.148339667307</v>
      </c>
      <c r="Y115" s="111">
        <f>SUM(X$115,'Statistics NZ'!Y$115-'Statistics NZ'!X$115,$C$14/5*(Y$9-Y$10)*1000)</f>
        <v>33500.925575530739</v>
      </c>
      <c r="Z115" s="111">
        <f>SUM(Y$115,'Statistics NZ'!Z$115-'Statistics NZ'!Y$115,$C$14/5*(Z$9-Z$10)*1000)</f>
        <v>33679.947364221487</v>
      </c>
      <c r="AA115" s="111">
        <f>SUM(Z$115,'Statistics NZ'!AA$115-'Statistics NZ'!Z$115,$C$14/5*(AA$9-AA$10)*1000)</f>
        <v>33804.213705739545</v>
      </c>
      <c r="AB115" s="111">
        <f>SUM(AA$115,'Statistics NZ'!AB$115-'Statistics NZ'!AA$115,$C$14/5*(AB$9-AB$10)*1000)</f>
        <v>33893.724600084919</v>
      </c>
      <c r="AC115" s="111">
        <f>SUM(AB$115,'Statistics NZ'!AC$115-'Statistics NZ'!AB$115,$C$14/5*(AC$9-AC$10)*1000)</f>
        <v>33948.480047257603</v>
      </c>
      <c r="AD115" s="111">
        <f>SUM(AC$115,'Statistics NZ'!AD$115-'Statistics NZ'!AC$115,$C$14/5*(AD$9-AD$10)*1000)</f>
        <v>33968.480047257603</v>
      </c>
      <c r="AE115" s="111">
        <f>SUM(AD$115,'Statistics NZ'!AE$115-'Statistics NZ'!AD$115,$C$14/5*(AE$9-AE$10)*1000)</f>
        <v>33998.480047257603</v>
      </c>
      <c r="AF115" s="111">
        <f>SUM(AE$115,'Statistics NZ'!AF$115-'Statistics NZ'!AE$115,$C$14/5*(AF$9-AF$10)*1000)</f>
        <v>34018.480047257603</v>
      </c>
      <c r="AG115" s="111">
        <f>SUM(AF$115,'Statistics NZ'!AG$115-'Statistics NZ'!AF$115,$C$14/5*(AG$9-AG$10)*1000)</f>
        <v>34058.480047257603</v>
      </c>
      <c r="AH115" s="111">
        <f>SUM(AG$115,'Statistics NZ'!AH$115-'Statistics NZ'!AG$115,$C$14/5*(AH$9-AH$10)*1000)</f>
        <v>34108.480047257603</v>
      </c>
      <c r="AI115" s="111">
        <f>SUM(AH$115,'Statistics NZ'!AI$115-'Statistics NZ'!AH$115,$C$14/5*(AI$9-AI$10)*1000)</f>
        <v>34168.480047257603</v>
      </c>
      <c r="AJ115" s="111">
        <f>SUM(AI$115,'Statistics NZ'!AJ$115-'Statistics NZ'!AI$115,$C$14/5*(AJ$9-AJ$10)*1000)</f>
        <v>34268.480047257603</v>
      </c>
      <c r="AK115" s="111">
        <f>SUM(AJ$115,'Statistics NZ'!AK$115-'Statistics NZ'!AJ$115,$C$14/5*(AK$9-AK$10)*1000)</f>
        <v>34378.480047257603</v>
      </c>
      <c r="AL115" s="111">
        <f>SUM(AK$115,'Statistics NZ'!AL$115-'Statistics NZ'!AK$115,$C$14/5*(AL$9-AL$10)*1000)</f>
        <v>34518.480047257603</v>
      </c>
      <c r="AM115" s="111">
        <f>SUM(AL$115,'Statistics NZ'!AM$115-'Statistics NZ'!AL$115,$C$14/5*(AM$9-AM$10)*1000)</f>
        <v>34678.480047257603</v>
      </c>
      <c r="AN115" s="111">
        <f>SUM(AM$115,'Statistics NZ'!AN$115-'Statistics NZ'!AM$115,$C$14/5*(AN$9-AN$10)*1000)</f>
        <v>34848.480047257603</v>
      </c>
      <c r="AO115" s="111">
        <f>SUM(AN$115,'Statistics NZ'!AO$115-'Statistics NZ'!AN$115,$C$14/5*(AO$9-AO$10)*1000)</f>
        <v>35018.480047257603</v>
      </c>
      <c r="AP115" s="111">
        <f>SUM(AO$115,'Statistics NZ'!AP$115-'Statistics NZ'!AO$115,$C$14/5*(AP$9-AP$10)*1000)</f>
        <v>35168.480047257603</v>
      </c>
      <c r="AQ115" s="111">
        <f>SUM(AP$115,'Statistics NZ'!AQ$115-'Statistics NZ'!AP$115,$C$14/5*(AQ$9-AQ$10)*1000)</f>
        <v>35288.480047257603</v>
      </c>
      <c r="AR115" s="111">
        <f>SUM(AQ$115,'Statistics NZ'!AR$115-'Statistics NZ'!AQ$115,$C$14/5*(AR$9-AR$10)*1000)</f>
        <v>35388.480047257603</v>
      </c>
      <c r="AS115" s="111">
        <f>SUM(AR$115,'Statistics NZ'!AS$115-'Statistics NZ'!AR$115,$C$14/5*(AS$9-AS$10)*1000)</f>
        <v>35458.480047257603</v>
      </c>
      <c r="AT115" s="111">
        <f>SUM(AS$115,'Statistics NZ'!AT$115-'Statistics NZ'!AS$115,$C$14/5*(AT$9-AT$10)*1000)</f>
        <v>35488.480047257603</v>
      </c>
      <c r="AU115" s="111">
        <f>SUM(AT$115,'Statistics NZ'!AU$115-'Statistics NZ'!AT$115,$C$14/5*(AU$9-AU$10)*1000)</f>
        <v>35488.480047257603</v>
      </c>
      <c r="AV115" s="111">
        <f>SUM(AU$115,'Statistics NZ'!AV$115-'Statistics NZ'!AU$115,$C$14/5*(AV$9-AV$10)*1000)</f>
        <v>35458.480047257603</v>
      </c>
      <c r="AW115" s="111">
        <f>SUM(AV$115,'Statistics NZ'!AW$115-'Statistics NZ'!AV$115,$C$14/5*(AW$9-AW$10)*1000)</f>
        <v>35398.480047257603</v>
      </c>
      <c r="AX115" s="111">
        <f>SUM(AW$115,'Statistics NZ'!AX$115-'Statistics NZ'!AW$115,$C$14/5*(AX$9-AX$10)*1000)</f>
        <v>35318.480047257603</v>
      </c>
      <c r="AY115" s="111">
        <f>SUM(AX$115,'Statistics NZ'!AY$115-'Statistics NZ'!AX$115,$C$14/5*(AY$9-AY$10)*1000)</f>
        <v>35218.480047257603</v>
      </c>
      <c r="AZ115" s="111">
        <f>SUM(AY$115,'Statistics NZ'!AZ$115-'Statistics NZ'!AY$115,$C$14/5*(AZ$9-AZ$10)*1000)</f>
        <v>35118.480047257603</v>
      </c>
      <c r="BA115" s="111">
        <f>SUM(AZ$115,'Statistics NZ'!BA$115-'Statistics NZ'!AZ$115,$C$14/5*(BA$9-BA$10)*1000)</f>
        <v>35008.480047257603</v>
      </c>
      <c r="BB115" s="111">
        <f>SUM(BA$115,'Statistics NZ'!BB$115-'Statistics NZ'!BA$115,$C$14/5*(BB$9-BB$10)*1000)</f>
        <v>34908.480047257603</v>
      </c>
      <c r="BC115" s="111">
        <f>SUM(BB$115,'Statistics NZ'!BC$115-'Statistics NZ'!BB$115,$C$14/5*(BC$9-BC$10)*1000)</f>
        <v>34818.480047257603</v>
      </c>
      <c r="BD115" s="111">
        <f>SUM(BC$115,'Statistics NZ'!BD$115-'Statistics NZ'!BC$115,$C$14/5*(BD$9-BD$10)*1000)</f>
        <v>34738.480047257603</v>
      </c>
      <c r="BE115" s="111">
        <f>SUM(BD$115,'Statistics NZ'!BE$115-'Statistics NZ'!BD$115,$C$14/5*(BE$9-BE$10)*1000)</f>
        <v>34688.480047257603</v>
      </c>
      <c r="BF115" s="111">
        <f>SUM(BE$115,'Statistics NZ'!BF$115-'Statistics NZ'!BE$115,$C$14/5*(BF$9-BF$10)*1000)</f>
        <v>34648.480047257603</v>
      </c>
      <c r="BG115" s="111">
        <f>SUM(BF$115,'Statistics NZ'!BG$115-'Statistics NZ'!BF$115,$C$14/5*(BG$9-BG$10)*1000)</f>
        <v>34618.480047257603</v>
      </c>
      <c r="BH115" s="111">
        <f>SUM(BG$115,'Statistics NZ'!BH$115-'Statistics NZ'!BG$115,$C$14/5*(BH$9-BH$10)*1000)</f>
        <v>34618.480047257603</v>
      </c>
      <c r="BI115" s="111">
        <f>SUM(BH$115,'Statistics NZ'!BI$115-'Statistics NZ'!BH$115,$C$14/5*(BI$9-BI$10)*1000)</f>
        <v>34628.480047257603</v>
      </c>
      <c r="BJ115" s="111">
        <f>SUM(BI$115,'Statistics NZ'!BJ$115-'Statistics NZ'!BI$115,$C$14/5*(BJ$9-BJ$10)*1000)</f>
        <v>34648.480047257603</v>
      </c>
      <c r="BK115" s="111">
        <f>SUM(BJ$115,'Statistics NZ'!BK$115-'Statistics NZ'!BJ$115,$C$14/5*(BK$9-BK$10)*1000)</f>
        <v>34688.480047257603</v>
      </c>
      <c r="BL115" s="111">
        <f>SUM(BK$115,'Statistics NZ'!BL$115-'Statistics NZ'!BK$115,$C$14/5*(BL$9-BL$10)*1000)</f>
        <v>34728.480047257603</v>
      </c>
      <c r="BM115" s="195">
        <f>SUM(BL$115,'Statistics NZ'!BM$115-'Statistics NZ'!BL$115,$C$14/5*(BM$9-BM$10)*1000)</f>
        <v>34778.480047257603</v>
      </c>
      <c r="BN115" s="195">
        <f>SUM(BM$115,'Statistics NZ'!BN$115-'Statistics NZ'!BM$115,$C$14/5*(BN$9-BN$10)*1000)</f>
        <v>34838.480047257603</v>
      </c>
      <c r="BO115" s="195">
        <f>SUM(BN$115,'Statistics NZ'!BO$115-'Statistics NZ'!BN$115,$C$14/5*(BO$9-BO$10)*1000)</f>
        <v>34898.480047257603</v>
      </c>
      <c r="BP115" s="195">
        <f>SUM(BO$115,'Statistics NZ'!BP$115-'Statistics NZ'!BO$115,$C$14/5*(BP$9-BP$10)*1000)</f>
        <v>34968.480047257603</v>
      </c>
      <c r="BQ115" s="195">
        <f>SUM(BP$115,'Statistics NZ'!BQ$115-'Statistics NZ'!BP$115,$C$14/5*(BQ$9-BQ$10)*1000)</f>
        <v>35038.480047257603</v>
      </c>
    </row>
    <row r="116" spans="1:69">
      <c r="A116" s="105">
        <f>$A$23</f>
        <v>6</v>
      </c>
      <c r="B116" s="118">
        <f>'Statistics NZ'!B$116*('Economic Forecasts'!D$10-'Economic Forecasts'!D$9)*1000000/SUM('Statistics NZ'!B$17:B$31,'Statistics NZ'!B$110:B$124)</f>
        <v>32018.106291722477</v>
      </c>
      <c r="C116" s="118">
        <f>'Statistics NZ'!C$116*('Economic Forecasts'!E$10-'Economic Forecasts'!E$9)*1000000/SUM('Statistics NZ'!C$17:C$31,'Statistics NZ'!C$110:C$124)</f>
        <v>31632.88589700438</v>
      </c>
      <c r="D116" s="118">
        <f>'Statistics NZ'!D$116*('Economic Forecasts'!F$10-'Economic Forecasts'!F$9)*1000000/SUM('Statistics NZ'!D$17:D$31,'Statistics NZ'!D$110:D$124)</f>
        <v>30386.021819968504</v>
      </c>
      <c r="E116" s="118">
        <f>'Statistics NZ'!E$116*('Economic Forecasts'!G$10-'Economic Forecasts'!G$9)*1000000/SUM('Statistics NZ'!E$17:E$31,'Statistics NZ'!E$110:E$124)</f>
        <v>30956.130209951643</v>
      </c>
      <c r="F116" s="118">
        <f>'Statistics NZ'!F$116*('Economic Forecasts'!H$10-'Economic Forecasts'!H$9)*1000000/SUM('Statistics NZ'!F$17:F$31,'Statistics NZ'!F$110:F$124)</f>
        <v>31716.711630365364</v>
      </c>
      <c r="G116" s="118">
        <f>'Statistics NZ'!G$116*('Economic Forecasts'!I$10-'Economic Forecasts'!I$9)*1000000/SUM('Statistics NZ'!G$17:G$31,'Statistics NZ'!G$110:G$124)</f>
        <v>31480.090918074904</v>
      </c>
      <c r="H116" s="118">
        <f>'Statistics NZ'!H$116*('Economic Forecasts'!J$10-'Economic Forecasts'!J$9)*1000000/SUM('Statistics NZ'!H$17:H$31,'Statistics NZ'!H$110:H$124)</f>
        <v>31903.030303030286</v>
      </c>
      <c r="I116" s="118">
        <f>'Statistics NZ'!I$116*('Economic Forecasts'!K$10-'Economic Forecasts'!K$9)*1000000/SUM('Statistics NZ'!I$17:I$31,'Statistics NZ'!I$110:I$124)</f>
        <v>33553.492445999633</v>
      </c>
      <c r="J116" s="203">
        <f>'Statistics NZ'!J$116*('Economic Forecasts'!L$10-'Economic Forecasts'!L$9)*1000000/SUM('Statistics NZ'!J$17:J$31,'Statistics NZ'!J$110:J$124)</f>
        <v>35193.85801724327</v>
      </c>
      <c r="K116" s="203">
        <f>'Statistics NZ'!K$116*('Economic Forecasts'!M$10-'Economic Forecasts'!M$9)*1000000/SUM('Statistics NZ'!K$17:K$31,'Statistics NZ'!K$110:K$124)</f>
        <v>35727.400681044273</v>
      </c>
      <c r="L116" s="203">
        <f>'Statistics NZ'!L$116*('Economic Forecasts'!N$10-'Economic Forecasts'!N$9)*1000000/SUM('Statistics NZ'!L$17:L$31,'Statistics NZ'!L$110:L$124)</f>
        <v>35820.454196450795</v>
      </c>
      <c r="M116" s="203">
        <f>'Statistics NZ'!M$116*('Economic Forecasts'!O$10-'Economic Forecasts'!O$9)*1000000/SUM('Statistics NZ'!M$17:M$31,'Statistics NZ'!M$110:M$124)</f>
        <v>35620.492074504997</v>
      </c>
      <c r="N116" s="203">
        <f>'Statistics NZ'!N$116*('Economic Forecasts'!P$10-'Economic Forecasts'!P$9)*1000000/SUM('Statistics NZ'!N$17:N$31,'Statistics NZ'!N$110:N$124)</f>
        <v>35254.865130432008</v>
      </c>
      <c r="O116" s="203">
        <f>'Statistics NZ'!O$116*('Economic Forecasts'!Q$10-'Economic Forecasts'!Q$9)*1000000/SUM('Statistics NZ'!O$17:O$31,'Statistics NZ'!O$110:O$124)</f>
        <v>35240.719224292116</v>
      </c>
      <c r="P116" s="203">
        <f>'Statistics NZ'!P$116*('Economic Forecasts'!R$10-'Economic Forecasts'!R$9)*1000000/SUM('Statistics NZ'!P$17:P$31,'Statistics NZ'!P$110:P$124)</f>
        <v>35079.698812626739</v>
      </c>
      <c r="Q116" s="121">
        <f>SUM('Statistics NZ'!Q$116,$C$14/5*(Q$9-Q$10)*1000)*('Economic Forecasts'!S$10-'Economic Forecasts'!S$9)*1000000/SUM('Statistics NZ'!Q$17:Q$31,'Statistics NZ'!Q$110:Q$124,SUM($B$13:$D$14)*(Q$9-Q$10)*1000)</f>
        <v>34814.151372563596</v>
      </c>
      <c r="R116" s="205">
        <f>SUM('Statistics NZ'!R$116,$C$14/5*(R$9-R$10)*1000)*('Economic Forecasts'!T$10-'Economic Forecasts'!T$9)*1000000/SUM('Statistics NZ'!R$17:R$31,'Statistics NZ'!R$110:R$124,SUM($B$13:$D$14)*(R$9-R$10)*1000)</f>
        <v>34557.666586603533</v>
      </c>
      <c r="S116" s="205">
        <f>SUM('Statistics NZ'!S$116,$C$14/5*(S$9-S$10)*1000)*('Economic Forecasts'!U$10-'Economic Forecasts'!U$9)*1000000/SUM('Statistics NZ'!S$17:S$31,'Statistics NZ'!S$110:S$124,SUM($B$13:$D$14)*(S$9-S$10)*1000)</f>
        <v>34514.438258521041</v>
      </c>
      <c r="T116" s="205">
        <f>SUM('Statistics NZ'!T$116,$C$14/5*(T$9-T$10)*1000)*('Economic Forecasts'!V$10-'Economic Forecasts'!V$9)*1000000/SUM('Statistics NZ'!T$17:T$31,'Statistics NZ'!T$110:T$124,SUM($B$13:$D$14)*(T$9-T$10)*1000)</f>
        <v>34018.480043622811</v>
      </c>
      <c r="U116" s="205">
        <f>SUM('Statistics NZ'!U$116,$C$14/5*(U$9-U$10)*1000)*('Economic Forecasts'!W$10-'Economic Forecasts'!W$9)*1000000/SUM('Statistics NZ'!U$17:U$31,'Statistics NZ'!U$110:U$124,SUM($B$13:$D$14)*(U$9-U$10)*1000)</f>
        <v>34321.18392904511</v>
      </c>
      <c r="V116" s="111">
        <f>SUM(U$116,'Statistics NZ'!V$116-'Statistics NZ'!U$116,$C$14/5*(V$9-V$10)*1000)</f>
        <v>33789.2275064266</v>
      </c>
      <c r="W116" s="111">
        <f>SUM(V$116,'Statistics NZ'!W$116-'Statistics NZ'!V$116,$C$14/5*(W$9-W$10)*1000)</f>
        <v>33712.515636635406</v>
      </c>
      <c r="X116" s="111">
        <f>SUM(W$116,'Statistics NZ'!X$116-'Statistics NZ'!W$116,$C$14/5*(X$9-X$10)*1000)</f>
        <v>33761.048319671529</v>
      </c>
      <c r="Y116" s="111">
        <f>SUM(X$116,'Statistics NZ'!Y$116-'Statistics NZ'!X$116,$C$14/5*(Y$9-Y$10)*1000)</f>
        <v>33774.825555534961</v>
      </c>
      <c r="Z116" s="111">
        <f>SUM(Y$116,'Statistics NZ'!Z$116-'Statistics NZ'!Y$116,$C$14/5*(Z$9-Z$10)*1000)</f>
        <v>33743.847344225709</v>
      </c>
      <c r="AA116" s="111">
        <f>SUM(Z$116,'Statistics NZ'!AA$116-'Statistics NZ'!Z$116,$C$14/5*(AA$9-AA$10)*1000)</f>
        <v>33908.113685743767</v>
      </c>
      <c r="AB116" s="111">
        <f>SUM(AA$116,'Statistics NZ'!AB$116-'Statistics NZ'!AA$116,$C$14/5*(AB$9-AB$10)*1000)</f>
        <v>34027.624580089141</v>
      </c>
      <c r="AC116" s="111">
        <f>SUM(AB$116,'Statistics NZ'!AC$116-'Statistics NZ'!AB$116,$C$14/5*(AC$9-AC$10)*1000)</f>
        <v>34092.380027261825</v>
      </c>
      <c r="AD116" s="111">
        <f>SUM(AC$116,'Statistics NZ'!AD$116-'Statistics NZ'!AC$116,$C$14/5*(AD$9-AD$10)*1000)</f>
        <v>34132.380027261825</v>
      </c>
      <c r="AE116" s="111">
        <f>SUM(AD$116,'Statistics NZ'!AE$116-'Statistics NZ'!AD$116,$C$14/5*(AE$9-AE$10)*1000)</f>
        <v>34152.380027261825</v>
      </c>
      <c r="AF116" s="111">
        <f>SUM(AE$116,'Statistics NZ'!AF$116-'Statistics NZ'!AE$116,$C$14/5*(AF$9-AF$10)*1000)</f>
        <v>34182.380027261825</v>
      </c>
      <c r="AG116" s="111">
        <f>SUM(AF$116,'Statistics NZ'!AG$116-'Statistics NZ'!AF$116,$C$14/5*(AG$9-AG$10)*1000)</f>
        <v>34212.380027261825</v>
      </c>
      <c r="AH116" s="111">
        <f>SUM(AG$116,'Statistics NZ'!AH$116-'Statistics NZ'!AG$116,$C$14/5*(AH$9-AH$10)*1000)</f>
        <v>34242.380027261825</v>
      </c>
      <c r="AI116" s="111">
        <f>SUM(AH$116,'Statistics NZ'!AI$116-'Statistics NZ'!AH$116,$C$14/5*(AI$9-AI$10)*1000)</f>
        <v>34292.380027261825</v>
      </c>
      <c r="AJ116" s="111">
        <f>SUM(AI$116,'Statistics NZ'!AJ$116-'Statistics NZ'!AI$116,$C$14/5*(AJ$9-AJ$10)*1000)</f>
        <v>34362.380027261825</v>
      </c>
      <c r="AK116" s="111">
        <f>SUM(AJ$116,'Statistics NZ'!AK$116-'Statistics NZ'!AJ$116,$C$14/5*(AK$9-AK$10)*1000)</f>
        <v>34452.380027261825</v>
      </c>
      <c r="AL116" s="111">
        <f>SUM(AK$116,'Statistics NZ'!AL$116-'Statistics NZ'!AK$116,$C$14/5*(AL$9-AL$10)*1000)</f>
        <v>34562.380027261825</v>
      </c>
      <c r="AM116" s="111">
        <f>SUM(AL$116,'Statistics NZ'!AM$116-'Statistics NZ'!AL$116,$C$14/5*(AM$9-AM$10)*1000)</f>
        <v>34702.380027261825</v>
      </c>
      <c r="AN116" s="111">
        <f>SUM(AM$116,'Statistics NZ'!AN$116-'Statistics NZ'!AM$116,$C$14/5*(AN$9-AN$10)*1000)</f>
        <v>34862.380027261825</v>
      </c>
      <c r="AO116" s="111">
        <f>SUM(AN$116,'Statistics NZ'!AO$116-'Statistics NZ'!AN$116,$C$14/5*(AO$9-AO$10)*1000)</f>
        <v>35032.380027261825</v>
      </c>
      <c r="AP116" s="111">
        <f>SUM(AO$116,'Statistics NZ'!AP$116-'Statistics NZ'!AO$116,$C$14/5*(AP$9-AP$10)*1000)</f>
        <v>35202.380027261825</v>
      </c>
      <c r="AQ116" s="111">
        <f>SUM(AP$116,'Statistics NZ'!AQ$116-'Statistics NZ'!AP$116,$C$14/5*(AQ$9-AQ$10)*1000)</f>
        <v>35352.380027261825</v>
      </c>
      <c r="AR116" s="111">
        <f>SUM(AQ$116,'Statistics NZ'!AR$116-'Statistics NZ'!AQ$116,$C$14/5*(AR$9-AR$10)*1000)</f>
        <v>35482.380027261825</v>
      </c>
      <c r="AS116" s="111">
        <f>SUM(AR$116,'Statistics NZ'!AS$116-'Statistics NZ'!AR$116,$C$14/5*(AS$9-AS$10)*1000)</f>
        <v>35582.380027261825</v>
      </c>
      <c r="AT116" s="111">
        <f>SUM(AS$116,'Statistics NZ'!AT$116-'Statistics NZ'!AS$116,$C$14/5*(AT$9-AT$10)*1000)</f>
        <v>35642.380027261825</v>
      </c>
      <c r="AU116" s="111">
        <f>SUM(AT$116,'Statistics NZ'!AU$116-'Statistics NZ'!AT$116,$C$14/5*(AU$9-AU$10)*1000)</f>
        <v>35672.380027261825</v>
      </c>
      <c r="AV116" s="111">
        <f>SUM(AU$116,'Statistics NZ'!AV$116-'Statistics NZ'!AU$116,$C$14/5*(AV$9-AV$10)*1000)</f>
        <v>35672.380027261825</v>
      </c>
      <c r="AW116" s="111">
        <f>SUM(AV$116,'Statistics NZ'!AW$116-'Statistics NZ'!AV$116,$C$14/5*(AW$9-AW$10)*1000)</f>
        <v>35642.380027261825</v>
      </c>
      <c r="AX116" s="111">
        <f>SUM(AW$116,'Statistics NZ'!AX$116-'Statistics NZ'!AW$116,$C$14/5*(AX$9-AX$10)*1000)</f>
        <v>35582.380027261825</v>
      </c>
      <c r="AY116" s="111">
        <f>SUM(AX$116,'Statistics NZ'!AY$116-'Statistics NZ'!AX$116,$C$14/5*(AY$9-AY$10)*1000)</f>
        <v>35502.380027261825</v>
      </c>
      <c r="AZ116" s="111">
        <f>SUM(AY$116,'Statistics NZ'!AZ$116-'Statistics NZ'!AY$116,$C$14/5*(AZ$9-AZ$10)*1000)</f>
        <v>35402.380027261825</v>
      </c>
      <c r="BA116" s="111">
        <f>SUM(AZ$116,'Statistics NZ'!BA$116-'Statistics NZ'!AZ$116,$C$14/5*(BA$9-BA$10)*1000)</f>
        <v>35302.380027261825</v>
      </c>
      <c r="BB116" s="111">
        <f>SUM(BA$116,'Statistics NZ'!BB$116-'Statistics NZ'!BA$116,$C$14/5*(BB$9-BB$10)*1000)</f>
        <v>35192.380027261825</v>
      </c>
      <c r="BC116" s="111">
        <f>SUM(BB$116,'Statistics NZ'!BC$116-'Statistics NZ'!BB$116,$C$14/5*(BC$9-BC$10)*1000)</f>
        <v>35092.380027261825</v>
      </c>
      <c r="BD116" s="111">
        <f>SUM(BC$116,'Statistics NZ'!BD$116-'Statistics NZ'!BC$116,$C$14/5*(BD$9-BD$10)*1000)</f>
        <v>35002.380027261825</v>
      </c>
      <c r="BE116" s="111">
        <f>SUM(BD$116,'Statistics NZ'!BE$116-'Statistics NZ'!BD$116,$C$14/5*(BE$9-BE$10)*1000)</f>
        <v>34932.380027261825</v>
      </c>
      <c r="BF116" s="111">
        <f>SUM(BE$116,'Statistics NZ'!BF$116-'Statistics NZ'!BE$116,$C$14/5*(BF$9-BF$10)*1000)</f>
        <v>34872.380027261825</v>
      </c>
      <c r="BG116" s="111">
        <f>SUM(BF$116,'Statistics NZ'!BG$116-'Statistics NZ'!BF$116,$C$14/5*(BG$9-BG$10)*1000)</f>
        <v>34832.380027261825</v>
      </c>
      <c r="BH116" s="111">
        <f>SUM(BG$116,'Statistics NZ'!BH$116-'Statistics NZ'!BG$116,$C$14/5*(BH$9-BH$10)*1000)</f>
        <v>34812.380027261825</v>
      </c>
      <c r="BI116" s="111">
        <f>SUM(BH$116,'Statistics NZ'!BI$116-'Statistics NZ'!BH$116,$C$14/5*(BI$9-BI$10)*1000)</f>
        <v>34802.380027261825</v>
      </c>
      <c r="BJ116" s="111">
        <f>SUM(BI$116,'Statistics NZ'!BJ$116-'Statistics NZ'!BI$116,$C$14/5*(BJ$9-BJ$10)*1000)</f>
        <v>34812.380027261825</v>
      </c>
      <c r="BK116" s="111">
        <f>SUM(BJ$116,'Statistics NZ'!BK$116-'Statistics NZ'!BJ$116,$C$14/5*(BK$9-BK$10)*1000)</f>
        <v>34842.380027261825</v>
      </c>
      <c r="BL116" s="111">
        <f>SUM(BK$116,'Statistics NZ'!BL$116-'Statistics NZ'!BK$116,$C$14/5*(BL$9-BL$10)*1000)</f>
        <v>34872.380027261825</v>
      </c>
      <c r="BM116" s="195">
        <f>SUM(BL$116,'Statistics NZ'!BM$116-'Statistics NZ'!BL$116,$C$14/5*(BM$9-BM$10)*1000)</f>
        <v>34912.380027261825</v>
      </c>
      <c r="BN116" s="195">
        <f>SUM(BM$116,'Statistics NZ'!BN$116-'Statistics NZ'!BM$116,$C$14/5*(BN$9-BN$10)*1000)</f>
        <v>34972.380027261825</v>
      </c>
      <c r="BO116" s="195">
        <f>SUM(BN$116,'Statistics NZ'!BO$116-'Statistics NZ'!BN$116,$C$14/5*(BO$9-BO$10)*1000)</f>
        <v>35022.380027261825</v>
      </c>
      <c r="BP116" s="195">
        <f>SUM(BO$116,'Statistics NZ'!BP$116-'Statistics NZ'!BO$116,$C$14/5*(BP$9-BP$10)*1000)</f>
        <v>35092.380027261825</v>
      </c>
      <c r="BQ116" s="195">
        <f>SUM(BP$116,'Statistics NZ'!BQ$116-'Statistics NZ'!BP$116,$C$14/5*(BQ$9-BQ$10)*1000)</f>
        <v>35152.380027261825</v>
      </c>
    </row>
    <row r="117" spans="1:69">
      <c r="A117" s="105">
        <f>$A$24</f>
        <v>7</v>
      </c>
      <c r="B117" s="118">
        <f>'Statistics NZ'!B$117*('Economic Forecasts'!D$10-'Economic Forecasts'!D$9)*1000000/SUM('Statistics NZ'!B$17:B$31,'Statistics NZ'!B$110:B$124)</f>
        <v>31193.333408382205</v>
      </c>
      <c r="C117" s="118">
        <f>'Statistics NZ'!C$117*('Economic Forecasts'!E$10-'Economic Forecasts'!E$9)*1000000/SUM('Statistics NZ'!C$17:C$31,'Statistics NZ'!C$110:C$124)</f>
        <v>32255.414338606533</v>
      </c>
      <c r="D117" s="118">
        <f>'Statistics NZ'!D$117*('Economic Forecasts'!F$10-'Economic Forecasts'!F$9)*1000000/SUM('Statistics NZ'!D$17:D$31,'Statistics NZ'!D$110:D$124)</f>
        <v>31886.305233889059</v>
      </c>
      <c r="E117" s="118">
        <f>'Statistics NZ'!E$117*('Economic Forecasts'!G$10-'Economic Forecasts'!G$9)*1000000/SUM('Statistics NZ'!E$17:E$31,'Statistics NZ'!E$110:E$124)</f>
        <v>30617.001087487264</v>
      </c>
      <c r="F117" s="118">
        <f>'Statistics NZ'!F$117*('Economic Forecasts'!H$10-'Economic Forecasts'!H$9)*1000000/SUM('Statistics NZ'!F$17:F$31,'Statistics NZ'!F$110:F$124)</f>
        <v>31070.728522034049</v>
      </c>
      <c r="G117" s="118">
        <f>'Statistics NZ'!G$117*('Economic Forecasts'!I$10-'Economic Forecasts'!I$9)*1000000/SUM('Statistics NZ'!G$17:G$31,'Statistics NZ'!G$110:G$124)</f>
        <v>31670.686826761532</v>
      </c>
      <c r="H117" s="118">
        <f>'Statistics NZ'!H$117*('Economic Forecasts'!J$10-'Economic Forecasts'!J$9)*1000000/SUM('Statistics NZ'!H$17:H$31,'Statistics NZ'!H$110:H$124)</f>
        <v>31404.545454545438</v>
      </c>
      <c r="I117" s="118">
        <f>'Statistics NZ'!I$117*('Economic Forecasts'!K$10-'Economic Forecasts'!K$9)*1000000/SUM('Statistics NZ'!I$17:I$31,'Statistics NZ'!I$110:I$124)</f>
        <v>31892.850053367671</v>
      </c>
      <c r="J117" s="203">
        <f>'Statistics NZ'!J$117*('Economic Forecasts'!L$10-'Economic Forecasts'!L$9)*1000000/SUM('Statistics NZ'!J$17:J$31,'Statistics NZ'!J$110:J$124)</f>
        <v>33908.628874799819</v>
      </c>
      <c r="K117" s="203">
        <f>'Statistics NZ'!K$117*('Economic Forecasts'!M$10-'Economic Forecasts'!M$9)*1000000/SUM('Statistics NZ'!K$17:K$31,'Statistics NZ'!K$110:K$124)</f>
        <v>35491.221950580635</v>
      </c>
      <c r="L117" s="203">
        <f>'Statistics NZ'!L$117*('Economic Forecasts'!N$10-'Economic Forecasts'!N$9)*1000000/SUM('Statistics NZ'!L$17:L$31,'Statistics NZ'!L$110:L$124)</f>
        <v>35703.289463723777</v>
      </c>
      <c r="M117" s="203">
        <f>'Statistics NZ'!M$117*('Economic Forecasts'!O$10-'Economic Forecasts'!O$9)*1000000/SUM('Statistics NZ'!M$17:M$31,'Statistics NZ'!M$110:M$124)</f>
        <v>36174.23365533437</v>
      </c>
      <c r="N117" s="203">
        <f>'Statistics NZ'!N$117*('Economic Forecasts'!P$10-'Economic Forecasts'!P$9)*1000000/SUM('Statistics NZ'!N$17:N$31,'Statistics NZ'!N$110:N$124)</f>
        <v>35720.136295920616</v>
      </c>
      <c r="O117" s="203">
        <f>'Statistics NZ'!O$117*('Economic Forecasts'!Q$10-'Economic Forecasts'!Q$9)*1000000/SUM('Statistics NZ'!O$17:O$31,'Statistics NZ'!O$110:O$124)</f>
        <v>35684.929970816804</v>
      </c>
      <c r="P117" s="203">
        <f>'Statistics NZ'!P$117*('Economic Forecasts'!R$10-'Economic Forecasts'!R$9)*1000000/SUM('Statistics NZ'!P$17:P$31,'Statistics NZ'!P$110:P$124)</f>
        <v>35639.706052707828</v>
      </c>
      <c r="Q117" s="121">
        <f>SUM('Statistics NZ'!Q$117,$C$14/5*(Q$9-Q$10)*1000)*('Economic Forecasts'!S$10-'Economic Forecasts'!S$9)*1000000/SUM('Statistics NZ'!Q$17:Q$31,'Statistics NZ'!Q$110:Q$124,SUM($B$13:$D$14)*(Q$9-Q$10)*1000)</f>
        <v>35066.610908205075</v>
      </c>
      <c r="R117" s="205">
        <f>SUM('Statistics NZ'!R$117,$C$14/5*(R$9-R$10)*1000)*('Economic Forecasts'!T$10-'Economic Forecasts'!T$9)*1000000/SUM('Statistics NZ'!R$17:R$31,'Statistics NZ'!R$110:R$124,SUM($B$13:$D$14)*(R$9-R$10)*1000)</f>
        <v>35041.850972486245</v>
      </c>
      <c r="S117" s="205">
        <f>SUM('Statistics NZ'!S$117,$C$14/5*(S$9-S$10)*1000)*('Economic Forecasts'!U$10-'Economic Forecasts'!U$9)*1000000/SUM('Statistics NZ'!S$17:S$31,'Statistics NZ'!S$110:S$124,SUM($B$13:$D$14)*(S$9-S$10)*1000)</f>
        <v>34915.342570931891</v>
      </c>
      <c r="T117" s="205">
        <f>SUM('Statistics NZ'!T$117,$C$14/5*(T$9-T$10)*1000)*('Economic Forecasts'!V$10-'Economic Forecasts'!V$9)*1000000/SUM('Statistics NZ'!T$17:T$31,'Statistics NZ'!T$110:T$124,SUM($B$13:$D$14)*(T$9-T$10)*1000)</f>
        <v>34909.411068880763</v>
      </c>
      <c r="U117" s="205">
        <f>SUM('Statistics NZ'!U$117,$C$14/5*(U$9-U$10)*1000)*('Economic Forecasts'!W$10-'Economic Forecasts'!W$9)*1000000/SUM('Statistics NZ'!U$17:U$31,'Statistics NZ'!U$110:U$124,SUM($B$13:$D$14)*(U$9-U$10)*1000)</f>
        <v>34502.931360584495</v>
      </c>
      <c r="V117" s="111">
        <f>SUM(U$117,'Statistics NZ'!V$117-'Statistics NZ'!U$117,$C$14/5*(V$9-V$10)*1000)</f>
        <v>34580.974937965984</v>
      </c>
      <c r="W117" s="111">
        <f>SUM(V$117,'Statistics NZ'!W$117-'Statistics NZ'!V$117,$C$14/5*(W$9-W$10)*1000)</f>
        <v>34044.263068174791</v>
      </c>
      <c r="X117" s="111">
        <f>SUM(W$117,'Statistics NZ'!X$117-'Statistics NZ'!W$117,$C$14/5*(X$9-X$10)*1000)</f>
        <v>33952.795751210913</v>
      </c>
      <c r="Y117" s="111">
        <f>SUM(X$117,'Statistics NZ'!Y$117-'Statistics NZ'!X$117,$C$14/5*(Y$9-Y$10)*1000)</f>
        <v>33986.572987074345</v>
      </c>
      <c r="Z117" s="111">
        <f>SUM(Y$117,'Statistics NZ'!Z$117-'Statistics NZ'!Y$117,$C$14/5*(Z$9-Z$10)*1000)</f>
        <v>33985.594775765094</v>
      </c>
      <c r="AA117" s="111">
        <f>SUM(Z$117,'Statistics NZ'!AA$117-'Statistics NZ'!Z$117,$C$14/5*(AA$9-AA$10)*1000)</f>
        <v>33939.861117283152</v>
      </c>
      <c r="AB117" s="111">
        <f>SUM(AA$117,'Statistics NZ'!AB$117-'Statistics NZ'!AA$117,$C$14/5*(AB$9-AB$10)*1000)</f>
        <v>34089.372011628526</v>
      </c>
      <c r="AC117" s="111">
        <f>SUM(AB$117,'Statistics NZ'!AC$117-'Statistics NZ'!AB$117,$C$14/5*(AC$9-AC$10)*1000)</f>
        <v>34194.127458801209</v>
      </c>
      <c r="AD117" s="111">
        <f>SUM(AC$117,'Statistics NZ'!AD$117-'Statistics NZ'!AC$117,$C$14/5*(AD$9-AD$10)*1000)</f>
        <v>34244.127458801209</v>
      </c>
      <c r="AE117" s="111">
        <f>SUM(AD$117,'Statistics NZ'!AE$117-'Statistics NZ'!AD$117,$C$14/5*(AE$9-AE$10)*1000)</f>
        <v>34284.127458801209</v>
      </c>
      <c r="AF117" s="111">
        <f>SUM(AE$117,'Statistics NZ'!AF$117-'Statistics NZ'!AE$117,$C$14/5*(AF$9-AF$10)*1000)</f>
        <v>34304.127458801209</v>
      </c>
      <c r="AG117" s="111">
        <f>SUM(AF$117,'Statistics NZ'!AG$117-'Statistics NZ'!AF$117,$C$14/5*(AG$9-AG$10)*1000)</f>
        <v>34334.127458801209</v>
      </c>
      <c r="AH117" s="111">
        <f>SUM(AG$117,'Statistics NZ'!AH$117-'Statistics NZ'!AG$117,$C$14/5*(AH$9-AH$10)*1000)</f>
        <v>34364.127458801209</v>
      </c>
      <c r="AI117" s="111">
        <f>SUM(AH$117,'Statistics NZ'!AI$117-'Statistics NZ'!AH$117,$C$14/5*(AI$9-AI$10)*1000)</f>
        <v>34394.127458801209</v>
      </c>
      <c r="AJ117" s="111">
        <f>SUM(AI$117,'Statistics NZ'!AJ$117-'Statistics NZ'!AI$117,$C$14/5*(AJ$9-AJ$10)*1000)</f>
        <v>34444.127458801209</v>
      </c>
      <c r="AK117" s="111">
        <f>SUM(AJ$117,'Statistics NZ'!AK$117-'Statistics NZ'!AJ$117,$C$14/5*(AK$9-AK$10)*1000)</f>
        <v>34514.127458801209</v>
      </c>
      <c r="AL117" s="111">
        <f>SUM(AK$117,'Statistics NZ'!AL$117-'Statistics NZ'!AK$117,$C$14/5*(AL$9-AL$10)*1000)</f>
        <v>34604.127458801209</v>
      </c>
      <c r="AM117" s="111">
        <f>SUM(AL$117,'Statistics NZ'!AM$117-'Statistics NZ'!AL$117,$C$14/5*(AM$9-AM$10)*1000)</f>
        <v>34714.127458801209</v>
      </c>
      <c r="AN117" s="111">
        <f>SUM(AM$117,'Statistics NZ'!AN$117-'Statistics NZ'!AM$117,$C$14/5*(AN$9-AN$10)*1000)</f>
        <v>34854.127458801209</v>
      </c>
      <c r="AO117" s="111">
        <f>SUM(AN$117,'Statistics NZ'!AO$117-'Statistics NZ'!AN$117,$C$14/5*(AO$9-AO$10)*1000)</f>
        <v>35014.127458801209</v>
      </c>
      <c r="AP117" s="111">
        <f>SUM(AO$117,'Statistics NZ'!AP$117-'Statistics NZ'!AO$117,$C$14/5*(AP$9-AP$10)*1000)</f>
        <v>35184.127458801209</v>
      </c>
      <c r="AQ117" s="111">
        <f>SUM(AP$117,'Statistics NZ'!AQ$117-'Statistics NZ'!AP$117,$C$14/5*(AQ$9-AQ$10)*1000)</f>
        <v>35354.127458801209</v>
      </c>
      <c r="AR117" s="111">
        <f>SUM(AQ$117,'Statistics NZ'!AR$117-'Statistics NZ'!AQ$117,$C$14/5*(AR$9-AR$10)*1000)</f>
        <v>35504.127458801209</v>
      </c>
      <c r="AS117" s="111">
        <f>SUM(AR$117,'Statistics NZ'!AS$117-'Statistics NZ'!AR$117,$C$14/5*(AS$9-AS$10)*1000)</f>
        <v>35634.127458801209</v>
      </c>
      <c r="AT117" s="111">
        <f>SUM(AS$117,'Statistics NZ'!AT$117-'Statistics NZ'!AS$117,$C$14/5*(AT$9-AT$10)*1000)</f>
        <v>35734.127458801209</v>
      </c>
      <c r="AU117" s="111">
        <f>SUM(AT$117,'Statistics NZ'!AU$117-'Statistics NZ'!AT$117,$C$14/5*(AU$9-AU$10)*1000)</f>
        <v>35794.127458801209</v>
      </c>
      <c r="AV117" s="111">
        <f>SUM(AU$117,'Statistics NZ'!AV$117-'Statistics NZ'!AU$117,$C$14/5*(AV$9-AV$10)*1000)</f>
        <v>35834.127458801209</v>
      </c>
      <c r="AW117" s="111">
        <f>SUM(AV$117,'Statistics NZ'!AW$117-'Statistics NZ'!AV$117,$C$14/5*(AW$9-AW$10)*1000)</f>
        <v>35824.127458801209</v>
      </c>
      <c r="AX117" s="111">
        <f>SUM(AW$117,'Statistics NZ'!AX$117-'Statistics NZ'!AW$117,$C$14/5*(AX$9-AX$10)*1000)</f>
        <v>35794.127458801209</v>
      </c>
      <c r="AY117" s="111">
        <f>SUM(AX$117,'Statistics NZ'!AY$117-'Statistics NZ'!AX$117,$C$14/5*(AY$9-AY$10)*1000)</f>
        <v>35734.127458801209</v>
      </c>
      <c r="AZ117" s="111">
        <f>SUM(AY$117,'Statistics NZ'!AZ$117-'Statistics NZ'!AY$117,$C$14/5*(AZ$9-AZ$10)*1000)</f>
        <v>35654.127458801209</v>
      </c>
      <c r="BA117" s="111">
        <f>SUM(AZ$117,'Statistics NZ'!BA$117-'Statistics NZ'!AZ$117,$C$14/5*(BA$9-BA$10)*1000)</f>
        <v>35554.127458801209</v>
      </c>
      <c r="BB117" s="111">
        <f>SUM(BA$117,'Statistics NZ'!BB$117-'Statistics NZ'!BA$117,$C$14/5*(BB$9-BB$10)*1000)</f>
        <v>35454.127458801209</v>
      </c>
      <c r="BC117" s="111">
        <f>SUM(BB$117,'Statistics NZ'!BC$117-'Statistics NZ'!BB$117,$C$14/5*(BC$9-BC$10)*1000)</f>
        <v>35344.127458801209</v>
      </c>
      <c r="BD117" s="111">
        <f>SUM(BC$117,'Statistics NZ'!BD$117-'Statistics NZ'!BC$117,$C$14/5*(BD$9-BD$10)*1000)</f>
        <v>35244.127458801209</v>
      </c>
      <c r="BE117" s="111">
        <f>SUM(BD$117,'Statistics NZ'!BE$117-'Statistics NZ'!BD$117,$C$14/5*(BE$9-BE$10)*1000)</f>
        <v>35154.127458801209</v>
      </c>
      <c r="BF117" s="111">
        <f>SUM(BE$117,'Statistics NZ'!BF$117-'Statistics NZ'!BE$117,$C$14/5*(BF$9-BF$10)*1000)</f>
        <v>35084.127458801209</v>
      </c>
      <c r="BG117" s="111">
        <f>SUM(BF$117,'Statistics NZ'!BG$117-'Statistics NZ'!BF$117,$C$14/5*(BG$9-BG$10)*1000)</f>
        <v>35024.127458801209</v>
      </c>
      <c r="BH117" s="111">
        <f>SUM(BG$117,'Statistics NZ'!BH$117-'Statistics NZ'!BG$117,$C$14/5*(BH$9-BH$10)*1000)</f>
        <v>34984.127458801209</v>
      </c>
      <c r="BI117" s="111">
        <f>SUM(BH$117,'Statistics NZ'!BI$117-'Statistics NZ'!BH$117,$C$14/5*(BI$9-BI$10)*1000)</f>
        <v>34964.127458801209</v>
      </c>
      <c r="BJ117" s="111">
        <f>SUM(BI$117,'Statistics NZ'!BJ$117-'Statistics NZ'!BI$117,$C$14/5*(BJ$9-BJ$10)*1000)</f>
        <v>34954.127458801209</v>
      </c>
      <c r="BK117" s="111">
        <f>SUM(BJ$117,'Statistics NZ'!BK$117-'Statistics NZ'!BJ$117,$C$14/5*(BK$9-BK$10)*1000)</f>
        <v>34964.127458801209</v>
      </c>
      <c r="BL117" s="111">
        <f>SUM(BK$117,'Statistics NZ'!BL$117-'Statistics NZ'!BK$117,$C$14/5*(BL$9-BL$10)*1000)</f>
        <v>34994.127458801209</v>
      </c>
      <c r="BM117" s="195">
        <f>SUM(BL$117,'Statistics NZ'!BM$117-'Statistics NZ'!BL$117,$C$14/5*(BM$9-BM$10)*1000)</f>
        <v>35024.127458801209</v>
      </c>
      <c r="BN117" s="195">
        <f>SUM(BM$117,'Statistics NZ'!BN$117-'Statistics NZ'!BM$117,$C$14/5*(BN$9-BN$10)*1000)</f>
        <v>35064.127458801209</v>
      </c>
      <c r="BO117" s="195">
        <f>SUM(BN$117,'Statistics NZ'!BO$117-'Statistics NZ'!BN$117,$C$14/5*(BO$9-BO$10)*1000)</f>
        <v>35124.127458801209</v>
      </c>
      <c r="BP117" s="195">
        <f>SUM(BO$117,'Statistics NZ'!BP$117-'Statistics NZ'!BO$117,$C$14/5*(BP$9-BP$10)*1000)</f>
        <v>35174.127458801209</v>
      </c>
      <c r="BQ117" s="195">
        <f>SUM(BP$117,'Statistics NZ'!BQ$117-'Statistics NZ'!BP$117,$C$14/5*(BQ$9-BQ$10)*1000)</f>
        <v>35244.127458801209</v>
      </c>
    </row>
    <row r="118" spans="1:69">
      <c r="A118" s="105">
        <f>$A$25</f>
        <v>8</v>
      </c>
      <c r="B118" s="118">
        <f>'Statistics NZ'!B$118*('Economic Forecasts'!D$10-'Economic Forecasts'!D$9)*1000000/SUM('Statistics NZ'!B$17:B$31,'Statistics NZ'!B$110:B$124)</f>
        <v>31679.737929326464</v>
      </c>
      <c r="C118" s="118">
        <f>'Statistics NZ'!C$118*('Economic Forecasts'!E$10-'Economic Forecasts'!E$9)*1000000/SUM('Statistics NZ'!C$17:C$31,'Statistics NZ'!C$110:C$124)</f>
        <v>31453.513295186811</v>
      </c>
      <c r="D118" s="118">
        <f>'Statistics NZ'!D$118*('Economic Forecasts'!F$10-'Economic Forecasts'!F$9)*1000000/SUM('Statistics NZ'!D$17:D$31,'Statistics NZ'!D$110:D$124)</f>
        <v>32604.750812386228</v>
      </c>
      <c r="E118" s="118">
        <f>'Statistics NZ'!E$118*('Economic Forecasts'!G$10-'Economic Forecasts'!G$9)*1000000/SUM('Statistics NZ'!E$17:E$31,'Statistics NZ'!E$110:E$124)</f>
        <v>32185.47327888502</v>
      </c>
      <c r="F118" s="118">
        <f>'Statistics NZ'!F$118*('Economic Forecasts'!H$10-'Economic Forecasts'!H$9)*1000000/SUM('Statistics NZ'!F$17:F$31,'Statistics NZ'!F$110:F$124)</f>
        <v>30837.751007553903</v>
      </c>
      <c r="G118" s="118">
        <f>'Statistics NZ'!G$118*('Economic Forecasts'!I$10-'Economic Forecasts'!I$9)*1000000/SUM('Statistics NZ'!G$17:G$31,'Statistics NZ'!G$110:G$124)</f>
        <v>31141.253747076451</v>
      </c>
      <c r="H118" s="118">
        <f>'Statistics NZ'!H$118*('Economic Forecasts'!J$10-'Economic Forecasts'!J$9)*1000000/SUM('Statistics NZ'!H$17:H$31,'Statistics NZ'!H$110:H$124)</f>
        <v>31648.484848484833</v>
      </c>
      <c r="I118" s="118">
        <f>'Statistics NZ'!I$118*('Economic Forecasts'!K$10-'Economic Forecasts'!K$9)*1000000/SUM('Statistics NZ'!I$17:I$31,'Statistics NZ'!I$110:I$124)</f>
        <v>31456.399168124659</v>
      </c>
      <c r="J118" s="203">
        <f>'Statistics NZ'!J$118*('Economic Forecasts'!L$10-'Economic Forecasts'!L$9)*1000000/SUM('Statistics NZ'!J$17:J$31,'Statistics NZ'!J$110:J$124)</f>
        <v>32248.541232477019</v>
      </c>
      <c r="K118" s="203">
        <f>'Statistics NZ'!K$118*('Economic Forecasts'!M$10-'Economic Forecasts'!M$9)*1000000/SUM('Statistics NZ'!K$17:K$31,'Statistics NZ'!K$110:K$124)</f>
        <v>34224.445123548423</v>
      </c>
      <c r="L118" s="203">
        <f>'Statistics NZ'!L$118*('Economic Forecasts'!N$10-'Economic Forecasts'!N$9)*1000000/SUM('Statistics NZ'!L$17:L$31,'Statistics NZ'!L$110:L$124)</f>
        <v>35532.868034302657</v>
      </c>
      <c r="M118" s="203">
        <f>'Statistics NZ'!M$118*('Economic Forecasts'!O$10-'Economic Forecasts'!O$9)*1000000/SUM('Statistics NZ'!M$17:M$31,'Statistics NZ'!M$110:M$124)</f>
        <v>36057.096013235845</v>
      </c>
      <c r="N118" s="203">
        <f>'Statistics NZ'!N$118*('Economic Forecasts'!P$10-'Economic Forecasts'!P$9)*1000000/SUM('Statistics NZ'!N$17:N$31,'Statistics NZ'!N$110:N$124)</f>
        <v>36164.258772068839</v>
      </c>
      <c r="O118" s="203">
        <f>'Statistics NZ'!O$118*('Economic Forecasts'!Q$10-'Economic Forecasts'!Q$9)*1000000/SUM('Statistics NZ'!O$17:O$31,'Statistics NZ'!O$110:O$124)</f>
        <v>36139.717163687325</v>
      </c>
      <c r="P118" s="203">
        <f>'Statistics NZ'!P$118*('Economic Forecasts'!R$10-'Economic Forecasts'!R$9)*1000000/SUM('Statistics NZ'!P$17:P$31,'Statistics NZ'!P$110:P$124)</f>
        <v>36136.316246742004</v>
      </c>
      <c r="Q118" s="121">
        <f>SUM('Statistics NZ'!Q$118,$C$14/5*(Q$9-Q$10)*1000)*('Economic Forecasts'!S$10-'Economic Forecasts'!S$9)*1000000/SUM('Statistics NZ'!Q$17:Q$31,'Statistics NZ'!Q$110:Q$124,SUM($B$13:$D$14)*(Q$9-Q$10)*1000)</f>
        <v>35613.606568761628</v>
      </c>
      <c r="R118" s="205">
        <f>SUM('Statistics NZ'!R$118,$C$14/5*(R$9-R$10)*1000)*('Economic Forecasts'!T$10-'Economic Forecasts'!T$9)*1000000/SUM('Statistics NZ'!R$17:R$31,'Statistics NZ'!R$110:R$124,SUM($B$13:$D$14)*(R$9-R$10)*1000)</f>
        <v>35283.943165427612</v>
      </c>
      <c r="S118" s="205">
        <f>SUM('Statistics NZ'!S$118,$C$14/5*(S$9-S$10)*1000)*('Economic Forecasts'!U$10-'Economic Forecasts'!U$9)*1000000/SUM('Statistics NZ'!S$17:S$31,'Statistics NZ'!S$110:S$124,SUM($B$13:$D$14)*(S$9-S$10)*1000)</f>
        <v>35390.097677734222</v>
      </c>
      <c r="T118" s="205">
        <f>SUM('Statistics NZ'!T$118,$C$14/5*(T$9-T$10)*1000)*('Economic Forecasts'!V$10-'Economic Forecasts'!V$9)*1000000/SUM('Statistics NZ'!T$17:T$31,'Statistics NZ'!T$110:T$124,SUM($B$13:$D$14)*(T$9-T$10)*1000)</f>
        <v>35312.451294592705</v>
      </c>
      <c r="U118" s="205">
        <f>SUM('Statistics NZ'!U$118,$C$14/5*(U$9-U$10)*1000)*('Economic Forecasts'!W$10-'Economic Forecasts'!W$9)*1000000/SUM('Statistics NZ'!U$17:U$31,'Statistics NZ'!U$110:U$124,SUM($B$13:$D$14)*(U$9-U$10)*1000)</f>
        <v>35400.977492896724</v>
      </c>
      <c r="V118" s="111">
        <f>SUM(U$118,'Statistics NZ'!V$118-'Statistics NZ'!U$118,$C$14/5*(V$9-V$10)*1000)</f>
        <v>34819.021070278213</v>
      </c>
      <c r="W118" s="111">
        <f>SUM(V$118,'Statistics NZ'!W$118-'Statistics NZ'!V$118,$C$14/5*(W$9-W$10)*1000)</f>
        <v>34892.30920048702</v>
      </c>
      <c r="X118" s="111">
        <f>SUM(W$118,'Statistics NZ'!X$118-'Statistics NZ'!W$118,$C$14/5*(X$9-X$10)*1000)</f>
        <v>34340.841883523142</v>
      </c>
      <c r="Y118" s="111">
        <f>SUM(X$118,'Statistics NZ'!Y$118-'Statistics NZ'!X$118,$C$14/5*(Y$9-Y$10)*1000)</f>
        <v>34224.619119386574</v>
      </c>
      <c r="Z118" s="111">
        <f>SUM(Y$118,'Statistics NZ'!Z$118-'Statistics NZ'!Y$118,$C$14/5*(Z$9-Z$10)*1000)</f>
        <v>34253.640908077323</v>
      </c>
      <c r="AA118" s="111">
        <f>SUM(Z$118,'Statistics NZ'!AA$118-'Statistics NZ'!Z$118,$C$14/5*(AA$9-AA$10)*1000)</f>
        <v>34237.907249595381</v>
      </c>
      <c r="AB118" s="111">
        <f>SUM(AA$118,'Statistics NZ'!AB$118-'Statistics NZ'!AA$118,$C$14/5*(AB$9-AB$10)*1000)</f>
        <v>34177.418143940755</v>
      </c>
      <c r="AC118" s="111">
        <f>SUM(AB$118,'Statistics NZ'!AC$118-'Statistics NZ'!AB$118,$C$14/5*(AC$9-AC$10)*1000)</f>
        <v>34312.173591113438</v>
      </c>
      <c r="AD118" s="111">
        <f>SUM(AC$118,'Statistics NZ'!AD$118-'Statistics NZ'!AC$118,$C$14/5*(AD$9-AD$10)*1000)</f>
        <v>34392.173591113438</v>
      </c>
      <c r="AE118" s="111">
        <f>SUM(AD$118,'Statistics NZ'!AE$118-'Statistics NZ'!AD$118,$C$14/5*(AE$9-AE$10)*1000)</f>
        <v>34452.173591113438</v>
      </c>
      <c r="AF118" s="111">
        <f>SUM(AE$118,'Statistics NZ'!AF$118-'Statistics NZ'!AE$118,$C$14/5*(AF$9-AF$10)*1000)</f>
        <v>34482.173591113438</v>
      </c>
      <c r="AG118" s="111">
        <f>SUM(AF$118,'Statistics NZ'!AG$118-'Statistics NZ'!AF$118,$C$14/5*(AG$9-AG$10)*1000)</f>
        <v>34512.173591113438</v>
      </c>
      <c r="AH118" s="111">
        <f>SUM(AG$118,'Statistics NZ'!AH$118-'Statistics NZ'!AG$118,$C$14/5*(AH$9-AH$10)*1000)</f>
        <v>34532.173591113438</v>
      </c>
      <c r="AI118" s="111">
        <f>SUM(AH$118,'Statistics NZ'!AI$118-'Statistics NZ'!AH$118,$C$14/5*(AI$9-AI$10)*1000)</f>
        <v>34562.173591113438</v>
      </c>
      <c r="AJ118" s="111">
        <f>SUM(AI$118,'Statistics NZ'!AJ$118-'Statistics NZ'!AI$118,$C$14/5*(AJ$9-AJ$10)*1000)</f>
        <v>34602.173591113438</v>
      </c>
      <c r="AK118" s="111">
        <f>SUM(AJ$118,'Statistics NZ'!AK$118-'Statistics NZ'!AJ$118,$C$14/5*(AK$9-AK$10)*1000)</f>
        <v>34652.173591113438</v>
      </c>
      <c r="AL118" s="111">
        <f>SUM(AK$118,'Statistics NZ'!AL$118-'Statistics NZ'!AK$118,$C$14/5*(AL$9-AL$10)*1000)</f>
        <v>34712.173591113438</v>
      </c>
      <c r="AM118" s="111">
        <f>SUM(AL$118,'Statistics NZ'!AM$118-'Statistics NZ'!AL$118,$C$14/5*(AM$9-AM$10)*1000)</f>
        <v>34802.173591113438</v>
      </c>
      <c r="AN118" s="111">
        <f>SUM(AM$118,'Statistics NZ'!AN$118-'Statistics NZ'!AM$118,$C$14/5*(AN$9-AN$10)*1000)</f>
        <v>34922.173591113438</v>
      </c>
      <c r="AO118" s="111">
        <f>SUM(AN$118,'Statistics NZ'!AO$118-'Statistics NZ'!AN$118,$C$14/5*(AO$9-AO$10)*1000)</f>
        <v>35062.173591113438</v>
      </c>
      <c r="AP118" s="111">
        <f>SUM(AO$118,'Statistics NZ'!AP$118-'Statistics NZ'!AO$118,$C$14/5*(AP$9-AP$10)*1000)</f>
        <v>35222.173591113438</v>
      </c>
      <c r="AQ118" s="111">
        <f>SUM(AP$118,'Statistics NZ'!AQ$118-'Statistics NZ'!AP$118,$C$14/5*(AQ$9-AQ$10)*1000)</f>
        <v>35392.173591113438</v>
      </c>
      <c r="AR118" s="111">
        <f>SUM(AQ$118,'Statistics NZ'!AR$118-'Statistics NZ'!AQ$118,$C$14/5*(AR$9-AR$10)*1000)</f>
        <v>35562.173591113438</v>
      </c>
      <c r="AS118" s="111">
        <f>SUM(AR$118,'Statistics NZ'!AS$118-'Statistics NZ'!AR$118,$C$14/5*(AS$9-AS$10)*1000)</f>
        <v>35702.173591113438</v>
      </c>
      <c r="AT118" s="111">
        <f>SUM(AS$118,'Statistics NZ'!AT$118-'Statistics NZ'!AS$118,$C$14/5*(AT$9-AT$10)*1000)</f>
        <v>35832.173591113438</v>
      </c>
      <c r="AU118" s="111">
        <f>SUM(AT$118,'Statistics NZ'!AU$118-'Statistics NZ'!AT$118,$C$14/5*(AU$9-AU$10)*1000)</f>
        <v>35932.173591113438</v>
      </c>
      <c r="AV118" s="111">
        <f>SUM(AU$118,'Statistics NZ'!AV$118-'Statistics NZ'!AU$118,$C$14/5*(AV$9-AV$10)*1000)</f>
        <v>36002.173591113438</v>
      </c>
      <c r="AW118" s="111">
        <f>SUM(AV$118,'Statistics NZ'!AW$118-'Statistics NZ'!AV$118,$C$14/5*(AW$9-AW$10)*1000)</f>
        <v>36032.173591113438</v>
      </c>
      <c r="AX118" s="111">
        <f>SUM(AW$118,'Statistics NZ'!AX$118-'Statistics NZ'!AW$118,$C$14/5*(AX$9-AX$10)*1000)</f>
        <v>36032.173591113438</v>
      </c>
      <c r="AY118" s="111">
        <f>SUM(AX$118,'Statistics NZ'!AY$118-'Statistics NZ'!AX$118,$C$14/5*(AY$9-AY$10)*1000)</f>
        <v>36002.173591113438</v>
      </c>
      <c r="AZ118" s="111">
        <f>SUM(AY$118,'Statistics NZ'!AZ$118-'Statistics NZ'!AY$118,$C$14/5*(AZ$9-AZ$10)*1000)</f>
        <v>35942.173591113438</v>
      </c>
      <c r="BA118" s="111">
        <f>SUM(AZ$118,'Statistics NZ'!BA$118-'Statistics NZ'!AZ$118,$C$14/5*(BA$9-BA$10)*1000)</f>
        <v>35862.173591113438</v>
      </c>
      <c r="BB118" s="111">
        <f>SUM(BA$118,'Statistics NZ'!BB$118-'Statistics NZ'!BA$118,$C$14/5*(BB$9-BB$10)*1000)</f>
        <v>35762.173591113438</v>
      </c>
      <c r="BC118" s="111">
        <f>SUM(BB$118,'Statistics NZ'!BC$118-'Statistics NZ'!BB$118,$C$14/5*(BC$9-BC$10)*1000)</f>
        <v>35662.173591113438</v>
      </c>
      <c r="BD118" s="111">
        <f>SUM(BC$118,'Statistics NZ'!BD$118-'Statistics NZ'!BC$118,$C$14/5*(BD$9-BD$10)*1000)</f>
        <v>35552.173591113438</v>
      </c>
      <c r="BE118" s="111">
        <f>SUM(BD$118,'Statistics NZ'!BE$118-'Statistics NZ'!BD$118,$C$14/5*(BE$9-BE$10)*1000)</f>
        <v>35452.173591113438</v>
      </c>
      <c r="BF118" s="111">
        <f>SUM(BE$118,'Statistics NZ'!BF$118-'Statistics NZ'!BE$118,$C$14/5*(BF$9-BF$10)*1000)</f>
        <v>35362.173591113438</v>
      </c>
      <c r="BG118" s="111">
        <f>SUM(BF$118,'Statistics NZ'!BG$118-'Statistics NZ'!BF$118,$C$14/5*(BG$9-BG$10)*1000)</f>
        <v>35282.173591113438</v>
      </c>
      <c r="BH118" s="111">
        <f>SUM(BG$118,'Statistics NZ'!BH$118-'Statistics NZ'!BG$118,$C$14/5*(BH$9-BH$10)*1000)</f>
        <v>35232.173591113438</v>
      </c>
      <c r="BI118" s="111">
        <f>SUM(BH$118,'Statistics NZ'!BI$118-'Statistics NZ'!BH$118,$C$14/5*(BI$9-BI$10)*1000)</f>
        <v>35192.173591113438</v>
      </c>
      <c r="BJ118" s="111">
        <f>SUM(BI$118,'Statistics NZ'!BJ$118-'Statistics NZ'!BI$118,$C$14/5*(BJ$9-BJ$10)*1000)</f>
        <v>35172.173591113438</v>
      </c>
      <c r="BK118" s="111">
        <f>SUM(BJ$118,'Statistics NZ'!BK$118-'Statistics NZ'!BJ$118,$C$14/5*(BK$9-BK$10)*1000)</f>
        <v>35162.173591113438</v>
      </c>
      <c r="BL118" s="111">
        <f>SUM(BK$118,'Statistics NZ'!BL$118-'Statistics NZ'!BK$118,$C$14/5*(BL$9-BL$10)*1000)</f>
        <v>35172.173591113438</v>
      </c>
      <c r="BM118" s="195">
        <f>SUM(BL$118,'Statistics NZ'!BM$118-'Statistics NZ'!BL$118,$C$14/5*(BM$9-BM$10)*1000)</f>
        <v>35192.173591113438</v>
      </c>
      <c r="BN118" s="195">
        <f>SUM(BM$118,'Statistics NZ'!BN$118-'Statistics NZ'!BM$118,$C$14/5*(BN$9-BN$10)*1000)</f>
        <v>35232.173591113438</v>
      </c>
      <c r="BO118" s="195">
        <f>SUM(BN$118,'Statistics NZ'!BO$118-'Statistics NZ'!BN$118,$C$14/5*(BO$9-BO$10)*1000)</f>
        <v>35272.173591113438</v>
      </c>
      <c r="BP118" s="195">
        <f>SUM(BO$118,'Statistics NZ'!BP$118-'Statistics NZ'!BO$118,$C$14/5*(BP$9-BP$10)*1000)</f>
        <v>35322.173591113438</v>
      </c>
      <c r="BQ118" s="195">
        <f>SUM(BP$118,'Statistics NZ'!BQ$118-'Statistics NZ'!BP$118,$C$14/5*(BQ$9-BQ$10)*1000)</f>
        <v>35382.173591113438</v>
      </c>
    </row>
    <row r="119" spans="1:69">
      <c r="A119" s="105">
        <f>$A$26</f>
        <v>9</v>
      </c>
      <c r="B119" s="118">
        <f>'Statistics NZ'!B$119*('Economic Forecasts'!D$10-'Economic Forecasts'!D$9)*1000000/SUM('Statistics NZ'!B$17:B$31,'Statistics NZ'!B$110:B$124)</f>
        <v>31531.701770778214</v>
      </c>
      <c r="C119" s="118">
        <f>'Statistics NZ'!C$119*('Economic Forecasts'!E$10-'Economic Forecasts'!E$9)*1000000/SUM('Statistics NZ'!C$17:C$31,'Statistics NZ'!C$110:C$124)</f>
        <v>31938.874453046115</v>
      </c>
      <c r="D119" s="118">
        <f>'Statistics NZ'!D$119*('Economic Forecasts'!F$10-'Economic Forecasts'!F$9)*1000000/SUM('Statistics NZ'!D$17:D$31,'Statistics NZ'!D$110:D$124)</f>
        <v>31791.216848499727</v>
      </c>
      <c r="E119" s="118">
        <f>'Statistics NZ'!E$119*('Economic Forecasts'!G$10-'Economic Forecasts'!G$9)*1000000/SUM('Statistics NZ'!E$17:E$31,'Statistics NZ'!E$110:E$124)</f>
        <v>32937.916019352859</v>
      </c>
      <c r="F119" s="118">
        <f>'Statistics NZ'!F$119*('Economic Forecasts'!H$10-'Economic Forecasts'!H$9)*1000000/SUM('Statistics NZ'!F$17:F$31,'Statistics NZ'!F$110:F$124)</f>
        <v>32415.644173805802</v>
      </c>
      <c r="G119" s="118">
        <f>'Statistics NZ'!G$119*('Economic Forecasts'!I$10-'Economic Forecasts'!I$9)*1000000/SUM('Statistics NZ'!G$17:G$31,'Statistics NZ'!G$110:G$124)</f>
        <v>30940.069176796118</v>
      </c>
      <c r="H119" s="118">
        <f>'Statistics NZ'!H$119*('Economic Forecasts'!J$10-'Economic Forecasts'!J$9)*1000000/SUM('Statistics NZ'!H$17:H$31,'Statistics NZ'!H$110:H$124)</f>
        <v>31107.575757575745</v>
      </c>
      <c r="I119" s="118">
        <f>'Statistics NZ'!I$119*('Economic Forecasts'!K$10-'Economic Forecasts'!K$9)*1000000/SUM('Statistics NZ'!I$17:I$31,'Statistics NZ'!I$110:I$124)</f>
        <v>31733.172900229983</v>
      </c>
      <c r="J119" s="203">
        <f>'Statistics NZ'!J$119*('Economic Forecasts'!L$10-'Economic Forecasts'!L$9)*1000000/SUM('Statistics NZ'!J$17:J$31,'Statistics NZ'!J$110:J$124)</f>
        <v>31798.71103262181</v>
      </c>
      <c r="K119" s="203">
        <f>'Statistics NZ'!K$119*('Economic Forecasts'!M$10-'Economic Forecasts'!M$9)*1000000/SUM('Statistics NZ'!K$17:K$31,'Statistics NZ'!K$110:K$124)</f>
        <v>32581.929407142237</v>
      </c>
      <c r="L119" s="203">
        <f>'Statistics NZ'!L$119*('Economic Forecasts'!N$10-'Economic Forecasts'!N$9)*1000000/SUM('Statistics NZ'!L$17:L$31,'Statistics NZ'!L$110:L$124)</f>
        <v>34339.918028354849</v>
      </c>
      <c r="M119" s="203">
        <f>'Statistics NZ'!M$119*('Economic Forecasts'!O$10-'Economic Forecasts'!O$9)*1000000/SUM('Statistics NZ'!M$17:M$31,'Statistics NZ'!M$110:M$124)</f>
        <v>35812.171852484396</v>
      </c>
      <c r="N119" s="203">
        <f>'Statistics NZ'!N$119*('Economic Forecasts'!P$10-'Economic Forecasts'!P$9)*1000000/SUM('Statistics NZ'!N$17:N$31,'Statistics NZ'!N$110:N$124)</f>
        <v>36111.387048717857</v>
      </c>
      <c r="O119" s="203">
        <f>'Statistics NZ'!O$119*('Economic Forecasts'!Q$10-'Economic Forecasts'!Q$9)*1000000/SUM('Statistics NZ'!O$17:O$31,'Statistics NZ'!O$110:O$124)</f>
        <v>36594.504356557838</v>
      </c>
      <c r="P119" s="203">
        <f>'Statistics NZ'!P$119*('Economic Forecasts'!R$10-'Economic Forecasts'!R$9)*1000000/SUM('Statistics NZ'!P$17:P$31,'Statistics NZ'!P$110:P$124)</f>
        <v>36527.264697364641</v>
      </c>
      <c r="Q119" s="121">
        <f>SUM('Statistics NZ'!Q$119,$C$14/5*(Q$9-Q$10)*1000)*('Economic Forecasts'!S$10-'Economic Forecasts'!S$9)*1000000/SUM('Statistics NZ'!Q$17:Q$31,'Statistics NZ'!Q$110:Q$124,SUM($B$13:$D$14)*(Q$9-Q$10)*1000)</f>
        <v>36108.006492726199</v>
      </c>
      <c r="R119" s="205">
        <f>SUM('Statistics NZ'!R$119,$C$14/5*(R$9-R$10)*1000)*('Economic Forecasts'!T$10-'Economic Forecasts'!T$9)*1000000/SUM('Statistics NZ'!R$17:R$31,'Statistics NZ'!R$110:R$124,SUM($B$13:$D$14)*(R$9-R$10)*1000)</f>
        <v>35841.807783944656</v>
      </c>
      <c r="S119" s="205">
        <f>SUM('Statistics NZ'!S$119,$C$14/5*(S$9-S$10)*1000)*('Economic Forecasts'!U$10-'Economic Forecasts'!U$9)*1000000/SUM('Statistics NZ'!S$17:S$31,'Statistics NZ'!S$110:S$124,SUM($B$13:$D$14)*(S$9-S$10)*1000)</f>
        <v>35643.300401362132</v>
      </c>
      <c r="T119" s="205">
        <f>SUM('Statistics NZ'!T$119,$C$14/5*(T$9-T$10)*1000)*('Economic Forecasts'!V$10-'Economic Forecasts'!V$9)*1000000/SUM('Statistics NZ'!T$17:T$31,'Statistics NZ'!T$110:T$124,SUM($B$13:$D$14)*(T$9-T$10)*1000)</f>
        <v>35810.948415867992</v>
      </c>
      <c r="U119" s="205">
        <f>SUM('Statistics NZ'!U$119,$C$14/5*(U$9-U$10)*1000)*('Economic Forecasts'!W$10-'Economic Forecasts'!W$9)*1000000/SUM('Statistics NZ'!U$17:U$31,'Statistics NZ'!U$110:U$124,SUM($B$13:$D$14)*(U$9-U$10)*1000)</f>
        <v>35828.618508283507</v>
      </c>
      <c r="V119" s="111">
        <f>SUM(U$119,'Statistics NZ'!V$119-'Statistics NZ'!U$119,$C$14/5*(V$9-V$10)*1000)</f>
        <v>35706.662085664997</v>
      </c>
      <c r="W119" s="111">
        <f>SUM(V$119,'Statistics NZ'!W$119-'Statistics NZ'!V$119,$C$14/5*(W$9-W$10)*1000)</f>
        <v>35109.950215873803</v>
      </c>
      <c r="X119" s="111">
        <f>SUM(W$119,'Statistics NZ'!X$119-'Statistics NZ'!W$119,$C$14/5*(X$9-X$10)*1000)</f>
        <v>35168.482898909926</v>
      </c>
      <c r="Y119" s="111">
        <f>SUM(X$119,'Statistics NZ'!Y$119-'Statistics NZ'!X$119,$C$14/5*(Y$9-Y$10)*1000)</f>
        <v>34602.260134773358</v>
      </c>
      <c r="Z119" s="111">
        <f>SUM(Y$119,'Statistics NZ'!Z$119-'Statistics NZ'!Y$119,$C$14/5*(Z$9-Z$10)*1000)</f>
        <v>34471.281923464107</v>
      </c>
      <c r="AA119" s="111">
        <f>SUM(Z$119,'Statistics NZ'!AA$119-'Statistics NZ'!Z$119,$C$14/5*(AA$9-AA$10)*1000)</f>
        <v>34485.548264982164</v>
      </c>
      <c r="AB119" s="111">
        <f>SUM(AA$119,'Statistics NZ'!AB$119-'Statistics NZ'!AA$119,$C$14/5*(AB$9-AB$10)*1000)</f>
        <v>34445.059159327539</v>
      </c>
      <c r="AC119" s="111">
        <f>SUM(AB$119,'Statistics NZ'!AC$119-'Statistics NZ'!AB$119,$C$14/5*(AC$9-AC$10)*1000)</f>
        <v>34369.814606500222</v>
      </c>
      <c r="AD119" s="111">
        <f>SUM(AC$119,'Statistics NZ'!AD$119-'Statistics NZ'!AC$119,$C$14/5*(AD$9-AD$10)*1000)</f>
        <v>34499.814606500222</v>
      </c>
      <c r="AE119" s="111">
        <f>SUM(AD$119,'Statistics NZ'!AE$119-'Statistics NZ'!AD$119,$C$14/5*(AE$9-AE$10)*1000)</f>
        <v>34579.814606500222</v>
      </c>
      <c r="AF119" s="111">
        <f>SUM(AE$119,'Statistics NZ'!AF$119-'Statistics NZ'!AE$119,$C$14/5*(AF$9-AF$10)*1000)</f>
        <v>34639.814606500222</v>
      </c>
      <c r="AG119" s="111">
        <f>SUM(AF$119,'Statistics NZ'!AG$119-'Statistics NZ'!AF$119,$C$14/5*(AG$9-AG$10)*1000)</f>
        <v>34669.814606500222</v>
      </c>
      <c r="AH119" s="111">
        <f>SUM(AG$119,'Statistics NZ'!AH$119-'Statistics NZ'!AG$119,$C$14/5*(AH$9-AH$10)*1000)</f>
        <v>34699.814606500222</v>
      </c>
      <c r="AI119" s="111">
        <f>SUM(AH$119,'Statistics NZ'!AI$119-'Statistics NZ'!AH$119,$C$14/5*(AI$9-AI$10)*1000)</f>
        <v>34719.814606500222</v>
      </c>
      <c r="AJ119" s="111">
        <f>SUM(AI$119,'Statistics NZ'!AJ$119-'Statistics NZ'!AI$119,$C$14/5*(AJ$9-AJ$10)*1000)</f>
        <v>34749.814606500222</v>
      </c>
      <c r="AK119" s="111">
        <f>SUM(AJ$119,'Statistics NZ'!AK$119-'Statistics NZ'!AJ$119,$C$14/5*(AK$9-AK$10)*1000)</f>
        <v>34789.814606500222</v>
      </c>
      <c r="AL119" s="111">
        <f>SUM(AK$119,'Statistics NZ'!AL$119-'Statistics NZ'!AK$119,$C$14/5*(AL$9-AL$10)*1000)</f>
        <v>34829.814606500222</v>
      </c>
      <c r="AM119" s="111">
        <f>SUM(AL$119,'Statistics NZ'!AM$119-'Statistics NZ'!AL$119,$C$14/5*(AM$9-AM$10)*1000)</f>
        <v>34899.814606500222</v>
      </c>
      <c r="AN119" s="111">
        <f>SUM(AM$119,'Statistics NZ'!AN$119-'Statistics NZ'!AM$119,$C$14/5*(AN$9-AN$10)*1000)</f>
        <v>34989.814606500222</v>
      </c>
      <c r="AO119" s="111">
        <f>SUM(AN$119,'Statistics NZ'!AO$119-'Statistics NZ'!AN$119,$C$14/5*(AO$9-AO$10)*1000)</f>
        <v>35109.814606500222</v>
      </c>
      <c r="AP119" s="111">
        <f>SUM(AO$119,'Statistics NZ'!AP$119-'Statistics NZ'!AO$119,$C$14/5*(AP$9-AP$10)*1000)</f>
        <v>35249.814606500222</v>
      </c>
      <c r="AQ119" s="111">
        <f>SUM(AP$119,'Statistics NZ'!AQ$119-'Statistics NZ'!AP$119,$C$14/5*(AQ$9-AQ$10)*1000)</f>
        <v>35409.814606500222</v>
      </c>
      <c r="AR119" s="111">
        <f>SUM(AQ$119,'Statistics NZ'!AR$119-'Statistics NZ'!AQ$119,$C$14/5*(AR$9-AR$10)*1000)</f>
        <v>35579.814606500222</v>
      </c>
      <c r="AS119" s="111">
        <f>SUM(AR$119,'Statistics NZ'!AS$119-'Statistics NZ'!AR$119,$C$14/5*(AS$9-AS$10)*1000)</f>
        <v>35739.814606500222</v>
      </c>
      <c r="AT119" s="111">
        <f>SUM(AS$119,'Statistics NZ'!AT$119-'Statistics NZ'!AS$119,$C$14/5*(AT$9-AT$10)*1000)</f>
        <v>35889.814606500222</v>
      </c>
      <c r="AU119" s="111">
        <f>SUM(AT$119,'Statistics NZ'!AU$119-'Statistics NZ'!AT$119,$C$14/5*(AU$9-AU$10)*1000)</f>
        <v>36019.814606500222</v>
      </c>
      <c r="AV119" s="111">
        <f>SUM(AU$119,'Statistics NZ'!AV$119-'Statistics NZ'!AU$119,$C$14/5*(AV$9-AV$10)*1000)</f>
        <v>36119.814606500222</v>
      </c>
      <c r="AW119" s="111">
        <f>SUM(AV$119,'Statistics NZ'!AW$119-'Statistics NZ'!AV$119,$C$14/5*(AW$9-AW$10)*1000)</f>
        <v>36189.814606500222</v>
      </c>
      <c r="AX119" s="111">
        <f>SUM(AW$119,'Statistics NZ'!AX$119-'Statistics NZ'!AW$119,$C$14/5*(AX$9-AX$10)*1000)</f>
        <v>36219.814606500222</v>
      </c>
      <c r="AY119" s="111">
        <f>SUM(AX$119,'Statistics NZ'!AY$119-'Statistics NZ'!AX$119,$C$14/5*(AY$9-AY$10)*1000)</f>
        <v>36219.814606500222</v>
      </c>
      <c r="AZ119" s="111">
        <f>SUM(AY$119,'Statistics NZ'!AZ$119-'Statistics NZ'!AY$119,$C$14/5*(AZ$9-AZ$10)*1000)</f>
        <v>36189.814606500222</v>
      </c>
      <c r="BA119" s="111">
        <f>SUM(AZ$119,'Statistics NZ'!BA$119-'Statistics NZ'!AZ$119,$C$14/5*(BA$9-BA$10)*1000)</f>
        <v>36129.814606500222</v>
      </c>
      <c r="BB119" s="111">
        <f>SUM(BA$119,'Statistics NZ'!BB$119-'Statistics NZ'!BA$119,$C$14/5*(BB$9-BB$10)*1000)</f>
        <v>36049.814606500222</v>
      </c>
      <c r="BC119" s="111">
        <f>SUM(BB$119,'Statistics NZ'!BC$119-'Statistics NZ'!BB$119,$C$14/5*(BC$9-BC$10)*1000)</f>
        <v>35949.814606500222</v>
      </c>
      <c r="BD119" s="111">
        <f>SUM(BC$119,'Statistics NZ'!BD$119-'Statistics NZ'!BC$119,$C$14/5*(BD$9-BD$10)*1000)</f>
        <v>35849.814606500222</v>
      </c>
      <c r="BE119" s="111">
        <f>SUM(BD$119,'Statistics NZ'!BE$119-'Statistics NZ'!BD$119,$C$14/5*(BE$9-BE$10)*1000)</f>
        <v>35739.814606500222</v>
      </c>
      <c r="BF119" s="111">
        <f>SUM(BE$119,'Statistics NZ'!BF$119-'Statistics NZ'!BE$119,$C$14/5*(BF$9-BF$10)*1000)</f>
        <v>35639.814606500222</v>
      </c>
      <c r="BG119" s="111">
        <f>SUM(BF$119,'Statistics NZ'!BG$119-'Statistics NZ'!BF$119,$C$14/5*(BG$9-BG$10)*1000)</f>
        <v>35549.814606500222</v>
      </c>
      <c r="BH119" s="111">
        <f>SUM(BG$119,'Statistics NZ'!BH$119-'Statistics NZ'!BG$119,$C$14/5*(BH$9-BH$10)*1000)</f>
        <v>35469.814606500222</v>
      </c>
      <c r="BI119" s="111">
        <f>SUM(BH$119,'Statistics NZ'!BI$119-'Statistics NZ'!BH$119,$C$14/5*(BI$9-BI$10)*1000)</f>
        <v>35419.814606500222</v>
      </c>
      <c r="BJ119" s="111">
        <f>SUM(BI$119,'Statistics NZ'!BJ$119-'Statistics NZ'!BI$119,$C$14/5*(BJ$9-BJ$10)*1000)</f>
        <v>35379.814606500222</v>
      </c>
      <c r="BK119" s="111">
        <f>SUM(BJ$119,'Statistics NZ'!BK$119-'Statistics NZ'!BJ$119,$C$14/5*(BK$9-BK$10)*1000)</f>
        <v>35359.814606500222</v>
      </c>
      <c r="BL119" s="111">
        <f>SUM(BK$119,'Statistics NZ'!BL$119-'Statistics NZ'!BK$119,$C$14/5*(BL$9-BL$10)*1000)</f>
        <v>35349.814606500222</v>
      </c>
      <c r="BM119" s="195">
        <f>SUM(BL$119,'Statistics NZ'!BM$119-'Statistics NZ'!BL$119,$C$14/5*(BM$9-BM$10)*1000)</f>
        <v>35359.814606500222</v>
      </c>
      <c r="BN119" s="195">
        <f>SUM(BM$119,'Statistics NZ'!BN$119-'Statistics NZ'!BM$119,$C$14/5*(BN$9-BN$10)*1000)</f>
        <v>35379.814606500222</v>
      </c>
      <c r="BO119" s="195">
        <f>SUM(BN$119,'Statistics NZ'!BO$119-'Statistics NZ'!BN$119,$C$14/5*(BO$9-BO$10)*1000)</f>
        <v>35419.814606500222</v>
      </c>
      <c r="BP119" s="195">
        <f>SUM(BO$119,'Statistics NZ'!BP$119-'Statistics NZ'!BO$119,$C$14/5*(BP$9-BP$10)*1000)</f>
        <v>35459.814606500222</v>
      </c>
      <c r="BQ119" s="195">
        <f>SUM(BP$119,'Statistics NZ'!BQ$119-'Statistics NZ'!BP$119,$C$14/5*(BQ$9-BQ$10)*1000)</f>
        <v>35509.814606500222</v>
      </c>
    </row>
    <row r="120" spans="1:69">
      <c r="A120" s="105">
        <f>$A$27</f>
        <v>10</v>
      </c>
      <c r="B120" s="118">
        <f>'Statistics NZ'!B$120*('Economic Forecasts'!D$10-'Economic Forecasts'!D$9)*1000000/SUM('Statistics NZ'!B$17:B$31,'Statistics NZ'!B$110:B$124)</f>
        <v>32885.175220362253</v>
      </c>
      <c r="C120" s="118">
        <f>'Statistics NZ'!C$120*('Economic Forecasts'!E$10-'Economic Forecasts'!E$9)*1000000/SUM('Statistics NZ'!C$17:C$31,'Statistics NZ'!C$110:C$124)</f>
        <v>31854.46381689667</v>
      </c>
      <c r="D120" s="118">
        <f>'Statistics NZ'!D$120*('Economic Forecasts'!F$10-'Economic Forecasts'!F$9)*1000000/SUM('Statistics NZ'!D$17:D$31,'Statistics NZ'!D$110:D$124)</f>
        <v>32203.266518520166</v>
      </c>
      <c r="E120" s="118">
        <f>'Statistics NZ'!E$120*('Economic Forecasts'!G$10-'Economic Forecasts'!G$9)*1000000/SUM('Statistics NZ'!E$17:E$31,'Statistics NZ'!E$110:E$124)</f>
        <v>32132.48435349996</v>
      </c>
      <c r="F120" s="118">
        <f>'Statistics NZ'!F$120*('Economic Forecasts'!H$10-'Economic Forecasts'!H$9)*1000000/SUM('Statistics NZ'!F$17:F$31,'Statistics NZ'!F$110:F$124)</f>
        <v>33209.885700442661</v>
      </c>
      <c r="G120" s="118">
        <f>'Statistics NZ'!G$120*('Economic Forecasts'!I$10-'Economic Forecasts'!I$9)*1000000/SUM('Statistics NZ'!G$17:G$31,'Statistics NZ'!G$110:G$124)</f>
        <v>32528.368415851361</v>
      </c>
      <c r="H120" s="118">
        <f>'Statistics NZ'!H$120*('Economic Forecasts'!J$10-'Economic Forecasts'!J$9)*1000000/SUM('Statistics NZ'!H$17:H$31,'Statistics NZ'!H$110:H$124)</f>
        <v>30990.909090909074</v>
      </c>
      <c r="I120" s="118">
        <f>'Statistics NZ'!I$120*('Economic Forecasts'!K$10-'Economic Forecasts'!K$9)*1000000/SUM('Statistics NZ'!I$17:I$31,'Statistics NZ'!I$110:I$124)</f>
        <v>31222.20601018938</v>
      </c>
      <c r="J120" s="203">
        <f>'Statistics NZ'!J$120*('Economic Forecasts'!L$10-'Economic Forecasts'!L$9)*1000000/SUM('Statistics NZ'!J$17:J$31,'Statistics NZ'!J$110:J$124)</f>
        <v>32077.177346817894</v>
      </c>
      <c r="K120" s="203">
        <f>'Statistics NZ'!K$120*('Economic Forecasts'!M$10-'Economic Forecasts'!M$9)*1000000/SUM('Statistics NZ'!K$17:K$31,'Statistics NZ'!K$110:K$124)</f>
        <v>32173.984327250506</v>
      </c>
      <c r="L120" s="203">
        <f>'Statistics NZ'!L$120*('Economic Forecasts'!N$10-'Economic Forecasts'!N$9)*1000000/SUM('Statistics NZ'!L$17:L$31,'Statistics NZ'!L$110:L$124)</f>
        <v>32710.263109515428</v>
      </c>
      <c r="M120" s="203">
        <f>'Statistics NZ'!M$120*('Economic Forecasts'!O$10-'Economic Forecasts'!O$9)*1000000/SUM('Statistics NZ'!M$17:M$31,'Statistics NZ'!M$110:M$124)</f>
        <v>34800.528579815342</v>
      </c>
      <c r="N120" s="203">
        <f>'Statistics NZ'!N$120*('Economic Forecasts'!P$10-'Economic Forecasts'!P$9)*1000000/SUM('Statistics NZ'!N$17:N$31,'Statistics NZ'!N$110:N$124)</f>
        <v>35878.751465973553</v>
      </c>
      <c r="O120" s="203">
        <f>'Statistics NZ'!O$120*('Economic Forecasts'!Q$10-'Economic Forecasts'!Q$9)*1000000/SUM('Statistics NZ'!O$17:O$31,'Statistics NZ'!O$110:O$124)</f>
        <v>36509.892785791235</v>
      </c>
      <c r="P120" s="203">
        <f>'Statistics NZ'!P$120*('Economic Forecasts'!R$10-'Economic Forecasts'!R$9)*1000000/SUM('Statistics NZ'!P$17:P$31,'Statistics NZ'!P$110:P$124)</f>
        <v>37076.705763104583</v>
      </c>
      <c r="Q120" s="121">
        <f>SUM('Statistics NZ'!Q$120,$D$14/5*(Q$9-Q$10)*1000)*('Economic Forecasts'!S$10-'Economic Forecasts'!S$9)*1000000/SUM('Statistics NZ'!Q$17:Q$31,'Statistics NZ'!Q$110:Q$124,SUM($B$13:$D$14)*(Q$9-Q$10)*1000)</f>
        <v>36485.989638607884</v>
      </c>
      <c r="R120" s="205">
        <f>SUM('Statistics NZ'!R$120,$D$14/5*(R$9-R$10)*1000)*('Economic Forecasts'!T$10-'Economic Forecasts'!T$9)*1000000/SUM('Statistics NZ'!R$17:R$31,'Statistics NZ'!R$110:R$124,SUM($B$13:$D$14)*(R$9-R$10)*1000)</f>
        <v>36335.588179640559</v>
      </c>
      <c r="S120" s="205">
        <f>SUM('Statistics NZ'!S$120,$D$14/5*(S$9-S$10)*1000)*('Economic Forecasts'!U$10-'Economic Forecasts'!U$9)*1000000/SUM('Statistics NZ'!S$17:S$31,'Statistics NZ'!S$110:S$124,SUM($B$13:$D$14)*(S$9-S$10)*1000)</f>
        <v>36192.651814514393</v>
      </c>
      <c r="T120" s="205">
        <f>SUM('Statistics NZ'!T$120,$D$14/5*(T$9-T$10)*1000)*('Economic Forecasts'!V$10-'Economic Forecasts'!V$9)*1000000/SUM('Statistics NZ'!T$17:T$31,'Statistics NZ'!T$110:T$124,SUM($B$13:$D$14)*(T$9-T$10)*1000)</f>
        <v>36069.247556626011</v>
      </c>
      <c r="U120" s="205">
        <f>SUM('Statistics NZ'!U$120,$D$14/5*(U$9-U$10)*1000)*('Economic Forecasts'!W$10-'Economic Forecasts'!W$9)*1000000/SUM('Statistics NZ'!U$17:U$31,'Statistics NZ'!U$110:U$124,SUM($B$13:$D$14)*(U$9-U$10)*1000)</f>
        <v>36348.586950808836</v>
      </c>
      <c r="V120" s="111">
        <f>SUM(U$120,'Statistics NZ'!V$120-'Statistics NZ'!U$120,$D$14/5*(V$9-V$10)*1000)</f>
        <v>36162.283638629793</v>
      </c>
      <c r="W120" s="111">
        <f>SUM(V$120,'Statistics NZ'!W$120-'Statistics NZ'!V$120,$D$14/5*(W$9-W$10)*1000)</f>
        <v>36030.518240473131</v>
      </c>
      <c r="X120" s="111">
        <f>SUM(W$120,'Statistics NZ'!X$120-'Statistics NZ'!W$120,$D$14/5*(X$9-X$10)*1000)</f>
        <v>35423.290756338851</v>
      </c>
      <c r="Y120" s="111">
        <f>SUM(X$120,'Statistics NZ'!Y$120-'Statistics NZ'!X$120,$D$14/5*(Y$9-Y$10)*1000)</f>
        <v>35460.601186226952</v>
      </c>
      <c r="Z120" s="111">
        <f>SUM(Y$120,'Statistics NZ'!Z$120-'Statistics NZ'!Y$120,$D$14/5*(Z$9-Z$10)*1000)</f>
        <v>34882.449530137426</v>
      </c>
      <c r="AA120" s="111">
        <f>SUM(Z$120,'Statistics NZ'!AA$120-'Statistics NZ'!Z$120,$D$14/5*(AA$9-AA$10)*1000)</f>
        <v>34748.835788070282</v>
      </c>
      <c r="AB120" s="111">
        <f>SUM(AA$120,'Statistics NZ'!AB$120-'Statistics NZ'!AA$120,$D$14/5*(AB$9-AB$10)*1000)</f>
        <v>34739.75996002552</v>
      </c>
      <c r="AC120" s="111">
        <f>SUM(AB$120,'Statistics NZ'!AC$120-'Statistics NZ'!AB$120,$D$14/5*(AC$9-AC$10)*1000)</f>
        <v>34695.222046003139</v>
      </c>
      <c r="AD120" s="111">
        <f>SUM(AC$120,'Statistics NZ'!AD$120-'Statistics NZ'!AC$120,$D$14/5*(AD$9-AD$10)*1000)</f>
        <v>34605.222046003139</v>
      </c>
      <c r="AE120" s="111">
        <f>SUM(AD$120,'Statistics NZ'!AE$120-'Statistics NZ'!AD$120,$D$14/5*(AE$9-AE$10)*1000)</f>
        <v>34725.222046003139</v>
      </c>
      <c r="AF120" s="111">
        <f>SUM(AE$120,'Statistics NZ'!AF$120-'Statistics NZ'!AE$120,$D$14/5*(AF$9-AF$10)*1000)</f>
        <v>34815.222046003139</v>
      </c>
      <c r="AG120" s="111">
        <f>SUM(AF$120,'Statistics NZ'!AG$120-'Statistics NZ'!AF$120,$D$14/5*(AG$9-AG$10)*1000)</f>
        <v>34865.222046003139</v>
      </c>
      <c r="AH120" s="111">
        <f>SUM(AG$120,'Statistics NZ'!AH$120-'Statistics NZ'!AG$120,$D$14/5*(AH$9-AH$10)*1000)</f>
        <v>34905.222046003139</v>
      </c>
      <c r="AI120" s="111">
        <f>SUM(AH$120,'Statistics NZ'!AI$120-'Statistics NZ'!AH$120,$D$14/5*(AI$9-AI$10)*1000)</f>
        <v>34935.222046003139</v>
      </c>
      <c r="AJ120" s="111">
        <f>SUM(AI$120,'Statistics NZ'!AJ$120-'Statistics NZ'!AI$120,$D$14/5*(AJ$9-AJ$10)*1000)</f>
        <v>34955.222046003139</v>
      </c>
      <c r="AK120" s="111">
        <f>SUM(AJ$120,'Statistics NZ'!AK$120-'Statistics NZ'!AJ$120,$D$14/5*(AK$9-AK$10)*1000)</f>
        <v>34985.222046003139</v>
      </c>
      <c r="AL120" s="111">
        <f>SUM(AK$120,'Statistics NZ'!AL$120-'Statistics NZ'!AK$120,$D$14/5*(AL$9-AL$10)*1000)</f>
        <v>35015.222046003139</v>
      </c>
      <c r="AM120" s="111">
        <f>SUM(AL$120,'Statistics NZ'!AM$120-'Statistics NZ'!AL$120,$D$14/5*(AM$9-AM$10)*1000)</f>
        <v>35065.222046003139</v>
      </c>
      <c r="AN120" s="111">
        <f>SUM(AM$120,'Statistics NZ'!AN$120-'Statistics NZ'!AM$120,$D$14/5*(AN$9-AN$10)*1000)</f>
        <v>35135.222046003139</v>
      </c>
      <c r="AO120" s="111">
        <f>SUM(AN$120,'Statistics NZ'!AO$120-'Statistics NZ'!AN$120,$D$14/5*(AO$9-AO$10)*1000)</f>
        <v>35225.222046003139</v>
      </c>
      <c r="AP120" s="111">
        <f>SUM(AO$120,'Statistics NZ'!AP$120-'Statistics NZ'!AO$120,$D$14/5*(AP$9-AP$10)*1000)</f>
        <v>35345.222046003139</v>
      </c>
      <c r="AQ120" s="111">
        <f>SUM(AP$120,'Statistics NZ'!AQ$120-'Statistics NZ'!AP$120,$D$14/5*(AQ$9-AQ$10)*1000)</f>
        <v>35485.222046003139</v>
      </c>
      <c r="AR120" s="111">
        <f>SUM(AQ$120,'Statistics NZ'!AR$120-'Statistics NZ'!AQ$120,$D$14/5*(AR$9-AR$10)*1000)</f>
        <v>35635.222046003139</v>
      </c>
      <c r="AS120" s="111">
        <f>SUM(AR$120,'Statistics NZ'!AS$120-'Statistics NZ'!AR$120,$D$14/5*(AS$9-AS$10)*1000)</f>
        <v>35805.222046003139</v>
      </c>
      <c r="AT120" s="111">
        <f>SUM(AS$120,'Statistics NZ'!AT$120-'Statistics NZ'!AS$120,$D$14/5*(AT$9-AT$10)*1000)</f>
        <v>35975.222046003139</v>
      </c>
      <c r="AU120" s="111">
        <f>SUM(AT$120,'Statistics NZ'!AU$120-'Statistics NZ'!AT$120,$D$14/5*(AU$9-AU$10)*1000)</f>
        <v>36125.222046003139</v>
      </c>
      <c r="AV120" s="111">
        <f>SUM(AU$120,'Statistics NZ'!AV$120-'Statistics NZ'!AU$120,$D$14/5*(AV$9-AV$10)*1000)</f>
        <v>36255.222046003139</v>
      </c>
      <c r="AW120" s="111">
        <f>SUM(AV$120,'Statistics NZ'!AW$120-'Statistics NZ'!AV$120,$D$14/5*(AW$9-AW$10)*1000)</f>
        <v>36355.222046003139</v>
      </c>
      <c r="AX120" s="111">
        <f>SUM(AW$120,'Statistics NZ'!AX$120-'Statistics NZ'!AW$120,$D$14/5*(AX$9-AX$10)*1000)</f>
        <v>36425.222046003139</v>
      </c>
      <c r="AY120" s="111">
        <f>SUM(AX$120,'Statistics NZ'!AY$120-'Statistics NZ'!AX$120,$D$14/5*(AY$9-AY$10)*1000)</f>
        <v>36455.222046003139</v>
      </c>
      <c r="AZ120" s="111">
        <f>SUM(AY$120,'Statistics NZ'!AZ$120-'Statistics NZ'!AY$120,$D$14/5*(AZ$9-AZ$10)*1000)</f>
        <v>36455.222046003139</v>
      </c>
      <c r="BA120" s="111">
        <f>SUM(AZ$120,'Statistics NZ'!BA$120-'Statistics NZ'!AZ$120,$D$14/5*(BA$9-BA$10)*1000)</f>
        <v>36425.222046003139</v>
      </c>
      <c r="BB120" s="111">
        <f>SUM(BA$120,'Statistics NZ'!BB$120-'Statistics NZ'!BA$120,$D$14/5*(BB$9-BB$10)*1000)</f>
        <v>36365.222046003139</v>
      </c>
      <c r="BC120" s="111">
        <f>SUM(BB$120,'Statistics NZ'!BC$120-'Statistics NZ'!BB$120,$D$14/5*(BC$9-BC$10)*1000)</f>
        <v>36285.222046003139</v>
      </c>
      <c r="BD120" s="111">
        <f>SUM(BC$120,'Statistics NZ'!BD$120-'Statistics NZ'!BC$120,$D$14/5*(BD$9-BD$10)*1000)</f>
        <v>36185.222046003139</v>
      </c>
      <c r="BE120" s="111">
        <f>SUM(BD$120,'Statistics NZ'!BE$120-'Statistics NZ'!BD$120,$D$14/5*(BE$9-BE$10)*1000)</f>
        <v>36075.222046003139</v>
      </c>
      <c r="BF120" s="111">
        <f>SUM(BE$120,'Statistics NZ'!BF$120-'Statistics NZ'!BE$120,$D$14/5*(BF$9-BF$10)*1000)</f>
        <v>35975.222046003139</v>
      </c>
      <c r="BG120" s="111">
        <f>SUM(BF$120,'Statistics NZ'!BG$120-'Statistics NZ'!BF$120,$D$14/5*(BG$9-BG$10)*1000)</f>
        <v>35875.222046003139</v>
      </c>
      <c r="BH120" s="111">
        <f>SUM(BG$120,'Statistics NZ'!BH$120-'Statistics NZ'!BG$120,$D$14/5*(BH$9-BH$10)*1000)</f>
        <v>35785.222046003139</v>
      </c>
      <c r="BI120" s="111">
        <f>SUM(BH$120,'Statistics NZ'!BI$120-'Statistics NZ'!BH$120,$D$14/5*(BI$9-BI$10)*1000)</f>
        <v>35705.222046003139</v>
      </c>
      <c r="BJ120" s="111">
        <f>SUM(BI$120,'Statistics NZ'!BJ$120-'Statistics NZ'!BI$120,$D$14/5*(BJ$9-BJ$10)*1000)</f>
        <v>35655.222046003139</v>
      </c>
      <c r="BK120" s="111">
        <f>SUM(BJ$120,'Statistics NZ'!BK$120-'Statistics NZ'!BJ$120,$D$14/5*(BK$9-BK$10)*1000)</f>
        <v>35615.222046003139</v>
      </c>
      <c r="BL120" s="111">
        <f>SUM(BK$120,'Statistics NZ'!BL$120-'Statistics NZ'!BK$120,$D$14/5*(BL$9-BL$10)*1000)</f>
        <v>35585.222046003139</v>
      </c>
      <c r="BM120" s="195">
        <f>SUM(BL$120,'Statistics NZ'!BM$120-'Statistics NZ'!BL$120,$D$14/5*(BM$9-BM$10)*1000)</f>
        <v>35585.222046003139</v>
      </c>
      <c r="BN120" s="195">
        <f>SUM(BM$120,'Statistics NZ'!BN$120-'Statistics NZ'!BM$120,$D$14/5*(BN$9-BN$10)*1000)</f>
        <v>35595.222046003139</v>
      </c>
      <c r="BO120" s="195">
        <f>SUM(BN$120,'Statistics NZ'!BO$120-'Statistics NZ'!BN$120,$D$14/5*(BO$9-BO$10)*1000)</f>
        <v>35615.222046003139</v>
      </c>
      <c r="BP120" s="195">
        <f>SUM(BO$120,'Statistics NZ'!BP$120-'Statistics NZ'!BO$120,$D$14/5*(BP$9-BP$10)*1000)</f>
        <v>35655.222046003139</v>
      </c>
      <c r="BQ120" s="195">
        <f>SUM(BP$120,'Statistics NZ'!BQ$120-'Statistics NZ'!BP$120,$D$14/5*(BQ$9-BQ$10)*1000)</f>
        <v>35695.222046003139</v>
      </c>
    </row>
    <row r="121" spans="1:69">
      <c r="A121" s="105">
        <f>$A$28</f>
        <v>11</v>
      </c>
      <c r="B121" s="118">
        <f>'Statistics NZ'!B$121*('Economic Forecasts'!D$10-'Economic Forecasts'!D$9)*1000000/SUM('Statistics NZ'!B$17:B$31,'Statistics NZ'!B$110:B$124)</f>
        <v>33382.153752631391</v>
      </c>
      <c r="C121" s="118">
        <f>'Statistics NZ'!C$121*('Economic Forecasts'!E$10-'Economic Forecasts'!E$9)*1000000/SUM('Statistics NZ'!C$17:C$31,'Statistics NZ'!C$110:C$124)</f>
        <v>33036.212722988894</v>
      </c>
      <c r="D121" s="118">
        <f>'Statistics NZ'!D$121*('Economic Forecasts'!F$10-'Economic Forecasts'!F$9)*1000000/SUM('Statistics NZ'!D$17:D$31,'Statistics NZ'!D$110:D$124)</f>
        <v>32139.874261593945</v>
      </c>
      <c r="E121" s="118">
        <f>'Statistics NZ'!E$121*('Economic Forecasts'!G$10-'Economic Forecasts'!G$9)*1000000/SUM('Statistics NZ'!E$17:E$31,'Statistics NZ'!E$110:E$124)</f>
        <v>32524.602401349399</v>
      </c>
      <c r="F121" s="118">
        <f>'Statistics NZ'!F$121*('Economic Forecasts'!H$10-'Economic Forecasts'!H$9)*1000000/SUM('Statistics NZ'!F$17:F$31,'Statistics NZ'!F$110:F$124)</f>
        <v>32426.234060827628</v>
      </c>
      <c r="G121" s="118">
        <f>'Statistics NZ'!G$121*('Economic Forecasts'!I$10-'Economic Forecasts'!I$9)*1000000/SUM('Statistics NZ'!G$17:G$31,'Statistics NZ'!G$110:G$124)</f>
        <v>33354.284020160092</v>
      </c>
      <c r="H121" s="118">
        <f>'Statistics NZ'!H$121*('Economic Forecasts'!J$10-'Economic Forecasts'!J$9)*1000000/SUM('Statistics NZ'!H$17:H$31,'Statistics NZ'!H$110:H$124)</f>
        <v>32656.06060606059</v>
      </c>
      <c r="I121" s="118">
        <f>'Statistics NZ'!I$121*('Economic Forecasts'!K$10-'Economic Forecasts'!K$9)*1000000/SUM('Statistics NZ'!I$17:I$31,'Statistics NZ'!I$110:I$124)</f>
        <v>31126.39971830677</v>
      </c>
      <c r="J121" s="203">
        <f>'Statistics NZ'!J$121*('Economic Forecasts'!L$10-'Economic Forecasts'!L$9)*1000000/SUM('Statistics NZ'!J$17:J$31,'Statistics NZ'!J$110:J$124)</f>
        <v>31702.318846938553</v>
      </c>
      <c r="K121" s="203">
        <f>'Statistics NZ'!K$121*('Economic Forecasts'!M$10-'Economic Forecasts'!M$9)*1000000/SUM('Statistics NZ'!K$17:K$31,'Statistics NZ'!K$110:K$124)</f>
        <v>32377.956867196372</v>
      </c>
      <c r="L121" s="203">
        <f>'Statistics NZ'!L$121*('Economic Forecasts'!N$10-'Economic Forecasts'!N$9)*1000000/SUM('Statistics NZ'!L$17:L$31,'Statistics NZ'!L$110:L$124)</f>
        <v>32273.558196623821</v>
      </c>
      <c r="M121" s="203">
        <f>'Statistics NZ'!M$121*('Economic Forecasts'!O$10-'Economic Forecasts'!O$9)*1000000/SUM('Statistics NZ'!M$17:M$31,'Statistics NZ'!M$110:M$124)</f>
        <v>33171.250466990445</v>
      </c>
      <c r="N121" s="203">
        <f>'Statistics NZ'!N$121*('Economic Forecasts'!P$10-'Economic Forecasts'!P$9)*1000000/SUM('Statistics NZ'!N$17:N$31,'Statistics NZ'!N$110:N$124)</f>
        <v>34905.91175631556</v>
      </c>
      <c r="O121" s="203">
        <f>'Statistics NZ'!O$121*('Economic Forecasts'!Q$10-'Economic Forecasts'!Q$9)*1000000/SUM('Statistics NZ'!O$17:O$31,'Statistics NZ'!O$110:O$124)</f>
        <v>36203.17584176227</v>
      </c>
      <c r="P121" s="203">
        <f>'Statistics NZ'!P$121*('Economic Forecasts'!R$10-'Economic Forecasts'!R$9)*1000000/SUM('Statistics NZ'!P$17:P$31,'Statistics NZ'!P$110:P$124)</f>
        <v>36833.683753258076</v>
      </c>
      <c r="Q121" s="121">
        <f>SUM('Statistics NZ'!Q$121,$D$14/5*(Q$9-Q$10)*1000)*('Economic Forecasts'!S$10-'Economic Forecasts'!S$9)*1000000/SUM('Statistics NZ'!Q$17:Q$31,'Statistics NZ'!Q$110:Q$124,SUM($B$13:$D$14)*(Q$9-Q$10)*1000)</f>
        <v>37032.985299164444</v>
      </c>
      <c r="R121" s="205">
        <f>SUM('Statistics NZ'!R$121,$D$14/5*(R$9-R$10)*1000)*('Economic Forecasts'!T$10-'Economic Forecasts'!T$9)*1000000/SUM('Statistics NZ'!R$17:R$31,'Statistics NZ'!R$110:R$124,SUM($B$13:$D$14)*(R$9-R$10)*1000)</f>
        <v>36703.989342812194</v>
      </c>
      <c r="S121" s="205">
        <f>SUM('Statistics NZ'!S$121,$D$14/5*(S$9-S$10)*1000)*('Economic Forecasts'!U$10-'Economic Forecasts'!U$9)*1000000/SUM('Statistics NZ'!S$17:S$31,'Statistics NZ'!S$110:S$124,SUM($B$13:$D$14)*(S$9-S$10)*1000)</f>
        <v>36677.957034801213</v>
      </c>
      <c r="T121" s="205">
        <f>SUM('Statistics NZ'!T$121,$D$14/5*(T$9-T$10)*1000)*('Economic Forecasts'!V$10-'Economic Forecasts'!V$9)*1000000/SUM('Statistics NZ'!T$17:T$31,'Statistics NZ'!T$110:T$124,SUM($B$13:$D$14)*(T$9-T$10)*1000)</f>
        <v>36631.382608276872</v>
      </c>
      <c r="U121" s="205">
        <f>SUM('Statistics NZ'!U$121,$D$14/5*(U$9-U$10)*1000)*('Economic Forecasts'!W$10-'Economic Forecasts'!W$9)*1000000/SUM('Statistics NZ'!U$17:U$31,'Statistics NZ'!U$110:U$124,SUM($B$13:$D$14)*(U$9-U$10)*1000)</f>
        <v>36605.171560040901</v>
      </c>
      <c r="V121" s="111">
        <f>SUM(U$121,'Statistics NZ'!V$121-'Statistics NZ'!U$121,$D$14/5*(V$9-V$10)*1000)</f>
        <v>36658.868247861858</v>
      </c>
      <c r="W121" s="111">
        <f>SUM(V$121,'Statistics NZ'!W$121-'Statistics NZ'!V$121,$D$14/5*(W$9-W$10)*1000)</f>
        <v>36457.102849705196</v>
      </c>
      <c r="X121" s="111">
        <f>SUM(W$121,'Statistics NZ'!X$121-'Statistics NZ'!W$121,$D$14/5*(X$9-X$10)*1000)</f>
        <v>36309.875365570915</v>
      </c>
      <c r="Y121" s="111">
        <f>SUM(X$121,'Statistics NZ'!Y$121-'Statistics NZ'!X$121,$D$14/5*(Y$9-Y$10)*1000)</f>
        <v>35687.185795459016</v>
      </c>
      <c r="Z121" s="111">
        <f>SUM(Y$121,'Statistics NZ'!Z$121-'Statistics NZ'!Y$121,$D$14/5*(Z$9-Z$10)*1000)</f>
        <v>35719.034139369491</v>
      </c>
      <c r="AA121" s="111">
        <f>SUM(Z$121,'Statistics NZ'!AA$121-'Statistics NZ'!Z$121,$D$14/5*(AA$9-AA$10)*1000)</f>
        <v>35125.420397302347</v>
      </c>
      <c r="AB121" s="111">
        <f>SUM(AA$121,'Statistics NZ'!AB$121-'Statistics NZ'!AA$121,$D$14/5*(AB$9-AB$10)*1000)</f>
        <v>34966.344569257584</v>
      </c>
      <c r="AC121" s="111">
        <f>SUM(AB$121,'Statistics NZ'!AC$121-'Statistics NZ'!AB$121,$D$14/5*(AC$9-AC$10)*1000)</f>
        <v>34941.806655235203</v>
      </c>
      <c r="AD121" s="111">
        <f>SUM(AC$121,'Statistics NZ'!AD$121-'Statistics NZ'!AC$121,$D$14/5*(AD$9-AD$10)*1000)</f>
        <v>34881.806655235203</v>
      </c>
      <c r="AE121" s="111">
        <f>SUM(AD$121,'Statistics NZ'!AE$121-'Statistics NZ'!AD$121,$D$14/5*(AE$9-AE$10)*1000)</f>
        <v>34791.806655235203</v>
      </c>
      <c r="AF121" s="111">
        <f>SUM(AE$121,'Statistics NZ'!AF$121-'Statistics NZ'!AE$121,$D$14/5*(AF$9-AF$10)*1000)</f>
        <v>34911.806655235203</v>
      </c>
      <c r="AG121" s="111">
        <f>SUM(AF$121,'Statistics NZ'!AG$121-'Statistics NZ'!AF$121,$D$14/5*(AG$9-AG$10)*1000)</f>
        <v>35001.806655235203</v>
      </c>
      <c r="AH121" s="111">
        <f>SUM(AG$121,'Statistics NZ'!AH$121-'Statistics NZ'!AG$121,$D$14/5*(AH$9-AH$10)*1000)</f>
        <v>35051.806655235203</v>
      </c>
      <c r="AI121" s="111">
        <f>SUM(AH$121,'Statistics NZ'!AI$121-'Statistics NZ'!AH$121,$D$14/5*(AI$9-AI$10)*1000)</f>
        <v>35091.806655235203</v>
      </c>
      <c r="AJ121" s="111">
        <f>SUM(AI$121,'Statistics NZ'!AJ$121-'Statistics NZ'!AI$121,$D$14/5*(AJ$9-AJ$10)*1000)</f>
        <v>35121.806655235203</v>
      </c>
      <c r="AK121" s="111">
        <f>SUM(AJ$121,'Statistics NZ'!AK$121-'Statistics NZ'!AJ$121,$D$14/5*(AK$9-AK$10)*1000)</f>
        <v>35141.806655235203</v>
      </c>
      <c r="AL121" s="111">
        <f>SUM(AK$121,'Statistics NZ'!AL$121-'Statistics NZ'!AK$121,$D$14/5*(AL$9-AL$10)*1000)</f>
        <v>35171.806655235203</v>
      </c>
      <c r="AM121" s="111">
        <f>SUM(AL$121,'Statistics NZ'!AM$121-'Statistics NZ'!AL$121,$D$14/5*(AM$9-AM$10)*1000)</f>
        <v>35211.806655235203</v>
      </c>
      <c r="AN121" s="111">
        <f>SUM(AM$121,'Statistics NZ'!AN$121-'Statistics NZ'!AM$121,$D$14/5*(AN$9-AN$10)*1000)</f>
        <v>35251.806655235203</v>
      </c>
      <c r="AO121" s="111">
        <f>SUM(AN$121,'Statistics NZ'!AO$121-'Statistics NZ'!AN$121,$D$14/5*(AO$9-AO$10)*1000)</f>
        <v>35321.806655235203</v>
      </c>
      <c r="AP121" s="111">
        <f>SUM(AO$121,'Statistics NZ'!AP$121-'Statistics NZ'!AO$121,$D$14/5*(AP$9-AP$10)*1000)</f>
        <v>35411.806655235203</v>
      </c>
      <c r="AQ121" s="111">
        <f>SUM(AP$121,'Statistics NZ'!AQ$121-'Statistics NZ'!AP$121,$D$14/5*(AQ$9-AQ$10)*1000)</f>
        <v>35531.806655235203</v>
      </c>
      <c r="AR121" s="111">
        <f>SUM(AQ$121,'Statistics NZ'!AR$121-'Statistics NZ'!AQ$121,$D$14/5*(AR$9-AR$10)*1000)</f>
        <v>35671.806655235203</v>
      </c>
      <c r="AS121" s="111">
        <f>SUM(AR$121,'Statistics NZ'!AS$121-'Statistics NZ'!AR$121,$D$14/5*(AS$9-AS$10)*1000)</f>
        <v>35831.806655235203</v>
      </c>
      <c r="AT121" s="111">
        <f>SUM(AS$121,'Statistics NZ'!AT$121-'Statistics NZ'!AS$121,$D$14/5*(AT$9-AT$10)*1000)</f>
        <v>35991.806655235203</v>
      </c>
      <c r="AU121" s="111">
        <f>SUM(AT$121,'Statistics NZ'!AU$121-'Statistics NZ'!AT$121,$D$14/5*(AU$9-AU$10)*1000)</f>
        <v>36161.806655235203</v>
      </c>
      <c r="AV121" s="111">
        <f>SUM(AU$121,'Statistics NZ'!AV$121-'Statistics NZ'!AU$121,$D$14/5*(AV$9-AV$10)*1000)</f>
        <v>36311.806655235203</v>
      </c>
      <c r="AW121" s="111">
        <f>SUM(AV$121,'Statistics NZ'!AW$121-'Statistics NZ'!AV$121,$D$14/5*(AW$9-AW$10)*1000)</f>
        <v>36441.806655235203</v>
      </c>
      <c r="AX121" s="111">
        <f>SUM(AW$121,'Statistics NZ'!AX$121-'Statistics NZ'!AW$121,$D$14/5*(AX$9-AX$10)*1000)</f>
        <v>36541.806655235203</v>
      </c>
      <c r="AY121" s="111">
        <f>SUM(AX$121,'Statistics NZ'!AY$121-'Statistics NZ'!AX$121,$D$14/5*(AY$9-AY$10)*1000)</f>
        <v>36611.806655235203</v>
      </c>
      <c r="AZ121" s="111">
        <f>SUM(AY$121,'Statistics NZ'!AZ$121-'Statistics NZ'!AY$121,$D$14/5*(AZ$9-AZ$10)*1000)</f>
        <v>36641.806655235203</v>
      </c>
      <c r="BA121" s="111">
        <f>SUM(AZ$121,'Statistics NZ'!BA$121-'Statistics NZ'!AZ$121,$D$14/5*(BA$9-BA$10)*1000)</f>
        <v>36641.806655235203</v>
      </c>
      <c r="BB121" s="111">
        <f>SUM(BA$121,'Statistics NZ'!BB$121-'Statistics NZ'!BA$121,$D$14/5*(BB$9-BB$10)*1000)</f>
        <v>36611.806655235203</v>
      </c>
      <c r="BC121" s="111">
        <f>SUM(BB$121,'Statistics NZ'!BC$121-'Statistics NZ'!BB$121,$D$14/5*(BC$9-BC$10)*1000)</f>
        <v>36551.806655235203</v>
      </c>
      <c r="BD121" s="111">
        <f>SUM(BC$121,'Statistics NZ'!BD$121-'Statistics NZ'!BC$121,$D$14/5*(BD$9-BD$10)*1000)</f>
        <v>36471.806655235203</v>
      </c>
      <c r="BE121" s="111">
        <f>SUM(BD$121,'Statistics NZ'!BE$121-'Statistics NZ'!BD$121,$D$14/5*(BE$9-BE$10)*1000)</f>
        <v>36371.806655235203</v>
      </c>
      <c r="BF121" s="111">
        <f>SUM(BE$121,'Statistics NZ'!BF$121-'Statistics NZ'!BE$121,$D$14/5*(BF$9-BF$10)*1000)</f>
        <v>36271.806655235203</v>
      </c>
      <c r="BG121" s="111">
        <f>SUM(BF$121,'Statistics NZ'!BG$121-'Statistics NZ'!BF$121,$D$14/5*(BG$9-BG$10)*1000)</f>
        <v>36161.806655235203</v>
      </c>
      <c r="BH121" s="111">
        <f>SUM(BG$121,'Statistics NZ'!BH$121-'Statistics NZ'!BG$121,$D$14/5*(BH$9-BH$10)*1000)</f>
        <v>36061.806655235203</v>
      </c>
      <c r="BI121" s="111">
        <f>SUM(BH$121,'Statistics NZ'!BI$121-'Statistics NZ'!BH$121,$D$14/5*(BI$9-BI$10)*1000)</f>
        <v>35971.806655235203</v>
      </c>
      <c r="BJ121" s="111">
        <f>SUM(BI$121,'Statistics NZ'!BJ$121-'Statistics NZ'!BI$121,$D$14/5*(BJ$9-BJ$10)*1000)</f>
        <v>35891.806655235203</v>
      </c>
      <c r="BK121" s="111">
        <f>SUM(BJ$121,'Statistics NZ'!BK$121-'Statistics NZ'!BJ$121,$D$14/5*(BK$9-BK$10)*1000)</f>
        <v>35841.806655235203</v>
      </c>
      <c r="BL121" s="111">
        <f>SUM(BK$121,'Statistics NZ'!BL$121-'Statistics NZ'!BK$121,$D$14/5*(BL$9-BL$10)*1000)</f>
        <v>35801.806655235203</v>
      </c>
      <c r="BM121" s="195">
        <f>SUM(BL$121,'Statistics NZ'!BM$121-'Statistics NZ'!BL$121,$D$14/5*(BM$9-BM$10)*1000)</f>
        <v>35781.806655235203</v>
      </c>
      <c r="BN121" s="195">
        <f>SUM(BM$121,'Statistics NZ'!BN$121-'Statistics NZ'!BM$121,$D$14/5*(BN$9-BN$10)*1000)</f>
        <v>35771.806655235203</v>
      </c>
      <c r="BO121" s="195">
        <f>SUM(BN$121,'Statistics NZ'!BO$121-'Statistics NZ'!BN$121,$D$14/5*(BO$9-BO$10)*1000)</f>
        <v>35781.806655235203</v>
      </c>
      <c r="BP121" s="195">
        <f>SUM(BO$121,'Statistics NZ'!BP$121-'Statistics NZ'!BO$121,$D$14/5*(BP$9-BP$10)*1000)</f>
        <v>35801.806655235203</v>
      </c>
      <c r="BQ121" s="195">
        <f>SUM(BP$121,'Statistics NZ'!BQ$121-'Statistics NZ'!BP$121,$D$14/5*(BQ$9-BQ$10)*1000)</f>
        <v>35841.806655235203</v>
      </c>
    </row>
    <row r="122" spans="1:69">
      <c r="A122" s="105">
        <f>$A$29</f>
        <v>12</v>
      </c>
      <c r="B122" s="118">
        <f>'Statistics NZ'!B$122*('Economic Forecasts'!D$10-'Economic Forecasts'!D$9)*1000000/SUM('Statistics NZ'!B$17:B$31,'Statistics NZ'!B$110:B$124)</f>
        <v>33456.171831905522</v>
      </c>
      <c r="C122" s="118">
        <f>'Statistics NZ'!C$122*('Economic Forecasts'!E$10-'Economic Forecasts'!E$9)*1000000/SUM('Statistics NZ'!C$17:C$31,'Statistics NZ'!C$110:C$124)</f>
        <v>33384.406597105357</v>
      </c>
      <c r="D122" s="118">
        <f>'Statistics NZ'!D$122*('Economic Forecasts'!F$10-'Economic Forecasts'!F$9)*1000000/SUM('Statistics NZ'!D$17:D$31,'Statistics NZ'!D$110:D$124)</f>
        <v>33228.108005494068</v>
      </c>
      <c r="E122" s="118">
        <f>'Statistics NZ'!E$122*('Economic Forecasts'!G$10-'Economic Forecasts'!G$9)*1000000/SUM('Statistics NZ'!E$17:E$31,'Statistics NZ'!E$110:E$124)</f>
        <v>32450.417905810315</v>
      </c>
      <c r="F122" s="118">
        <f>'Statistics NZ'!F$122*('Economic Forecasts'!H$10-'Economic Forecasts'!H$9)*1000000/SUM('Statistics NZ'!F$17:F$31,'Statistics NZ'!F$110:F$124)</f>
        <v>32807.469993613326</v>
      </c>
      <c r="G122" s="118">
        <f>'Statistics NZ'!G$122*('Economic Forecasts'!I$10-'Economic Forecasts'!I$9)*1000000/SUM('Statistics NZ'!G$17:G$31,'Statistics NZ'!G$110:G$124)</f>
        <v>32538.957077445066</v>
      </c>
      <c r="H122" s="118">
        <f>'Statistics NZ'!H$122*('Economic Forecasts'!J$10-'Economic Forecasts'!J$9)*1000000/SUM('Statistics NZ'!H$17:H$31,'Statistics NZ'!H$110:H$124)</f>
        <v>33557.575757575738</v>
      </c>
      <c r="I122" s="118">
        <f>'Statistics NZ'!I$122*('Economic Forecasts'!K$10-'Economic Forecasts'!K$9)*1000000/SUM('Statistics NZ'!I$17:I$31,'Statistics NZ'!I$110:I$124)</f>
        <v>32861.558115736312</v>
      </c>
      <c r="J122" s="203">
        <f>'Statistics NZ'!J$122*('Economic Forecasts'!L$10-'Economic Forecasts'!L$9)*1000000/SUM('Statistics NZ'!J$17:J$31,'Statistics NZ'!J$110:J$124)</f>
        <v>31573.795932694207</v>
      </c>
      <c r="K122" s="203">
        <f>'Statistics NZ'!K$122*('Economic Forecasts'!M$10-'Economic Forecasts'!M$9)*1000000/SUM('Statistics NZ'!K$17:K$31,'Statistics NZ'!K$110:K$124)</f>
        <v>32184.719724089766</v>
      </c>
      <c r="L122" s="203">
        <f>'Statistics NZ'!L$122*('Economic Forecasts'!N$10-'Economic Forecasts'!N$9)*1000000/SUM('Statistics NZ'!L$17:L$31,'Statistics NZ'!L$110:L$124)</f>
        <v>32433.328286706113</v>
      </c>
      <c r="M122" s="203">
        <f>'Statistics NZ'!M$122*('Economic Forecasts'!O$10-'Economic Forecasts'!O$9)*1000000/SUM('Statistics NZ'!M$17:M$31,'Statistics NZ'!M$110:M$124)</f>
        <v>32692.051022041953</v>
      </c>
      <c r="N122" s="203">
        <f>'Statistics NZ'!N$122*('Economic Forecasts'!P$10-'Economic Forecasts'!P$9)*1000000/SUM('Statistics NZ'!N$17:N$31,'Statistics NZ'!N$110:N$124)</f>
        <v>33351.483089796813</v>
      </c>
      <c r="O122" s="203">
        <f>'Statistics NZ'!O$122*('Economic Forecasts'!Q$10-'Economic Forecasts'!Q$9)*1000000/SUM('Statistics NZ'!O$17:O$31,'Statistics NZ'!O$110:O$124)</f>
        <v>35378.213026787853</v>
      </c>
      <c r="P122" s="203">
        <f>'Statistics NZ'!P$122*('Economic Forecasts'!R$10-'Economic Forecasts'!R$9)*1000000/SUM('Statistics NZ'!P$17:P$31,'Statistics NZ'!P$110:P$124)</f>
        <v>36580.095569070414</v>
      </c>
      <c r="Q122" s="121">
        <f>SUM('Statistics NZ'!Q$122,$D$14/5*(Q$9-Q$10)*1000)*('Economic Forecasts'!S$10-'Economic Forecasts'!S$9)*1000000/SUM('Statistics NZ'!Q$17:Q$31,'Statistics NZ'!Q$110:Q$124,SUM($B$13:$D$14)*(Q$9-Q$10)*1000)</f>
        <v>36791.044910841345</v>
      </c>
      <c r="R122" s="205">
        <f>SUM('Statistics NZ'!R$122,$D$14/5*(R$9-R$10)*1000)*('Economic Forecasts'!T$10-'Economic Forecasts'!T$9)*1000000/SUM('Statistics NZ'!R$17:R$31,'Statistics NZ'!R$110:R$124,SUM($B$13:$D$14)*(R$9-R$10)*1000)</f>
        <v>37240.802466290857</v>
      </c>
      <c r="S122" s="205">
        <f>SUM('Statistics NZ'!S$122,$D$14/5*(S$9-S$10)*1000)*('Economic Forecasts'!U$10-'Economic Forecasts'!U$9)*1000000/SUM('Statistics NZ'!S$17:S$31,'Statistics NZ'!S$110:S$124,SUM($B$13:$D$14)*(S$9-S$10)*1000)</f>
        <v>37047.211006758582</v>
      </c>
      <c r="T122" s="205">
        <f>SUM('Statistics NZ'!T$122,$D$14/5*(T$9-T$10)*1000)*('Economic Forecasts'!V$10-'Economic Forecasts'!V$9)*1000000/SUM('Statistics NZ'!T$17:T$31,'Statistics NZ'!T$110:T$124,SUM($B$13:$D$14)*(T$9-T$10)*1000)</f>
        <v>37140.486051281412</v>
      </c>
      <c r="U122" s="205">
        <f>SUM('Statistics NZ'!U$122,$D$14/5*(U$9-U$10)*1000)*('Economic Forecasts'!W$10-'Economic Forecasts'!W$9)*1000000/SUM('Statistics NZ'!U$17:U$31,'Statistics NZ'!U$110:U$124,SUM($B$13:$D$14)*(U$9-U$10)*1000)</f>
        <v>37182.486930813051</v>
      </c>
      <c r="V122" s="111">
        <f>SUM(U$122,'Statistics NZ'!V$122-'Statistics NZ'!U$122,$D$14/5*(V$9-V$10)*1000)</f>
        <v>36956.183618634008</v>
      </c>
      <c r="W122" s="111">
        <f>SUM(V$122,'Statistics NZ'!W$122-'Statistics NZ'!V$122,$D$14/5*(W$9-W$10)*1000)</f>
        <v>36984.418220477346</v>
      </c>
      <c r="X122" s="111">
        <f>SUM(W$122,'Statistics NZ'!X$122-'Statistics NZ'!W$122,$D$14/5*(X$9-X$10)*1000)</f>
        <v>36767.190736343066</v>
      </c>
      <c r="Y122" s="111">
        <f>SUM(X$122,'Statistics NZ'!Y$122-'Statistics NZ'!X$122,$D$14/5*(Y$9-Y$10)*1000)</f>
        <v>36604.501166231166</v>
      </c>
      <c r="Z122" s="111">
        <f>SUM(Y$122,'Statistics NZ'!Z$122-'Statistics NZ'!Y$122,$D$14/5*(Z$9-Z$10)*1000)</f>
        <v>35966.349510141641</v>
      </c>
      <c r="AA122" s="111">
        <f>SUM(Z$122,'Statistics NZ'!AA$122-'Statistics NZ'!Z$122,$D$14/5*(AA$9-AA$10)*1000)</f>
        <v>35982.735768074497</v>
      </c>
      <c r="AB122" s="111">
        <f>SUM(AA$122,'Statistics NZ'!AB$122-'Statistics NZ'!AA$122,$D$14/5*(AB$9-AB$10)*1000)</f>
        <v>35373.659940029735</v>
      </c>
      <c r="AC122" s="111">
        <f>SUM(AB$122,'Statistics NZ'!AC$122-'Statistics NZ'!AB$122,$D$14/5*(AC$9-AC$10)*1000)</f>
        <v>35209.122026007353</v>
      </c>
      <c r="AD122" s="111">
        <f>SUM(AC$122,'Statistics NZ'!AD$122-'Statistics NZ'!AC$122,$D$14/5*(AD$9-AD$10)*1000)</f>
        <v>35169.122026007353</v>
      </c>
      <c r="AE122" s="111">
        <f>SUM(AD$122,'Statistics NZ'!AE$122-'Statistics NZ'!AD$122,$D$14/5*(AE$9-AE$10)*1000)</f>
        <v>35109.122026007353</v>
      </c>
      <c r="AF122" s="111">
        <f>SUM(AE$122,'Statistics NZ'!AF$122-'Statistics NZ'!AE$122,$D$14/5*(AF$9-AF$10)*1000)</f>
        <v>35019.122026007353</v>
      </c>
      <c r="AG122" s="111">
        <f>SUM(AF$122,'Statistics NZ'!AG$122-'Statistics NZ'!AF$122,$D$14/5*(AG$9-AG$10)*1000)</f>
        <v>35139.122026007353</v>
      </c>
      <c r="AH122" s="111">
        <f>SUM(AG$122,'Statistics NZ'!AH$122-'Statistics NZ'!AG$122,$D$14/5*(AH$9-AH$10)*1000)</f>
        <v>35219.122026007353</v>
      </c>
      <c r="AI122" s="111">
        <f>SUM(AH$122,'Statistics NZ'!AI$122-'Statistics NZ'!AH$122,$D$14/5*(AI$9-AI$10)*1000)</f>
        <v>35279.122026007353</v>
      </c>
      <c r="AJ122" s="111">
        <f>SUM(AI$122,'Statistics NZ'!AJ$122-'Statistics NZ'!AI$122,$D$14/5*(AJ$9-AJ$10)*1000)</f>
        <v>35319.122026007353</v>
      </c>
      <c r="AK122" s="111">
        <f>SUM(AJ$122,'Statistics NZ'!AK$122-'Statistics NZ'!AJ$122,$D$14/5*(AK$9-AK$10)*1000)</f>
        <v>35339.122026007353</v>
      </c>
      <c r="AL122" s="111">
        <f>SUM(AK$122,'Statistics NZ'!AL$122-'Statistics NZ'!AK$122,$D$14/5*(AL$9-AL$10)*1000)</f>
        <v>35369.122026007353</v>
      </c>
      <c r="AM122" s="111">
        <f>SUM(AL$122,'Statistics NZ'!AM$122-'Statistics NZ'!AL$122,$D$14/5*(AM$9-AM$10)*1000)</f>
        <v>35389.122026007353</v>
      </c>
      <c r="AN122" s="111">
        <f>SUM(AM$122,'Statistics NZ'!AN$122-'Statistics NZ'!AM$122,$D$14/5*(AN$9-AN$10)*1000)</f>
        <v>35429.122026007353</v>
      </c>
      <c r="AO122" s="111">
        <f>SUM(AN$122,'Statistics NZ'!AO$122-'Statistics NZ'!AN$122,$D$14/5*(AO$9-AO$10)*1000)</f>
        <v>35479.122026007353</v>
      </c>
      <c r="AP122" s="111">
        <f>SUM(AO$122,'Statistics NZ'!AP$122-'Statistics NZ'!AO$122,$D$14/5*(AP$9-AP$10)*1000)</f>
        <v>35549.122026007353</v>
      </c>
      <c r="AQ122" s="111">
        <f>SUM(AP$122,'Statistics NZ'!AQ$122-'Statistics NZ'!AP$122,$D$14/5*(AQ$9-AQ$10)*1000)</f>
        <v>35639.122026007353</v>
      </c>
      <c r="AR122" s="111">
        <f>SUM(AQ$122,'Statistics NZ'!AR$122-'Statistics NZ'!AQ$122,$D$14/5*(AR$9-AR$10)*1000)</f>
        <v>35749.122026007353</v>
      </c>
      <c r="AS122" s="111">
        <f>SUM(AR$122,'Statistics NZ'!AS$122-'Statistics NZ'!AR$122,$D$14/5*(AS$9-AS$10)*1000)</f>
        <v>35889.122026007353</v>
      </c>
      <c r="AT122" s="111">
        <f>SUM(AS$122,'Statistics NZ'!AT$122-'Statistics NZ'!AS$122,$D$14/5*(AT$9-AT$10)*1000)</f>
        <v>36049.122026007353</v>
      </c>
      <c r="AU122" s="111">
        <f>SUM(AT$122,'Statistics NZ'!AU$122-'Statistics NZ'!AT$122,$D$14/5*(AU$9-AU$10)*1000)</f>
        <v>36219.122026007353</v>
      </c>
      <c r="AV122" s="111">
        <f>SUM(AU$122,'Statistics NZ'!AV$122-'Statistics NZ'!AU$122,$D$14/5*(AV$9-AV$10)*1000)</f>
        <v>36389.122026007353</v>
      </c>
      <c r="AW122" s="111">
        <f>SUM(AV$122,'Statistics NZ'!AW$122-'Statistics NZ'!AV$122,$D$14/5*(AW$9-AW$10)*1000)</f>
        <v>36539.122026007353</v>
      </c>
      <c r="AX122" s="111">
        <f>SUM(AW$122,'Statistics NZ'!AX$122-'Statistics NZ'!AW$122,$D$14/5*(AX$9-AX$10)*1000)</f>
        <v>36669.122026007353</v>
      </c>
      <c r="AY122" s="111">
        <f>SUM(AX$122,'Statistics NZ'!AY$122-'Statistics NZ'!AX$122,$D$14/5*(AY$9-AY$10)*1000)</f>
        <v>36769.122026007353</v>
      </c>
      <c r="AZ122" s="111">
        <f>SUM(AY$122,'Statistics NZ'!AZ$122-'Statistics NZ'!AY$122,$D$14/5*(AZ$9-AZ$10)*1000)</f>
        <v>36829.122026007353</v>
      </c>
      <c r="BA122" s="111">
        <f>SUM(AZ$122,'Statistics NZ'!BA$122-'Statistics NZ'!AZ$122,$D$14/5*(BA$9-BA$10)*1000)</f>
        <v>36869.122026007353</v>
      </c>
      <c r="BB122" s="111">
        <f>SUM(BA$122,'Statistics NZ'!BB$122-'Statistics NZ'!BA$122,$D$14/5*(BB$9-BB$10)*1000)</f>
        <v>36869.122026007353</v>
      </c>
      <c r="BC122" s="111">
        <f>SUM(BB$122,'Statistics NZ'!BC$122-'Statistics NZ'!BB$122,$D$14/5*(BC$9-BC$10)*1000)</f>
        <v>36829.122026007353</v>
      </c>
      <c r="BD122" s="111">
        <f>SUM(BC$122,'Statistics NZ'!BD$122-'Statistics NZ'!BC$122,$D$14/5*(BD$9-BD$10)*1000)</f>
        <v>36779.122026007353</v>
      </c>
      <c r="BE122" s="111">
        <f>SUM(BD$122,'Statistics NZ'!BE$122-'Statistics NZ'!BD$122,$D$14/5*(BE$9-BE$10)*1000)</f>
        <v>36689.122026007353</v>
      </c>
      <c r="BF122" s="111">
        <f>SUM(BE$122,'Statistics NZ'!BF$122-'Statistics NZ'!BE$122,$D$14/5*(BF$9-BF$10)*1000)</f>
        <v>36599.122026007353</v>
      </c>
      <c r="BG122" s="111">
        <f>SUM(BF$122,'Statistics NZ'!BG$122-'Statistics NZ'!BF$122,$D$14/5*(BG$9-BG$10)*1000)</f>
        <v>36489.122026007353</v>
      </c>
      <c r="BH122" s="111">
        <f>SUM(BG$122,'Statistics NZ'!BH$122-'Statistics NZ'!BG$122,$D$14/5*(BH$9-BH$10)*1000)</f>
        <v>36389.122026007353</v>
      </c>
      <c r="BI122" s="111">
        <f>SUM(BH$122,'Statistics NZ'!BI$122-'Statistics NZ'!BH$122,$D$14/5*(BI$9-BI$10)*1000)</f>
        <v>36289.122026007353</v>
      </c>
      <c r="BJ122" s="111">
        <f>SUM(BI$122,'Statistics NZ'!BJ$122-'Statistics NZ'!BI$122,$D$14/5*(BJ$9-BJ$10)*1000)</f>
        <v>36199.122026007353</v>
      </c>
      <c r="BK122" s="111">
        <f>SUM(BJ$122,'Statistics NZ'!BK$122-'Statistics NZ'!BJ$122,$D$14/5*(BK$9-BK$10)*1000)</f>
        <v>36119.122026007353</v>
      </c>
      <c r="BL122" s="111">
        <f>SUM(BK$122,'Statistics NZ'!BL$122-'Statistics NZ'!BK$122,$D$14/5*(BL$9-BL$10)*1000)</f>
        <v>36059.122026007353</v>
      </c>
      <c r="BM122" s="195">
        <f>SUM(BL$122,'Statistics NZ'!BM$122-'Statistics NZ'!BL$122,$D$14/5*(BM$9-BM$10)*1000)</f>
        <v>36019.122026007353</v>
      </c>
      <c r="BN122" s="195">
        <f>SUM(BM$122,'Statistics NZ'!BN$122-'Statistics NZ'!BM$122,$D$14/5*(BN$9-BN$10)*1000)</f>
        <v>35999.122026007353</v>
      </c>
      <c r="BO122" s="195">
        <f>SUM(BN$122,'Statistics NZ'!BO$122-'Statistics NZ'!BN$122,$D$14/5*(BO$9-BO$10)*1000)</f>
        <v>35999.122026007353</v>
      </c>
      <c r="BP122" s="195">
        <f>SUM(BO$122,'Statistics NZ'!BP$122-'Statistics NZ'!BO$122,$D$14/5*(BP$9-BP$10)*1000)</f>
        <v>36009.122026007353</v>
      </c>
      <c r="BQ122" s="195">
        <f>SUM(BP$122,'Statistics NZ'!BQ$122-'Statistics NZ'!BP$122,$D$14/5*(BQ$9-BQ$10)*1000)</f>
        <v>36029.122026007353</v>
      </c>
    </row>
    <row r="123" spans="1:69">
      <c r="A123" s="105">
        <f>$A$30</f>
        <v>13</v>
      </c>
      <c r="B123" s="118">
        <f>'Statistics NZ'!B$123*('Economic Forecasts'!D$10-'Economic Forecasts'!D$9)*1000000/SUM('Statistics NZ'!B$17:B$31,'Statistics NZ'!B$110:B$124)</f>
        <v>34259.796692596043</v>
      </c>
      <c r="C123" s="118">
        <f>'Statistics NZ'!C$123*('Economic Forecasts'!E$10-'Economic Forecasts'!E$9)*1000000/SUM('Statistics NZ'!C$17:C$31,'Statistics NZ'!C$110:C$124)</f>
        <v>33363.303938067998</v>
      </c>
      <c r="D123" s="118">
        <f>'Statistics NZ'!D$123*('Economic Forecasts'!F$10-'Economic Forecasts'!F$9)*1000000/SUM('Statistics NZ'!D$17:D$31,'Statistics NZ'!D$110:D$124)</f>
        <v>33407.71940011836</v>
      </c>
      <c r="E123" s="118">
        <f>'Statistics NZ'!E$123*('Economic Forecasts'!G$10-'Economic Forecasts'!G$9)*1000000/SUM('Statistics NZ'!E$17:E$31,'Statistics NZ'!E$110:E$124)</f>
        <v>33499.598628434491</v>
      </c>
      <c r="F123" s="118">
        <f>'Statistics NZ'!F$123*('Economic Forecasts'!H$10-'Economic Forecasts'!H$9)*1000000/SUM('Statistics NZ'!F$17:F$31,'Statistics NZ'!F$110:F$124)</f>
        <v>32659.211575307778</v>
      </c>
      <c r="G123" s="118">
        <f>'Statistics NZ'!G$123*('Economic Forecasts'!I$10-'Economic Forecasts'!I$9)*1000000/SUM('Statistics NZ'!G$17:G$31,'Statistics NZ'!G$110:G$124)</f>
        <v>33026.035510755333</v>
      </c>
      <c r="H123" s="118">
        <f>'Statistics NZ'!H$123*('Economic Forecasts'!J$10-'Economic Forecasts'!J$9)*1000000/SUM('Statistics NZ'!H$17:H$31,'Statistics NZ'!H$110:H$124)</f>
        <v>32698.484848484837</v>
      </c>
      <c r="I123" s="118">
        <f>'Statistics NZ'!I$123*('Economic Forecasts'!K$10-'Economic Forecasts'!K$9)*1000000/SUM('Statistics NZ'!I$17:I$31,'Statistics NZ'!I$110:I$124)</f>
        <v>33830.266178104961</v>
      </c>
      <c r="J123" s="203">
        <f>'Statistics NZ'!J$123*('Economic Forecasts'!L$10-'Economic Forecasts'!L$9)*1000000/SUM('Statistics NZ'!J$17:J$31,'Statistics NZ'!J$110:J$124)</f>
        <v>33255.304060724389</v>
      </c>
      <c r="K123" s="203">
        <f>'Statistics NZ'!K$123*('Economic Forecasts'!M$10-'Economic Forecasts'!M$9)*1000000/SUM('Statistics NZ'!K$17:K$31,'Statistics NZ'!K$110:K$124)</f>
        <v>32066.630358857947</v>
      </c>
      <c r="L123" s="203">
        <f>'Statistics NZ'!L$123*('Economic Forecasts'!N$10-'Economic Forecasts'!N$9)*1000000/SUM('Statistics NZ'!L$17:L$31,'Statistics NZ'!L$110:L$124)</f>
        <v>32486.584983400215</v>
      </c>
      <c r="M123" s="203">
        <f>'Statistics NZ'!M$123*('Economic Forecasts'!O$10-'Economic Forecasts'!O$9)*1000000/SUM('Statistics NZ'!M$17:M$31,'Statistics NZ'!M$110:M$124)</f>
        <v>32745.295404814009</v>
      </c>
      <c r="N123" s="203">
        <f>'Statistics NZ'!N$123*('Economic Forecasts'!P$10-'Economic Forecasts'!P$9)*1000000/SUM('Statistics NZ'!N$17:N$31,'Statistics NZ'!N$110:N$124)</f>
        <v>32822.765856287035</v>
      </c>
      <c r="O123" s="203">
        <f>'Statistics NZ'!O$123*('Economic Forecasts'!Q$10-'Economic Forecasts'!Q$9)*1000000/SUM('Statistics NZ'!O$17:O$31,'Statistics NZ'!O$110:O$124)</f>
        <v>33781.169628568132</v>
      </c>
      <c r="P123" s="203">
        <f>'Statistics NZ'!P$123*('Economic Forecasts'!R$10-'Economic Forecasts'!R$9)*1000000/SUM('Statistics NZ'!P$17:P$31,'Statistics NZ'!P$110:P$124)</f>
        <v>35819.331016507422</v>
      </c>
      <c r="Q123" s="121">
        <f>SUM('Statistics NZ'!Q$123,$D$14/5*(Q$9-Q$10)*1000)*('Economic Forecasts'!S$10-'Economic Forecasts'!S$9)*1000000/SUM('Statistics NZ'!Q$17:Q$31,'Statistics NZ'!Q$110:Q$124,SUM($B$13:$D$14)*(Q$9-Q$10)*1000)</f>
        <v>36507.027933244673</v>
      </c>
      <c r="R123" s="205">
        <f>SUM('Statistics NZ'!R$123,$D$14/5*(R$9-R$10)*1000)*('Economic Forecasts'!T$10-'Economic Forecasts'!T$9)*1000000/SUM('Statistics NZ'!R$17:R$31,'Statistics NZ'!R$110:R$124,SUM($B$13:$D$14)*(R$9-R$10)*1000)</f>
        <v>36977.658778311117</v>
      </c>
      <c r="S123" s="205">
        <f>SUM('Statistics NZ'!S$123,$D$14/5*(S$9-S$10)*1000)*('Economic Forecasts'!U$10-'Economic Forecasts'!U$9)*1000000/SUM('Statistics NZ'!S$17:S$31,'Statistics NZ'!S$110:S$124,SUM($B$13:$D$14)*(S$9-S$10)*1000)</f>
        <v>37564.166567498891</v>
      </c>
      <c r="T123" s="205">
        <f>SUM('Statistics NZ'!T$123,$D$14/5*(T$9-T$10)*1000)*('Economic Forecasts'!V$10-'Economic Forecasts'!V$9)*1000000/SUM('Statistics NZ'!T$17:T$31,'Statistics NZ'!T$110:T$124,SUM($B$13:$D$14)*(T$9-T$10)*1000)</f>
        <v>37522.313633534832</v>
      </c>
      <c r="U123" s="205">
        <f>SUM('Statistics NZ'!U$123,$D$14/5*(U$9-U$10)*1000)*('Economic Forecasts'!W$10-'Economic Forecasts'!W$9)*1000000/SUM('Statistics NZ'!U$17:U$31,'Statistics NZ'!U$110:U$124,SUM($B$13:$D$14)*(U$9-U$10)*1000)</f>
        <v>37706.34717466186</v>
      </c>
      <c r="V123" s="111">
        <f>SUM(U$123,'Statistics NZ'!V$123-'Statistics NZ'!U$123,$D$14/5*(V$9-V$10)*1000)</f>
        <v>37540.043862482817</v>
      </c>
      <c r="W123" s="111">
        <f>SUM(V$123,'Statistics NZ'!W$123-'Statistics NZ'!V$123,$D$14/5*(W$9-W$10)*1000)</f>
        <v>37288.278464326155</v>
      </c>
      <c r="X123" s="111">
        <f>SUM(W$123,'Statistics NZ'!X$123-'Statistics NZ'!W$123,$D$14/5*(X$9-X$10)*1000)</f>
        <v>37311.050980191874</v>
      </c>
      <c r="Y123" s="111">
        <f>SUM(X$123,'Statistics NZ'!Y$123-'Statistics NZ'!X$123,$D$14/5*(Y$9-Y$10)*1000)</f>
        <v>37078.361410079975</v>
      </c>
      <c r="Z123" s="111">
        <f>SUM(Y$123,'Statistics NZ'!Z$123-'Statistics NZ'!Y$123,$D$14/5*(Z$9-Z$10)*1000)</f>
        <v>36900.20975399045</v>
      </c>
      <c r="AA123" s="111">
        <f>SUM(Z$123,'Statistics NZ'!AA$123-'Statistics NZ'!Z$123,$D$14/5*(AA$9-AA$10)*1000)</f>
        <v>36246.596011923306</v>
      </c>
      <c r="AB123" s="111">
        <f>SUM(AA$123,'Statistics NZ'!AB$123-'Statistics NZ'!AA$123,$D$14/5*(AB$9-AB$10)*1000)</f>
        <v>36247.520183878543</v>
      </c>
      <c r="AC123" s="111">
        <f>SUM(AB$123,'Statistics NZ'!AC$123-'Statistics NZ'!AB$123,$D$14/5*(AC$9-AC$10)*1000)</f>
        <v>35622.982269856162</v>
      </c>
      <c r="AD123" s="111">
        <f>SUM(AC$123,'Statistics NZ'!AD$123-'Statistics NZ'!AC$123,$D$14/5*(AD$9-AD$10)*1000)</f>
        <v>35432.982269856162</v>
      </c>
      <c r="AE123" s="111">
        <f>SUM(AD$123,'Statistics NZ'!AE$123-'Statistics NZ'!AD$123,$D$14/5*(AE$9-AE$10)*1000)</f>
        <v>35402.982269856162</v>
      </c>
      <c r="AF123" s="111">
        <f>SUM(AE$123,'Statistics NZ'!AF$123-'Statistics NZ'!AE$123,$D$14/5*(AF$9-AF$10)*1000)</f>
        <v>35342.982269856162</v>
      </c>
      <c r="AG123" s="111">
        <f>SUM(AF$123,'Statistics NZ'!AG$123-'Statistics NZ'!AF$123,$D$14/5*(AG$9-AG$10)*1000)</f>
        <v>35252.982269856162</v>
      </c>
      <c r="AH123" s="111">
        <f>SUM(AG$123,'Statistics NZ'!AH$123-'Statistics NZ'!AG$123,$D$14/5*(AH$9-AH$10)*1000)</f>
        <v>35372.982269856162</v>
      </c>
      <c r="AI123" s="111">
        <f>SUM(AH$123,'Statistics NZ'!AI$123-'Statistics NZ'!AH$123,$D$14/5*(AI$9-AI$10)*1000)</f>
        <v>35452.982269856162</v>
      </c>
      <c r="AJ123" s="111">
        <f>SUM(AI$123,'Statistics NZ'!AJ$123-'Statistics NZ'!AI$123,$D$14/5*(AJ$9-AJ$10)*1000)</f>
        <v>35512.982269856162</v>
      </c>
      <c r="AK123" s="111">
        <f>SUM(AJ$123,'Statistics NZ'!AK$123-'Statistics NZ'!AJ$123,$D$14/5*(AK$9-AK$10)*1000)</f>
        <v>35552.982269856162</v>
      </c>
      <c r="AL123" s="111">
        <f>SUM(AK$123,'Statistics NZ'!AL$123-'Statistics NZ'!AK$123,$D$14/5*(AL$9-AL$10)*1000)</f>
        <v>35572.982269856162</v>
      </c>
      <c r="AM123" s="111">
        <f>SUM(AL$123,'Statistics NZ'!AM$123-'Statistics NZ'!AL$123,$D$14/5*(AM$9-AM$10)*1000)</f>
        <v>35602.982269856162</v>
      </c>
      <c r="AN123" s="111">
        <f>SUM(AM$123,'Statistics NZ'!AN$123-'Statistics NZ'!AM$123,$D$14/5*(AN$9-AN$10)*1000)</f>
        <v>35622.982269856162</v>
      </c>
      <c r="AO123" s="111">
        <f>SUM(AN$123,'Statistics NZ'!AO$123-'Statistics NZ'!AN$123,$D$14/5*(AO$9-AO$10)*1000)</f>
        <v>35662.982269856162</v>
      </c>
      <c r="AP123" s="111">
        <f>SUM(AO$123,'Statistics NZ'!AP$123-'Statistics NZ'!AO$123,$D$14/5*(AP$9-AP$10)*1000)</f>
        <v>35712.982269856162</v>
      </c>
      <c r="AQ123" s="111">
        <f>SUM(AP$123,'Statistics NZ'!AQ$123-'Statistics NZ'!AP$123,$D$14/5*(AQ$9-AQ$10)*1000)</f>
        <v>35782.982269856162</v>
      </c>
      <c r="AR123" s="111">
        <f>SUM(AQ$123,'Statistics NZ'!AR$123-'Statistics NZ'!AQ$123,$D$14/5*(AR$9-AR$10)*1000)</f>
        <v>35872.982269856162</v>
      </c>
      <c r="AS123" s="111">
        <f>SUM(AR$123,'Statistics NZ'!AS$123-'Statistics NZ'!AR$123,$D$14/5*(AS$9-AS$10)*1000)</f>
        <v>35982.982269856162</v>
      </c>
      <c r="AT123" s="111">
        <f>SUM(AS$123,'Statistics NZ'!AT$123-'Statistics NZ'!AS$123,$D$14/5*(AT$9-AT$10)*1000)</f>
        <v>36122.982269856162</v>
      </c>
      <c r="AU123" s="111">
        <f>SUM(AT$123,'Statistics NZ'!AU$123-'Statistics NZ'!AT$123,$D$14/5*(AU$9-AU$10)*1000)</f>
        <v>36282.982269856162</v>
      </c>
      <c r="AV123" s="111">
        <f>SUM(AU$123,'Statistics NZ'!AV$123-'Statistics NZ'!AU$123,$D$14/5*(AV$9-AV$10)*1000)</f>
        <v>36452.982269856162</v>
      </c>
      <c r="AW123" s="111">
        <f>SUM(AV$123,'Statistics NZ'!AW$123-'Statistics NZ'!AV$123,$D$14/5*(AW$9-AW$10)*1000)</f>
        <v>36622.982269856162</v>
      </c>
      <c r="AX123" s="111">
        <f>SUM(AW$123,'Statistics NZ'!AX$123-'Statistics NZ'!AW$123,$D$14/5*(AX$9-AX$10)*1000)</f>
        <v>36772.982269856162</v>
      </c>
      <c r="AY123" s="111">
        <f>SUM(AX$123,'Statistics NZ'!AY$123-'Statistics NZ'!AX$123,$D$14/5*(AY$9-AY$10)*1000)</f>
        <v>36902.982269856162</v>
      </c>
      <c r="AZ123" s="111">
        <f>SUM(AY$123,'Statistics NZ'!AZ$123-'Statistics NZ'!AY$123,$D$14/5*(AZ$9-AZ$10)*1000)</f>
        <v>37002.982269856162</v>
      </c>
      <c r="BA123" s="111">
        <f>SUM(AZ$123,'Statistics NZ'!BA$123-'Statistics NZ'!AZ$123,$D$14/5*(BA$9-BA$10)*1000)</f>
        <v>37062.982269856162</v>
      </c>
      <c r="BB123" s="111">
        <f>SUM(BA$123,'Statistics NZ'!BB$123-'Statistics NZ'!BA$123,$D$14/5*(BB$9-BB$10)*1000)</f>
        <v>37102.982269856162</v>
      </c>
      <c r="BC123" s="111">
        <f>SUM(BB$123,'Statistics NZ'!BC$123-'Statistics NZ'!BB$123,$D$14/5*(BC$9-BC$10)*1000)</f>
        <v>37102.982269856162</v>
      </c>
      <c r="BD123" s="111">
        <f>SUM(BC$123,'Statistics NZ'!BD$123-'Statistics NZ'!BC$123,$D$14/5*(BD$9-BD$10)*1000)</f>
        <v>37072.982269856162</v>
      </c>
      <c r="BE123" s="111">
        <f>SUM(BD$123,'Statistics NZ'!BE$123-'Statistics NZ'!BD$123,$D$14/5*(BE$9-BE$10)*1000)</f>
        <v>37012.982269856162</v>
      </c>
      <c r="BF123" s="111">
        <f>SUM(BE$123,'Statistics NZ'!BF$123-'Statistics NZ'!BE$123,$D$14/5*(BF$9-BF$10)*1000)</f>
        <v>36932.982269856162</v>
      </c>
      <c r="BG123" s="111">
        <f>SUM(BF$123,'Statistics NZ'!BG$123-'Statistics NZ'!BF$123,$D$14/5*(BG$9-BG$10)*1000)</f>
        <v>36832.982269856162</v>
      </c>
      <c r="BH123" s="111">
        <f>SUM(BG$123,'Statistics NZ'!BH$123-'Statistics NZ'!BG$123,$D$14/5*(BH$9-BH$10)*1000)</f>
        <v>36722.982269856162</v>
      </c>
      <c r="BI123" s="111">
        <f>SUM(BH$123,'Statistics NZ'!BI$123-'Statistics NZ'!BH$123,$D$14/5*(BI$9-BI$10)*1000)</f>
        <v>36622.982269856162</v>
      </c>
      <c r="BJ123" s="111">
        <f>SUM(BI$123,'Statistics NZ'!BJ$123-'Statistics NZ'!BI$123,$D$14/5*(BJ$9-BJ$10)*1000)</f>
        <v>36522.982269856162</v>
      </c>
      <c r="BK123" s="111">
        <f>SUM(BJ$123,'Statistics NZ'!BK$123-'Statistics NZ'!BJ$123,$D$14/5*(BK$9-BK$10)*1000)</f>
        <v>36432.982269856162</v>
      </c>
      <c r="BL123" s="111">
        <f>SUM(BK$123,'Statistics NZ'!BL$123-'Statistics NZ'!BK$123,$D$14/5*(BL$9-BL$10)*1000)</f>
        <v>36352.982269856162</v>
      </c>
      <c r="BM123" s="195">
        <f>SUM(BL$123,'Statistics NZ'!BM$123-'Statistics NZ'!BL$123,$D$14/5*(BM$9-BM$10)*1000)</f>
        <v>36302.982269856162</v>
      </c>
      <c r="BN123" s="195">
        <f>SUM(BM$123,'Statistics NZ'!BN$123-'Statistics NZ'!BM$123,$D$14/5*(BN$9-BN$10)*1000)</f>
        <v>36262.982269856162</v>
      </c>
      <c r="BO123" s="195">
        <f>SUM(BN$123,'Statistics NZ'!BO$123-'Statistics NZ'!BN$123,$D$14/5*(BO$9-BO$10)*1000)</f>
        <v>36232.982269856162</v>
      </c>
      <c r="BP123" s="195">
        <f>SUM(BO$123,'Statistics NZ'!BP$123-'Statistics NZ'!BO$123,$D$14/5*(BP$9-BP$10)*1000)</f>
        <v>36232.982269856162</v>
      </c>
      <c r="BQ123" s="195">
        <f>SUM(BP$123,'Statistics NZ'!BQ$123-'Statistics NZ'!BP$123,$D$14/5*(BQ$9-BQ$10)*1000)</f>
        <v>36242.982269856162</v>
      </c>
    </row>
    <row r="124" spans="1:69">
      <c r="A124" s="105">
        <f>$A$31</f>
        <v>14</v>
      </c>
      <c r="B124" s="118">
        <f>'Statistics NZ'!B$124*('Economic Forecasts'!D$10-'Economic Forecasts'!D$9)*1000000/SUM('Statistics NZ'!B$17:B$31,'Statistics NZ'!B$110:B$124)</f>
        <v>34682.757145591058</v>
      </c>
      <c r="C124" s="118">
        <f>'Statistics NZ'!C$124*('Economic Forecasts'!E$10-'Economic Forecasts'!E$9)*1000000/SUM('Statistics NZ'!C$17:C$31,'Statistics NZ'!C$110:C$124)</f>
        <v>34038.589027263552</v>
      </c>
      <c r="D124" s="118">
        <f>'Statistics NZ'!D$124*('Economic Forecasts'!F$10-'Economic Forecasts'!F$9)*1000000/SUM('Statistics NZ'!D$17:D$31,'Statistics NZ'!D$110:D$124)</f>
        <v>33333.761767037766</v>
      </c>
      <c r="E124" s="118">
        <f>'Statistics NZ'!E$124*('Economic Forecasts'!G$10-'Economic Forecasts'!G$9)*1000000/SUM('Statistics NZ'!E$17:E$31,'Statistics NZ'!E$110:E$124)</f>
        <v>33531.391983665526</v>
      </c>
      <c r="F124" s="118">
        <f>'Statistics NZ'!F$124*('Economic Forecasts'!H$10-'Economic Forecasts'!H$9)*1000000/SUM('Statistics NZ'!F$17:F$31,'Statistics NZ'!F$110:F$124)</f>
        <v>33686.430616424783</v>
      </c>
      <c r="G124" s="118">
        <f>'Statistics NZ'!G$124*('Economic Forecasts'!I$10-'Economic Forecasts'!I$9)*1000000/SUM('Statistics NZ'!G$17:G$31,'Statistics NZ'!G$110:G$124)</f>
        <v>32888.382910037217</v>
      </c>
      <c r="H124" s="118">
        <f>'Statistics NZ'!H$124*('Economic Forecasts'!J$10-'Economic Forecasts'!J$9)*1000000/SUM('Statistics NZ'!H$17:H$31,'Statistics NZ'!H$110:H$124)</f>
        <v>33303.030303030289</v>
      </c>
      <c r="I124" s="118">
        <f>'Statistics NZ'!I$124*('Economic Forecasts'!K$10-'Economic Forecasts'!K$9)*1000000/SUM('Statistics NZ'!I$17:I$31,'Statistics NZ'!I$110:I$124)</f>
        <v>32978.654694703953</v>
      </c>
      <c r="J124" s="203">
        <f>'Statistics NZ'!J$124*('Economic Forecasts'!L$10-'Economic Forecasts'!L$9)*1000000/SUM('Statistics NZ'!J$17:J$31,'Statistics NZ'!J$110:J$124)</f>
        <v>34112.123489020029</v>
      </c>
      <c r="K124" s="203">
        <f>'Statistics NZ'!K$124*('Economic Forecasts'!M$10-'Economic Forecasts'!M$9)*1000000/SUM('Statistics NZ'!K$17:K$31,'Statistics NZ'!K$110:K$124)</f>
        <v>33666.204487907104</v>
      </c>
      <c r="L124" s="203">
        <f>'Statistics NZ'!L$124*('Economic Forecasts'!N$10-'Economic Forecasts'!N$9)*1000000/SUM('Statistics NZ'!L$17:L$31,'Statistics NZ'!L$110:L$124)</f>
        <v>32412.025608028474</v>
      </c>
      <c r="M124" s="203">
        <f>'Statistics NZ'!M$124*('Economic Forecasts'!O$10-'Economic Forecasts'!O$9)*1000000/SUM('Statistics NZ'!M$17:M$31,'Statistics NZ'!M$110:M$124)</f>
        <v>33096.70833110957</v>
      </c>
      <c r="N124" s="203">
        <f>'Statistics NZ'!N$124*('Economic Forecasts'!P$10-'Economic Forecasts'!P$9)*1000000/SUM('Statistics NZ'!N$17:N$31,'Statistics NZ'!N$110:N$124)</f>
        <v>32949.657992329383</v>
      </c>
      <c r="O124" s="203">
        <f>'Statistics NZ'!O$124*('Economic Forecasts'!Q$10-'Economic Forecasts'!Q$9)*1000000/SUM('Statistics NZ'!O$17:O$31,'Statistics NZ'!O$110:O$124)</f>
        <v>33252.347311276833</v>
      </c>
      <c r="P124" s="203">
        <f>'Statistics NZ'!P$124*('Economic Forecasts'!R$10-'Economic Forecasts'!R$9)*1000000/SUM('Statistics NZ'!P$17:P$31,'Statistics NZ'!P$110:P$124)</f>
        <v>34181.573993628765</v>
      </c>
      <c r="Q124" s="121">
        <f>SUM('Statistics NZ'!Q$124,$D$14/5*(Q$9-Q$10)*1000)*('Economic Forecasts'!S$10-'Economic Forecasts'!S$9)*1000000/SUM('Statistics NZ'!Q$17:Q$31,'Statistics NZ'!Q$110:Q$124,SUM($B$13:$D$14)*(Q$9-Q$10)*1000)</f>
        <v>35749.649326320214</v>
      </c>
      <c r="R124" s="205">
        <f>SUM('Statistics NZ'!R$124,$D$14/5*(R$9-R$10)*1000)*('Economic Forecasts'!T$10-'Economic Forecasts'!T$9)*1000000/SUM('Statistics NZ'!R$17:R$31,'Statistics NZ'!R$110:R$124,SUM($B$13:$D$14)*(R$9-R$10)*1000)</f>
        <v>36693.463595293011</v>
      </c>
      <c r="S124" s="205">
        <f>SUM('Statistics NZ'!S$124,$D$14/5*(S$9-S$10)*1000)*('Economic Forecasts'!U$10-'Economic Forecasts'!U$9)*1000000/SUM('Statistics NZ'!S$17:S$31,'Statistics NZ'!S$110:S$124,SUM($B$13:$D$14)*(S$9-S$10)*1000)</f>
        <v>37300.413730386485</v>
      </c>
      <c r="T124" s="205">
        <f>SUM('Statistics NZ'!T$124,$D$14/5*(T$9-T$10)*1000)*('Economic Forecasts'!V$10-'Economic Forecasts'!V$9)*1000000/SUM('Statistics NZ'!T$17:T$31,'Statistics NZ'!T$110:T$124,SUM($B$13:$D$14)*(T$9-T$10)*1000)</f>
        <v>38084.448685185678</v>
      </c>
      <c r="U124" s="205">
        <f>SUM('Statistics NZ'!U$124,$D$14/5*(U$9-U$10)*1000)*('Economic Forecasts'!W$10-'Economic Forecasts'!W$9)*1000000/SUM('Statistics NZ'!U$17:U$31,'Statistics NZ'!U$110:U$124,SUM($B$13:$D$14)*(U$9-U$10)*1000)</f>
        <v>38133.988190048643</v>
      </c>
      <c r="V124" s="111">
        <f>SUM(U$124,'Statistics NZ'!V$124-'Statistics NZ'!U$124,$D$14/5*(V$9-V$10)*1000)</f>
        <v>38097.6848778696</v>
      </c>
      <c r="W124" s="111">
        <f>SUM(V$124,'Statistics NZ'!W$124-'Statistics NZ'!V$124,$D$14/5*(W$9-W$10)*1000)</f>
        <v>37915.919479712938</v>
      </c>
      <c r="X124" s="111">
        <f>SUM(W$124,'Statistics NZ'!X$124-'Statistics NZ'!W$124,$D$14/5*(X$9-X$10)*1000)</f>
        <v>37648.691995578658</v>
      </c>
      <c r="Y124" s="111">
        <f>SUM(X$124,'Statistics NZ'!Y$124-'Statistics NZ'!X$124,$D$14/5*(Y$9-Y$10)*1000)</f>
        <v>37646.002425466759</v>
      </c>
      <c r="Z124" s="111">
        <f>SUM(Y$124,'Statistics NZ'!Z$124-'Statistics NZ'!Y$124,$D$14/5*(Z$9-Z$10)*1000)</f>
        <v>37407.850769377234</v>
      </c>
      <c r="AA124" s="111">
        <f>SUM(Z$124,'Statistics NZ'!AA$124-'Statistics NZ'!Z$124,$D$14/5*(AA$9-AA$10)*1000)</f>
        <v>37214.23702731009</v>
      </c>
      <c r="AB124" s="111">
        <f>SUM(AA$124,'Statistics NZ'!AB$124-'Statistics NZ'!AA$124,$D$14/5*(AB$9-AB$10)*1000)</f>
        <v>36535.161199265327</v>
      </c>
      <c r="AC124" s="111">
        <f>SUM(AB$124,'Statistics NZ'!AC$124-'Statistics NZ'!AB$124,$D$14/5*(AC$9-AC$10)*1000)</f>
        <v>36520.623285242946</v>
      </c>
      <c r="AD124" s="111">
        <f>SUM(AC$124,'Statistics NZ'!AD$124-'Statistics NZ'!AC$124,$D$14/5*(AD$9-AD$10)*1000)</f>
        <v>35880.623285242946</v>
      </c>
      <c r="AE124" s="111">
        <f>SUM(AD$124,'Statistics NZ'!AE$124-'Statistics NZ'!AD$124,$D$14/5*(AE$9-AE$10)*1000)</f>
        <v>35700.623285242946</v>
      </c>
      <c r="AF124" s="111">
        <f>SUM(AE$124,'Statistics NZ'!AF$124-'Statistics NZ'!AE$124,$D$14/5*(AF$9-AF$10)*1000)</f>
        <v>35660.623285242946</v>
      </c>
      <c r="AG124" s="111">
        <f>SUM(AF$124,'Statistics NZ'!AG$124-'Statistics NZ'!AF$124,$D$14/5*(AG$9-AG$10)*1000)</f>
        <v>35600.623285242946</v>
      </c>
      <c r="AH124" s="111">
        <f>SUM(AG$124,'Statistics NZ'!AH$124-'Statistics NZ'!AG$124,$D$14/5*(AH$9-AH$10)*1000)</f>
        <v>35510.623285242946</v>
      </c>
      <c r="AI124" s="111">
        <f>SUM(AH$124,'Statistics NZ'!AI$124-'Statistics NZ'!AH$124,$D$14/5*(AI$9-AI$10)*1000)</f>
        <v>35630.623285242946</v>
      </c>
      <c r="AJ124" s="111">
        <f>SUM(AI$124,'Statistics NZ'!AJ$124-'Statistics NZ'!AI$124,$D$14/5*(AJ$9-AJ$10)*1000)</f>
        <v>35720.623285242946</v>
      </c>
      <c r="AK124" s="111">
        <f>SUM(AJ$124,'Statistics NZ'!AK$124-'Statistics NZ'!AJ$124,$D$14/5*(AK$9-AK$10)*1000)</f>
        <v>35780.623285242946</v>
      </c>
      <c r="AL124" s="111">
        <f>SUM(AK$124,'Statistics NZ'!AL$124-'Statistics NZ'!AK$124,$D$14/5*(AL$9-AL$10)*1000)</f>
        <v>35810.623285242946</v>
      </c>
      <c r="AM124" s="111">
        <f>SUM(AL$124,'Statistics NZ'!AM$124-'Statistics NZ'!AL$124,$D$14/5*(AM$9-AM$10)*1000)</f>
        <v>35840.623285242946</v>
      </c>
      <c r="AN124" s="111">
        <f>SUM(AM$124,'Statistics NZ'!AN$124-'Statistics NZ'!AM$124,$D$14/5*(AN$9-AN$10)*1000)</f>
        <v>35860.623285242946</v>
      </c>
      <c r="AO124" s="111">
        <f>SUM(AN$124,'Statistics NZ'!AO$124-'Statistics NZ'!AN$124,$D$14/5*(AO$9-AO$10)*1000)</f>
        <v>35890.623285242946</v>
      </c>
      <c r="AP124" s="111">
        <f>SUM(AO$124,'Statistics NZ'!AP$124-'Statistics NZ'!AO$124,$D$14/5*(AP$9-AP$10)*1000)</f>
        <v>35930.623285242946</v>
      </c>
      <c r="AQ124" s="111">
        <f>SUM(AP$124,'Statistics NZ'!AQ$124-'Statistics NZ'!AP$124,$D$14/5*(AQ$9-AQ$10)*1000)</f>
        <v>35980.623285242946</v>
      </c>
      <c r="AR124" s="111">
        <f>SUM(AQ$124,'Statistics NZ'!AR$124-'Statistics NZ'!AQ$124,$D$14/5*(AR$9-AR$10)*1000)</f>
        <v>36040.623285242946</v>
      </c>
      <c r="AS124" s="111">
        <f>SUM(AR$124,'Statistics NZ'!AS$124-'Statistics NZ'!AR$124,$D$14/5*(AS$9-AS$10)*1000)</f>
        <v>36130.623285242946</v>
      </c>
      <c r="AT124" s="111">
        <f>SUM(AS$124,'Statistics NZ'!AT$124-'Statistics NZ'!AS$124,$D$14/5*(AT$9-AT$10)*1000)</f>
        <v>36250.623285242946</v>
      </c>
      <c r="AU124" s="111">
        <f>SUM(AT$124,'Statistics NZ'!AU$124-'Statistics NZ'!AT$124,$D$14/5*(AU$9-AU$10)*1000)</f>
        <v>36390.623285242946</v>
      </c>
      <c r="AV124" s="111">
        <f>SUM(AU$124,'Statistics NZ'!AV$124-'Statistics NZ'!AU$124,$D$14/5*(AV$9-AV$10)*1000)</f>
        <v>36550.623285242946</v>
      </c>
      <c r="AW124" s="111">
        <f>SUM(AV$124,'Statistics NZ'!AW$124-'Statistics NZ'!AV$124,$D$14/5*(AW$9-AW$10)*1000)</f>
        <v>36720.623285242946</v>
      </c>
      <c r="AX124" s="111">
        <f>SUM(AW$124,'Statistics NZ'!AX$124-'Statistics NZ'!AW$124,$D$14/5*(AX$9-AX$10)*1000)</f>
        <v>36890.623285242946</v>
      </c>
      <c r="AY124" s="111">
        <f>SUM(AX$124,'Statistics NZ'!AY$124-'Statistics NZ'!AX$124,$D$14/5*(AY$9-AY$10)*1000)</f>
        <v>37040.623285242946</v>
      </c>
      <c r="AZ124" s="111">
        <f>SUM(AY$124,'Statistics NZ'!AZ$124-'Statistics NZ'!AY$124,$D$14/5*(AZ$9-AZ$10)*1000)</f>
        <v>37170.623285242946</v>
      </c>
      <c r="BA124" s="111">
        <f>SUM(AZ$124,'Statistics NZ'!BA$124-'Statistics NZ'!AZ$124,$D$14/5*(BA$9-BA$10)*1000)</f>
        <v>37270.623285242946</v>
      </c>
      <c r="BB124" s="111">
        <f>SUM(BA$124,'Statistics NZ'!BB$124-'Statistics NZ'!BA$124,$D$14/5*(BB$9-BB$10)*1000)</f>
        <v>37330.623285242946</v>
      </c>
      <c r="BC124" s="111">
        <f>SUM(BB$124,'Statistics NZ'!BC$124-'Statistics NZ'!BB$124,$D$14/5*(BC$9-BC$10)*1000)</f>
        <v>37360.623285242946</v>
      </c>
      <c r="BD124" s="111">
        <f>SUM(BC$124,'Statistics NZ'!BD$124-'Statistics NZ'!BC$124,$D$14/5*(BD$9-BD$10)*1000)</f>
        <v>37360.623285242946</v>
      </c>
      <c r="BE124" s="111">
        <f>SUM(BD$124,'Statistics NZ'!BE$124-'Statistics NZ'!BD$124,$D$14/5*(BE$9-BE$10)*1000)</f>
        <v>37330.623285242946</v>
      </c>
      <c r="BF124" s="111">
        <f>SUM(BE$124,'Statistics NZ'!BF$124-'Statistics NZ'!BE$124,$D$14/5*(BF$9-BF$10)*1000)</f>
        <v>37270.623285242946</v>
      </c>
      <c r="BG124" s="111">
        <f>SUM(BF$124,'Statistics NZ'!BG$124-'Statistics NZ'!BF$124,$D$14/5*(BG$9-BG$10)*1000)</f>
        <v>37190.623285242946</v>
      </c>
      <c r="BH124" s="111">
        <f>SUM(BG$124,'Statistics NZ'!BH$124-'Statistics NZ'!BG$124,$D$14/5*(BH$9-BH$10)*1000)</f>
        <v>37100.623285242946</v>
      </c>
      <c r="BI124" s="111">
        <f>SUM(BH$124,'Statistics NZ'!BI$124-'Statistics NZ'!BH$124,$D$14/5*(BI$9-BI$10)*1000)</f>
        <v>36990.623285242946</v>
      </c>
      <c r="BJ124" s="111">
        <f>SUM(BI$124,'Statistics NZ'!BJ$124-'Statistics NZ'!BI$124,$D$14/5*(BJ$9-BJ$10)*1000)</f>
        <v>36890.623285242946</v>
      </c>
      <c r="BK124" s="111">
        <f>SUM(BJ$124,'Statistics NZ'!BK$124-'Statistics NZ'!BJ$124,$D$14/5*(BK$9-BK$10)*1000)</f>
        <v>36790.623285242946</v>
      </c>
      <c r="BL124" s="111">
        <f>SUM(BK$124,'Statistics NZ'!BL$124-'Statistics NZ'!BK$124,$D$14/5*(BL$9-BL$10)*1000)</f>
        <v>36700.623285242946</v>
      </c>
      <c r="BM124" s="195">
        <f>SUM(BL$124,'Statistics NZ'!BM$124-'Statistics NZ'!BL$124,$D$14/5*(BM$9-BM$10)*1000)</f>
        <v>36620.623285242946</v>
      </c>
      <c r="BN124" s="195">
        <f>SUM(BM$124,'Statistics NZ'!BN$124-'Statistics NZ'!BM$124,$D$14/5*(BN$9-BN$10)*1000)</f>
        <v>36560.623285242946</v>
      </c>
      <c r="BO124" s="195">
        <f>SUM(BN$124,'Statistics NZ'!BO$124-'Statistics NZ'!BN$124,$D$14/5*(BO$9-BO$10)*1000)</f>
        <v>36520.623285242946</v>
      </c>
      <c r="BP124" s="195">
        <f>SUM(BO$124,'Statistics NZ'!BP$124-'Statistics NZ'!BO$124,$D$14/5*(BP$9-BP$10)*1000)</f>
        <v>36500.623285242946</v>
      </c>
      <c r="BQ124" s="195">
        <f>SUM(BP$124,'Statistics NZ'!BQ$124-'Statistics NZ'!BP$124,$D$14/5*(BQ$9-BQ$10)*1000)</f>
        <v>36500.623285242946</v>
      </c>
    </row>
    <row r="125" spans="1:69">
      <c r="A125" s="105">
        <f>$A$32</f>
        <v>15</v>
      </c>
      <c r="B125" s="118">
        <f>'Statistics NZ'!B$125*'Economic Forecasts'!D$9*1000000/SUM('Statistics NZ'!B$32:B$107,'Statistics NZ'!B$125:B$200)</f>
        <v>33089.255958159403</v>
      </c>
      <c r="C125" s="118">
        <f>'Statistics NZ'!C$125*'Economic Forecasts'!E$9*1000000/SUM('Statistics NZ'!C$32:C$107,'Statistics NZ'!C$125:C$200)</f>
        <v>32128.516305782941</v>
      </c>
      <c r="D125" s="118">
        <f>'Statistics NZ'!D$125*'Economic Forecasts'!F$9*1000000/SUM('Statistics NZ'!D$32:D$107,'Statistics NZ'!D$125:D$200)</f>
        <v>31638.094487908114</v>
      </c>
      <c r="E125" s="118">
        <f>'Statistics NZ'!E$125*'Economic Forecasts'!G$9*1000000/SUM('Statistics NZ'!E$32:E$107,'Statistics NZ'!E$125:E$200)</f>
        <v>31003.093404832674</v>
      </c>
      <c r="F125" s="118">
        <f>'Statistics NZ'!F$125*'Economic Forecasts'!H$9*1000000/SUM('Statistics NZ'!F$32:F$107,'Statistics NZ'!F$125:F$200)</f>
        <v>31318.302382259561</v>
      </c>
      <c r="G125" s="118">
        <f>'Statistics NZ'!G$125*'Economic Forecasts'!I$9*1000000/SUM('Statistics NZ'!G$32:G$107,'Statistics NZ'!G$125:G$200)</f>
        <v>31479.938731911807</v>
      </c>
      <c r="H125" s="118">
        <f>'Statistics NZ'!H$125*'Economic Forecasts'!J$9*1000000/SUM('Statistics NZ'!H$32:H$107,'Statistics NZ'!H$125:H$200)</f>
        <v>30839.298776217278</v>
      </c>
      <c r="I125" s="118">
        <f>'Statistics NZ'!I$125*'Economic Forecasts'!K$9*1000000/SUM('Statistics NZ'!I$32:I$107,'Statistics NZ'!I$125:I$200)</f>
        <v>31117.149188721054</v>
      </c>
      <c r="J125" s="203">
        <f>'Statistics NZ'!J$125*'Economic Forecasts'!L$9*1000000/SUM('Statistics NZ'!J$32:J$107,'Statistics NZ'!J$125:J$200)</f>
        <v>30654.88805535364</v>
      </c>
      <c r="K125" s="203">
        <f>'Statistics NZ'!K$125*'Economic Forecasts'!M$9*1000000/SUM('Statistics NZ'!K$32:K$107,'Statistics NZ'!K$125:K$200)</f>
        <v>31637.507751381709</v>
      </c>
      <c r="L125" s="203">
        <f>'Statistics NZ'!L$125*'Economic Forecasts'!N$9*1000000/SUM('Statistics NZ'!L$32:L$107,'Statistics NZ'!L$125:L$200)</f>
        <v>31486.695275798364</v>
      </c>
      <c r="M125" s="203">
        <f>'Statistics NZ'!M$125*'Economic Forecasts'!O$9*1000000/SUM('Statistics NZ'!M$32:M$107,'Statistics NZ'!M$125:M$200)</f>
        <v>30644.524122773077</v>
      </c>
      <c r="N125" s="203">
        <f>'Statistics NZ'!N$125*'Economic Forecasts'!P$9*1000000/SUM('Statistics NZ'!N$32:N$107,'Statistics NZ'!N$125:N$200)</f>
        <v>31312.723842473166</v>
      </c>
      <c r="O125" s="203">
        <f>'Statistics NZ'!O$125*'Economic Forecasts'!Q$9*1000000/SUM('Statistics NZ'!O$32:O$107,'Statistics NZ'!O$125:O$200)</f>
        <v>31273.162086184482</v>
      </c>
      <c r="P125" s="203">
        <f>'Statistics NZ'!P$125*'Economic Forecasts'!R$9*1000000/SUM('Statistics NZ'!P$32:P$107,'Statistics NZ'!P$125:P$200)</f>
        <v>31515.213047218618</v>
      </c>
      <c r="Q125" s="121">
        <f>SUM('Statistics NZ'!Q$125,$E$14/5*(Q$9-Q$10)*1000)*'Economic Forecasts'!S$9*1000000/SUM('Statistics NZ'!Q$32:Q$107,'Statistics NZ'!Q$125:Q$200,SUM($E$13:$Q$14)*(Q$9-Q$10)*1000)</f>
        <v>32049.771139758865</v>
      </c>
      <c r="R125" s="205">
        <f>SUM('Statistics NZ'!R$125,$E$14/5*(R$9-R$10)*1000)*'Economic Forecasts'!T$9*1000000/SUM('Statistics NZ'!R$32:R$107,'Statistics NZ'!R$125:R$200,SUM($E$13:$Q$14)*(R$9-R$10)*1000)</f>
        <v>33745.873874000485</v>
      </c>
      <c r="S125" s="205">
        <f>SUM('Statistics NZ'!S$125,$E$14/5*(S$9-S$10)*1000)*'Economic Forecasts'!U$9*1000000/SUM('Statistics NZ'!S$32:S$107,'Statistics NZ'!S$125:S$200,SUM($E$13:$Q$14)*(S$9-S$10)*1000)</f>
        <v>34721.631718738776</v>
      </c>
      <c r="T125" s="205">
        <f>SUM('Statistics NZ'!T$125,$E$14/5*(T$9-T$10)*1000)*'Economic Forecasts'!V$9*1000000/SUM('Statistics NZ'!T$32:T$107,'Statistics NZ'!T$125:T$200,SUM($E$13:$Q$14)*(T$9-T$10)*1000)</f>
        <v>35415.86018528499</v>
      </c>
      <c r="U125" s="205">
        <f>SUM('Statistics NZ'!U$125,$E$14/5*(U$9-U$10)*1000)*'Economic Forecasts'!W$9*1000000/SUM('Statistics NZ'!U$32:U$107,'Statistics NZ'!U$125:U$200,SUM($E$13:$Q$14)*(U$9-U$10)*1000)</f>
        <v>36080.039462060377</v>
      </c>
      <c r="V125" s="111">
        <f>SUM(U$125,'Statistics NZ'!V$125-'Statistics NZ'!U$125,$E$14/5*(V$9-V$10)*1000)</f>
        <v>36049.814209626216</v>
      </c>
      <c r="W125" s="111">
        <f>SUM(V$125,'Statistics NZ'!W$125-'Statistics NZ'!V$125,$E$14/5*(W$9-W$10)*1000)</f>
        <v>36125.867113746324</v>
      </c>
      <c r="X125" s="111">
        <f>SUM(W$125,'Statistics NZ'!X$125-'Statistics NZ'!W$125,$E$14/5*(X$9-X$10)*1000)</f>
        <v>36038.198174420701</v>
      </c>
      <c r="Y125" s="111">
        <f>SUM(X$125,'Statistics NZ'!Y$125-'Statistics NZ'!X$125,$E$14/5*(Y$9-Y$10)*1000)</f>
        <v>35846.807391649352</v>
      </c>
      <c r="Z125" s="111">
        <f>SUM(Y$125,'Statistics NZ'!Z$125-'Statistics NZ'!Y$125,$E$14/5*(Z$9-Z$10)*1000)</f>
        <v>35911.694765432272</v>
      </c>
      <c r="AA125" s="111">
        <f>SUM(Z$125,'Statistics NZ'!AA$125-'Statistics NZ'!Z$125,$E$14/5*(AA$9-AA$10)*1000)</f>
        <v>35702.86029576946</v>
      </c>
      <c r="AB125" s="111">
        <f>SUM(AA$125,'Statistics NZ'!AB$125-'Statistics NZ'!AA$125,$E$14/5*(AB$9-AB$10)*1000)</f>
        <v>35530.303982660917</v>
      </c>
      <c r="AC125" s="111">
        <f>SUM(AB$125,'Statistics NZ'!AC$125-'Statistics NZ'!AB$125,$E$14/5*(AC$9-AC$10)*1000)</f>
        <v>34864.025826106648</v>
      </c>
      <c r="AD125" s="111">
        <f>SUM(AC$125,'Statistics NZ'!AD$125-'Statistics NZ'!AC$125,$E$14/5*(AD$9-AD$10)*1000)</f>
        <v>34834.025826106648</v>
      </c>
      <c r="AE125" s="111">
        <f>SUM(AD$125,'Statistics NZ'!AE$125-'Statistics NZ'!AD$125,$E$14/5*(AE$9-AE$10)*1000)</f>
        <v>34194.025826106648</v>
      </c>
      <c r="AF125" s="111">
        <f>SUM(AE$125,'Statistics NZ'!AF$125-'Statistics NZ'!AE$125,$E$14/5*(AF$9-AF$10)*1000)</f>
        <v>34004.025826106648</v>
      </c>
      <c r="AG125" s="111">
        <f>SUM(AF$125,'Statistics NZ'!AG$125-'Statistics NZ'!AF$125,$E$14/5*(AG$9-AG$10)*1000)</f>
        <v>33974.025826106648</v>
      </c>
      <c r="AH125" s="111">
        <f>SUM(AG$125,'Statistics NZ'!AH$125-'Statistics NZ'!AG$125,$E$14/5*(AH$9-AH$10)*1000)</f>
        <v>33914.025826106648</v>
      </c>
      <c r="AI125" s="111">
        <f>SUM(AH$125,'Statistics NZ'!AI$125-'Statistics NZ'!AH$125,$E$14/5*(AI$9-AI$10)*1000)</f>
        <v>33824.025826106648</v>
      </c>
      <c r="AJ125" s="111">
        <f>SUM(AI$125,'Statistics NZ'!AJ$125-'Statistics NZ'!AI$125,$E$14/5*(AJ$9-AJ$10)*1000)</f>
        <v>33944.025826106648</v>
      </c>
      <c r="AK125" s="111">
        <f>SUM(AJ$125,'Statistics NZ'!AK$125-'Statistics NZ'!AJ$125,$E$14/5*(AK$9-AK$10)*1000)</f>
        <v>34024.025826106648</v>
      </c>
      <c r="AL125" s="111">
        <f>SUM(AK$125,'Statistics NZ'!AL$125-'Statistics NZ'!AK$125,$E$14/5*(AL$9-AL$10)*1000)</f>
        <v>34084.025826106648</v>
      </c>
      <c r="AM125" s="111">
        <f>SUM(AL$125,'Statistics NZ'!AM$125-'Statistics NZ'!AL$125,$E$14/5*(AM$9-AM$10)*1000)</f>
        <v>34124.025826106648</v>
      </c>
      <c r="AN125" s="111">
        <f>SUM(AM$125,'Statistics NZ'!AN$125-'Statistics NZ'!AM$125,$E$14/5*(AN$9-AN$10)*1000)</f>
        <v>34144.025826106648</v>
      </c>
      <c r="AO125" s="111">
        <f>SUM(AN$125,'Statistics NZ'!AO$125-'Statistics NZ'!AN$125,$E$14/5*(AO$9-AO$10)*1000)</f>
        <v>34174.025826106648</v>
      </c>
      <c r="AP125" s="111">
        <f>SUM(AO$125,'Statistics NZ'!AP$125-'Statistics NZ'!AO$125,$E$14/5*(AP$9-AP$10)*1000)</f>
        <v>34204.025826106648</v>
      </c>
      <c r="AQ125" s="111">
        <f>SUM(AP$125,'Statistics NZ'!AQ$125-'Statistics NZ'!AP$125,$E$14/5*(AQ$9-AQ$10)*1000)</f>
        <v>34234.025826106648</v>
      </c>
      <c r="AR125" s="111">
        <f>SUM(AQ$125,'Statistics NZ'!AR$125-'Statistics NZ'!AQ$125,$E$14/5*(AR$9-AR$10)*1000)</f>
        <v>34284.025826106648</v>
      </c>
      <c r="AS125" s="111">
        <f>SUM(AR$125,'Statistics NZ'!AS$125-'Statistics NZ'!AR$125,$E$14/5*(AS$9-AS$10)*1000)</f>
        <v>34354.025826106648</v>
      </c>
      <c r="AT125" s="111">
        <f>SUM(AS$125,'Statistics NZ'!AT$125-'Statistics NZ'!AS$125,$E$14/5*(AT$9-AT$10)*1000)</f>
        <v>34444.025826106648</v>
      </c>
      <c r="AU125" s="111">
        <f>SUM(AT$125,'Statistics NZ'!AU$125-'Statistics NZ'!AT$125,$E$14/5*(AU$9-AU$10)*1000)</f>
        <v>34564.025826106648</v>
      </c>
      <c r="AV125" s="111">
        <f>SUM(AU$125,'Statistics NZ'!AV$125-'Statistics NZ'!AU$125,$E$14/5*(AV$9-AV$10)*1000)</f>
        <v>34704.025826106648</v>
      </c>
      <c r="AW125" s="111">
        <f>SUM(AV$125,'Statistics NZ'!AW$125-'Statistics NZ'!AV$125,$E$14/5*(AW$9-AW$10)*1000)</f>
        <v>34854.025826106648</v>
      </c>
      <c r="AX125" s="111">
        <f>SUM(AW$125,'Statistics NZ'!AX$125-'Statistics NZ'!AW$125,$E$14/5*(AX$9-AX$10)*1000)</f>
        <v>35024.025826106648</v>
      </c>
      <c r="AY125" s="111">
        <f>SUM(AX$125,'Statistics NZ'!AY$125-'Statistics NZ'!AX$125,$E$14/5*(AY$9-AY$10)*1000)</f>
        <v>35194.025826106648</v>
      </c>
      <c r="AZ125" s="111">
        <f>SUM(AY$125,'Statistics NZ'!AZ$125-'Statistics NZ'!AY$125,$E$14/5*(AZ$9-AZ$10)*1000)</f>
        <v>35344.025826106648</v>
      </c>
      <c r="BA125" s="111">
        <f>SUM(AZ$125,'Statistics NZ'!BA$125-'Statistics NZ'!AZ$125,$E$14/5*(BA$9-BA$10)*1000)</f>
        <v>35474.025826106648</v>
      </c>
      <c r="BB125" s="111">
        <f>SUM(BA$125,'Statistics NZ'!BB$125-'Statistics NZ'!BA$125,$E$14/5*(BB$9-BB$10)*1000)</f>
        <v>35574.025826106648</v>
      </c>
      <c r="BC125" s="111">
        <f>SUM(BB$125,'Statistics NZ'!BC$125-'Statistics NZ'!BB$125,$E$14/5*(BC$9-BC$10)*1000)</f>
        <v>35644.025826106648</v>
      </c>
      <c r="BD125" s="111">
        <f>SUM(BC$125,'Statistics NZ'!BD$125-'Statistics NZ'!BC$125,$E$14/5*(BD$9-BD$10)*1000)</f>
        <v>35674.025826106648</v>
      </c>
      <c r="BE125" s="111">
        <f>SUM(BD$125,'Statistics NZ'!BE$125-'Statistics NZ'!BD$125,$E$14/5*(BE$9-BE$10)*1000)</f>
        <v>35674.025826106648</v>
      </c>
      <c r="BF125" s="111">
        <f>SUM(BE$125,'Statistics NZ'!BF$125-'Statistics NZ'!BE$125,$E$14/5*(BF$9-BF$10)*1000)</f>
        <v>35644.025826106648</v>
      </c>
      <c r="BG125" s="111">
        <f>SUM(BF$125,'Statistics NZ'!BG$125-'Statistics NZ'!BF$125,$E$14/5*(BG$9-BG$10)*1000)</f>
        <v>35584.025826106648</v>
      </c>
      <c r="BH125" s="111">
        <f>SUM(BG$125,'Statistics NZ'!BH$125-'Statistics NZ'!BG$125,$E$14/5*(BH$9-BH$10)*1000)</f>
        <v>35504.025826106648</v>
      </c>
      <c r="BI125" s="111">
        <f>SUM(BH$125,'Statistics NZ'!BI$125-'Statistics NZ'!BH$125,$E$14/5*(BI$9-BI$10)*1000)</f>
        <v>35404.025826106648</v>
      </c>
      <c r="BJ125" s="111">
        <f>SUM(BI$125,'Statistics NZ'!BJ$125-'Statistics NZ'!BI$125,$E$14/5*(BJ$9-BJ$10)*1000)</f>
        <v>35304.025826106648</v>
      </c>
      <c r="BK125" s="111">
        <f>SUM(BJ$125,'Statistics NZ'!BK$125-'Statistics NZ'!BJ$125,$E$14/5*(BK$9-BK$10)*1000)</f>
        <v>35194.025826106648</v>
      </c>
      <c r="BL125" s="111">
        <f>SUM(BK$125,'Statistics NZ'!BL$125-'Statistics NZ'!BK$125,$E$14/5*(BL$9-BL$10)*1000)</f>
        <v>35094.025826106648</v>
      </c>
      <c r="BM125" s="195">
        <f>SUM(BL$125,'Statistics NZ'!BM$125-'Statistics NZ'!BL$125,$E$14/5*(BM$9-BM$10)*1000)</f>
        <v>35004.025826106648</v>
      </c>
      <c r="BN125" s="195">
        <f>SUM(BM$125,'Statistics NZ'!BN$125-'Statistics NZ'!BM$125,$E$14/5*(BN$9-BN$10)*1000)</f>
        <v>34934.025826106648</v>
      </c>
      <c r="BO125" s="195">
        <f>SUM(BN$125,'Statistics NZ'!BO$125-'Statistics NZ'!BN$125,$E$14/5*(BO$9-BO$10)*1000)</f>
        <v>34874.025826106648</v>
      </c>
      <c r="BP125" s="195">
        <f>SUM(BO$125,'Statistics NZ'!BP$125-'Statistics NZ'!BO$125,$E$14/5*(BP$9-BP$10)*1000)</f>
        <v>34834.025826106648</v>
      </c>
      <c r="BQ125" s="195">
        <f>SUM(BP$125,'Statistics NZ'!BQ$125-'Statistics NZ'!BP$125,$E$14/5*(BQ$9-BQ$10)*1000)</f>
        <v>34814.025826106648</v>
      </c>
    </row>
    <row r="126" spans="1:69">
      <c r="A126" s="105">
        <f>$A$33</f>
        <v>16</v>
      </c>
      <c r="B126" s="118">
        <f>'Statistics NZ'!B$126*'Economic Forecasts'!D$9*1000000/SUM('Statistics NZ'!B$32:B$107,'Statistics NZ'!B$125:B$200)</f>
        <v>32123.865340743614</v>
      </c>
      <c r="C126" s="118">
        <f>'Statistics NZ'!C$126*'Economic Forecasts'!E$9*1000000/SUM('Statistics NZ'!C$32:C$107,'Statistics NZ'!C$125:C$200)</f>
        <v>32838.320900448904</v>
      </c>
      <c r="D126" s="118">
        <f>'Statistics NZ'!D$126*'Economic Forecasts'!F$9*1000000/SUM('Statistics NZ'!D$32:D$107,'Statistics NZ'!D$125:D$200)</f>
        <v>31835.216571944929</v>
      </c>
      <c r="E126" s="118">
        <f>'Statistics NZ'!E$126*'Economic Forecasts'!G$9*1000000/SUM('Statistics NZ'!E$32:E$107,'Statistics NZ'!E$125:E$200)</f>
        <v>31564.458183763887</v>
      </c>
      <c r="F126" s="118">
        <f>'Statistics NZ'!F$126*'Economic Forecasts'!H$9*1000000/SUM('Statistics NZ'!F$32:F$107,'Statistics NZ'!F$125:F$200)</f>
        <v>31209.934553947242</v>
      </c>
      <c r="G126" s="118">
        <f>'Statistics NZ'!G$126*'Economic Forecasts'!I$9*1000000/SUM('Statistics NZ'!G$32:G$107,'Statistics NZ'!G$125:G$200)</f>
        <v>31509.497359829093</v>
      </c>
      <c r="H126" s="118">
        <f>'Statistics NZ'!H$126*'Economic Forecasts'!J$9*1000000/SUM('Statistics NZ'!H$32:H$107,'Statistics NZ'!H$125:H$200)</f>
        <v>31696.219566230342</v>
      </c>
      <c r="I126" s="118">
        <f>'Statistics NZ'!I$126*'Economic Forecasts'!K$9*1000000/SUM('Statistics NZ'!I$32:I$107,'Statistics NZ'!I$125:I$200)</f>
        <v>31146.672100664815</v>
      </c>
      <c r="J126" s="203">
        <f>'Statistics NZ'!J$126*'Economic Forecasts'!L$9*1000000/SUM('Statistics NZ'!J$32:J$107,'Statistics NZ'!J$125:J$200)</f>
        <v>31362.535358971942</v>
      </c>
      <c r="K126" s="203">
        <f>'Statistics NZ'!K$126*'Economic Forecasts'!M$9*1000000/SUM('Statistics NZ'!K$32:K$107,'Statistics NZ'!K$125:K$200)</f>
        <v>31067.639599338188</v>
      </c>
      <c r="L126" s="203">
        <f>'Statistics NZ'!L$126*'Economic Forecasts'!N$9*1000000/SUM('Statistics NZ'!L$32:L$107,'Statistics NZ'!L$125:L$200)</f>
        <v>32274.601319609395</v>
      </c>
      <c r="M126" s="203">
        <f>'Statistics NZ'!M$126*'Economic Forecasts'!O$9*1000000/SUM('Statistics NZ'!M$32:M$107,'Statistics NZ'!M$125:M$200)</f>
        <v>32200.883753566435</v>
      </c>
      <c r="N126" s="203">
        <f>'Statistics NZ'!N$126*'Economic Forecasts'!P$9*1000000/SUM('Statistics NZ'!N$32:N$107,'Statistics NZ'!N$125:N$200)</f>
        <v>31381.803283663623</v>
      </c>
      <c r="O126" s="203">
        <f>'Statistics NZ'!O$126*'Economic Forecasts'!Q$9*1000000/SUM('Statistics NZ'!O$32:O$107,'Statistics NZ'!O$125:O$200)</f>
        <v>31835.664528252175</v>
      </c>
      <c r="P126" s="203">
        <f>'Statistics NZ'!P$126*'Economic Forecasts'!R$9*1000000/SUM('Statistics NZ'!P$32:P$107,'Statistics NZ'!P$125:P$200)</f>
        <v>31821.281845609526</v>
      </c>
      <c r="Q126" s="121">
        <f>SUM('Statistics NZ'!Q$126,$E$14/5*(Q$9-Q$10)*1000)*'Economic Forecasts'!S$9*1000000/SUM('Statistics NZ'!Q$32:Q$107,'Statistics NZ'!Q$125:Q$200,SUM($E$13:$Q$14)*(Q$9-Q$10)*1000)</f>
        <v>31594.995676032195</v>
      </c>
      <c r="R126" s="205">
        <f>SUM('Statistics NZ'!R$126,$E$14/5*(R$9-R$10)*1000)*'Economic Forecasts'!T$9*1000000/SUM('Statistics NZ'!R$32:R$107,'Statistics NZ'!R$125:R$200,SUM($E$13:$Q$14)*(R$9-R$10)*1000)</f>
        <v>32203.785933579955</v>
      </c>
      <c r="S126" s="205">
        <f>SUM('Statistics NZ'!S$126,$E$14/5*(S$9-S$10)*1000)*'Economic Forecasts'!U$9*1000000/SUM('Statistics NZ'!S$32:S$107,'Statistics NZ'!S$125:S$200,SUM($E$13:$Q$14)*(S$9-S$10)*1000)</f>
        <v>34020.159102089827</v>
      </c>
      <c r="T126" s="205">
        <f>SUM('Statistics NZ'!T$126,$E$14/5*(T$9-T$10)*1000)*'Economic Forecasts'!V$9*1000000/SUM('Statistics NZ'!T$32:T$107,'Statistics NZ'!T$125:T$200,SUM($E$13:$Q$14)*(T$9-T$10)*1000)</f>
        <v>35218.274499487918</v>
      </c>
      <c r="U126" s="205">
        <f>SUM('Statistics NZ'!U$126,$E$14/5*(U$9-U$10)*1000)*'Economic Forecasts'!W$9*1000000/SUM('Statistics NZ'!U$32:U$107,'Statistics NZ'!U$125:U$200,SUM($E$13:$Q$14)*(U$9-U$10)*1000)</f>
        <v>35971.226084902431</v>
      </c>
      <c r="V126" s="111">
        <f>SUM(U$126,'Statistics NZ'!V$126-'Statistics NZ'!U$126,$E$14/5*(V$9-V$10)*1000)</f>
        <v>36721.000832468271</v>
      </c>
      <c r="W126" s="111">
        <f>SUM(V$126,'Statistics NZ'!W$126-'Statistics NZ'!V$126,$E$14/5*(W$9-W$10)*1000)</f>
        <v>36667.053736588379</v>
      </c>
      <c r="X126" s="111">
        <f>SUM(W$126,'Statistics NZ'!X$126-'Statistics NZ'!W$126,$E$14/5*(X$9-X$10)*1000)</f>
        <v>36709.384797262755</v>
      </c>
      <c r="Y126" s="111">
        <f>SUM(X$126,'Statistics NZ'!Y$126-'Statistics NZ'!X$126,$E$14/5*(Y$9-Y$10)*1000)</f>
        <v>36577.994014491407</v>
      </c>
      <c r="Z126" s="111">
        <f>SUM(Y$126,'Statistics NZ'!Z$126-'Statistics NZ'!Y$126,$E$14/5*(Z$9-Z$10)*1000)</f>
        <v>36362.881388274327</v>
      </c>
      <c r="AA126" s="111">
        <f>SUM(Z$126,'Statistics NZ'!AA$126-'Statistics NZ'!Z$126,$E$14/5*(AA$9-AA$10)*1000)</f>
        <v>36384.046918611515</v>
      </c>
      <c r="AB126" s="111">
        <f>SUM(AA$126,'Statistics NZ'!AB$126-'Statistics NZ'!AA$126,$E$14/5*(AB$9-AB$10)*1000)</f>
        <v>36151.490605502971</v>
      </c>
      <c r="AC126" s="111">
        <f>SUM(AB$126,'Statistics NZ'!AC$126-'Statistics NZ'!AB$126,$E$14/5*(AC$9-AC$10)*1000)</f>
        <v>35945.212448948703</v>
      </c>
      <c r="AD126" s="111">
        <f>SUM(AC$126,'Statistics NZ'!AD$126-'Statistics NZ'!AC$126,$E$14/5*(AD$9-AD$10)*1000)</f>
        <v>35235.212448948703</v>
      </c>
      <c r="AE126" s="111">
        <f>SUM(AD$126,'Statistics NZ'!AE$126-'Statistics NZ'!AD$126,$E$14/5*(AE$9-AE$10)*1000)</f>
        <v>35215.212448948703</v>
      </c>
      <c r="AF126" s="111">
        <f>SUM(AE$126,'Statistics NZ'!AF$126-'Statistics NZ'!AE$126,$E$14/5*(AF$9-AF$10)*1000)</f>
        <v>34575.212448948703</v>
      </c>
      <c r="AG126" s="111">
        <f>SUM(AF$126,'Statistics NZ'!AG$126-'Statistics NZ'!AF$126,$E$14/5*(AG$9-AG$10)*1000)</f>
        <v>34385.212448948703</v>
      </c>
      <c r="AH126" s="111">
        <f>SUM(AG$126,'Statistics NZ'!AH$126-'Statistics NZ'!AG$126,$E$14/5*(AH$9-AH$10)*1000)</f>
        <v>34355.212448948703</v>
      </c>
      <c r="AI126" s="111">
        <f>SUM(AH$126,'Statistics NZ'!AI$126-'Statistics NZ'!AH$126,$E$14/5*(AI$9-AI$10)*1000)</f>
        <v>34295.212448948703</v>
      </c>
      <c r="AJ126" s="111">
        <f>SUM(AI$126,'Statistics NZ'!AJ$126-'Statistics NZ'!AI$126,$E$14/5*(AJ$9-AJ$10)*1000)</f>
        <v>34205.212448948703</v>
      </c>
      <c r="AK126" s="111">
        <f>SUM(AJ$126,'Statistics NZ'!AK$126-'Statistics NZ'!AJ$126,$E$14/5*(AK$9-AK$10)*1000)</f>
        <v>34325.212448948703</v>
      </c>
      <c r="AL126" s="111">
        <f>SUM(AK$126,'Statistics NZ'!AL$126-'Statistics NZ'!AK$126,$E$14/5*(AL$9-AL$10)*1000)</f>
        <v>34405.212448948703</v>
      </c>
      <c r="AM126" s="111">
        <f>SUM(AL$126,'Statistics NZ'!AM$126-'Statistics NZ'!AL$126,$E$14/5*(AM$9-AM$10)*1000)</f>
        <v>34465.212448948703</v>
      </c>
      <c r="AN126" s="111">
        <f>SUM(AM$126,'Statistics NZ'!AN$126-'Statistics NZ'!AM$126,$E$14/5*(AN$9-AN$10)*1000)</f>
        <v>34505.212448948703</v>
      </c>
      <c r="AO126" s="111">
        <f>SUM(AN$126,'Statistics NZ'!AO$126-'Statistics NZ'!AN$126,$E$14/5*(AO$9-AO$10)*1000)</f>
        <v>34525.212448948703</v>
      </c>
      <c r="AP126" s="111">
        <f>SUM(AO$126,'Statistics NZ'!AP$126-'Statistics NZ'!AO$126,$E$14/5*(AP$9-AP$10)*1000)</f>
        <v>34555.212448948703</v>
      </c>
      <c r="AQ126" s="111">
        <f>SUM(AP$126,'Statistics NZ'!AQ$126-'Statistics NZ'!AP$126,$E$14/5*(AQ$9-AQ$10)*1000)</f>
        <v>34585.212448948703</v>
      </c>
      <c r="AR126" s="111">
        <f>SUM(AQ$126,'Statistics NZ'!AR$126-'Statistics NZ'!AQ$126,$E$14/5*(AR$9-AR$10)*1000)</f>
        <v>34615.212448948703</v>
      </c>
      <c r="AS126" s="111">
        <f>SUM(AR$126,'Statistics NZ'!AS$126-'Statistics NZ'!AR$126,$E$14/5*(AS$9-AS$10)*1000)</f>
        <v>34665.212448948703</v>
      </c>
      <c r="AT126" s="111">
        <f>SUM(AS$126,'Statistics NZ'!AT$126-'Statistics NZ'!AS$126,$E$14/5*(AT$9-AT$10)*1000)</f>
        <v>34735.212448948703</v>
      </c>
      <c r="AU126" s="111">
        <f>SUM(AT$126,'Statistics NZ'!AU$126-'Statistics NZ'!AT$126,$E$14/5*(AU$9-AU$10)*1000)</f>
        <v>34825.212448948703</v>
      </c>
      <c r="AV126" s="111">
        <f>SUM(AU$126,'Statistics NZ'!AV$126-'Statistics NZ'!AU$126,$E$14/5*(AV$9-AV$10)*1000)</f>
        <v>34945.212448948703</v>
      </c>
      <c r="AW126" s="111">
        <f>SUM(AV$126,'Statistics NZ'!AW$126-'Statistics NZ'!AV$126,$E$14/5*(AW$9-AW$10)*1000)</f>
        <v>35085.212448948703</v>
      </c>
      <c r="AX126" s="111">
        <f>SUM(AW$126,'Statistics NZ'!AX$126-'Statistics NZ'!AW$126,$E$14/5*(AX$9-AX$10)*1000)</f>
        <v>35235.212448948703</v>
      </c>
      <c r="AY126" s="111">
        <f>SUM(AX$126,'Statistics NZ'!AY$126-'Statistics NZ'!AX$126,$E$14/5*(AY$9-AY$10)*1000)</f>
        <v>35405.212448948703</v>
      </c>
      <c r="AZ126" s="111">
        <f>SUM(AY$126,'Statistics NZ'!AZ$126-'Statistics NZ'!AY$126,$E$14/5*(AZ$9-AZ$10)*1000)</f>
        <v>35575.212448948703</v>
      </c>
      <c r="BA126" s="111">
        <f>SUM(AZ$126,'Statistics NZ'!BA$126-'Statistics NZ'!AZ$126,$E$14/5*(BA$9-BA$10)*1000)</f>
        <v>35725.212448948703</v>
      </c>
      <c r="BB126" s="111">
        <f>SUM(BA$126,'Statistics NZ'!BB$126-'Statistics NZ'!BA$126,$E$14/5*(BB$9-BB$10)*1000)</f>
        <v>35855.212448948703</v>
      </c>
      <c r="BC126" s="111">
        <f>SUM(BB$126,'Statistics NZ'!BC$126-'Statistics NZ'!BB$126,$E$14/5*(BC$9-BC$10)*1000)</f>
        <v>35955.212448948703</v>
      </c>
      <c r="BD126" s="111">
        <f>SUM(BC$126,'Statistics NZ'!BD$126-'Statistics NZ'!BC$126,$E$14/5*(BD$9-BD$10)*1000)</f>
        <v>36025.212448948703</v>
      </c>
      <c r="BE126" s="111">
        <f>SUM(BD$126,'Statistics NZ'!BE$126-'Statistics NZ'!BD$126,$E$14/5*(BE$9-BE$10)*1000)</f>
        <v>36055.212448948703</v>
      </c>
      <c r="BF126" s="111">
        <f>SUM(BE$126,'Statistics NZ'!BF$126-'Statistics NZ'!BE$126,$E$14/5*(BF$9-BF$10)*1000)</f>
        <v>36055.212448948703</v>
      </c>
      <c r="BG126" s="111">
        <f>SUM(BF$126,'Statistics NZ'!BG$126-'Statistics NZ'!BF$126,$E$14/5*(BG$9-BG$10)*1000)</f>
        <v>36025.212448948703</v>
      </c>
      <c r="BH126" s="111">
        <f>SUM(BG$126,'Statistics NZ'!BH$126-'Statistics NZ'!BG$126,$E$14/5*(BH$9-BH$10)*1000)</f>
        <v>35965.212448948703</v>
      </c>
      <c r="BI126" s="111">
        <f>SUM(BH$126,'Statistics NZ'!BI$126-'Statistics NZ'!BH$126,$E$14/5*(BI$9-BI$10)*1000)</f>
        <v>35885.212448948703</v>
      </c>
      <c r="BJ126" s="111">
        <f>SUM(BI$126,'Statistics NZ'!BJ$126-'Statistics NZ'!BI$126,$E$14/5*(BJ$9-BJ$10)*1000)</f>
        <v>35785.212448948703</v>
      </c>
      <c r="BK126" s="111">
        <f>SUM(BJ$126,'Statistics NZ'!BK$126-'Statistics NZ'!BJ$126,$E$14/5*(BK$9-BK$10)*1000)</f>
        <v>35685.212448948703</v>
      </c>
      <c r="BL126" s="111">
        <f>SUM(BK$126,'Statistics NZ'!BL$126-'Statistics NZ'!BK$126,$E$14/5*(BL$9-BL$10)*1000)</f>
        <v>35575.212448948703</v>
      </c>
      <c r="BM126" s="195">
        <f>SUM(BL$126,'Statistics NZ'!BM$126-'Statistics NZ'!BL$126,$E$14/5*(BM$9-BM$10)*1000)</f>
        <v>35475.212448948703</v>
      </c>
      <c r="BN126" s="195">
        <f>SUM(BM$126,'Statistics NZ'!BN$126-'Statistics NZ'!BM$126,$E$14/5*(BN$9-BN$10)*1000)</f>
        <v>35385.212448948703</v>
      </c>
      <c r="BO126" s="195">
        <f>SUM(BN$126,'Statistics NZ'!BO$126-'Statistics NZ'!BN$126,$E$14/5*(BO$9-BO$10)*1000)</f>
        <v>35315.212448948703</v>
      </c>
      <c r="BP126" s="195">
        <f>SUM(BO$126,'Statistics NZ'!BP$126-'Statistics NZ'!BO$126,$E$14/5*(BP$9-BP$10)*1000)</f>
        <v>35255.212448948703</v>
      </c>
      <c r="BQ126" s="195">
        <f>SUM(BP$126,'Statistics NZ'!BQ$126-'Statistics NZ'!BP$126,$E$14/5*(BQ$9-BQ$10)*1000)</f>
        <v>35215.212448948703</v>
      </c>
    </row>
    <row r="127" spans="1:69">
      <c r="A127" s="105">
        <f>$A$34</f>
        <v>17</v>
      </c>
      <c r="B127" s="118">
        <f>'Statistics NZ'!B$127*'Economic Forecasts'!D$9*1000000/SUM('Statistics NZ'!B$32:B$107,'Statistics NZ'!B$125:B$200)</f>
        <v>31345.642292010481</v>
      </c>
      <c r="C127" s="118">
        <f>'Statistics NZ'!C$127*'Economic Forecasts'!E$9*1000000/SUM('Statistics NZ'!C$32:C$107,'Statistics NZ'!C$125:C$200)</f>
        <v>31803.189199894376</v>
      </c>
      <c r="D127" s="118">
        <f>'Statistics NZ'!D$127*'Economic Forecasts'!F$9*1000000/SUM('Statistics NZ'!D$32:D$107,'Statistics NZ'!D$125:D$200)</f>
        <v>32682.841533303214</v>
      </c>
      <c r="E127" s="118">
        <f>'Statistics NZ'!E$127*'Economic Forecasts'!G$9*1000000/SUM('Statistics NZ'!E$32:E$107,'Statistics NZ'!E$125:E$200)</f>
        <v>31692.488747379775</v>
      </c>
      <c r="F127" s="118">
        <f>'Statistics NZ'!F$127*'Economic Forecasts'!H$9*1000000/SUM('Statistics NZ'!F$32:F$107,'Statistics NZ'!F$125:F$200)</f>
        <v>31732.070453997498</v>
      </c>
      <c r="G127" s="118">
        <f>'Statistics NZ'!G$127*'Economic Forecasts'!I$9*1000000/SUM('Statistics NZ'!G$32:G$107,'Statistics NZ'!G$125:G$200)</f>
        <v>31332.145592325367</v>
      </c>
      <c r="H127" s="118">
        <f>'Statistics NZ'!H$127*'Economic Forecasts'!J$9*1000000/SUM('Statistics NZ'!H$32:H$107,'Statistics NZ'!H$125:H$200)</f>
        <v>31637.121580712206</v>
      </c>
      <c r="I127" s="118">
        <f>'Statistics NZ'!I$127*'Economic Forecasts'!K$9*1000000/SUM('Statistics NZ'!I$32:I$107,'Statistics NZ'!I$125:I$200)</f>
        <v>31914.267811202524</v>
      </c>
      <c r="J127" s="203">
        <f>'Statistics NZ'!J$127*'Economic Forecasts'!L$9*1000000/SUM('Statistics NZ'!J$32:J$107,'Statistics NZ'!J$125:J$200)</f>
        <v>31431.334402379274</v>
      </c>
      <c r="K127" s="203">
        <f>'Statistics NZ'!K$127*'Economic Forecasts'!M$9*1000000/SUM('Statistics NZ'!K$32:K$107,'Statistics NZ'!K$125:K$200)</f>
        <v>31784.887445875724</v>
      </c>
      <c r="L127" s="203">
        <f>'Statistics NZ'!L$127*'Economic Forecasts'!N$9*1000000/SUM('Statistics NZ'!L$32:L$107,'Statistics NZ'!L$125:L$200)</f>
        <v>31663.974135655844</v>
      </c>
      <c r="M127" s="203">
        <f>'Statistics NZ'!M$127*'Economic Forecasts'!O$9*1000000/SUM('Statistics NZ'!M$32:M$107,'Statistics NZ'!M$125:M$200)</f>
        <v>32752.504888531173</v>
      </c>
      <c r="N127" s="203">
        <f>'Statistics NZ'!N$127*'Economic Forecasts'!P$9*1000000/SUM('Statistics NZ'!N$32:N$107,'Statistics NZ'!N$125:N$200)</f>
        <v>32802.866073867255</v>
      </c>
      <c r="O127" s="203">
        <f>'Statistics NZ'!O$127*'Economic Forecasts'!Q$9*1000000/SUM('Statistics NZ'!O$32:O$107,'Statistics NZ'!O$125:O$200)</f>
        <v>31746.848353188856</v>
      </c>
      <c r="P127" s="203">
        <f>'Statistics NZ'!P$127*'Economic Forecasts'!R$9*1000000/SUM('Statistics NZ'!P$32:P$107,'Statistics NZ'!P$125:P$200)</f>
        <v>32176.716579224772</v>
      </c>
      <c r="Q127" s="121">
        <f>SUM('Statistics NZ'!Q$127,$E$14/5*(Q$9-Q$10)*1000)*'Economic Forecasts'!S$9*1000000/SUM('Statistics NZ'!Q$32:Q$107,'Statistics NZ'!Q$125:Q$200,SUM($E$13:$Q$14)*(Q$9-Q$10)*1000)</f>
        <v>31911.361216015965</v>
      </c>
      <c r="R127" s="205">
        <f>SUM('Statistics NZ'!R$127,$E$14/5*(R$9-R$10)*1000)*'Economic Forecasts'!T$9*1000000/SUM('Statistics NZ'!R$32:R$107,'Statistics NZ'!R$125:R$200,SUM($E$13:$Q$14)*(R$9-R$10)*1000)</f>
        <v>31808.378769369563</v>
      </c>
      <c r="S127" s="205">
        <f>SUM('Statistics NZ'!S$127,$E$14/5*(S$9-S$10)*1000)*'Economic Forecasts'!U$9*1000000/SUM('Statistics NZ'!S$32:S$107,'Statistics NZ'!S$125:S$200,SUM($E$13:$Q$14)*(S$9-S$10)*1000)</f>
        <v>32557.934492737102</v>
      </c>
      <c r="T127" s="205">
        <f>SUM('Statistics NZ'!T$127,$E$14/5*(T$9-T$10)*1000)*'Economic Forecasts'!V$9*1000000/SUM('Statistics NZ'!T$32:T$107,'Statistics NZ'!T$125:T$200,SUM($E$13:$Q$14)*(T$9-T$10)*1000)</f>
        <v>34665.034579256142</v>
      </c>
      <c r="U127" s="205">
        <f>SUM('Statistics NZ'!U$127,$E$14/5*(U$9-U$10)*1000)*'Economic Forecasts'!W$9*1000000/SUM('Statistics NZ'!U$32:U$107,'Statistics NZ'!U$125:U$200,SUM($E$13:$Q$14)*(U$9-U$10)*1000)</f>
        <v>35911.87333372538</v>
      </c>
      <c r="V127" s="111">
        <f>SUM(U$127,'Statistics NZ'!V$127-'Statistics NZ'!U$127,$E$14/5*(V$9-V$10)*1000)</f>
        <v>36751.64808129122</v>
      </c>
      <c r="W127" s="111">
        <f>SUM(V$127,'Statistics NZ'!W$127-'Statistics NZ'!V$127,$E$14/5*(W$9-W$10)*1000)</f>
        <v>37477.700985411328</v>
      </c>
      <c r="X127" s="111">
        <f>SUM(W$127,'Statistics NZ'!X$127-'Statistics NZ'!W$127,$E$14/5*(X$9-X$10)*1000)</f>
        <v>37380.032046085704</v>
      </c>
      <c r="Y127" s="111">
        <f>SUM(X$127,'Statistics NZ'!Y$127-'Statistics NZ'!X$127,$E$14/5*(Y$9-Y$10)*1000)</f>
        <v>37388.641263314355</v>
      </c>
      <c r="Z127" s="111">
        <f>SUM(Y$127,'Statistics NZ'!Z$127-'Statistics NZ'!Y$127,$E$14/5*(Z$9-Z$10)*1000)</f>
        <v>37233.528637097275</v>
      </c>
      <c r="AA127" s="111">
        <f>SUM(Z$127,'Statistics NZ'!AA$127-'Statistics NZ'!Z$127,$E$14/5*(AA$9-AA$10)*1000)</f>
        <v>36974.694167434463</v>
      </c>
      <c r="AB127" s="111">
        <f>SUM(AA$127,'Statistics NZ'!AB$127-'Statistics NZ'!AA$127,$E$14/5*(AB$9-AB$10)*1000)</f>
        <v>36972.13785432592</v>
      </c>
      <c r="AC127" s="111">
        <f>SUM(AB$127,'Statistics NZ'!AC$127-'Statistics NZ'!AB$127,$E$14/5*(AC$9-AC$10)*1000)</f>
        <v>36695.859697771652</v>
      </c>
      <c r="AD127" s="111">
        <f>SUM(AC$127,'Statistics NZ'!AD$127-'Statistics NZ'!AC$127,$E$14/5*(AD$9-AD$10)*1000)</f>
        <v>36455.859697771652</v>
      </c>
      <c r="AE127" s="111">
        <f>SUM(AD$127,'Statistics NZ'!AE$127-'Statistics NZ'!AD$127,$E$14/5*(AE$9-AE$10)*1000)</f>
        <v>35755.859697771652</v>
      </c>
      <c r="AF127" s="111">
        <f>SUM(AE$127,'Statistics NZ'!AF$127-'Statistics NZ'!AE$127,$E$14/5*(AF$9-AF$10)*1000)</f>
        <v>35725.859697771652</v>
      </c>
      <c r="AG127" s="111">
        <f>SUM(AF$127,'Statistics NZ'!AG$127-'Statistics NZ'!AF$127,$E$14/5*(AG$9-AG$10)*1000)</f>
        <v>35085.859697771652</v>
      </c>
      <c r="AH127" s="111">
        <f>SUM(AG$127,'Statistics NZ'!AH$127-'Statistics NZ'!AG$127,$E$14/5*(AH$9-AH$10)*1000)</f>
        <v>34905.859697771652</v>
      </c>
      <c r="AI127" s="111">
        <f>SUM(AH$127,'Statistics NZ'!AI$127-'Statistics NZ'!AH$127,$E$14/5*(AI$9-AI$10)*1000)</f>
        <v>34875.859697771652</v>
      </c>
      <c r="AJ127" s="111">
        <f>SUM(AI$127,'Statistics NZ'!AJ$127-'Statistics NZ'!AI$127,$E$14/5*(AJ$9-AJ$10)*1000)</f>
        <v>34805.859697771652</v>
      </c>
      <c r="AK127" s="111">
        <f>SUM(AJ$127,'Statistics NZ'!AK$127-'Statistics NZ'!AJ$127,$E$14/5*(AK$9-AK$10)*1000)</f>
        <v>34715.859697771652</v>
      </c>
      <c r="AL127" s="111">
        <f>SUM(AK$127,'Statistics NZ'!AL$127-'Statistics NZ'!AK$127,$E$14/5*(AL$9-AL$10)*1000)</f>
        <v>34845.859697771652</v>
      </c>
      <c r="AM127" s="111">
        <f>SUM(AL$127,'Statistics NZ'!AM$127-'Statistics NZ'!AL$127,$E$14/5*(AM$9-AM$10)*1000)</f>
        <v>34925.859697771652</v>
      </c>
      <c r="AN127" s="111">
        <f>SUM(AM$127,'Statistics NZ'!AN$127-'Statistics NZ'!AM$127,$E$14/5*(AN$9-AN$10)*1000)</f>
        <v>34985.859697771652</v>
      </c>
      <c r="AO127" s="111">
        <f>SUM(AN$127,'Statistics NZ'!AO$127-'Statistics NZ'!AN$127,$E$14/5*(AO$9-AO$10)*1000)</f>
        <v>35025.859697771652</v>
      </c>
      <c r="AP127" s="111">
        <f>SUM(AO$127,'Statistics NZ'!AP$127-'Statistics NZ'!AO$127,$E$14/5*(AP$9-AP$10)*1000)</f>
        <v>35045.859697771652</v>
      </c>
      <c r="AQ127" s="111">
        <f>SUM(AP$127,'Statistics NZ'!AQ$127-'Statistics NZ'!AP$127,$E$14/5*(AQ$9-AQ$10)*1000)</f>
        <v>35075.859697771652</v>
      </c>
      <c r="AR127" s="111">
        <f>SUM(AQ$127,'Statistics NZ'!AR$127-'Statistics NZ'!AQ$127,$E$14/5*(AR$9-AR$10)*1000)</f>
        <v>35105.859697771652</v>
      </c>
      <c r="AS127" s="111">
        <f>SUM(AR$127,'Statistics NZ'!AS$127-'Statistics NZ'!AR$127,$E$14/5*(AS$9-AS$10)*1000)</f>
        <v>35135.859697771652</v>
      </c>
      <c r="AT127" s="111">
        <f>SUM(AS$127,'Statistics NZ'!AT$127-'Statistics NZ'!AS$127,$E$14/5*(AT$9-AT$10)*1000)</f>
        <v>35185.859697771652</v>
      </c>
      <c r="AU127" s="111">
        <f>SUM(AT$127,'Statistics NZ'!AU$127-'Statistics NZ'!AT$127,$E$14/5*(AU$9-AU$10)*1000)</f>
        <v>35255.859697771652</v>
      </c>
      <c r="AV127" s="111">
        <f>SUM(AU$127,'Statistics NZ'!AV$127-'Statistics NZ'!AU$127,$E$14/5*(AV$9-AV$10)*1000)</f>
        <v>35345.859697771652</v>
      </c>
      <c r="AW127" s="111">
        <f>SUM(AV$127,'Statistics NZ'!AW$127-'Statistics NZ'!AV$127,$E$14/5*(AW$9-AW$10)*1000)</f>
        <v>35465.859697771652</v>
      </c>
      <c r="AX127" s="111">
        <f>SUM(AW$127,'Statistics NZ'!AX$127-'Statistics NZ'!AW$127,$E$14/5*(AX$9-AX$10)*1000)</f>
        <v>35605.859697771652</v>
      </c>
      <c r="AY127" s="111">
        <f>SUM(AX$127,'Statistics NZ'!AY$127-'Statistics NZ'!AX$127,$E$14/5*(AY$9-AY$10)*1000)</f>
        <v>35765.859697771652</v>
      </c>
      <c r="AZ127" s="111">
        <f>SUM(AY$127,'Statistics NZ'!AZ$127-'Statistics NZ'!AY$127,$E$14/5*(AZ$9-AZ$10)*1000)</f>
        <v>35925.859697771652</v>
      </c>
      <c r="BA127" s="111">
        <f>SUM(AZ$127,'Statistics NZ'!BA$127-'Statistics NZ'!AZ$127,$E$14/5*(BA$9-BA$10)*1000)</f>
        <v>36095.859697771652</v>
      </c>
      <c r="BB127" s="111">
        <f>SUM(BA$127,'Statistics NZ'!BB$127-'Statistics NZ'!BA$127,$E$14/5*(BB$9-BB$10)*1000)</f>
        <v>36245.859697771652</v>
      </c>
      <c r="BC127" s="111">
        <f>SUM(BB$127,'Statistics NZ'!BC$127-'Statistics NZ'!BB$127,$E$14/5*(BC$9-BC$10)*1000)</f>
        <v>36375.859697771652</v>
      </c>
      <c r="BD127" s="111">
        <f>SUM(BC$127,'Statistics NZ'!BD$127-'Statistics NZ'!BC$127,$E$14/5*(BD$9-BD$10)*1000)</f>
        <v>36475.859697771652</v>
      </c>
      <c r="BE127" s="111">
        <f>SUM(BD$127,'Statistics NZ'!BE$127-'Statistics NZ'!BD$127,$E$14/5*(BE$9-BE$10)*1000)</f>
        <v>36545.859697771652</v>
      </c>
      <c r="BF127" s="111">
        <f>SUM(BE$127,'Statistics NZ'!BF$127-'Statistics NZ'!BE$127,$E$14/5*(BF$9-BF$10)*1000)</f>
        <v>36575.859697771652</v>
      </c>
      <c r="BG127" s="111">
        <f>SUM(BF$127,'Statistics NZ'!BG$127-'Statistics NZ'!BF$127,$E$14/5*(BG$9-BG$10)*1000)</f>
        <v>36575.859697771652</v>
      </c>
      <c r="BH127" s="111">
        <f>SUM(BG$127,'Statistics NZ'!BH$127-'Statistics NZ'!BG$127,$E$14/5*(BH$9-BH$10)*1000)</f>
        <v>36545.859697771652</v>
      </c>
      <c r="BI127" s="111">
        <f>SUM(BH$127,'Statistics NZ'!BI$127-'Statistics NZ'!BH$127,$E$14/5*(BI$9-BI$10)*1000)</f>
        <v>36485.859697771652</v>
      </c>
      <c r="BJ127" s="111">
        <f>SUM(BI$127,'Statistics NZ'!BJ$127-'Statistics NZ'!BI$127,$E$14/5*(BJ$9-BJ$10)*1000)</f>
        <v>36405.859697771652</v>
      </c>
      <c r="BK127" s="111">
        <f>SUM(BJ$127,'Statistics NZ'!BK$127-'Statistics NZ'!BJ$127,$E$14/5*(BK$9-BK$10)*1000)</f>
        <v>36315.859697771652</v>
      </c>
      <c r="BL127" s="111">
        <f>SUM(BK$127,'Statistics NZ'!BL$127-'Statistics NZ'!BK$127,$E$14/5*(BL$9-BL$10)*1000)</f>
        <v>36205.859697771652</v>
      </c>
      <c r="BM127" s="195">
        <f>SUM(BL$127,'Statistics NZ'!BM$127-'Statistics NZ'!BL$127,$E$14/5*(BM$9-BM$10)*1000)</f>
        <v>36105.859697771652</v>
      </c>
      <c r="BN127" s="195">
        <f>SUM(BM$127,'Statistics NZ'!BN$127-'Statistics NZ'!BM$127,$E$14/5*(BN$9-BN$10)*1000)</f>
        <v>36005.859697771652</v>
      </c>
      <c r="BO127" s="195">
        <f>SUM(BN$127,'Statistics NZ'!BO$127-'Statistics NZ'!BN$127,$E$14/5*(BO$9-BO$10)*1000)</f>
        <v>35915.859697771652</v>
      </c>
      <c r="BP127" s="195">
        <f>SUM(BO$127,'Statistics NZ'!BP$127-'Statistics NZ'!BO$127,$E$14/5*(BP$9-BP$10)*1000)</f>
        <v>35835.859697771652</v>
      </c>
      <c r="BQ127" s="195">
        <f>SUM(BP$127,'Statistics NZ'!BQ$127-'Statistics NZ'!BP$127,$E$14/5*(BQ$9-BQ$10)*1000)</f>
        <v>35785.859697771652</v>
      </c>
    </row>
    <row r="128" spans="1:69">
      <c r="A128" s="105">
        <f>$A$35</f>
        <v>18</v>
      </c>
      <c r="B128" s="118">
        <f>'Statistics NZ'!B$128*'Economic Forecasts'!D$9*1000000/SUM('Statistics NZ'!B$32:B$107,'Statistics NZ'!B$125:B$200)</f>
        <v>30675.779414619941</v>
      </c>
      <c r="C128" s="118">
        <f>'Statistics NZ'!C$128*'Economic Forecasts'!E$9*1000000/SUM('Statistics NZ'!C$32:C$107,'Statistics NZ'!C$125:C$200)</f>
        <v>30925.79185371006</v>
      </c>
      <c r="D128" s="118">
        <f>'Statistics NZ'!D$128*'Economic Forecasts'!F$9*1000000/SUM('Statistics NZ'!D$32:D$107,'Statistics NZ'!D$125:D$200)</f>
        <v>31312.843049247378</v>
      </c>
      <c r="E128" s="118">
        <f>'Statistics NZ'!E$128*'Economic Forecasts'!G$9*1000000/SUM('Statistics NZ'!E$32:E$107,'Statistics NZ'!E$125:E$200)</f>
        <v>32283.399040991582</v>
      </c>
      <c r="F128" s="118">
        <f>'Statistics NZ'!F$128*'Economic Forecasts'!H$9*1000000/SUM('Statistics NZ'!F$32:F$107,'Statistics NZ'!F$125:F$200)</f>
        <v>31653.257487952174</v>
      </c>
      <c r="G128" s="118">
        <f>'Statistics NZ'!G$128*'Economic Forecasts'!I$9*1000000/SUM('Statistics NZ'!G$32:G$107,'Statistics NZ'!G$125:G$200)</f>
        <v>31667.143375387965</v>
      </c>
      <c r="H128" s="118">
        <f>'Statistics NZ'!H$128*'Economic Forecasts'!J$9*1000000/SUM('Statistics NZ'!H$32:H$107,'Statistics NZ'!H$125:H$200)</f>
        <v>31282.533667603348</v>
      </c>
      <c r="I128" s="118">
        <f>'Statistics NZ'!I$128*'Economic Forecasts'!K$9*1000000/SUM('Statistics NZ'!I$32:I$107,'Statistics NZ'!I$125:I$200)</f>
        <v>31648.561603708702</v>
      </c>
      <c r="J128" s="203">
        <f>'Statistics NZ'!J$128*'Economic Forecasts'!L$9*1000000/SUM('Statistics NZ'!J$32:J$107,'Statistics NZ'!J$125:J$200)</f>
        <v>32306.065097129667</v>
      </c>
      <c r="K128" s="203">
        <f>'Statistics NZ'!K$128*'Economic Forecasts'!M$9*1000000/SUM('Statistics NZ'!K$32:K$107,'Statistics NZ'!K$125:K$200)</f>
        <v>32050.170895964948</v>
      </c>
      <c r="L128" s="203">
        <f>'Statistics NZ'!L$128*'Economic Forecasts'!N$9*1000000/SUM('Statistics NZ'!L$32:L$107,'Statistics NZ'!L$125:L$200)</f>
        <v>32412.484877276325</v>
      </c>
      <c r="M128" s="203">
        <f>'Statistics NZ'!M$128*'Economic Forecasts'!O$9*1000000/SUM('Statistics NZ'!M$32:M$107,'Statistics NZ'!M$125:M$200)</f>
        <v>31954.62431831432</v>
      </c>
      <c r="N128" s="203">
        <f>'Statistics NZ'!N$128*'Economic Forecasts'!P$9*1000000/SUM('Statistics NZ'!N$32:N$107,'Statistics NZ'!N$125:N$200)</f>
        <v>33000.235905839982</v>
      </c>
      <c r="O128" s="203">
        <f>'Statistics NZ'!O$128*'Economic Forecasts'!Q$9*1000000/SUM('Statistics NZ'!O$32:O$107,'Statistics NZ'!O$125:O$200)</f>
        <v>33000.143267971252</v>
      </c>
      <c r="P128" s="203">
        <f>'Statistics NZ'!P$128*'Economic Forecasts'!R$9*1000000/SUM('Statistics NZ'!P$32:P$107,'Statistics NZ'!P$125:P$200)</f>
        <v>32058.238334686353</v>
      </c>
      <c r="Q128" s="121">
        <f>SUM('Statistics NZ'!Q$128,$E$14/5*(Q$9-Q$10)*1000)*'Economic Forecasts'!S$9*1000000/SUM('Statistics NZ'!Q$32:Q$107,'Statistics NZ'!Q$125:Q$200,SUM($E$13:$Q$14)*(Q$9-Q$10)*1000)</f>
        <v>32287.045294746684</v>
      </c>
      <c r="R128" s="205">
        <f>SUM('Statistics NZ'!R$128,$E$14/5*(R$9-R$10)*1000)*'Economic Forecasts'!T$9*1000000/SUM('Statistics NZ'!R$32:R$107,'Statistics NZ'!R$125:R$200,SUM($E$13:$Q$14)*(R$9-R$10)*1000)</f>
        <v>32213.671112685217</v>
      </c>
      <c r="S128" s="205">
        <f>SUM('Statistics NZ'!S$128,$E$14/5*(S$9-S$10)*1000)*'Economic Forecasts'!U$9*1000000/SUM('Statistics NZ'!S$32:S$107,'Statistics NZ'!S$125:S$200,SUM($E$13:$Q$14)*(S$9-S$10)*1000)</f>
        <v>32291.177300490319</v>
      </c>
      <c r="T128" s="205">
        <f>SUM('Statistics NZ'!T$128,$E$14/5*(T$9-T$10)*1000)*'Economic Forecasts'!V$9*1000000/SUM('Statistics NZ'!T$32:T$107,'Statistics NZ'!T$125:T$200,SUM($E$13:$Q$14)*(T$9-T$10)*1000)</f>
        <v>33440.003327314371</v>
      </c>
      <c r="U128" s="205">
        <f>SUM('Statistics NZ'!U$128,$E$14/5*(U$9-U$10)*1000)*'Economic Forecasts'!W$9*1000000/SUM('Statistics NZ'!U$32:U$107,'Statistics NZ'!U$125:U$200,SUM($E$13:$Q$14)*(U$9-U$10)*1000)</f>
        <v>35585.433202251559</v>
      </c>
      <c r="V128" s="111">
        <f>SUM(U$128,'Statistics NZ'!V$128-'Statistics NZ'!U$128,$E$14/5*(V$9-V$10)*1000)</f>
        <v>36935.207949817399</v>
      </c>
      <c r="W128" s="111">
        <f>SUM(V$128,'Statistics NZ'!W$128-'Statistics NZ'!V$128,$E$14/5*(W$9-W$10)*1000)</f>
        <v>37751.260853937507</v>
      </c>
      <c r="X128" s="111">
        <f>SUM(W$128,'Statistics NZ'!X$128-'Statistics NZ'!W$128,$E$14/5*(X$9-X$10)*1000)</f>
        <v>38433.591914611883</v>
      </c>
      <c r="Y128" s="111">
        <f>SUM(X$128,'Statistics NZ'!Y$128-'Statistics NZ'!X$128,$E$14/5*(Y$9-Y$10)*1000)</f>
        <v>38312.201131840535</v>
      </c>
      <c r="Z128" s="111">
        <f>SUM(Y$128,'Statistics NZ'!Z$128-'Statistics NZ'!Y$128,$E$14/5*(Z$9-Z$10)*1000)</f>
        <v>38287.088505623455</v>
      </c>
      <c r="AA128" s="111">
        <f>SUM(Z$128,'Statistics NZ'!AA$128-'Statistics NZ'!Z$128,$E$14/5*(AA$9-AA$10)*1000)</f>
        <v>38098.254035960643</v>
      </c>
      <c r="AB128" s="111">
        <f>SUM(AA$128,'Statistics NZ'!AB$128-'Statistics NZ'!AA$128,$E$14/5*(AB$9-AB$10)*1000)</f>
        <v>37805.697722852099</v>
      </c>
      <c r="AC128" s="111">
        <f>SUM(AB$128,'Statistics NZ'!AC$128-'Statistics NZ'!AB$128,$E$14/5*(AC$9-AC$10)*1000)</f>
        <v>37769.419566297831</v>
      </c>
      <c r="AD128" s="111">
        <f>SUM(AC$128,'Statistics NZ'!AD$128-'Statistics NZ'!AC$128,$E$14/5*(AD$9-AD$10)*1000)</f>
        <v>37459.419566297831</v>
      </c>
      <c r="AE128" s="111">
        <f>SUM(AD$128,'Statistics NZ'!AE$128-'Statistics NZ'!AD$128,$E$14/5*(AE$9-AE$10)*1000)</f>
        <v>37219.419566297831</v>
      </c>
      <c r="AF128" s="111">
        <f>SUM(AE$128,'Statistics NZ'!AF$128-'Statistics NZ'!AE$128,$E$14/5*(AF$9-AF$10)*1000)</f>
        <v>36519.419566297831</v>
      </c>
      <c r="AG128" s="111">
        <f>SUM(AF$128,'Statistics NZ'!AG$128-'Statistics NZ'!AF$128,$E$14/5*(AG$9-AG$10)*1000)</f>
        <v>36489.419566297831</v>
      </c>
      <c r="AH128" s="111">
        <f>SUM(AG$128,'Statistics NZ'!AH$128-'Statistics NZ'!AG$128,$E$14/5*(AH$9-AH$10)*1000)</f>
        <v>35859.419566297831</v>
      </c>
      <c r="AI128" s="111">
        <f>SUM(AH$128,'Statistics NZ'!AI$128-'Statistics NZ'!AH$128,$E$14/5*(AI$9-AI$10)*1000)</f>
        <v>35669.419566297831</v>
      </c>
      <c r="AJ128" s="111">
        <f>SUM(AI$128,'Statistics NZ'!AJ$128-'Statistics NZ'!AI$128,$E$14/5*(AJ$9-AJ$10)*1000)</f>
        <v>35639.419566297831</v>
      </c>
      <c r="AK128" s="111">
        <f>SUM(AJ$128,'Statistics NZ'!AK$128-'Statistics NZ'!AJ$128,$E$14/5*(AK$9-AK$10)*1000)</f>
        <v>35579.419566297831</v>
      </c>
      <c r="AL128" s="111">
        <f>SUM(AK$128,'Statistics NZ'!AL$128-'Statistics NZ'!AK$128,$E$14/5*(AL$9-AL$10)*1000)</f>
        <v>35489.419566297831</v>
      </c>
      <c r="AM128" s="111">
        <f>SUM(AL$128,'Statistics NZ'!AM$128-'Statistics NZ'!AL$128,$E$14/5*(AM$9-AM$10)*1000)</f>
        <v>35609.419566297831</v>
      </c>
      <c r="AN128" s="111">
        <f>SUM(AM$128,'Statistics NZ'!AN$128-'Statistics NZ'!AM$128,$E$14/5*(AN$9-AN$10)*1000)</f>
        <v>35689.419566297831</v>
      </c>
      <c r="AO128" s="111">
        <f>SUM(AN$128,'Statistics NZ'!AO$128-'Statistics NZ'!AN$128,$E$14/5*(AO$9-AO$10)*1000)</f>
        <v>35749.419566297831</v>
      </c>
      <c r="AP128" s="111">
        <f>SUM(AO$128,'Statistics NZ'!AP$128-'Statistics NZ'!AO$128,$E$14/5*(AP$9-AP$10)*1000)</f>
        <v>35789.419566297831</v>
      </c>
      <c r="AQ128" s="111">
        <f>SUM(AP$128,'Statistics NZ'!AQ$128-'Statistics NZ'!AP$128,$E$14/5*(AQ$9-AQ$10)*1000)</f>
        <v>35819.419566297831</v>
      </c>
      <c r="AR128" s="111">
        <f>SUM(AQ$128,'Statistics NZ'!AR$128-'Statistics NZ'!AQ$128,$E$14/5*(AR$9-AR$10)*1000)</f>
        <v>35839.419566297831</v>
      </c>
      <c r="AS128" s="111">
        <f>SUM(AR$128,'Statistics NZ'!AS$128-'Statistics NZ'!AR$128,$E$14/5*(AS$9-AS$10)*1000)</f>
        <v>35869.419566297831</v>
      </c>
      <c r="AT128" s="111">
        <f>SUM(AS$128,'Statistics NZ'!AT$128-'Statistics NZ'!AS$128,$E$14/5*(AT$9-AT$10)*1000)</f>
        <v>35909.419566297831</v>
      </c>
      <c r="AU128" s="111">
        <f>SUM(AT$128,'Statistics NZ'!AU$128-'Statistics NZ'!AT$128,$E$14/5*(AU$9-AU$10)*1000)</f>
        <v>35949.419566297831</v>
      </c>
      <c r="AV128" s="111">
        <f>SUM(AU$128,'Statistics NZ'!AV$128-'Statistics NZ'!AU$128,$E$14/5*(AV$9-AV$10)*1000)</f>
        <v>36019.419566297831</v>
      </c>
      <c r="AW128" s="111">
        <f>SUM(AV$128,'Statistics NZ'!AW$128-'Statistics NZ'!AV$128,$E$14/5*(AW$9-AW$10)*1000)</f>
        <v>36109.419566297831</v>
      </c>
      <c r="AX128" s="111">
        <f>SUM(AW$128,'Statistics NZ'!AX$128-'Statistics NZ'!AW$128,$E$14/5*(AX$9-AX$10)*1000)</f>
        <v>36229.419566297831</v>
      </c>
      <c r="AY128" s="111">
        <f>SUM(AX$128,'Statistics NZ'!AY$128-'Statistics NZ'!AX$128,$E$14/5*(AY$9-AY$10)*1000)</f>
        <v>36369.419566297831</v>
      </c>
      <c r="AZ128" s="111">
        <f>SUM(AY$128,'Statistics NZ'!AZ$128-'Statistics NZ'!AY$128,$E$14/5*(AZ$9-AZ$10)*1000)</f>
        <v>36529.419566297831</v>
      </c>
      <c r="BA128" s="111">
        <f>SUM(AZ$128,'Statistics NZ'!BA$128-'Statistics NZ'!AZ$128,$E$14/5*(BA$9-BA$10)*1000)</f>
        <v>36699.419566297831</v>
      </c>
      <c r="BB128" s="111">
        <f>SUM(BA$128,'Statistics NZ'!BB$128-'Statistics NZ'!BA$128,$E$14/5*(BB$9-BB$10)*1000)</f>
        <v>36869.419566297831</v>
      </c>
      <c r="BC128" s="111">
        <f>SUM(BB$128,'Statistics NZ'!BC$128-'Statistics NZ'!BB$128,$E$14/5*(BC$9-BC$10)*1000)</f>
        <v>37019.419566297831</v>
      </c>
      <c r="BD128" s="111">
        <f>SUM(BC$128,'Statistics NZ'!BD$128-'Statistics NZ'!BC$128,$E$14/5*(BD$9-BD$10)*1000)</f>
        <v>37149.419566297831</v>
      </c>
      <c r="BE128" s="111">
        <f>SUM(BD$128,'Statistics NZ'!BE$128-'Statistics NZ'!BD$128,$E$14/5*(BE$9-BE$10)*1000)</f>
        <v>37249.419566297831</v>
      </c>
      <c r="BF128" s="111">
        <f>SUM(BE$128,'Statistics NZ'!BF$128-'Statistics NZ'!BE$128,$E$14/5*(BF$9-BF$10)*1000)</f>
        <v>37319.419566297831</v>
      </c>
      <c r="BG128" s="111">
        <f>SUM(BF$128,'Statistics NZ'!BG$128-'Statistics NZ'!BF$128,$E$14/5*(BG$9-BG$10)*1000)</f>
        <v>37349.419566297831</v>
      </c>
      <c r="BH128" s="111">
        <f>SUM(BG$128,'Statistics NZ'!BH$128-'Statistics NZ'!BG$128,$E$14/5*(BH$9-BH$10)*1000)</f>
        <v>37349.419566297831</v>
      </c>
      <c r="BI128" s="111">
        <f>SUM(BH$128,'Statistics NZ'!BI$128-'Statistics NZ'!BH$128,$E$14/5*(BI$9-BI$10)*1000)</f>
        <v>37319.419566297831</v>
      </c>
      <c r="BJ128" s="111">
        <f>SUM(BI$128,'Statistics NZ'!BJ$128-'Statistics NZ'!BI$128,$E$14/5*(BJ$9-BJ$10)*1000)</f>
        <v>37259.419566297831</v>
      </c>
      <c r="BK128" s="111">
        <f>SUM(BJ$128,'Statistics NZ'!BK$128-'Statistics NZ'!BJ$128,$E$14/5*(BK$9-BK$10)*1000)</f>
        <v>37179.419566297831</v>
      </c>
      <c r="BL128" s="111">
        <f>SUM(BK$128,'Statistics NZ'!BL$128-'Statistics NZ'!BK$128,$E$14/5*(BL$9-BL$10)*1000)</f>
        <v>37079.419566297831</v>
      </c>
      <c r="BM128" s="195">
        <f>SUM(BL$128,'Statistics NZ'!BM$128-'Statistics NZ'!BL$128,$E$14/5*(BM$9-BM$10)*1000)</f>
        <v>36979.419566297831</v>
      </c>
      <c r="BN128" s="195">
        <f>SUM(BM$128,'Statistics NZ'!BN$128-'Statistics NZ'!BM$128,$E$14/5*(BN$9-BN$10)*1000)</f>
        <v>36869.419566297831</v>
      </c>
      <c r="BO128" s="195">
        <f>SUM(BN$128,'Statistics NZ'!BO$128-'Statistics NZ'!BN$128,$E$14/5*(BO$9-BO$10)*1000)</f>
        <v>36769.419566297831</v>
      </c>
      <c r="BP128" s="195">
        <f>SUM(BO$128,'Statistics NZ'!BP$128-'Statistics NZ'!BO$128,$E$14/5*(BP$9-BP$10)*1000)</f>
        <v>36679.419566297831</v>
      </c>
      <c r="BQ128" s="195">
        <f>SUM(BP$128,'Statistics NZ'!BQ$128-'Statistics NZ'!BP$128,$E$14/5*(BQ$9-BQ$10)*1000)</f>
        <v>36609.419566297831</v>
      </c>
    </row>
    <row r="129" spans="1:69">
      <c r="A129" s="105">
        <f>$A$36</f>
        <v>19</v>
      </c>
      <c r="B129" s="118">
        <f>'Statistics NZ'!B$129*'Economic Forecasts'!D$9*1000000/SUM('Statistics NZ'!B$32:B$107,'Statistics NZ'!B$125:B$200)</f>
        <v>29799.047119211726</v>
      </c>
      <c r="C129" s="118">
        <f>'Statistics NZ'!C$129*'Economic Forecasts'!E$9*1000000/SUM('Statistics NZ'!C$32:C$107,'Statistics NZ'!C$125:C$200)</f>
        <v>30334.288024821759</v>
      </c>
      <c r="D129" s="118">
        <f>'Statistics NZ'!D$129*'Economic Forecasts'!F$9*1000000/SUM('Statistics NZ'!D$32:D$107,'Statistics NZ'!D$125:D$200)</f>
        <v>30721.476797136947</v>
      </c>
      <c r="E129" s="118">
        <f>'Statistics NZ'!E$129*'Economic Forecasts'!G$9*1000000/SUM('Statistics NZ'!E$32:E$107,'Statistics NZ'!E$125:E$200)</f>
        <v>31318.245561425636</v>
      </c>
      <c r="F129" s="118">
        <f>'Statistics NZ'!F$129*'Economic Forecasts'!H$9*1000000/SUM('Statistics NZ'!F$32:F$107,'Statistics NZ'!F$125:F$200)</f>
        <v>32559.606597473368</v>
      </c>
      <c r="G129" s="118">
        <f>'Statistics NZ'!G$129*'Economic Forecasts'!I$9*1000000/SUM('Statistics NZ'!G$32:G$107,'Statistics NZ'!G$125:G$200)</f>
        <v>31982.435406505705</v>
      </c>
      <c r="H129" s="118">
        <f>'Statistics NZ'!H$129*'Economic Forecasts'!J$9*1000000/SUM('Statistics NZ'!H$32:H$107,'Statistics NZ'!H$125:H$200)</f>
        <v>31981.859829568031</v>
      </c>
      <c r="I129" s="118">
        <f>'Statistics NZ'!I$129*'Economic Forecasts'!K$9*1000000/SUM('Statistics NZ'!I$32:I$107,'Statistics NZ'!I$125:I$200)</f>
        <v>31776.494222131652</v>
      </c>
      <c r="J129" s="203">
        <f>'Statistics NZ'!J$129*'Economic Forecasts'!L$9*1000000/SUM('Statistics NZ'!J$32:J$107,'Statistics NZ'!J$125:J$200)</f>
        <v>32758.173096663573</v>
      </c>
      <c r="K129" s="203">
        <f>'Statistics NZ'!K$129*'Economic Forecasts'!M$9*1000000/SUM('Statistics NZ'!K$32:K$107,'Statistics NZ'!K$125:K$200)</f>
        <v>33573.094405736425</v>
      </c>
      <c r="L129" s="203">
        <f>'Statistics NZ'!L$129*'Economic Forecasts'!N$9*1000000/SUM('Statistics NZ'!L$32:L$107,'Statistics NZ'!L$125:L$200)</f>
        <v>33160.995618896799</v>
      </c>
      <c r="M129" s="203">
        <f>'Statistics NZ'!M$129*'Economic Forecasts'!O$9*1000000/SUM('Statistics NZ'!M$32:M$107,'Statistics NZ'!M$125:M$200)</f>
        <v>33116.968852704296</v>
      </c>
      <c r="N129" s="203">
        <f>'Statistics NZ'!N$129*'Economic Forecasts'!P$9*1000000/SUM('Statistics NZ'!N$32:N$107,'Statistics NZ'!N$125:N$200)</f>
        <v>32457.468867914984</v>
      </c>
      <c r="O129" s="203">
        <f>'Statistics NZ'!O$129*'Economic Forecasts'!Q$9*1000000/SUM('Statistics NZ'!O$32:O$107,'Statistics NZ'!O$125:O$200)</f>
        <v>33414.618751600079</v>
      </c>
      <c r="P129" s="203">
        <f>'Statistics NZ'!P$129*'Economic Forecasts'!R$9*1000000/SUM('Statistics NZ'!P$32:P$107,'Statistics NZ'!P$125:P$200)</f>
        <v>33598.45551368576</v>
      </c>
      <c r="Q129" s="121">
        <f>SUM('Statistics NZ'!Q$129,$E$14/5*(Q$9-Q$10)*1000)*'Economic Forecasts'!S$9*1000000/SUM('Statistics NZ'!Q$32:Q$107,'Statistics NZ'!Q$125:Q$200,SUM($E$13:$Q$14)*(Q$9-Q$10)*1000)</f>
        <v>32158.521794128279</v>
      </c>
      <c r="R129" s="205">
        <f>SUM('Statistics NZ'!R$129,$E$14/5*(R$9-R$10)*1000)*'Economic Forecasts'!T$9*1000000/SUM('Statistics NZ'!R$32:R$107,'Statistics NZ'!R$125:R$200,SUM($E$13:$Q$14)*(R$9-R$10)*1000)</f>
        <v>32648.618993316646</v>
      </c>
      <c r="S129" s="205">
        <f>SUM('Statistics NZ'!S$129,$E$14/5*(S$9-S$10)*1000)*'Economic Forecasts'!U$9*1000000/SUM('Statistics NZ'!S$32:S$107,'Statistics NZ'!S$125:S$200,SUM($E$13:$Q$14)*(S$9-S$10)*1000)</f>
        <v>32795.051996956463</v>
      </c>
      <c r="T129" s="205">
        <f>SUM('Statistics NZ'!T$129,$E$14/5*(T$9-T$10)*1000)*'Economic Forecasts'!V$9*1000000/SUM('Statistics NZ'!T$32:T$107,'Statistics NZ'!T$125:T$200,SUM($E$13:$Q$14)*(T$9-T$10)*1000)</f>
        <v>33331.331200125976</v>
      </c>
      <c r="U129" s="205">
        <f>SUM('Statistics NZ'!U$129,$E$14/5*(U$9-U$10)*1000)*'Economic Forecasts'!W$9*1000000/SUM('Statistics NZ'!U$32:U$107,'Statistics NZ'!U$125:U$200,SUM($E$13:$Q$14)*(U$9-U$10)*1000)</f>
        <v>34517.083681064498</v>
      </c>
      <c r="V129" s="111">
        <f>SUM(U$129,'Statistics NZ'!V$129-'Statistics NZ'!U$129,$E$14/5*(V$9-V$10)*1000)</f>
        <v>36786.858428630338</v>
      </c>
      <c r="W129" s="111">
        <f>SUM(V$129,'Statistics NZ'!W$129-'Statistics NZ'!V$129,$E$14/5*(W$9-W$10)*1000)</f>
        <v>38102.911332750446</v>
      </c>
      <c r="X129" s="111">
        <f>SUM(W$129,'Statistics NZ'!X$129-'Statistics NZ'!W$129,$E$14/5*(X$9-X$10)*1000)</f>
        <v>38875.242393424822</v>
      </c>
      <c r="Y129" s="111">
        <f>SUM(X$129,'Statistics NZ'!Y$129-'Statistics NZ'!X$129,$E$14/5*(Y$9-Y$10)*1000)</f>
        <v>39533.851610653473</v>
      </c>
      <c r="Z129" s="111">
        <f>SUM(Y$129,'Statistics NZ'!Z$129-'Statistics NZ'!Y$129,$E$14/5*(Z$9-Z$10)*1000)</f>
        <v>39368.738984436393</v>
      </c>
      <c r="AA129" s="111">
        <f>SUM(Z$129,'Statistics NZ'!AA$129-'Statistics NZ'!Z$129,$E$14/5*(AA$9-AA$10)*1000)</f>
        <v>39309.904514773581</v>
      </c>
      <c r="AB129" s="111">
        <f>SUM(AA$129,'Statistics NZ'!AB$129-'Statistics NZ'!AA$129,$E$14/5*(AB$9-AB$10)*1000)</f>
        <v>39087.348201665038</v>
      </c>
      <c r="AC129" s="111">
        <f>SUM(AB$129,'Statistics NZ'!AC$129-'Statistics NZ'!AB$129,$E$14/5*(AC$9-AC$10)*1000)</f>
        <v>38771.07004511077</v>
      </c>
      <c r="AD129" s="111">
        <f>SUM(AC$129,'Statistics NZ'!AD$129-'Statistics NZ'!AC$129,$E$14/5*(AD$9-AD$10)*1000)</f>
        <v>38691.07004511077</v>
      </c>
      <c r="AE129" s="111">
        <f>SUM(AD$129,'Statistics NZ'!AE$129-'Statistics NZ'!AD$129,$E$14/5*(AE$9-AE$10)*1000)</f>
        <v>38391.07004511077</v>
      </c>
      <c r="AF129" s="111">
        <f>SUM(AE$129,'Statistics NZ'!AF$129-'Statistics NZ'!AE$129,$E$14/5*(AF$9-AF$10)*1000)</f>
        <v>38151.07004511077</v>
      </c>
      <c r="AG129" s="111">
        <f>SUM(AF$129,'Statistics NZ'!AG$129-'Statistics NZ'!AF$129,$E$14/5*(AG$9-AG$10)*1000)</f>
        <v>37451.07004511077</v>
      </c>
      <c r="AH129" s="111">
        <f>SUM(AG$129,'Statistics NZ'!AH$129-'Statistics NZ'!AG$129,$E$14/5*(AH$9-AH$10)*1000)</f>
        <v>37421.07004511077</v>
      </c>
      <c r="AI129" s="111">
        <f>SUM(AH$129,'Statistics NZ'!AI$129-'Statistics NZ'!AH$129,$E$14/5*(AI$9-AI$10)*1000)</f>
        <v>36781.07004511077</v>
      </c>
      <c r="AJ129" s="111">
        <f>SUM(AI$129,'Statistics NZ'!AJ$129-'Statistics NZ'!AI$129,$E$14/5*(AJ$9-AJ$10)*1000)</f>
        <v>36601.07004511077</v>
      </c>
      <c r="AK129" s="111">
        <f>SUM(AJ$129,'Statistics NZ'!AK$129-'Statistics NZ'!AJ$129,$E$14/5*(AK$9-AK$10)*1000)</f>
        <v>36571.07004511077</v>
      </c>
      <c r="AL129" s="111">
        <f>SUM(AK$129,'Statistics NZ'!AL$129-'Statistics NZ'!AK$129,$E$14/5*(AL$9-AL$10)*1000)</f>
        <v>36511.07004511077</v>
      </c>
      <c r="AM129" s="111">
        <f>SUM(AL$129,'Statistics NZ'!AM$129-'Statistics NZ'!AL$129,$E$14/5*(AM$9-AM$10)*1000)</f>
        <v>36421.07004511077</v>
      </c>
      <c r="AN129" s="111">
        <f>SUM(AM$129,'Statistics NZ'!AN$129-'Statistics NZ'!AM$129,$E$14/5*(AN$9-AN$10)*1000)</f>
        <v>36541.07004511077</v>
      </c>
      <c r="AO129" s="111">
        <f>SUM(AN$129,'Statistics NZ'!AO$129-'Statistics NZ'!AN$129,$E$14/5*(AO$9-AO$10)*1000)</f>
        <v>36621.07004511077</v>
      </c>
      <c r="AP129" s="111">
        <f>SUM(AO$129,'Statistics NZ'!AP$129-'Statistics NZ'!AO$129,$E$14/5*(AP$9-AP$10)*1000)</f>
        <v>36681.07004511077</v>
      </c>
      <c r="AQ129" s="111">
        <f>SUM(AP$129,'Statistics NZ'!AQ$129-'Statistics NZ'!AP$129,$E$14/5*(AQ$9-AQ$10)*1000)</f>
        <v>36721.07004511077</v>
      </c>
      <c r="AR129" s="111">
        <f>SUM(AQ$129,'Statistics NZ'!AR$129-'Statistics NZ'!AQ$129,$E$14/5*(AR$9-AR$10)*1000)</f>
        <v>36751.07004511077</v>
      </c>
      <c r="AS129" s="111">
        <f>SUM(AR$129,'Statistics NZ'!AS$129-'Statistics NZ'!AR$129,$E$14/5*(AS$9-AS$10)*1000)</f>
        <v>36771.07004511077</v>
      </c>
      <c r="AT129" s="111">
        <f>SUM(AS$129,'Statistics NZ'!AT$129-'Statistics NZ'!AS$129,$E$14/5*(AT$9-AT$10)*1000)</f>
        <v>36801.07004511077</v>
      </c>
      <c r="AU129" s="111">
        <f>SUM(AT$129,'Statistics NZ'!AU$129-'Statistics NZ'!AT$129,$E$14/5*(AU$9-AU$10)*1000)</f>
        <v>36841.07004511077</v>
      </c>
      <c r="AV129" s="111">
        <f>SUM(AU$129,'Statistics NZ'!AV$129-'Statistics NZ'!AU$129,$E$14/5*(AV$9-AV$10)*1000)</f>
        <v>36891.07004511077</v>
      </c>
      <c r="AW129" s="111">
        <f>SUM(AV$129,'Statistics NZ'!AW$129-'Statistics NZ'!AV$129,$E$14/5*(AW$9-AW$10)*1000)</f>
        <v>36951.07004511077</v>
      </c>
      <c r="AX129" s="111">
        <f>SUM(AW$129,'Statistics NZ'!AX$129-'Statistics NZ'!AW$129,$E$14/5*(AX$9-AX$10)*1000)</f>
        <v>37051.07004511077</v>
      </c>
      <c r="AY129" s="111">
        <f>SUM(AX$129,'Statistics NZ'!AY$129-'Statistics NZ'!AX$129,$E$14/5*(AY$9-AY$10)*1000)</f>
        <v>37161.07004511077</v>
      </c>
      <c r="AZ129" s="111">
        <f>SUM(AY$129,'Statistics NZ'!AZ$129-'Statistics NZ'!AY$129,$E$14/5*(AZ$9-AZ$10)*1000)</f>
        <v>37301.07004511077</v>
      </c>
      <c r="BA129" s="111">
        <f>SUM(AZ$129,'Statistics NZ'!BA$129-'Statistics NZ'!AZ$129,$E$14/5*(BA$9-BA$10)*1000)</f>
        <v>37461.07004511077</v>
      </c>
      <c r="BB129" s="111">
        <f>SUM(BA$129,'Statistics NZ'!BB$129-'Statistics NZ'!BA$129,$E$14/5*(BB$9-BB$10)*1000)</f>
        <v>37631.07004511077</v>
      </c>
      <c r="BC129" s="111">
        <f>SUM(BB$129,'Statistics NZ'!BC$129-'Statistics NZ'!BB$129,$E$14/5*(BC$9-BC$10)*1000)</f>
        <v>37801.07004511077</v>
      </c>
      <c r="BD129" s="111">
        <f>SUM(BC$129,'Statistics NZ'!BD$129-'Statistics NZ'!BC$129,$E$14/5*(BD$9-BD$10)*1000)</f>
        <v>37951.07004511077</v>
      </c>
      <c r="BE129" s="111">
        <f>SUM(BD$129,'Statistics NZ'!BE$129-'Statistics NZ'!BD$129,$E$14/5*(BE$9-BE$10)*1000)</f>
        <v>38081.07004511077</v>
      </c>
      <c r="BF129" s="111">
        <f>SUM(BE$129,'Statistics NZ'!BF$129-'Statistics NZ'!BE$129,$E$14/5*(BF$9-BF$10)*1000)</f>
        <v>38181.07004511077</v>
      </c>
      <c r="BG129" s="111">
        <f>SUM(BF$129,'Statistics NZ'!BG$129-'Statistics NZ'!BF$129,$E$14/5*(BG$9-BG$10)*1000)</f>
        <v>38251.07004511077</v>
      </c>
      <c r="BH129" s="111">
        <f>SUM(BG$129,'Statistics NZ'!BH$129-'Statistics NZ'!BG$129,$E$14/5*(BH$9-BH$10)*1000)</f>
        <v>38281.07004511077</v>
      </c>
      <c r="BI129" s="111">
        <f>SUM(BH$129,'Statistics NZ'!BI$129-'Statistics NZ'!BH$129,$E$14/5*(BI$9-BI$10)*1000)</f>
        <v>38281.07004511077</v>
      </c>
      <c r="BJ129" s="111">
        <f>SUM(BI$129,'Statistics NZ'!BJ$129-'Statistics NZ'!BI$129,$E$14/5*(BJ$9-BJ$10)*1000)</f>
        <v>38251.07004511077</v>
      </c>
      <c r="BK129" s="111">
        <f>SUM(BJ$129,'Statistics NZ'!BK$129-'Statistics NZ'!BJ$129,$E$14/5*(BK$9-BK$10)*1000)</f>
        <v>38191.07004511077</v>
      </c>
      <c r="BL129" s="111">
        <f>SUM(BK$129,'Statistics NZ'!BL$129-'Statistics NZ'!BK$129,$E$14/5*(BL$9-BL$10)*1000)</f>
        <v>38111.07004511077</v>
      </c>
      <c r="BM129" s="195">
        <f>SUM(BL$129,'Statistics NZ'!BM$129-'Statistics NZ'!BL$129,$E$14/5*(BM$9-BM$10)*1000)</f>
        <v>38021.07004511077</v>
      </c>
      <c r="BN129" s="195">
        <f>SUM(BM$129,'Statistics NZ'!BN$129-'Statistics NZ'!BM$129,$E$14/5*(BN$9-BN$10)*1000)</f>
        <v>37911.07004511077</v>
      </c>
      <c r="BO129" s="195">
        <f>SUM(BN$129,'Statistics NZ'!BO$129-'Statistics NZ'!BN$129,$E$14/5*(BO$9-BO$10)*1000)</f>
        <v>37811.07004511077</v>
      </c>
      <c r="BP129" s="195">
        <f>SUM(BO$129,'Statistics NZ'!BP$129-'Statistics NZ'!BO$129,$E$14/5*(BP$9-BP$10)*1000)</f>
        <v>37711.07004511077</v>
      </c>
      <c r="BQ129" s="195">
        <f>SUM(BP$129,'Statistics NZ'!BQ$129-'Statistics NZ'!BP$129,$E$14/5*(BQ$9-BQ$10)*1000)</f>
        <v>37621.07004511077</v>
      </c>
    </row>
    <row r="130" spans="1:69">
      <c r="A130" s="105">
        <f>$A$37</f>
        <v>20</v>
      </c>
      <c r="B130" s="118">
        <f>'Statistics NZ'!B$130*'Economic Forecasts'!D$9*1000000/SUM('Statistics NZ'!B$32:B$107,'Statistics NZ'!B$125:B$200)</f>
        <v>29385.308283176386</v>
      </c>
      <c r="C130" s="118">
        <f>'Statistics NZ'!C$130*'Economic Forecasts'!E$9*1000000/SUM('Statistics NZ'!C$32:C$107,'Statistics NZ'!C$125:C$200)</f>
        <v>29476.60747293372</v>
      </c>
      <c r="D130" s="118">
        <f>'Statistics NZ'!D$130*'Economic Forecasts'!F$9*1000000/SUM('Statistics NZ'!D$32:D$107,'Statistics NZ'!D$125:D$200)</f>
        <v>30031.549503008107</v>
      </c>
      <c r="E130" s="118">
        <f>'Statistics NZ'!E$130*'Economic Forecasts'!G$9*1000000/SUM('Statistics NZ'!E$32:E$107,'Statistics NZ'!E$125:E$200)</f>
        <v>30707.638258026771</v>
      </c>
      <c r="F130" s="118">
        <f>'Statistics NZ'!F$130*'Economic Forecasts'!H$9*1000000/SUM('Statistics NZ'!F$32:F$107,'Statistics NZ'!F$125:F$200)</f>
        <v>31623.702625685179</v>
      </c>
      <c r="G130" s="118">
        <f>'Statistics NZ'!G$130*'Economic Forecasts'!I$9*1000000/SUM('Statistics NZ'!G$32:G$107,'Statistics NZ'!G$125:G$200)</f>
        <v>32888.899995969201</v>
      </c>
      <c r="H130" s="118">
        <f>'Statistics NZ'!H$130*'Economic Forecasts'!J$9*1000000/SUM('Statistics NZ'!H$32:H$107,'Statistics NZ'!H$125:H$200)</f>
        <v>32090.206136351291</v>
      </c>
      <c r="I130" s="118">
        <f>'Statistics NZ'!I$130*'Economic Forecasts'!K$9*1000000/SUM('Statistics NZ'!I$32:I$107,'Statistics NZ'!I$125:I$200)</f>
        <v>32288.224695823465</v>
      </c>
      <c r="J130" s="203">
        <f>'Statistics NZ'!J$130*'Economic Forecasts'!L$9*1000000/SUM('Statistics NZ'!J$32:J$107,'Statistics NZ'!J$125:J$200)</f>
        <v>32777.829966208534</v>
      </c>
      <c r="K130" s="203">
        <f>'Statistics NZ'!K$130*'Economic Forecasts'!M$9*1000000/SUM('Statistics NZ'!K$32:K$107,'Statistics NZ'!K$125:K$200)</f>
        <v>34123.311931847413</v>
      </c>
      <c r="L130" s="203">
        <f>'Statistics NZ'!L$130*'Economic Forecasts'!N$9*1000000/SUM('Statistics NZ'!L$32:L$107,'Statistics NZ'!L$125:L$200)</f>
        <v>34746.656532066503</v>
      </c>
      <c r="M130" s="203">
        <f>'Statistics NZ'!M$130*'Economic Forecasts'!O$9*1000000/SUM('Statistics NZ'!M$32:M$107,'Statistics NZ'!M$125:M$200)</f>
        <v>33786.794516590053</v>
      </c>
      <c r="N130" s="203">
        <f>'Statistics NZ'!N$130*'Economic Forecasts'!P$9*1000000/SUM('Statistics NZ'!N$32:N$107,'Statistics NZ'!N$125:N$200)</f>
        <v>33681.161826145901</v>
      </c>
      <c r="O130" s="203">
        <f>'Statistics NZ'!O$130*'Economic Forecasts'!Q$9*1000000/SUM('Statistics NZ'!O$32:O$107,'Statistics NZ'!O$125:O$200)</f>
        <v>32783.037062260926</v>
      </c>
      <c r="P130" s="203">
        <f>'Statistics NZ'!P$130*'Economic Forecasts'!R$9*1000000/SUM('Statistics NZ'!P$32:P$107,'Statistics NZ'!P$125:P$200)</f>
        <v>34190.84673637784</v>
      </c>
      <c r="Q130" s="121">
        <f>SUM('Statistics NZ'!Q$130,$F$14/5*(Q$9-Q$10)*1000)*'Economic Forecasts'!S$9*1000000/SUM('Statistics NZ'!Q$32:Q$107,'Statistics NZ'!Q$125:Q$200,SUM($E$13:$Q$14)*(Q$9-Q$10)*1000)</f>
        <v>33655.467803371153</v>
      </c>
      <c r="R130" s="205">
        <f>SUM('Statistics NZ'!R$130,$F$14/5*(R$9-R$10)*1000)*'Economic Forecasts'!T$9*1000000/SUM('Statistics NZ'!R$32:R$107,'Statistics NZ'!R$125:R$200,SUM($E$13:$Q$14)*(R$9-R$10)*1000)</f>
        <v>32383.466199416911</v>
      </c>
      <c r="S130" s="205">
        <f>SUM('Statistics NZ'!S$130,$F$14/5*(S$9-S$10)*1000)*'Economic Forecasts'!U$9*1000000/SUM('Statistics NZ'!S$32:S$107,'Statistics NZ'!S$125:S$200,SUM($E$13:$Q$14)*(S$9-S$10)*1000)</f>
        <v>32977.421176132542</v>
      </c>
      <c r="T130" s="205">
        <f>SUM('Statistics NZ'!T$130,$F$14/5*(T$9-T$10)*1000)*'Economic Forecasts'!V$9*1000000/SUM('Statistics NZ'!T$32:T$107,'Statistics NZ'!T$125:T$200,SUM($E$13:$Q$14)*(T$9-T$10)*1000)</f>
        <v>33265.071493862299</v>
      </c>
      <c r="U130" s="205">
        <f>SUM('Statistics NZ'!U$130,$F$14/5*(U$9-U$10)*1000)*'Economic Forecasts'!W$9*1000000/SUM('Statistics NZ'!U$32:U$107,'Statistics NZ'!U$125:U$200,SUM($E$13:$Q$14)*(U$9-U$10)*1000)</f>
        <v>33746.759350284628</v>
      </c>
      <c r="V130" s="111">
        <f>SUM(U$130,'Statistics NZ'!V$130-'Statistics NZ'!U$130,$F$14/5*(V$9-V$10)*1000)</f>
        <v>34843.223156175496</v>
      </c>
      <c r="W130" s="111">
        <f>SUM(V$130,'Statistics NZ'!W$130-'Statistics NZ'!V$130,$F$14/5*(W$9-W$10)*1000)</f>
        <v>36891.378986330004</v>
      </c>
      <c r="X130" s="111">
        <f>SUM(W$130,'Statistics NZ'!X$130-'Statistics NZ'!W$130,$F$14/5*(X$9-X$10)*1000)</f>
        <v>38021.226840748153</v>
      </c>
      <c r="Y130" s="111">
        <f>SUM(X$130,'Statistics NZ'!Y$130-'Statistics NZ'!X$130,$F$14/5*(Y$9-Y$10)*1000)</f>
        <v>38632.766719429943</v>
      </c>
      <c r="Z130" s="111">
        <f>SUM(Y$130,'Statistics NZ'!Z$130-'Statistics NZ'!Y$130,$F$14/5*(Z$9-Z$10)*1000)</f>
        <v>39155.99862237538</v>
      </c>
      <c r="AA130" s="111">
        <f>SUM(Z$130,'Statistics NZ'!AA$130-'Statistics NZ'!Z$130,$F$14/5*(AA$9-AA$10)*1000)</f>
        <v>38890.922549584458</v>
      </c>
      <c r="AB130" s="111">
        <f>SUM(AA$130,'Statistics NZ'!AB$130-'Statistics NZ'!AA$130,$F$14/5*(AB$9-AB$10)*1000)</f>
        <v>38747.538501057177</v>
      </c>
      <c r="AC130" s="111">
        <f>SUM(AB$130,'Statistics NZ'!AC$130-'Statistics NZ'!AB$130,$F$14/5*(AC$9-AC$10)*1000)</f>
        <v>38465.846476793537</v>
      </c>
      <c r="AD130" s="111">
        <f>SUM(AC$130,'Statistics NZ'!AD$130-'Statistics NZ'!AC$130,$F$14/5*(AD$9-AD$10)*1000)</f>
        <v>38105.846476793537</v>
      </c>
      <c r="AE130" s="111">
        <f>SUM(AD$130,'Statistics NZ'!AE$130-'Statistics NZ'!AD$130,$F$14/5*(AE$9-AE$10)*1000)</f>
        <v>38035.846476793537</v>
      </c>
      <c r="AF130" s="111">
        <f>SUM(AE$130,'Statistics NZ'!AF$130-'Statistics NZ'!AE$130,$F$14/5*(AF$9-AF$10)*1000)</f>
        <v>37725.846476793537</v>
      </c>
      <c r="AG130" s="111">
        <f>SUM(AF$130,'Statistics NZ'!AG$130-'Statistics NZ'!AF$130,$F$14/5*(AG$9-AG$10)*1000)</f>
        <v>37485.846476793537</v>
      </c>
      <c r="AH130" s="111">
        <f>SUM(AG$130,'Statistics NZ'!AH$130-'Statistics NZ'!AG$130,$F$14/5*(AH$9-AH$10)*1000)</f>
        <v>36795.846476793537</v>
      </c>
      <c r="AI130" s="111">
        <f>SUM(AH$130,'Statistics NZ'!AI$130-'Statistics NZ'!AH$130,$F$14/5*(AI$9-AI$10)*1000)</f>
        <v>36765.846476793537</v>
      </c>
      <c r="AJ130" s="111">
        <f>SUM(AI$130,'Statistics NZ'!AJ$130-'Statistics NZ'!AI$130,$F$14/5*(AJ$9-AJ$10)*1000)</f>
        <v>36125.846476793537</v>
      </c>
      <c r="AK130" s="111">
        <f>SUM(AJ$130,'Statistics NZ'!AK$130-'Statistics NZ'!AJ$130,$F$14/5*(AK$9-AK$10)*1000)</f>
        <v>35945.846476793537</v>
      </c>
      <c r="AL130" s="111">
        <f>SUM(AK$130,'Statistics NZ'!AL$130-'Statistics NZ'!AK$130,$F$14/5*(AL$9-AL$10)*1000)</f>
        <v>35905.846476793537</v>
      </c>
      <c r="AM130" s="111">
        <f>SUM(AL$130,'Statistics NZ'!AM$130-'Statistics NZ'!AL$130,$F$14/5*(AM$9-AM$10)*1000)</f>
        <v>35845.846476793537</v>
      </c>
      <c r="AN130" s="111">
        <f>SUM(AM$130,'Statistics NZ'!AN$130-'Statistics NZ'!AM$130,$F$14/5*(AN$9-AN$10)*1000)</f>
        <v>35755.846476793537</v>
      </c>
      <c r="AO130" s="111">
        <f>SUM(AN$130,'Statistics NZ'!AO$130-'Statistics NZ'!AN$130,$F$14/5*(AO$9-AO$10)*1000)</f>
        <v>35885.846476793537</v>
      </c>
      <c r="AP130" s="111">
        <f>SUM(AO$130,'Statistics NZ'!AP$130-'Statistics NZ'!AO$130,$F$14/5*(AP$9-AP$10)*1000)</f>
        <v>35965.846476793537</v>
      </c>
      <c r="AQ130" s="111">
        <f>SUM(AP$130,'Statistics NZ'!AQ$130-'Statistics NZ'!AP$130,$F$14/5*(AQ$9-AQ$10)*1000)</f>
        <v>36025.846476793537</v>
      </c>
      <c r="AR130" s="111">
        <f>SUM(AQ$130,'Statistics NZ'!AR$130-'Statistics NZ'!AQ$130,$F$14/5*(AR$9-AR$10)*1000)</f>
        <v>36065.846476793537</v>
      </c>
      <c r="AS130" s="111">
        <f>SUM(AR$130,'Statistics NZ'!AS$130-'Statistics NZ'!AR$130,$F$14/5*(AS$9-AS$10)*1000)</f>
        <v>36085.846476793537</v>
      </c>
      <c r="AT130" s="111">
        <f>SUM(AS$130,'Statistics NZ'!AT$130-'Statistics NZ'!AS$130,$F$14/5*(AT$9-AT$10)*1000)</f>
        <v>36115.846476793537</v>
      </c>
      <c r="AU130" s="111">
        <f>SUM(AT$130,'Statistics NZ'!AU$130-'Statistics NZ'!AT$130,$F$14/5*(AU$9-AU$10)*1000)</f>
        <v>36145.846476793537</v>
      </c>
      <c r="AV130" s="111">
        <f>SUM(AU$130,'Statistics NZ'!AV$130-'Statistics NZ'!AU$130,$F$14/5*(AV$9-AV$10)*1000)</f>
        <v>36185.846476793537</v>
      </c>
      <c r="AW130" s="111">
        <f>SUM(AV$130,'Statistics NZ'!AW$130-'Statistics NZ'!AV$130,$F$14/5*(AW$9-AW$10)*1000)</f>
        <v>36235.846476793537</v>
      </c>
      <c r="AX130" s="111">
        <f>SUM(AW$130,'Statistics NZ'!AX$130-'Statistics NZ'!AW$130,$F$14/5*(AX$9-AX$10)*1000)</f>
        <v>36295.846476793537</v>
      </c>
      <c r="AY130" s="111">
        <f>SUM(AX$130,'Statistics NZ'!AY$130-'Statistics NZ'!AX$130,$F$14/5*(AY$9-AY$10)*1000)</f>
        <v>36395.846476793537</v>
      </c>
      <c r="AZ130" s="111">
        <f>SUM(AY$130,'Statistics NZ'!AZ$130-'Statistics NZ'!AY$130,$F$14/5*(AZ$9-AZ$10)*1000)</f>
        <v>36505.846476793537</v>
      </c>
      <c r="BA130" s="111">
        <f>SUM(AZ$130,'Statistics NZ'!BA$130-'Statistics NZ'!AZ$130,$F$14/5*(BA$9-BA$10)*1000)</f>
        <v>36645.846476793537</v>
      </c>
      <c r="BB130" s="111">
        <f>SUM(BA$130,'Statistics NZ'!BB$130-'Statistics NZ'!BA$130,$F$14/5*(BB$9-BB$10)*1000)</f>
        <v>36805.846476793537</v>
      </c>
      <c r="BC130" s="111">
        <f>SUM(BB$130,'Statistics NZ'!BC$130-'Statistics NZ'!BB$130,$F$14/5*(BC$9-BC$10)*1000)</f>
        <v>36975.846476793537</v>
      </c>
      <c r="BD130" s="111">
        <f>SUM(BC$130,'Statistics NZ'!BD$130-'Statistics NZ'!BC$130,$F$14/5*(BD$9-BD$10)*1000)</f>
        <v>37145.846476793537</v>
      </c>
      <c r="BE130" s="111">
        <f>SUM(BD$130,'Statistics NZ'!BE$130-'Statistics NZ'!BD$130,$F$14/5*(BE$9-BE$10)*1000)</f>
        <v>37295.846476793537</v>
      </c>
      <c r="BF130" s="111">
        <f>SUM(BE$130,'Statistics NZ'!BF$130-'Statistics NZ'!BE$130,$F$14/5*(BF$9-BF$10)*1000)</f>
        <v>37425.846476793537</v>
      </c>
      <c r="BG130" s="111">
        <f>SUM(BF$130,'Statistics NZ'!BG$130-'Statistics NZ'!BF$130,$F$14/5*(BG$9-BG$10)*1000)</f>
        <v>37525.846476793537</v>
      </c>
      <c r="BH130" s="111">
        <f>SUM(BG$130,'Statistics NZ'!BH$130-'Statistics NZ'!BG$130,$F$14/5*(BH$9-BH$10)*1000)</f>
        <v>37595.846476793537</v>
      </c>
      <c r="BI130" s="111">
        <f>SUM(BH$130,'Statistics NZ'!BI$130-'Statistics NZ'!BH$130,$F$14/5*(BI$9-BI$10)*1000)</f>
        <v>37625.846476793537</v>
      </c>
      <c r="BJ130" s="111">
        <f>SUM(BI$130,'Statistics NZ'!BJ$130-'Statistics NZ'!BI$130,$F$14/5*(BJ$9-BJ$10)*1000)</f>
        <v>37625.846476793537</v>
      </c>
      <c r="BK130" s="111">
        <f>SUM(BJ$130,'Statistics NZ'!BK$130-'Statistics NZ'!BJ$130,$F$14/5*(BK$9-BK$10)*1000)</f>
        <v>37595.846476793537</v>
      </c>
      <c r="BL130" s="111">
        <f>SUM(BK$130,'Statistics NZ'!BL$130-'Statistics NZ'!BK$130,$F$14/5*(BL$9-BL$10)*1000)</f>
        <v>37535.846476793537</v>
      </c>
      <c r="BM130" s="195">
        <f>SUM(BL$130,'Statistics NZ'!BM$130-'Statistics NZ'!BL$130,$F$14/5*(BM$9-BM$10)*1000)</f>
        <v>37455.846476793537</v>
      </c>
      <c r="BN130" s="195">
        <f>SUM(BM$130,'Statistics NZ'!BN$130-'Statistics NZ'!BM$130,$F$14/5*(BN$9-BN$10)*1000)</f>
        <v>37365.846476793537</v>
      </c>
      <c r="BO130" s="195">
        <f>SUM(BN$130,'Statistics NZ'!BO$130-'Statistics NZ'!BN$130,$F$14/5*(BO$9-BO$10)*1000)</f>
        <v>37255.846476793537</v>
      </c>
      <c r="BP130" s="195">
        <f>SUM(BO$130,'Statistics NZ'!BP$130-'Statistics NZ'!BO$130,$F$14/5*(BP$9-BP$10)*1000)</f>
        <v>37155.846476793537</v>
      </c>
      <c r="BQ130" s="195">
        <f>SUM(BP$130,'Statistics NZ'!BQ$130-'Statistics NZ'!BP$130,$F$14/5*(BQ$9-BQ$10)*1000)</f>
        <v>37055.846476793537</v>
      </c>
    </row>
    <row r="131" spans="1:69">
      <c r="A131" s="105">
        <f>$A$38</f>
        <v>21</v>
      </c>
      <c r="B131" s="118">
        <f>'Statistics NZ'!B$131*'Economic Forecasts'!D$9*1000000/SUM('Statistics NZ'!B$32:B$107,'Statistics NZ'!B$125:B$200)</f>
        <v>29119.333317153676</v>
      </c>
      <c r="C131" s="118">
        <f>'Statistics NZ'!C$131*'Economic Forecasts'!E$9*1000000/SUM('Statistics NZ'!C$32:C$107,'Statistics NZ'!C$125:C$200)</f>
        <v>28756.944481119619</v>
      </c>
      <c r="D131" s="118">
        <f>'Statistics NZ'!D$131*'Economic Forecasts'!F$9*1000000/SUM('Statistics NZ'!D$32:D$107,'Statistics NZ'!D$125:D$200)</f>
        <v>29026.226874420379</v>
      </c>
      <c r="E131" s="118">
        <f>'Statistics NZ'!E$131*'Economic Forecasts'!G$9*1000000/SUM('Statistics NZ'!E$32:E$107,'Statistics NZ'!E$125:E$200)</f>
        <v>29821.272817609064</v>
      </c>
      <c r="F131" s="118">
        <f>'Statistics NZ'!F$131*'Economic Forecasts'!H$9*1000000/SUM('Statistics NZ'!F$32:F$107,'Statistics NZ'!F$125:F$200)</f>
        <v>30707.501895408317</v>
      </c>
      <c r="G131" s="118">
        <f>'Statistics NZ'!G$131*'Economic Forecasts'!I$9*1000000/SUM('Statistics NZ'!G$32:G$107,'Statistics NZ'!G$125:G$200)</f>
        <v>31617.878995525814</v>
      </c>
      <c r="H131" s="118">
        <f>'Statistics NZ'!H$131*'Economic Forecasts'!J$9*1000000/SUM('Statistics NZ'!H$32:H$107,'Statistics NZ'!H$125:H$200)</f>
        <v>32562.990020496432</v>
      </c>
      <c r="I131" s="118">
        <f>'Statistics NZ'!I$131*'Economic Forecasts'!K$9*1000000/SUM('Statistics NZ'!I$32:I$107,'Statistics NZ'!I$125:I$200)</f>
        <v>31973.313635090039</v>
      </c>
      <c r="J131" s="203">
        <f>'Statistics NZ'!J$131*'Economic Forecasts'!L$9*1000000/SUM('Statistics NZ'!J$32:J$107,'Statistics NZ'!J$125:J$200)</f>
        <v>33053.026139837864</v>
      </c>
      <c r="K131" s="203">
        <f>'Statistics NZ'!K$131*'Economic Forecasts'!M$9*1000000/SUM('Statistics NZ'!K$32:K$107,'Statistics NZ'!K$125:K$200)</f>
        <v>33975.932237353401</v>
      </c>
      <c r="L131" s="203">
        <f>'Statistics NZ'!L$131*'Economic Forecasts'!N$9*1000000/SUM('Statistics NZ'!L$32:L$107,'Statistics NZ'!L$125:L$200)</f>
        <v>35111.063077329112</v>
      </c>
      <c r="M131" s="203">
        <f>'Statistics NZ'!M$131*'Economic Forecasts'!O$9*1000000/SUM('Statistics NZ'!M$32:M$107,'Statistics NZ'!M$125:M$200)</f>
        <v>35067.343579901048</v>
      </c>
      <c r="N131" s="203">
        <f>'Statistics NZ'!N$131*'Economic Forecasts'!P$9*1000000/SUM('Statistics NZ'!N$32:N$107,'Statistics NZ'!N$125:N$200)</f>
        <v>34046.29601529544</v>
      </c>
      <c r="O131" s="203">
        <f>'Statistics NZ'!O$131*'Economic Forecasts'!Q$9*1000000/SUM('Statistics NZ'!O$32:O$107,'Statistics NZ'!O$125:O$200)</f>
        <v>34056.068904835163</v>
      </c>
      <c r="P131" s="203">
        <f>'Statistics NZ'!P$131*'Economic Forecasts'!R$9*1000000/SUM('Statistics NZ'!P$32:P$107,'Statistics NZ'!P$125:P$200)</f>
        <v>33558.962765506287</v>
      </c>
      <c r="Q131" s="121">
        <f>SUM('Statistics NZ'!Q$131,$F$14/5*(Q$9-Q$10)*1000)*'Economic Forecasts'!S$9*1000000/SUM('Statistics NZ'!Q$32:Q$107,'Statistics NZ'!Q$125:Q$200,SUM($E$13:$Q$14)*(Q$9-Q$10)*1000)</f>
        <v>34189.334652093756</v>
      </c>
      <c r="R131" s="205">
        <f>SUM('Statistics NZ'!R$131,$F$14/5*(R$9-R$10)*1000)*'Economic Forecasts'!T$9*1000000/SUM('Statistics NZ'!R$32:R$107,'Statistics NZ'!R$125:R$200,SUM($E$13:$Q$14)*(R$9-R$10)*1000)</f>
        <v>33747.620915942774</v>
      </c>
      <c r="S131" s="205">
        <f>SUM('Statistics NZ'!S$131,$F$14/5*(S$9-S$10)*1000)*'Economic Forecasts'!U$9*1000000/SUM('Statistics NZ'!S$32:S$107,'Statistics NZ'!S$125:S$200,SUM($E$13:$Q$14)*(S$9-S$10)*1000)</f>
        <v>32562.465543748654</v>
      </c>
      <c r="T131" s="205">
        <f>SUM('Statistics NZ'!T$131,$F$14/5*(T$9-T$10)*1000)*'Economic Forecasts'!V$9*1000000/SUM('Statistics NZ'!T$32:T$107,'Statistics NZ'!T$125:T$200,SUM($E$13:$Q$14)*(T$9-T$10)*1000)</f>
        <v>33136.640798094202</v>
      </c>
      <c r="U131" s="205">
        <f>SUM('Statistics NZ'!U$131,$F$14/5*(U$9-U$10)*1000)*'Economic Forecasts'!W$9*1000000/SUM('Statistics NZ'!U$32:U$107,'Statistics NZ'!U$125:U$200,SUM($E$13:$Q$14)*(U$9-U$10)*1000)</f>
        <v>33469.779844791687</v>
      </c>
      <c r="V131" s="111">
        <f>SUM(U$131,'Statistics NZ'!V$131-'Statistics NZ'!U$131,$F$14/5*(V$9-V$10)*1000)</f>
        <v>33946.243650682554</v>
      </c>
      <c r="W131" s="111">
        <f>SUM(V$131,'Statistics NZ'!W$131-'Statistics NZ'!V$131,$F$14/5*(W$9-W$10)*1000)</f>
        <v>35024.399480837063</v>
      </c>
      <c r="X131" s="111">
        <f>SUM(W$131,'Statistics NZ'!X$131-'Statistics NZ'!W$131,$F$14/5*(X$9-X$10)*1000)</f>
        <v>37074.247335255212</v>
      </c>
      <c r="Y131" s="111">
        <f>SUM(X$131,'Statistics NZ'!Y$131-'Statistics NZ'!X$131,$F$14/5*(Y$9-Y$10)*1000)</f>
        <v>38195.787213937001</v>
      </c>
      <c r="Z131" s="111">
        <f>SUM(Y$131,'Statistics NZ'!Z$131-'Statistics NZ'!Y$131,$F$14/5*(Z$9-Z$10)*1000)</f>
        <v>38799.019116882439</v>
      </c>
      <c r="AA131" s="111">
        <f>SUM(Z$131,'Statistics NZ'!AA$131-'Statistics NZ'!Z$131,$F$14/5*(AA$9-AA$10)*1000)</f>
        <v>39313.943044091517</v>
      </c>
      <c r="AB131" s="111">
        <f>SUM(AA$131,'Statistics NZ'!AB$131-'Statistics NZ'!AA$131,$F$14/5*(AB$9-AB$10)*1000)</f>
        <v>39030.558995564235</v>
      </c>
      <c r="AC131" s="111">
        <f>SUM(AB$131,'Statistics NZ'!AC$131-'Statistics NZ'!AB$131,$F$14/5*(AC$9-AC$10)*1000)</f>
        <v>38878.866971300595</v>
      </c>
      <c r="AD131" s="111">
        <f>SUM(AC$131,'Statistics NZ'!AD$131-'Statistics NZ'!AC$131,$F$14/5*(AD$9-AD$10)*1000)</f>
        <v>38588.866971300595</v>
      </c>
      <c r="AE131" s="111">
        <f>SUM(AD$131,'Statistics NZ'!AE$131-'Statistics NZ'!AD$131,$F$14/5*(AE$9-AE$10)*1000)</f>
        <v>38238.866971300595</v>
      </c>
      <c r="AF131" s="111">
        <f>SUM(AE$131,'Statistics NZ'!AF$131-'Statistics NZ'!AE$131,$F$14/5*(AF$9-AF$10)*1000)</f>
        <v>38168.866971300595</v>
      </c>
      <c r="AG131" s="111">
        <f>SUM(AF$131,'Statistics NZ'!AG$131-'Statistics NZ'!AF$131,$F$14/5*(AG$9-AG$10)*1000)</f>
        <v>37858.866971300595</v>
      </c>
      <c r="AH131" s="111">
        <f>SUM(AG$131,'Statistics NZ'!AH$131-'Statistics NZ'!AG$131,$F$14/5*(AH$9-AH$10)*1000)</f>
        <v>37618.866971300595</v>
      </c>
      <c r="AI131" s="111">
        <f>SUM(AH$131,'Statistics NZ'!AI$131-'Statistics NZ'!AH$131,$F$14/5*(AI$9-AI$10)*1000)</f>
        <v>36928.866971300595</v>
      </c>
      <c r="AJ131" s="111">
        <f>SUM(AI$131,'Statistics NZ'!AJ$131-'Statistics NZ'!AI$131,$F$14/5*(AJ$9-AJ$10)*1000)</f>
        <v>36898.866971300595</v>
      </c>
      <c r="AK131" s="111">
        <f>SUM(AJ$131,'Statistics NZ'!AK$131-'Statistics NZ'!AJ$131,$F$14/5*(AK$9-AK$10)*1000)</f>
        <v>36258.866971300595</v>
      </c>
      <c r="AL131" s="111">
        <f>SUM(AK$131,'Statistics NZ'!AL$131-'Statistics NZ'!AK$131,$F$14/5*(AL$9-AL$10)*1000)</f>
        <v>36078.866971300595</v>
      </c>
      <c r="AM131" s="111">
        <f>SUM(AL$131,'Statistics NZ'!AM$131-'Statistics NZ'!AL$131,$F$14/5*(AM$9-AM$10)*1000)</f>
        <v>36048.866971300595</v>
      </c>
      <c r="AN131" s="111">
        <f>SUM(AM$131,'Statistics NZ'!AN$131-'Statistics NZ'!AM$131,$F$14/5*(AN$9-AN$10)*1000)</f>
        <v>35988.866971300595</v>
      </c>
      <c r="AO131" s="111">
        <f>SUM(AN$131,'Statistics NZ'!AO$131-'Statistics NZ'!AN$131,$F$14/5*(AO$9-AO$10)*1000)</f>
        <v>35898.866971300595</v>
      </c>
      <c r="AP131" s="111">
        <f>SUM(AO$131,'Statistics NZ'!AP$131-'Statistics NZ'!AO$131,$F$14/5*(AP$9-AP$10)*1000)</f>
        <v>36018.866971300595</v>
      </c>
      <c r="AQ131" s="111">
        <f>SUM(AP$131,'Statistics NZ'!AQ$131-'Statistics NZ'!AP$131,$F$14/5*(AQ$9-AQ$10)*1000)</f>
        <v>36098.866971300595</v>
      </c>
      <c r="AR131" s="111">
        <f>SUM(AQ$131,'Statistics NZ'!AR$131-'Statistics NZ'!AQ$131,$F$14/5*(AR$9-AR$10)*1000)</f>
        <v>36158.866971300595</v>
      </c>
      <c r="AS131" s="111">
        <f>SUM(AR$131,'Statistics NZ'!AS$131-'Statistics NZ'!AR$131,$F$14/5*(AS$9-AS$10)*1000)</f>
        <v>36198.866971300595</v>
      </c>
      <c r="AT131" s="111">
        <f>SUM(AS$131,'Statistics NZ'!AT$131-'Statistics NZ'!AS$131,$F$14/5*(AT$9-AT$10)*1000)</f>
        <v>36228.866971300595</v>
      </c>
      <c r="AU131" s="111">
        <f>SUM(AT$131,'Statistics NZ'!AU$131-'Statistics NZ'!AT$131,$F$14/5*(AU$9-AU$10)*1000)</f>
        <v>36248.866971300595</v>
      </c>
      <c r="AV131" s="111">
        <f>SUM(AU$131,'Statistics NZ'!AV$131-'Statistics NZ'!AU$131,$F$14/5*(AV$9-AV$10)*1000)</f>
        <v>36278.866971300595</v>
      </c>
      <c r="AW131" s="111">
        <f>SUM(AV$131,'Statistics NZ'!AW$131-'Statistics NZ'!AV$131,$F$14/5*(AW$9-AW$10)*1000)</f>
        <v>36318.866971300595</v>
      </c>
      <c r="AX131" s="111">
        <f>SUM(AW$131,'Statistics NZ'!AX$131-'Statistics NZ'!AW$131,$F$14/5*(AX$9-AX$10)*1000)</f>
        <v>36368.866971300595</v>
      </c>
      <c r="AY131" s="111">
        <f>SUM(AX$131,'Statistics NZ'!AY$131-'Statistics NZ'!AX$131,$F$14/5*(AY$9-AY$10)*1000)</f>
        <v>36438.866971300595</v>
      </c>
      <c r="AZ131" s="111">
        <f>SUM(AY$131,'Statistics NZ'!AZ$131-'Statistics NZ'!AY$131,$F$14/5*(AZ$9-AZ$10)*1000)</f>
        <v>36528.866971300595</v>
      </c>
      <c r="BA131" s="111">
        <f>SUM(AZ$131,'Statistics NZ'!BA$131-'Statistics NZ'!AZ$131,$F$14/5*(BA$9-BA$10)*1000)</f>
        <v>36648.866971300595</v>
      </c>
      <c r="BB131" s="111">
        <f>SUM(BA$131,'Statistics NZ'!BB$131-'Statistics NZ'!BA$131,$F$14/5*(BB$9-BB$10)*1000)</f>
        <v>36788.866971300595</v>
      </c>
      <c r="BC131" s="111">
        <f>SUM(BB$131,'Statistics NZ'!BC$131-'Statistics NZ'!BB$131,$F$14/5*(BC$9-BC$10)*1000)</f>
        <v>36948.866971300595</v>
      </c>
      <c r="BD131" s="111">
        <f>SUM(BC$131,'Statistics NZ'!BD$131-'Statistics NZ'!BC$131,$F$14/5*(BD$9-BD$10)*1000)</f>
        <v>37118.866971300595</v>
      </c>
      <c r="BE131" s="111">
        <f>SUM(BD$131,'Statistics NZ'!BE$131-'Statistics NZ'!BD$131,$F$14/5*(BE$9-BE$10)*1000)</f>
        <v>37288.866971300595</v>
      </c>
      <c r="BF131" s="111">
        <f>SUM(BE$131,'Statistics NZ'!BF$131-'Statistics NZ'!BE$131,$F$14/5*(BF$9-BF$10)*1000)</f>
        <v>37438.866971300595</v>
      </c>
      <c r="BG131" s="111">
        <f>SUM(BF$131,'Statistics NZ'!BG$131-'Statistics NZ'!BF$131,$F$14/5*(BG$9-BG$10)*1000)</f>
        <v>37568.866971300595</v>
      </c>
      <c r="BH131" s="111">
        <f>SUM(BG$131,'Statistics NZ'!BH$131-'Statistics NZ'!BG$131,$F$14/5*(BH$9-BH$10)*1000)</f>
        <v>37668.866971300595</v>
      </c>
      <c r="BI131" s="111">
        <f>SUM(BH$131,'Statistics NZ'!BI$131-'Statistics NZ'!BH$131,$F$14/5*(BI$9-BI$10)*1000)</f>
        <v>37738.866971300595</v>
      </c>
      <c r="BJ131" s="111">
        <f>SUM(BI$131,'Statistics NZ'!BJ$131-'Statistics NZ'!BI$131,$F$14/5*(BJ$9-BJ$10)*1000)</f>
        <v>37768.866971300595</v>
      </c>
      <c r="BK131" s="111">
        <f>SUM(BJ$131,'Statistics NZ'!BK$131-'Statistics NZ'!BJ$131,$F$14/5*(BK$9-BK$10)*1000)</f>
        <v>37768.866971300595</v>
      </c>
      <c r="BL131" s="111">
        <f>SUM(BK$131,'Statistics NZ'!BL$131-'Statistics NZ'!BK$131,$F$14/5*(BL$9-BL$10)*1000)</f>
        <v>37738.866971300595</v>
      </c>
      <c r="BM131" s="195">
        <f>SUM(BL$131,'Statistics NZ'!BM$131-'Statistics NZ'!BL$131,$F$14/5*(BM$9-BM$10)*1000)</f>
        <v>37678.866971300595</v>
      </c>
      <c r="BN131" s="195">
        <f>SUM(BM$131,'Statistics NZ'!BN$131-'Statistics NZ'!BM$131,$F$14/5*(BN$9-BN$10)*1000)</f>
        <v>37598.866971300595</v>
      </c>
      <c r="BO131" s="195">
        <f>SUM(BN$131,'Statistics NZ'!BO$131-'Statistics NZ'!BN$131,$F$14/5*(BO$9-BO$10)*1000)</f>
        <v>37508.866971300595</v>
      </c>
      <c r="BP131" s="195">
        <f>SUM(BO$131,'Statistics NZ'!BP$131-'Statistics NZ'!BO$131,$F$14/5*(BP$9-BP$10)*1000)</f>
        <v>37398.866971300595</v>
      </c>
      <c r="BQ131" s="195">
        <f>SUM(BP$131,'Statistics NZ'!BQ$131-'Statistics NZ'!BP$131,$F$14/5*(BQ$9-BQ$10)*1000)</f>
        <v>37298.866971300595</v>
      </c>
    </row>
    <row r="132" spans="1:69">
      <c r="A132" s="105">
        <f>$A$39</f>
        <v>22</v>
      </c>
      <c r="B132" s="118">
        <f>'Statistics NZ'!B$132*'Economic Forecasts'!D$9*1000000/SUM('Statistics NZ'!B$32:B$107,'Statistics NZ'!B$125:B$200)</f>
        <v>28961.71852247354</v>
      </c>
      <c r="C132" s="118">
        <f>'Statistics NZ'!C$132*'Economic Forecasts'!E$9*1000000/SUM('Statistics NZ'!C$32:C$107,'Statistics NZ'!C$125:C$200)</f>
        <v>28342.891800897807</v>
      </c>
      <c r="D132" s="118">
        <f>'Statistics NZ'!D$132*'Economic Forecasts'!F$9*1000000/SUM('Statistics NZ'!D$32:D$107,'Statistics NZ'!D$125:D$200)</f>
        <v>28149.033600456565</v>
      </c>
      <c r="E132" s="118">
        <f>'Statistics NZ'!E$132*'Economic Forecasts'!G$9*1000000/SUM('Statistics NZ'!E$32:E$107,'Statistics NZ'!E$125:E$200)</f>
        <v>28728.088774427226</v>
      </c>
      <c r="F132" s="118">
        <f>'Statistics NZ'!F$132*'Economic Forecasts'!H$9*1000000/SUM('Statistics NZ'!F$32:F$107,'Statistics NZ'!F$125:F$200)</f>
        <v>29682.93333681914</v>
      </c>
      <c r="G132" s="118">
        <f>'Statistics NZ'!G$132*'Economic Forecasts'!I$9*1000000/SUM('Statistics NZ'!G$32:G$107,'Statistics NZ'!G$125:G$200)</f>
        <v>30405.975250917007</v>
      </c>
      <c r="H132" s="118">
        <f>'Statistics NZ'!H$132*'Economic Forecasts'!J$9*1000000/SUM('Statistics NZ'!H$32:H$107,'Statistics NZ'!H$125:H$200)</f>
        <v>31036.292061277753</v>
      </c>
      <c r="I132" s="118">
        <f>'Statistics NZ'!I$132*'Economic Forecasts'!K$9*1000000/SUM('Statistics NZ'!I$32:I$107,'Statistics NZ'!I$125:I$200)</f>
        <v>32239.019842583864</v>
      </c>
      <c r="J132" s="203">
        <f>'Statistics NZ'!J$132*'Economic Forecasts'!L$9*1000000/SUM('Statistics NZ'!J$32:J$107,'Statistics NZ'!J$125:J$200)</f>
        <v>32935.084922568145</v>
      </c>
      <c r="K132" s="203">
        <f>'Statistics NZ'!K$132*'Economic Forecasts'!M$9*1000000/SUM('Statistics NZ'!K$32:K$107,'Statistics NZ'!K$125:K$200)</f>
        <v>34526.149763464389</v>
      </c>
      <c r="L132" s="203">
        <f>'Statistics NZ'!L$132*'Economic Forecasts'!N$9*1000000/SUM('Statistics NZ'!L$32:L$107,'Statistics NZ'!L$125:L$200)</f>
        <v>34943.633043019261</v>
      </c>
      <c r="M132" s="203">
        <f>'Statistics NZ'!M$132*'Economic Forecasts'!O$9*1000000/SUM('Statistics NZ'!M$32:M$107,'Statistics NZ'!M$125:M$200)</f>
        <v>35313.60301515316</v>
      </c>
      <c r="N132" s="203">
        <f>'Statistics NZ'!N$132*'Economic Forecasts'!P$9*1000000/SUM('Statistics NZ'!N$32:N$107,'Statistics NZ'!N$125:N$200)</f>
        <v>35131.830091145435</v>
      </c>
      <c r="O132" s="203">
        <f>'Statistics NZ'!O$132*'Economic Forecasts'!Q$9*1000000/SUM('Statistics NZ'!O$32:O$107,'Statistics NZ'!O$125:O$200)</f>
        <v>34154.753543794417</v>
      </c>
      <c r="P132" s="203">
        <f>'Statistics NZ'!P$132*'Economic Forecasts'!R$9*1000000/SUM('Statistics NZ'!P$32:P$107,'Statistics NZ'!P$125:P$200)</f>
        <v>34654.886527486633</v>
      </c>
      <c r="Q132" s="121">
        <f>SUM('Statistics NZ'!Q$132,$F$14/5*(Q$9-Q$10)*1000)*'Economic Forecasts'!S$9*1000000/SUM('Statistics NZ'!Q$32:Q$107,'Statistics NZ'!Q$125:Q$200,SUM($E$13:$Q$14)*(Q$9-Q$10)*1000)</f>
        <v>33546.717149001721</v>
      </c>
      <c r="R132" s="205">
        <f>SUM('Statistics NZ'!R$132,$F$14/5*(R$9-R$10)*1000)*'Economic Forecasts'!T$9*1000000/SUM('Statistics NZ'!R$32:R$107,'Statistics NZ'!R$125:R$200,SUM($E$13:$Q$14)*(R$9-R$10)*1000)</f>
        <v>34291.305766732054</v>
      </c>
      <c r="S132" s="205">
        <f>SUM('Statistics NZ'!S$132,$F$14/5*(S$9-S$10)*1000)*'Economic Forecasts'!U$9*1000000/SUM('Statistics NZ'!S$32:S$107,'Statistics NZ'!S$125:S$200,SUM($E$13:$Q$14)*(S$9-S$10)*1000)</f>
        <v>33935.77108901913</v>
      </c>
      <c r="T132" s="205">
        <f>SUM('Statistics NZ'!T$132,$F$14/5*(T$9-T$10)*1000)*'Economic Forecasts'!V$9*1000000/SUM('Statistics NZ'!T$32:T$107,'Statistics NZ'!T$125:T$200,SUM($E$13:$Q$14)*(T$9-T$10)*1000)</f>
        <v>32642.676583601547</v>
      </c>
      <c r="U132" s="205">
        <f>SUM('Statistics NZ'!U$132,$F$14/5*(U$9-U$10)*1000)*'Economic Forecasts'!W$9*1000000/SUM('Statistics NZ'!U$32:U$107,'Statistics NZ'!U$125:U$200,SUM($E$13:$Q$14)*(U$9-U$10)*1000)</f>
        <v>33271.937340868157</v>
      </c>
      <c r="V132" s="111">
        <f>SUM(U$132,'Statistics NZ'!V$132-'Statistics NZ'!U$132,$F$14/5*(V$9-V$10)*1000)</f>
        <v>33598.401146759024</v>
      </c>
      <c r="W132" s="111">
        <f>SUM(V$132,'Statistics NZ'!W$132-'Statistics NZ'!V$132,$F$14/5*(W$9-W$10)*1000)</f>
        <v>34066.556976913533</v>
      </c>
      <c r="X132" s="111">
        <f>SUM(W$132,'Statistics NZ'!X$132-'Statistics NZ'!W$132,$F$14/5*(X$9-X$10)*1000)</f>
        <v>35136.404831331682</v>
      </c>
      <c r="Y132" s="111">
        <f>SUM(X$132,'Statistics NZ'!Y$132-'Statistics NZ'!X$132,$F$14/5*(Y$9-Y$10)*1000)</f>
        <v>37167.944710013471</v>
      </c>
      <c r="Z132" s="111">
        <f>SUM(Y$132,'Statistics NZ'!Z$132-'Statistics NZ'!Y$132,$F$14/5*(Z$9-Z$10)*1000)</f>
        <v>38281.176612958909</v>
      </c>
      <c r="AA132" s="111">
        <f>SUM(Z$132,'Statistics NZ'!AA$132-'Statistics NZ'!Z$132,$F$14/5*(AA$9-AA$10)*1000)</f>
        <v>38876.100540167987</v>
      </c>
      <c r="AB132" s="111">
        <f>SUM(AA$132,'Statistics NZ'!AB$132-'Statistics NZ'!AA$132,$F$14/5*(AB$9-AB$10)*1000)</f>
        <v>39382.716491640705</v>
      </c>
      <c r="AC132" s="111">
        <f>SUM(AB$132,'Statistics NZ'!AC$132-'Statistics NZ'!AB$132,$F$14/5*(AC$9-AC$10)*1000)</f>
        <v>39101.024467377065</v>
      </c>
      <c r="AD132" s="111">
        <f>SUM(AC$132,'Statistics NZ'!AD$132-'Statistics NZ'!AC$132,$F$14/5*(AD$9-AD$10)*1000)</f>
        <v>38941.024467377065</v>
      </c>
      <c r="AE132" s="111">
        <f>SUM(AD$132,'Statistics NZ'!AE$132-'Statistics NZ'!AD$132,$F$14/5*(AE$9-AE$10)*1000)</f>
        <v>38651.024467377065</v>
      </c>
      <c r="AF132" s="111">
        <f>SUM(AE$132,'Statistics NZ'!AF$132-'Statistics NZ'!AE$132,$F$14/5*(AF$9-AF$10)*1000)</f>
        <v>38301.024467377065</v>
      </c>
      <c r="AG132" s="111">
        <f>SUM(AF$132,'Statistics NZ'!AG$132-'Statistics NZ'!AF$132,$F$14/5*(AG$9-AG$10)*1000)</f>
        <v>38221.024467377065</v>
      </c>
      <c r="AH132" s="111">
        <f>SUM(AG$132,'Statistics NZ'!AH$132-'Statistics NZ'!AG$132,$F$14/5*(AH$9-AH$10)*1000)</f>
        <v>37921.024467377065</v>
      </c>
      <c r="AI132" s="111">
        <f>SUM(AH$132,'Statistics NZ'!AI$132-'Statistics NZ'!AH$132,$F$14/5*(AI$9-AI$10)*1000)</f>
        <v>37681.024467377065</v>
      </c>
      <c r="AJ132" s="111">
        <f>SUM(AI$132,'Statistics NZ'!AJ$132-'Statistics NZ'!AI$132,$F$14/5*(AJ$9-AJ$10)*1000)</f>
        <v>36981.024467377065</v>
      </c>
      <c r="AK132" s="111">
        <f>SUM(AJ$132,'Statistics NZ'!AK$132-'Statistics NZ'!AJ$132,$F$14/5*(AK$9-AK$10)*1000)</f>
        <v>36961.024467377065</v>
      </c>
      <c r="AL132" s="111">
        <f>SUM(AK$132,'Statistics NZ'!AL$132-'Statistics NZ'!AK$132,$F$14/5*(AL$9-AL$10)*1000)</f>
        <v>36321.024467377065</v>
      </c>
      <c r="AM132" s="111">
        <f>SUM(AL$132,'Statistics NZ'!AM$132-'Statistics NZ'!AL$132,$F$14/5*(AM$9-AM$10)*1000)</f>
        <v>36141.024467377065</v>
      </c>
      <c r="AN132" s="111">
        <f>SUM(AM$132,'Statistics NZ'!AN$132-'Statistics NZ'!AM$132,$F$14/5*(AN$9-AN$10)*1000)</f>
        <v>36101.024467377065</v>
      </c>
      <c r="AO132" s="111">
        <f>SUM(AN$132,'Statistics NZ'!AO$132-'Statistics NZ'!AN$132,$F$14/5*(AO$9-AO$10)*1000)</f>
        <v>36041.024467377065</v>
      </c>
      <c r="AP132" s="111">
        <f>SUM(AO$132,'Statistics NZ'!AP$132-'Statistics NZ'!AO$132,$F$14/5*(AP$9-AP$10)*1000)</f>
        <v>35961.024467377065</v>
      </c>
      <c r="AQ132" s="111">
        <f>SUM(AP$132,'Statistics NZ'!AQ$132-'Statistics NZ'!AP$132,$F$14/5*(AQ$9-AQ$10)*1000)</f>
        <v>36081.024467377065</v>
      </c>
      <c r="AR132" s="111">
        <f>SUM(AQ$132,'Statistics NZ'!AR$132-'Statistics NZ'!AQ$132,$F$14/5*(AR$9-AR$10)*1000)</f>
        <v>36161.024467377065</v>
      </c>
      <c r="AS132" s="111">
        <f>SUM(AR$132,'Statistics NZ'!AS$132-'Statistics NZ'!AR$132,$F$14/5*(AS$9-AS$10)*1000)</f>
        <v>36221.024467377065</v>
      </c>
      <c r="AT132" s="111">
        <f>SUM(AS$132,'Statistics NZ'!AT$132-'Statistics NZ'!AS$132,$F$14/5*(AT$9-AT$10)*1000)</f>
        <v>36261.024467377065</v>
      </c>
      <c r="AU132" s="111">
        <f>SUM(AT$132,'Statistics NZ'!AU$132-'Statistics NZ'!AT$132,$F$14/5*(AU$9-AU$10)*1000)</f>
        <v>36291.024467377065</v>
      </c>
      <c r="AV132" s="111">
        <f>SUM(AU$132,'Statistics NZ'!AV$132-'Statistics NZ'!AU$132,$F$14/5*(AV$9-AV$10)*1000)</f>
        <v>36321.024467377065</v>
      </c>
      <c r="AW132" s="111">
        <f>SUM(AV$132,'Statistics NZ'!AW$132-'Statistics NZ'!AV$132,$F$14/5*(AW$9-AW$10)*1000)</f>
        <v>36341.024467377065</v>
      </c>
      <c r="AX132" s="111">
        <f>SUM(AW$132,'Statistics NZ'!AX$132-'Statistics NZ'!AW$132,$F$14/5*(AX$9-AX$10)*1000)</f>
        <v>36381.024467377065</v>
      </c>
      <c r="AY132" s="111">
        <f>SUM(AX$132,'Statistics NZ'!AY$132-'Statistics NZ'!AX$132,$F$14/5*(AY$9-AY$10)*1000)</f>
        <v>36431.024467377065</v>
      </c>
      <c r="AZ132" s="111">
        <f>SUM(AY$132,'Statistics NZ'!AZ$132-'Statistics NZ'!AY$132,$F$14/5*(AZ$9-AZ$10)*1000)</f>
        <v>36501.024467377065</v>
      </c>
      <c r="BA132" s="111">
        <f>SUM(AZ$132,'Statistics NZ'!BA$132-'Statistics NZ'!AZ$132,$F$14/5*(BA$9-BA$10)*1000)</f>
        <v>36591.024467377065</v>
      </c>
      <c r="BB132" s="111">
        <f>SUM(BA$132,'Statistics NZ'!BB$132-'Statistics NZ'!BA$132,$F$14/5*(BB$9-BB$10)*1000)</f>
        <v>36711.024467377065</v>
      </c>
      <c r="BC132" s="111">
        <f>SUM(BB$132,'Statistics NZ'!BC$132-'Statistics NZ'!BB$132,$F$14/5*(BC$9-BC$10)*1000)</f>
        <v>36851.024467377065</v>
      </c>
      <c r="BD132" s="111">
        <f>SUM(BC$132,'Statistics NZ'!BD$132-'Statistics NZ'!BC$132,$F$14/5*(BD$9-BD$10)*1000)</f>
        <v>37011.024467377065</v>
      </c>
      <c r="BE132" s="111">
        <f>SUM(BD$132,'Statistics NZ'!BE$132-'Statistics NZ'!BD$132,$F$14/5*(BE$9-BE$10)*1000)</f>
        <v>37181.024467377065</v>
      </c>
      <c r="BF132" s="111">
        <f>SUM(BE$132,'Statistics NZ'!BF$132-'Statistics NZ'!BE$132,$F$14/5*(BF$9-BF$10)*1000)</f>
        <v>37351.024467377065</v>
      </c>
      <c r="BG132" s="111">
        <f>SUM(BF$132,'Statistics NZ'!BG$132-'Statistics NZ'!BF$132,$F$14/5*(BG$9-BG$10)*1000)</f>
        <v>37501.024467377065</v>
      </c>
      <c r="BH132" s="111">
        <f>SUM(BG$132,'Statistics NZ'!BH$132-'Statistics NZ'!BG$132,$F$14/5*(BH$9-BH$10)*1000)</f>
        <v>37631.024467377065</v>
      </c>
      <c r="BI132" s="111">
        <f>SUM(BH$132,'Statistics NZ'!BI$132-'Statistics NZ'!BH$132,$F$14/5*(BI$9-BI$10)*1000)</f>
        <v>37731.024467377065</v>
      </c>
      <c r="BJ132" s="111">
        <f>SUM(BI$132,'Statistics NZ'!BJ$132-'Statistics NZ'!BI$132,$F$14/5*(BJ$9-BJ$10)*1000)</f>
        <v>37801.024467377065</v>
      </c>
      <c r="BK132" s="111">
        <f>SUM(BJ$132,'Statistics NZ'!BK$132-'Statistics NZ'!BJ$132,$F$14/5*(BK$9-BK$10)*1000)</f>
        <v>37831.024467377065</v>
      </c>
      <c r="BL132" s="111">
        <f>SUM(BK$132,'Statistics NZ'!BL$132-'Statistics NZ'!BK$132,$F$14/5*(BL$9-BL$10)*1000)</f>
        <v>37831.024467377065</v>
      </c>
      <c r="BM132" s="195">
        <f>SUM(BL$132,'Statistics NZ'!BM$132-'Statistics NZ'!BL$132,$F$14/5*(BM$9-BM$10)*1000)</f>
        <v>37801.024467377065</v>
      </c>
      <c r="BN132" s="195">
        <f>SUM(BM$132,'Statistics NZ'!BN$132-'Statistics NZ'!BM$132,$F$14/5*(BN$9-BN$10)*1000)</f>
        <v>37751.024467377065</v>
      </c>
      <c r="BO132" s="195">
        <f>SUM(BN$132,'Statistics NZ'!BO$132-'Statistics NZ'!BN$132,$F$14/5*(BO$9-BO$10)*1000)</f>
        <v>37671.024467377065</v>
      </c>
      <c r="BP132" s="195">
        <f>SUM(BO$132,'Statistics NZ'!BP$132-'Statistics NZ'!BO$132,$F$14/5*(BP$9-BP$10)*1000)</f>
        <v>37571.024467377065</v>
      </c>
      <c r="BQ132" s="195">
        <f>SUM(BP$132,'Statistics NZ'!BQ$132-'Statistics NZ'!BP$132,$F$14/5*(BQ$9-BQ$10)*1000)</f>
        <v>37471.024467377065</v>
      </c>
    </row>
    <row r="133" spans="1:69">
      <c r="A133" s="105">
        <f>$A$40</f>
        <v>23</v>
      </c>
      <c r="B133" s="118">
        <f>'Statistics NZ'!B$133*'Economic Forecasts'!D$9*1000000/SUM('Statistics NZ'!B$32:B$107,'Statistics NZ'!B$125:B$200)</f>
        <v>28656.339857780797</v>
      </c>
      <c r="C133" s="118">
        <f>'Statistics NZ'!C$133*'Economic Forecasts'!E$9*1000000/SUM('Statistics NZ'!C$32:C$107,'Statistics NZ'!C$125:C$200)</f>
        <v>28106.290269342484</v>
      </c>
      <c r="D133" s="118">
        <f>'Statistics NZ'!D$133*'Economic Forecasts'!F$9*1000000/SUM('Statistics NZ'!D$32:D$107,'Statistics NZ'!D$125:D$200)</f>
        <v>27646.372286162699</v>
      </c>
      <c r="E133" s="118">
        <f>'Statistics NZ'!E$133*'Economic Forecasts'!G$9*1000000/SUM('Statistics NZ'!E$32:E$107,'Statistics NZ'!E$125:E$200)</f>
        <v>27851.571838903044</v>
      </c>
      <c r="F133" s="118">
        <f>'Statistics NZ'!F$133*'Economic Forecasts'!H$9*1000000/SUM('Statistics NZ'!F$32:F$107,'Statistics NZ'!F$125:F$200)</f>
        <v>28520.442087650652</v>
      </c>
      <c r="G133" s="118">
        <f>'Statistics NZ'!G$133*'Economic Forecasts'!I$9*1000000/SUM('Statistics NZ'!G$32:G$107,'Statistics NZ'!G$125:G$200)</f>
        <v>29253.18876214277</v>
      </c>
      <c r="H133" s="118">
        <f>'Statistics NZ'!H$133*'Economic Forecasts'!J$9*1000000/SUM('Statistics NZ'!H$32:H$107,'Statistics NZ'!H$125:H$200)</f>
        <v>29795.234365396765</v>
      </c>
      <c r="I133" s="118">
        <f>'Statistics NZ'!I$133*'Economic Forecasts'!K$9*1000000/SUM('Statistics NZ'!I$32:I$107,'Statistics NZ'!I$125:I$200)</f>
        <v>30723.510362804278</v>
      </c>
      <c r="J133" s="203">
        <f>'Statistics NZ'!J$133*'Economic Forecasts'!L$9*1000000/SUM('Statistics NZ'!J$32:J$107,'Statistics NZ'!J$125:J$200)</f>
        <v>33023.540835520434</v>
      </c>
      <c r="K133" s="203">
        <f>'Statistics NZ'!K$133*'Economic Forecasts'!M$9*1000000/SUM('Statistics NZ'!K$32:K$107,'Statistics NZ'!K$125:K$200)</f>
        <v>34673.529457958401</v>
      </c>
      <c r="L133" s="203">
        <f>'Statistics NZ'!L$133*'Economic Forecasts'!N$9*1000000/SUM('Statistics NZ'!L$32:L$107,'Statistics NZ'!L$125:L$200)</f>
        <v>36027.003853259434</v>
      </c>
      <c r="M133" s="203">
        <f>'Statistics NZ'!M$133*'Economic Forecasts'!O$9*1000000/SUM('Statistics NZ'!M$32:M$107,'Statistics NZ'!M$125:M$200)</f>
        <v>35579.563205225437</v>
      </c>
      <c r="N133" s="203">
        <f>'Statistics NZ'!N$133*'Economic Forecasts'!P$9*1000000/SUM('Statistics NZ'!N$32:N$107,'Statistics NZ'!N$125:N$200)</f>
        <v>35644.991654274527</v>
      </c>
      <c r="O133" s="203">
        <f>'Statistics NZ'!O$133*'Economic Forecasts'!Q$9*1000000/SUM('Statistics NZ'!O$32:O$107,'Statistics NZ'!O$125:O$200)</f>
        <v>35408.048458576814</v>
      </c>
      <c r="P133" s="203">
        <f>'Statistics NZ'!P$133*'Economic Forecasts'!R$9*1000000/SUM('Statistics NZ'!P$32:P$107,'Statistics NZ'!P$125:P$200)</f>
        <v>34970.828512922417</v>
      </c>
      <c r="Q133" s="121">
        <f>SUM('Statistics NZ'!Q$133,$F$14/5*(Q$9-Q$10)*1000)*'Economic Forecasts'!S$9*1000000/SUM('Statistics NZ'!Q$32:Q$107,'Statistics NZ'!Q$125:Q$200,SUM($E$13:$Q$14)*(Q$9-Q$10)*1000)</f>
        <v>34624.337269571435</v>
      </c>
      <c r="R133" s="205">
        <f>SUM('Statistics NZ'!R$133,$F$14/5*(R$9-R$10)*1000)*'Economic Forecasts'!T$9*1000000/SUM('Statistics NZ'!R$32:R$107,'Statistics NZ'!R$125:R$200,SUM($E$13:$Q$14)*(R$9-R$10)*1000)</f>
        <v>33658.654303995434</v>
      </c>
      <c r="S133" s="205">
        <f>SUM('Statistics NZ'!S$133,$F$14/5*(S$9-S$10)*1000)*'Economic Forecasts'!U$9*1000000/SUM('Statistics NZ'!S$32:S$107,'Statistics NZ'!S$125:S$200,SUM($E$13:$Q$14)*(S$9-S$10)*1000)</f>
        <v>34498.925161540115</v>
      </c>
      <c r="T133" s="205">
        <f>SUM('Statistics NZ'!T$133,$F$14/5*(T$9-T$10)*1000)*'Economic Forecasts'!V$9*1000000/SUM('Statistics NZ'!T$32:T$107,'Statistics NZ'!T$125:T$200,SUM($E$13:$Q$14)*(T$9-T$10)*1000)</f>
        <v>34065.293521340398</v>
      </c>
      <c r="U133" s="205">
        <f>SUM('Statistics NZ'!U$133,$F$14/5*(U$9-U$10)*1000)*'Economic Forecasts'!W$9*1000000/SUM('Statistics NZ'!U$32:U$107,'Statistics NZ'!U$125:U$200,SUM($E$13:$Q$14)*(U$9-U$10)*1000)</f>
        <v>32816.899581844038</v>
      </c>
      <c r="V133" s="111">
        <f>SUM(U$133,'Statistics NZ'!V$133-'Statistics NZ'!U$133,$F$14/5*(V$9-V$10)*1000)</f>
        <v>33443.363387734906</v>
      </c>
      <c r="W133" s="111">
        <f>SUM(V$133,'Statistics NZ'!W$133-'Statistics NZ'!V$133,$F$14/5*(W$9-W$10)*1000)</f>
        <v>33761.519217889414</v>
      </c>
      <c r="X133" s="111">
        <f>SUM(W$133,'Statistics NZ'!X$133-'Statistics NZ'!W$133,$F$14/5*(X$9-X$10)*1000)</f>
        <v>34211.367072307563</v>
      </c>
      <c r="Y133" s="111">
        <f>SUM(X$133,'Statistics NZ'!Y$133-'Statistics NZ'!X$133,$F$14/5*(Y$9-Y$10)*1000)</f>
        <v>35282.906950989352</v>
      </c>
      <c r="Z133" s="111">
        <f>SUM(Y$133,'Statistics NZ'!Z$133-'Statistics NZ'!Y$133,$F$14/5*(Z$9-Z$10)*1000)</f>
        <v>37306.13885393479</v>
      </c>
      <c r="AA133" s="111">
        <f>SUM(Z$133,'Statistics NZ'!AA$133-'Statistics NZ'!Z$133,$F$14/5*(AA$9-AA$10)*1000)</f>
        <v>38411.062781143868</v>
      </c>
      <c r="AB133" s="111">
        <f>SUM(AA$133,'Statistics NZ'!AB$133-'Statistics NZ'!AA$133,$F$14/5*(AB$9-AB$10)*1000)</f>
        <v>38997.678732616587</v>
      </c>
      <c r="AC133" s="111">
        <f>SUM(AB$133,'Statistics NZ'!AC$133-'Statistics NZ'!AB$133,$F$14/5*(AC$9-AC$10)*1000)</f>
        <v>39495.986708352946</v>
      </c>
      <c r="AD133" s="111">
        <f>SUM(AC$133,'Statistics NZ'!AD$133-'Statistics NZ'!AC$133,$F$14/5*(AD$9-AD$10)*1000)</f>
        <v>39205.986708352946</v>
      </c>
      <c r="AE133" s="111">
        <f>SUM(AD$133,'Statistics NZ'!AE$133-'Statistics NZ'!AD$133,$F$14/5*(AE$9-AE$10)*1000)</f>
        <v>39045.986708352946</v>
      </c>
      <c r="AF133" s="111">
        <f>SUM(AE$133,'Statistics NZ'!AF$133-'Statistics NZ'!AE$133,$F$14/5*(AF$9-AF$10)*1000)</f>
        <v>38755.986708352946</v>
      </c>
      <c r="AG133" s="111">
        <f>SUM(AF$133,'Statistics NZ'!AG$133-'Statistics NZ'!AF$133,$F$14/5*(AG$9-AG$10)*1000)</f>
        <v>38405.986708352946</v>
      </c>
      <c r="AH133" s="111">
        <f>SUM(AG$133,'Statistics NZ'!AH$133-'Statistics NZ'!AG$133,$F$14/5*(AH$9-AH$10)*1000)</f>
        <v>38325.986708352946</v>
      </c>
      <c r="AI133" s="111">
        <f>SUM(AH$133,'Statistics NZ'!AI$133-'Statistics NZ'!AH$133,$F$14/5*(AI$9-AI$10)*1000)</f>
        <v>38025.986708352946</v>
      </c>
      <c r="AJ133" s="111">
        <f>SUM(AI$133,'Statistics NZ'!AJ$133-'Statistics NZ'!AI$133,$F$14/5*(AJ$9-AJ$10)*1000)</f>
        <v>37785.986708352946</v>
      </c>
      <c r="AK133" s="111">
        <f>SUM(AJ$133,'Statistics NZ'!AK$133-'Statistics NZ'!AJ$133,$F$14/5*(AK$9-AK$10)*1000)</f>
        <v>37095.986708352946</v>
      </c>
      <c r="AL133" s="111">
        <f>SUM(AK$133,'Statistics NZ'!AL$133-'Statistics NZ'!AK$133,$F$14/5*(AL$9-AL$10)*1000)</f>
        <v>37065.986708352946</v>
      </c>
      <c r="AM133" s="111">
        <f>SUM(AL$133,'Statistics NZ'!AM$133-'Statistics NZ'!AL$133,$F$14/5*(AM$9-AM$10)*1000)</f>
        <v>36425.986708352946</v>
      </c>
      <c r="AN133" s="111">
        <f>SUM(AM$133,'Statistics NZ'!AN$133-'Statistics NZ'!AM$133,$F$14/5*(AN$9-AN$10)*1000)</f>
        <v>36245.986708352946</v>
      </c>
      <c r="AO133" s="111">
        <f>SUM(AN$133,'Statistics NZ'!AO$133-'Statistics NZ'!AN$133,$F$14/5*(AO$9-AO$10)*1000)</f>
        <v>36215.986708352946</v>
      </c>
      <c r="AP133" s="111">
        <f>SUM(AO$133,'Statistics NZ'!AP$133-'Statistics NZ'!AO$133,$F$14/5*(AP$9-AP$10)*1000)</f>
        <v>36155.986708352946</v>
      </c>
      <c r="AQ133" s="111">
        <f>SUM(AP$133,'Statistics NZ'!AQ$133-'Statistics NZ'!AP$133,$F$14/5*(AQ$9-AQ$10)*1000)</f>
        <v>36065.986708352946</v>
      </c>
      <c r="AR133" s="111">
        <f>SUM(AQ$133,'Statistics NZ'!AR$133-'Statistics NZ'!AQ$133,$F$14/5*(AR$9-AR$10)*1000)</f>
        <v>36185.986708352946</v>
      </c>
      <c r="AS133" s="111">
        <f>SUM(AR$133,'Statistics NZ'!AS$133-'Statistics NZ'!AR$133,$F$14/5*(AS$9-AS$10)*1000)</f>
        <v>36275.986708352946</v>
      </c>
      <c r="AT133" s="111">
        <f>SUM(AS$133,'Statistics NZ'!AT$133-'Statistics NZ'!AS$133,$F$14/5*(AT$9-AT$10)*1000)</f>
        <v>36335.986708352946</v>
      </c>
      <c r="AU133" s="111">
        <f>SUM(AT$133,'Statistics NZ'!AU$133-'Statistics NZ'!AT$133,$F$14/5*(AU$9-AU$10)*1000)</f>
        <v>36375.986708352946</v>
      </c>
      <c r="AV133" s="111">
        <f>SUM(AU$133,'Statistics NZ'!AV$133-'Statistics NZ'!AU$133,$F$14/5*(AV$9-AV$10)*1000)</f>
        <v>36395.986708352946</v>
      </c>
      <c r="AW133" s="111">
        <f>SUM(AV$133,'Statistics NZ'!AW$133-'Statistics NZ'!AV$133,$F$14/5*(AW$9-AW$10)*1000)</f>
        <v>36425.986708352946</v>
      </c>
      <c r="AX133" s="111">
        <f>SUM(AW$133,'Statistics NZ'!AX$133-'Statistics NZ'!AW$133,$F$14/5*(AX$9-AX$10)*1000)</f>
        <v>36455.986708352946</v>
      </c>
      <c r="AY133" s="111">
        <f>SUM(AX$133,'Statistics NZ'!AY$133-'Statistics NZ'!AX$133,$F$14/5*(AY$9-AY$10)*1000)</f>
        <v>36495.986708352946</v>
      </c>
      <c r="AZ133" s="111">
        <f>SUM(AY$133,'Statistics NZ'!AZ$133-'Statistics NZ'!AY$133,$F$14/5*(AZ$9-AZ$10)*1000)</f>
        <v>36545.986708352946</v>
      </c>
      <c r="BA133" s="111">
        <f>SUM(AZ$133,'Statistics NZ'!BA$133-'Statistics NZ'!AZ$133,$F$14/5*(BA$9-BA$10)*1000)</f>
        <v>36615.986708352946</v>
      </c>
      <c r="BB133" s="111">
        <f>SUM(BA$133,'Statistics NZ'!BB$133-'Statistics NZ'!BA$133,$F$14/5*(BB$9-BB$10)*1000)</f>
        <v>36705.986708352946</v>
      </c>
      <c r="BC133" s="111">
        <f>SUM(BB$133,'Statistics NZ'!BC$133-'Statistics NZ'!BB$133,$F$14/5*(BC$9-BC$10)*1000)</f>
        <v>36825.986708352946</v>
      </c>
      <c r="BD133" s="111">
        <f>SUM(BC$133,'Statistics NZ'!BD$133-'Statistics NZ'!BC$133,$F$14/5*(BD$9-BD$10)*1000)</f>
        <v>36965.986708352946</v>
      </c>
      <c r="BE133" s="111">
        <f>SUM(BD$133,'Statistics NZ'!BE$133-'Statistics NZ'!BD$133,$F$14/5*(BE$9-BE$10)*1000)</f>
        <v>37125.986708352946</v>
      </c>
      <c r="BF133" s="111">
        <f>SUM(BE$133,'Statistics NZ'!BF$133-'Statistics NZ'!BE$133,$F$14/5*(BF$9-BF$10)*1000)</f>
        <v>37295.986708352946</v>
      </c>
      <c r="BG133" s="111">
        <f>SUM(BF$133,'Statistics NZ'!BG$133-'Statistics NZ'!BF$133,$F$14/5*(BG$9-BG$10)*1000)</f>
        <v>37465.986708352946</v>
      </c>
      <c r="BH133" s="111">
        <f>SUM(BG$133,'Statistics NZ'!BH$133-'Statistics NZ'!BG$133,$F$14/5*(BH$9-BH$10)*1000)</f>
        <v>37615.986708352946</v>
      </c>
      <c r="BI133" s="111">
        <f>SUM(BH$133,'Statistics NZ'!BI$133-'Statistics NZ'!BH$133,$F$14/5*(BI$9-BI$10)*1000)</f>
        <v>37745.986708352946</v>
      </c>
      <c r="BJ133" s="111">
        <f>SUM(BI$133,'Statistics NZ'!BJ$133-'Statistics NZ'!BI$133,$F$14/5*(BJ$9-BJ$10)*1000)</f>
        <v>37845.986708352946</v>
      </c>
      <c r="BK133" s="111">
        <f>SUM(BJ$133,'Statistics NZ'!BK$133-'Statistics NZ'!BJ$133,$F$14/5*(BK$9-BK$10)*1000)</f>
        <v>37915.986708352946</v>
      </c>
      <c r="BL133" s="111">
        <f>SUM(BK$133,'Statistics NZ'!BL$133-'Statistics NZ'!BK$133,$F$14/5*(BL$9-BL$10)*1000)</f>
        <v>37945.986708352946</v>
      </c>
      <c r="BM133" s="195">
        <f>SUM(BL$133,'Statistics NZ'!BM$133-'Statistics NZ'!BL$133,$F$14/5*(BM$9-BM$10)*1000)</f>
        <v>37945.986708352946</v>
      </c>
      <c r="BN133" s="195">
        <f>SUM(BM$133,'Statistics NZ'!BN$133-'Statistics NZ'!BM$133,$F$14/5*(BN$9-BN$10)*1000)</f>
        <v>37915.986708352946</v>
      </c>
      <c r="BO133" s="195">
        <f>SUM(BN$133,'Statistics NZ'!BO$133-'Statistics NZ'!BN$133,$F$14/5*(BO$9-BO$10)*1000)</f>
        <v>37855.986708352946</v>
      </c>
      <c r="BP133" s="195">
        <f>SUM(BO$133,'Statistics NZ'!BP$133-'Statistics NZ'!BO$133,$F$14/5*(BP$9-BP$10)*1000)</f>
        <v>37775.986708352946</v>
      </c>
      <c r="BQ133" s="195">
        <f>SUM(BP$133,'Statistics NZ'!BQ$133-'Statistics NZ'!BP$133,$F$14/5*(BQ$9-BQ$10)*1000)</f>
        <v>37685.986708352946</v>
      </c>
    </row>
    <row r="134" spans="1:69">
      <c r="A134" s="105">
        <f>$A$41</f>
        <v>24</v>
      </c>
      <c r="B134" s="118">
        <f>'Statistics NZ'!B$134*'Economic Forecasts'!D$9*1000000/SUM('Statistics NZ'!B$32:B$107,'Statistics NZ'!B$125:B$200)</f>
        <v>27553.036295019901</v>
      </c>
      <c r="C134" s="118">
        <f>'Statistics NZ'!C$134*'Economic Forecasts'!E$9*1000000/SUM('Statistics NZ'!C$32:C$107,'Statistics NZ'!C$125:C$200)</f>
        <v>27918.980723527857</v>
      </c>
      <c r="D134" s="118">
        <f>'Statistics NZ'!D$134*'Economic Forecasts'!F$9*1000000/SUM('Statistics NZ'!D$32:D$107,'Statistics NZ'!D$125:D$200)</f>
        <v>27459.106306327729</v>
      </c>
      <c r="E134" s="118">
        <f>'Statistics NZ'!E$134*'Economic Forecasts'!G$9*1000000/SUM('Statistics NZ'!E$32:E$107,'Statistics NZ'!E$125:E$200)</f>
        <v>27290.207059971832</v>
      </c>
      <c r="F134" s="118">
        <f>'Statistics NZ'!F$134*'Economic Forecasts'!H$9*1000000/SUM('Statistics NZ'!F$32:F$107,'Statistics NZ'!F$125:F$200)</f>
        <v>27683.054323419114</v>
      </c>
      <c r="G134" s="118">
        <f>'Statistics NZ'!G$134*'Economic Forecasts'!I$9*1000000/SUM('Statistics NZ'!G$32:G$107,'Statistics NZ'!G$125:G$200)</f>
        <v>28041.285017533959</v>
      </c>
      <c r="H134" s="118">
        <f>'Statistics NZ'!H$134*'Economic Forecasts'!J$9*1000000/SUM('Statistics NZ'!H$32:H$107,'Statistics NZ'!H$125:H$200)</f>
        <v>28514.778012503681</v>
      </c>
      <c r="I134" s="118">
        <f>'Statistics NZ'!I$134*'Economic Forecasts'!K$9*1000000/SUM('Statistics NZ'!I$32:I$107,'Statistics NZ'!I$125:I$200)</f>
        <v>29434.343207926846</v>
      </c>
      <c r="J134" s="203">
        <f>'Statistics NZ'!J$134*'Economic Forecasts'!L$9*1000000/SUM('Statistics NZ'!J$32:J$107,'Statistics NZ'!J$125:J$200)</f>
        <v>31647.559967373752</v>
      </c>
      <c r="K134" s="203">
        <f>'Statistics NZ'!K$134*'Economic Forecasts'!M$9*1000000/SUM('Statistics NZ'!K$32:K$107,'Statistics NZ'!K$125:K$200)</f>
        <v>34594.926954228264</v>
      </c>
      <c r="L134" s="203">
        <f>'Statistics NZ'!L$134*'Economic Forecasts'!N$9*1000000/SUM('Statistics NZ'!L$32:L$107,'Statistics NZ'!L$125:L$200)</f>
        <v>36273.224491950379</v>
      </c>
      <c r="M134" s="203">
        <f>'Statistics NZ'!M$134*'Economic Forecasts'!O$9*1000000/SUM('Statistics NZ'!M$32:M$107,'Statistics NZ'!M$125:M$200)</f>
        <v>36909.364155586853</v>
      </c>
      <c r="N134" s="203">
        <f>'Statistics NZ'!N$134*'Economic Forecasts'!P$9*1000000/SUM('Statistics NZ'!N$32:N$107,'Statistics NZ'!N$125:N$200)</f>
        <v>35970.65187702953</v>
      </c>
      <c r="O134" s="203">
        <f>'Statistics NZ'!O$134*'Economic Forecasts'!Q$9*1000000/SUM('Statistics NZ'!O$32:O$107,'Statistics NZ'!O$125:O$200)</f>
        <v>35921.208581164887</v>
      </c>
      <c r="P134" s="203">
        <f>'Statistics NZ'!P$134*'Economic Forecasts'!R$9*1000000/SUM('Statistics NZ'!P$32:P$107,'Statistics NZ'!P$125:P$200)</f>
        <v>36451.80656965261</v>
      </c>
      <c r="Q134" s="121">
        <f>SUM('Statistics NZ'!Q$134,$F$14/5*(Q$9-Q$10)*1000)*'Economic Forecasts'!S$9*1000000/SUM('Statistics NZ'!Q$32:Q$107,'Statistics NZ'!Q$125:Q$200,SUM($E$13:$Q$14)*(Q$9-Q$10)*1000)</f>
        <v>34920.929963306218</v>
      </c>
      <c r="R134" s="205">
        <f>SUM('Statistics NZ'!R$134,$F$14/5*(R$9-R$10)*1000)*'Economic Forecasts'!T$9*1000000/SUM('Statistics NZ'!R$32:R$107,'Statistics NZ'!R$125:R$200,SUM($E$13:$Q$14)*(R$9-R$10)*1000)</f>
        <v>34696.598110047707</v>
      </c>
      <c r="S134" s="205">
        <f>SUM('Statistics NZ'!S$134,$F$14/5*(S$9-S$10)*1000)*'Economic Forecasts'!U$9*1000000/SUM('Statistics NZ'!S$32:S$107,'Statistics NZ'!S$125:S$200,SUM($E$13:$Q$14)*(S$9-S$10)*1000)</f>
        <v>33817.212336909448</v>
      </c>
      <c r="T134" s="205">
        <f>SUM('Statistics NZ'!T$134,$F$14/5*(T$9-T$10)*1000)*'Economic Forecasts'!V$9*1000000/SUM('Statistics NZ'!T$32:T$107,'Statistics NZ'!T$125:T$200,SUM($E$13:$Q$14)*(T$9-T$10)*1000)</f>
        <v>34569.1370201229</v>
      </c>
      <c r="U134" s="205">
        <f>SUM('Statistics NZ'!U$134,$F$14/5*(U$9-U$10)*1000)*'Economic Forecasts'!W$9*1000000/SUM('Statistics NZ'!U$32:U$107,'Statistics NZ'!U$125:U$200,SUM($E$13:$Q$14)*(U$9-U$10)*1000)</f>
        <v>34182.012858916394</v>
      </c>
      <c r="V134" s="111">
        <f>SUM(U$134,'Statistics NZ'!V$134-'Statistics NZ'!U$134,$F$14/5*(V$9-V$10)*1000)</f>
        <v>32908.476664807262</v>
      </c>
      <c r="W134" s="111">
        <f>SUM(V$134,'Statistics NZ'!W$134-'Statistics NZ'!V$134,$F$14/5*(W$9-W$10)*1000)</f>
        <v>33526.63249496177</v>
      </c>
      <c r="X134" s="111">
        <f>SUM(W$134,'Statistics NZ'!X$134-'Statistics NZ'!W$134,$F$14/5*(X$9-X$10)*1000)</f>
        <v>33836.480349379919</v>
      </c>
      <c r="Y134" s="111">
        <f>SUM(X$134,'Statistics NZ'!Y$134-'Statistics NZ'!X$134,$F$14/5*(Y$9-Y$10)*1000)</f>
        <v>34288.020228061709</v>
      </c>
      <c r="Z134" s="111">
        <f>SUM(Y$134,'Statistics NZ'!Z$134-'Statistics NZ'!Y$134,$F$14/5*(Z$9-Z$10)*1000)</f>
        <v>35341.252131007146</v>
      </c>
      <c r="AA134" s="111">
        <f>SUM(Z$134,'Statistics NZ'!AA$134-'Statistics NZ'!Z$134,$F$14/5*(AA$9-AA$10)*1000)</f>
        <v>37356.176058216224</v>
      </c>
      <c r="AB134" s="111">
        <f>SUM(AA$134,'Statistics NZ'!AB$134-'Statistics NZ'!AA$134,$F$14/5*(AB$9-AB$10)*1000)</f>
        <v>38452.792009688943</v>
      </c>
      <c r="AC134" s="111">
        <f>SUM(AB$134,'Statistics NZ'!AC$134-'Statistics NZ'!AB$134,$F$14/5*(AC$9-AC$10)*1000)</f>
        <v>39031.099985425302</v>
      </c>
      <c r="AD134" s="111">
        <f>SUM(AC$134,'Statistics NZ'!AD$134-'Statistics NZ'!AC$134,$F$14/5*(AD$9-AD$10)*1000)</f>
        <v>39521.099985425302</v>
      </c>
      <c r="AE134" s="111">
        <f>SUM(AD$134,'Statistics NZ'!AE$134-'Statistics NZ'!AD$134,$F$14/5*(AE$9-AE$10)*1000)</f>
        <v>39231.099985425302</v>
      </c>
      <c r="AF134" s="111">
        <f>SUM(AE$134,'Statistics NZ'!AF$134-'Statistics NZ'!AE$134,$F$14/5*(AF$9-AF$10)*1000)</f>
        <v>39071.099985425302</v>
      </c>
      <c r="AG134" s="111">
        <f>SUM(AF$134,'Statistics NZ'!AG$134-'Statistics NZ'!AF$134,$F$14/5*(AG$9-AG$10)*1000)</f>
        <v>38781.099985425302</v>
      </c>
      <c r="AH134" s="111">
        <f>SUM(AG$134,'Statistics NZ'!AH$134-'Statistics NZ'!AG$134,$F$14/5*(AH$9-AH$10)*1000)</f>
        <v>38431.099985425302</v>
      </c>
      <c r="AI134" s="111">
        <f>SUM(AH$134,'Statistics NZ'!AI$134-'Statistics NZ'!AH$134,$F$14/5*(AI$9-AI$10)*1000)</f>
        <v>38361.099985425302</v>
      </c>
      <c r="AJ134" s="111">
        <f>SUM(AI$134,'Statistics NZ'!AJ$134-'Statistics NZ'!AI$134,$F$14/5*(AJ$9-AJ$10)*1000)</f>
        <v>38051.099985425302</v>
      </c>
      <c r="AK134" s="111">
        <f>SUM(AJ$134,'Statistics NZ'!AK$134-'Statistics NZ'!AJ$134,$F$14/5*(AK$9-AK$10)*1000)</f>
        <v>37821.099985425302</v>
      </c>
      <c r="AL134" s="111">
        <f>SUM(AK$134,'Statistics NZ'!AL$134-'Statistics NZ'!AK$134,$F$14/5*(AL$9-AL$10)*1000)</f>
        <v>37121.099985425302</v>
      </c>
      <c r="AM134" s="111">
        <f>SUM(AL$134,'Statistics NZ'!AM$134-'Statistics NZ'!AL$134,$F$14/5*(AM$9-AM$10)*1000)</f>
        <v>37091.099985425302</v>
      </c>
      <c r="AN134" s="111">
        <f>SUM(AM$134,'Statistics NZ'!AN$134-'Statistics NZ'!AM$134,$F$14/5*(AN$9-AN$10)*1000)</f>
        <v>36461.099985425302</v>
      </c>
      <c r="AO134" s="111">
        <f>SUM(AN$134,'Statistics NZ'!AO$134-'Statistics NZ'!AN$134,$F$14/5*(AO$9-AO$10)*1000)</f>
        <v>36281.099985425302</v>
      </c>
      <c r="AP134" s="111">
        <f>SUM(AO$134,'Statistics NZ'!AP$134-'Statistics NZ'!AO$134,$F$14/5*(AP$9-AP$10)*1000)</f>
        <v>36241.099985425302</v>
      </c>
      <c r="AQ134" s="111">
        <f>SUM(AP$134,'Statistics NZ'!AQ$134-'Statistics NZ'!AP$134,$F$14/5*(AQ$9-AQ$10)*1000)</f>
        <v>36181.099985425302</v>
      </c>
      <c r="AR134" s="111">
        <f>SUM(AQ$134,'Statistics NZ'!AR$134-'Statistics NZ'!AQ$134,$F$14/5*(AR$9-AR$10)*1000)</f>
        <v>36101.099985425302</v>
      </c>
      <c r="AS134" s="111">
        <f>SUM(AR$134,'Statistics NZ'!AS$134-'Statistics NZ'!AR$134,$F$14/5*(AS$9-AS$10)*1000)</f>
        <v>36221.099985425302</v>
      </c>
      <c r="AT134" s="111">
        <f>SUM(AS$134,'Statistics NZ'!AT$134-'Statistics NZ'!AS$134,$F$14/5*(AT$9-AT$10)*1000)</f>
        <v>36311.099985425302</v>
      </c>
      <c r="AU134" s="111">
        <f>SUM(AT$134,'Statistics NZ'!AU$134-'Statistics NZ'!AT$134,$F$14/5*(AU$9-AU$10)*1000)</f>
        <v>36361.099985425302</v>
      </c>
      <c r="AV134" s="111">
        <f>SUM(AU$134,'Statistics NZ'!AV$134-'Statistics NZ'!AU$134,$F$14/5*(AV$9-AV$10)*1000)</f>
        <v>36401.099985425302</v>
      </c>
      <c r="AW134" s="111">
        <f>SUM(AV$134,'Statistics NZ'!AW$134-'Statistics NZ'!AV$134,$F$14/5*(AW$9-AW$10)*1000)</f>
        <v>36431.099985425302</v>
      </c>
      <c r="AX134" s="111">
        <f>SUM(AW$134,'Statistics NZ'!AX$134-'Statistics NZ'!AW$134,$F$14/5*(AX$9-AX$10)*1000)</f>
        <v>36461.099985425302</v>
      </c>
      <c r="AY134" s="111">
        <f>SUM(AX$134,'Statistics NZ'!AY$134-'Statistics NZ'!AX$134,$F$14/5*(AY$9-AY$10)*1000)</f>
        <v>36491.099985425302</v>
      </c>
      <c r="AZ134" s="111">
        <f>SUM(AY$134,'Statistics NZ'!AZ$134-'Statistics NZ'!AY$134,$F$14/5*(AZ$9-AZ$10)*1000)</f>
        <v>36531.099985425302</v>
      </c>
      <c r="BA134" s="111">
        <f>SUM(AZ$134,'Statistics NZ'!BA$134-'Statistics NZ'!AZ$134,$F$14/5*(BA$9-BA$10)*1000)</f>
        <v>36581.099985425302</v>
      </c>
      <c r="BB134" s="111">
        <f>SUM(BA$134,'Statistics NZ'!BB$134-'Statistics NZ'!BA$134,$F$14/5*(BB$9-BB$10)*1000)</f>
        <v>36651.099985425302</v>
      </c>
      <c r="BC134" s="111">
        <f>SUM(BB$134,'Statistics NZ'!BC$134-'Statistics NZ'!BB$134,$F$14/5*(BC$9-BC$10)*1000)</f>
        <v>36741.099985425302</v>
      </c>
      <c r="BD134" s="111">
        <f>SUM(BC$134,'Statistics NZ'!BD$134-'Statistics NZ'!BC$134,$F$14/5*(BD$9-BD$10)*1000)</f>
        <v>36861.099985425302</v>
      </c>
      <c r="BE134" s="111">
        <f>SUM(BD$134,'Statistics NZ'!BE$134-'Statistics NZ'!BD$134,$F$14/5*(BE$9-BE$10)*1000)</f>
        <v>37001.099985425302</v>
      </c>
      <c r="BF134" s="111">
        <f>SUM(BE$134,'Statistics NZ'!BF$134-'Statistics NZ'!BE$134,$F$14/5*(BF$9-BF$10)*1000)</f>
        <v>37161.099985425302</v>
      </c>
      <c r="BG134" s="111">
        <f>SUM(BF$134,'Statistics NZ'!BG$134-'Statistics NZ'!BF$134,$F$14/5*(BG$9-BG$10)*1000)</f>
        <v>37331.099985425302</v>
      </c>
      <c r="BH134" s="111">
        <f>SUM(BG$134,'Statistics NZ'!BH$134-'Statistics NZ'!BG$134,$F$14/5*(BH$9-BH$10)*1000)</f>
        <v>37501.099985425302</v>
      </c>
      <c r="BI134" s="111">
        <f>SUM(BH$134,'Statistics NZ'!BI$134-'Statistics NZ'!BH$134,$F$14/5*(BI$9-BI$10)*1000)</f>
        <v>37651.099985425302</v>
      </c>
      <c r="BJ134" s="111">
        <f>SUM(BI$134,'Statistics NZ'!BJ$134-'Statistics NZ'!BI$134,$F$14/5*(BJ$9-BJ$10)*1000)</f>
        <v>37781.099985425302</v>
      </c>
      <c r="BK134" s="111">
        <f>SUM(BJ$134,'Statistics NZ'!BK$134-'Statistics NZ'!BJ$134,$F$14/5*(BK$9-BK$10)*1000)</f>
        <v>37881.099985425302</v>
      </c>
      <c r="BL134" s="111">
        <f>SUM(BK$134,'Statistics NZ'!BL$134-'Statistics NZ'!BK$134,$F$14/5*(BL$9-BL$10)*1000)</f>
        <v>37951.099985425302</v>
      </c>
      <c r="BM134" s="195">
        <f>SUM(BL$134,'Statistics NZ'!BM$134-'Statistics NZ'!BL$134,$F$14/5*(BM$9-BM$10)*1000)</f>
        <v>37981.099985425302</v>
      </c>
      <c r="BN134" s="195">
        <f>SUM(BM$134,'Statistics NZ'!BN$134-'Statistics NZ'!BM$134,$F$14/5*(BN$9-BN$10)*1000)</f>
        <v>37981.099985425302</v>
      </c>
      <c r="BO134" s="195">
        <f>SUM(BN$134,'Statistics NZ'!BO$134-'Statistics NZ'!BN$134,$F$14/5*(BO$9-BO$10)*1000)</f>
        <v>37951.099985425302</v>
      </c>
      <c r="BP134" s="195">
        <f>SUM(BO$134,'Statistics NZ'!BP$134-'Statistics NZ'!BO$134,$F$14/5*(BP$9-BP$10)*1000)</f>
        <v>37901.099985425302</v>
      </c>
      <c r="BQ134" s="195">
        <f>SUM(BP$134,'Statistics NZ'!BQ$134-'Statistics NZ'!BP$134,$F$14/5*(BQ$9-BQ$10)*1000)</f>
        <v>37821.099985425302</v>
      </c>
    </row>
    <row r="135" spans="1:69">
      <c r="A135" s="105">
        <f>$A$42</f>
        <v>25</v>
      </c>
      <c r="B135" s="118">
        <f>'Statistics NZ'!B$135*'Economic Forecasts'!D$9*1000000/SUM('Statistics NZ'!B$32:B$107,'Statistics NZ'!B$125:B$200)</f>
        <v>26449.732732259003</v>
      </c>
      <c r="C135" s="118">
        <f>'Statistics NZ'!C$135*'Economic Forecasts'!E$9*1000000/SUM('Statistics NZ'!C$32:C$107,'Statistics NZ'!C$125:C$200)</f>
        <v>26942.99940586216</v>
      </c>
      <c r="D135" s="118">
        <f>'Statistics NZ'!D$135*'Economic Forecasts'!F$9*1000000/SUM('Statistics NZ'!D$32:D$107,'Statistics NZ'!D$125:D$200)</f>
        <v>27291.55253489644</v>
      </c>
      <c r="E135" s="118">
        <f>'Statistics NZ'!E$135*'Economic Forecasts'!G$9*1000000/SUM('Statistics NZ'!E$32:E$107,'Statistics NZ'!E$125:E$200)</f>
        <v>27132.630981675353</v>
      </c>
      <c r="F135" s="118">
        <f>'Statistics NZ'!F$135*'Economic Forecasts'!H$9*1000000/SUM('Statistics NZ'!F$32:F$107,'Statistics NZ'!F$125:F$200)</f>
        <v>26993.440870522551</v>
      </c>
      <c r="G135" s="118">
        <f>'Statistics NZ'!G$135*'Economic Forecasts'!I$9*1000000/SUM('Statistics NZ'!G$32:G$107,'Statistics NZ'!G$125:G$200)</f>
        <v>27085.556048208306</v>
      </c>
      <c r="H135" s="118">
        <f>'Statistics NZ'!H$135*'Economic Forecasts'!J$9*1000000/SUM('Statistics NZ'!H$32:H$107,'Statistics NZ'!H$125:H$200)</f>
        <v>27362.367294899905</v>
      </c>
      <c r="I135" s="118">
        <f>'Statistics NZ'!I$135*'Economic Forecasts'!K$9*1000000/SUM('Statistics NZ'!I$32:I$107,'Statistics NZ'!I$125:I$200)</f>
        <v>28095.97119980981</v>
      </c>
      <c r="J135" s="203">
        <f>'Statistics NZ'!J$135*'Economic Forecasts'!L$9*1000000/SUM('Statistics NZ'!J$32:J$107,'Statistics NZ'!J$125:J$200)</f>
        <v>30251.922229682117</v>
      </c>
      <c r="K135" s="203">
        <f>'Statistics NZ'!K$135*'Economic Forecasts'!M$9*1000000/SUM('Statistics NZ'!K$32:K$107,'Statistics NZ'!K$125:K$200)</f>
        <v>33258.684390815863</v>
      </c>
      <c r="L135" s="203">
        <f>'Statistics NZ'!L$135*'Economic Forecasts'!N$9*1000000/SUM('Statistics NZ'!L$32:L$107,'Statistics NZ'!L$125:L$200)</f>
        <v>36184.585062021644</v>
      </c>
      <c r="M135" s="203">
        <f>'Statistics NZ'!M$135*'Economic Forecasts'!O$9*1000000/SUM('Statistics NZ'!M$32:M$107,'Statistics NZ'!M$125:M$200)</f>
        <v>37382.182271270925</v>
      </c>
      <c r="N135" s="203">
        <f>'Statistics NZ'!N$135*'Economic Forecasts'!P$9*1000000/SUM('Statistics NZ'!N$32:N$107,'Statistics NZ'!N$125:N$200)</f>
        <v>37490.399583219529</v>
      </c>
      <c r="O135" s="203">
        <f>'Statistics NZ'!O$135*'Economic Forecasts'!Q$9*1000000/SUM('Statistics NZ'!O$32:O$107,'Statistics NZ'!O$125:O$200)</f>
        <v>36187.657106354847</v>
      </c>
      <c r="P135" s="203">
        <f>'Statistics NZ'!P$135*'Economic Forecasts'!R$9*1000000/SUM('Statistics NZ'!P$32:P$107,'Statistics NZ'!P$125:P$200)</f>
        <v>36905.973173716542</v>
      </c>
      <c r="Q135" s="121">
        <f>SUM('Statistics NZ'!Q$135,$G$14/5*(Q$9-Q$10)*1000)*'Economic Forecasts'!S$9*1000000/SUM('Statistics NZ'!Q$32:Q$107,'Statistics NZ'!Q$125:Q$200,SUM($E$13:$Q$14)*(Q$9-Q$10)*1000)</f>
        <v>36365.138547034643</v>
      </c>
      <c r="R135" s="205">
        <f>SUM('Statistics NZ'!R$135,$G$14/5*(R$9-R$10)*1000)*'Economic Forecasts'!T$9*1000000/SUM('Statistics NZ'!R$32:R$107,'Statistics NZ'!R$125:R$200,SUM($E$13:$Q$14)*(R$9-R$10)*1000)</f>
        <v>34928.639542881581</v>
      </c>
      <c r="S135" s="205">
        <f>SUM('Statistics NZ'!S$135,$G$14/5*(S$9-S$10)*1000)*'Economic Forecasts'!U$9*1000000/SUM('Statistics NZ'!S$32:S$107,'Statistics NZ'!S$125:S$200,SUM($E$13:$Q$14)*(S$9-S$10)*1000)</f>
        <v>34844.929631488929</v>
      </c>
      <c r="T135" s="205">
        <f>SUM('Statistics NZ'!T$135,$G$14/5*(T$9-T$10)*1000)*'Economic Forecasts'!V$9*1000000/SUM('Statistics NZ'!T$32:T$107,'Statistics NZ'!T$125:T$200,SUM($E$13:$Q$14)*(T$9-T$10)*1000)</f>
        <v>34046.575436479157</v>
      </c>
      <c r="U135" s="205">
        <f>SUM('Statistics NZ'!U$135,$G$14/5*(U$9-U$10)*1000)*'Economic Forecasts'!W$9*1000000/SUM('Statistics NZ'!U$32:U$107,'Statistics NZ'!U$125:U$200,SUM($E$13:$Q$14)*(U$9-U$10)*1000)</f>
        <v>34925.797553644683</v>
      </c>
      <c r="V135" s="111">
        <f>SUM(U$135,'Statistics NZ'!V$135-'Statistics NZ'!U$135,$G$14/5*(V$9-V$10)*1000)</f>
        <v>34683.946475481913</v>
      </c>
      <c r="W135" s="111">
        <f>SUM(V$135,'Statistics NZ'!W$135-'Statistics NZ'!V$135,$G$14/5*(W$9-W$10)*1000)</f>
        <v>33543.576782089491</v>
      </c>
      <c r="X135" s="111">
        <f>SUM(W$135,'Statistics NZ'!X$135-'Statistics NZ'!W$135,$G$14/5*(X$9-X$10)*1000)</f>
        <v>34274.688473467417</v>
      </c>
      <c r="Y135" s="111">
        <f>SUM(X$135,'Statistics NZ'!Y$135-'Statistics NZ'!X$135,$G$14/5*(Y$9-Y$10)*1000)</f>
        <v>34677.281549615684</v>
      </c>
      <c r="Z135" s="111">
        <f>SUM(Y$135,'Statistics NZ'!Z$135-'Statistics NZ'!Y$135,$G$14/5*(Z$9-Z$10)*1000)</f>
        <v>35201.356010534299</v>
      </c>
      <c r="AA135" s="111">
        <f>SUM(Z$135,'Statistics NZ'!AA$135-'Statistics NZ'!Z$135,$G$14/5*(AA$9-AA$10)*1000)</f>
        <v>36306.911856223262</v>
      </c>
      <c r="AB135" s="111">
        <f>SUM(AA$135,'Statistics NZ'!AB$135-'Statistics NZ'!AA$135,$G$14/5*(AB$9-AB$10)*1000)</f>
        <v>38353.949086682573</v>
      </c>
      <c r="AC135" s="111">
        <f>SUM(AB$135,'Statistics NZ'!AC$135-'Statistics NZ'!AB$135,$G$14/5*(AC$9-AC$10)*1000)</f>
        <v>39462.467701912225</v>
      </c>
      <c r="AD135" s="111">
        <f>SUM(AC$135,'Statistics NZ'!AD$135-'Statistics NZ'!AC$135,$G$14/5*(AD$9-AD$10)*1000)</f>
        <v>40032.467701912225</v>
      </c>
      <c r="AE135" s="111">
        <f>SUM(AD$135,'Statistics NZ'!AE$135-'Statistics NZ'!AD$135,$G$14/5*(AE$9-AE$10)*1000)</f>
        <v>40522.467701912225</v>
      </c>
      <c r="AF135" s="111">
        <f>SUM(AE$135,'Statistics NZ'!AF$135-'Statistics NZ'!AE$135,$G$14/5*(AF$9-AF$10)*1000)</f>
        <v>40232.467701912225</v>
      </c>
      <c r="AG135" s="111">
        <f>SUM(AF$135,'Statistics NZ'!AG$135-'Statistics NZ'!AF$135,$G$14/5*(AG$9-AG$10)*1000)</f>
        <v>40072.467701912225</v>
      </c>
      <c r="AH135" s="111">
        <f>SUM(AG$135,'Statistics NZ'!AH$135-'Statistics NZ'!AG$135,$G$14/5*(AH$9-AH$10)*1000)</f>
        <v>39782.467701912225</v>
      </c>
      <c r="AI135" s="111">
        <f>SUM(AH$135,'Statistics NZ'!AI$135-'Statistics NZ'!AH$135,$G$14/5*(AI$9-AI$10)*1000)</f>
        <v>39432.467701912225</v>
      </c>
      <c r="AJ135" s="111">
        <f>SUM(AI$135,'Statistics NZ'!AJ$135-'Statistics NZ'!AI$135,$G$14/5*(AJ$9-AJ$10)*1000)</f>
        <v>39362.467701912225</v>
      </c>
      <c r="AK135" s="111">
        <f>SUM(AJ$135,'Statistics NZ'!AK$135-'Statistics NZ'!AJ$135,$G$14/5*(AK$9-AK$10)*1000)</f>
        <v>39052.467701912225</v>
      </c>
      <c r="AL135" s="111">
        <f>SUM(AK$135,'Statistics NZ'!AL$135-'Statistics NZ'!AK$135,$G$14/5*(AL$9-AL$10)*1000)</f>
        <v>38822.467701912225</v>
      </c>
      <c r="AM135" s="111">
        <f>SUM(AL$135,'Statistics NZ'!AM$135-'Statistics NZ'!AL$135,$G$14/5*(AM$9-AM$10)*1000)</f>
        <v>38122.467701912225</v>
      </c>
      <c r="AN135" s="111">
        <f>SUM(AM$135,'Statistics NZ'!AN$135-'Statistics NZ'!AM$135,$G$14/5*(AN$9-AN$10)*1000)</f>
        <v>38102.467701912225</v>
      </c>
      <c r="AO135" s="111">
        <f>SUM(AN$135,'Statistics NZ'!AO$135-'Statistics NZ'!AN$135,$G$14/5*(AO$9-AO$10)*1000)</f>
        <v>37462.467701912225</v>
      </c>
      <c r="AP135" s="111">
        <f>SUM(AO$135,'Statistics NZ'!AP$135-'Statistics NZ'!AO$135,$G$14/5*(AP$9-AP$10)*1000)</f>
        <v>37282.467701912225</v>
      </c>
      <c r="AQ135" s="111">
        <f>SUM(AP$135,'Statistics NZ'!AQ$135-'Statistics NZ'!AP$135,$G$14/5*(AQ$9-AQ$10)*1000)</f>
        <v>37252.467701912225</v>
      </c>
      <c r="AR135" s="111">
        <f>SUM(AQ$135,'Statistics NZ'!AR$135-'Statistics NZ'!AQ$135,$G$14/5*(AR$9-AR$10)*1000)</f>
        <v>37192.467701912225</v>
      </c>
      <c r="AS135" s="111">
        <f>SUM(AR$135,'Statistics NZ'!AS$135-'Statistics NZ'!AR$135,$G$14/5*(AS$9-AS$10)*1000)</f>
        <v>37102.467701912225</v>
      </c>
      <c r="AT135" s="111">
        <f>SUM(AS$135,'Statistics NZ'!AT$135-'Statistics NZ'!AS$135,$G$14/5*(AT$9-AT$10)*1000)</f>
        <v>37222.467701912225</v>
      </c>
      <c r="AU135" s="111">
        <f>SUM(AT$135,'Statistics NZ'!AU$135-'Statistics NZ'!AT$135,$G$14/5*(AU$9-AU$10)*1000)</f>
        <v>37312.467701912225</v>
      </c>
      <c r="AV135" s="111">
        <f>SUM(AU$135,'Statistics NZ'!AV$135-'Statistics NZ'!AU$135,$G$14/5*(AV$9-AV$10)*1000)</f>
        <v>37372.467701912225</v>
      </c>
      <c r="AW135" s="111">
        <f>SUM(AV$135,'Statistics NZ'!AW$135-'Statistics NZ'!AV$135,$G$14/5*(AW$9-AW$10)*1000)</f>
        <v>37412.467701912225</v>
      </c>
      <c r="AX135" s="111">
        <f>SUM(AW$135,'Statistics NZ'!AX$135-'Statistics NZ'!AW$135,$G$14/5*(AX$9-AX$10)*1000)</f>
        <v>37442.467701912225</v>
      </c>
      <c r="AY135" s="111">
        <f>SUM(AX$135,'Statistics NZ'!AY$135-'Statistics NZ'!AX$135,$G$14/5*(AY$9-AY$10)*1000)</f>
        <v>37462.467701912225</v>
      </c>
      <c r="AZ135" s="111">
        <f>SUM(AY$135,'Statistics NZ'!AZ$135-'Statistics NZ'!AY$135,$G$14/5*(AZ$9-AZ$10)*1000)</f>
        <v>37492.467701912225</v>
      </c>
      <c r="BA135" s="111">
        <f>SUM(AZ$135,'Statistics NZ'!BA$135-'Statistics NZ'!AZ$135,$G$14/5*(BA$9-BA$10)*1000)</f>
        <v>37532.467701912225</v>
      </c>
      <c r="BB135" s="111">
        <f>SUM(BA$135,'Statistics NZ'!BB$135-'Statistics NZ'!BA$135,$G$14/5*(BB$9-BB$10)*1000)</f>
        <v>37582.467701912225</v>
      </c>
      <c r="BC135" s="111">
        <f>SUM(BB$135,'Statistics NZ'!BC$135-'Statistics NZ'!BB$135,$G$14/5*(BC$9-BC$10)*1000)</f>
        <v>37652.467701912225</v>
      </c>
      <c r="BD135" s="111">
        <f>SUM(BC$135,'Statistics NZ'!BD$135-'Statistics NZ'!BC$135,$G$14/5*(BD$9-BD$10)*1000)</f>
        <v>37742.467701912225</v>
      </c>
      <c r="BE135" s="111">
        <f>SUM(BD$135,'Statistics NZ'!BE$135-'Statistics NZ'!BD$135,$G$14/5*(BE$9-BE$10)*1000)</f>
        <v>37862.467701912225</v>
      </c>
      <c r="BF135" s="111">
        <f>SUM(BE$135,'Statistics NZ'!BF$135-'Statistics NZ'!BE$135,$G$14/5*(BF$9-BF$10)*1000)</f>
        <v>38002.467701912225</v>
      </c>
      <c r="BG135" s="111">
        <f>SUM(BF$135,'Statistics NZ'!BG$135-'Statistics NZ'!BF$135,$G$14/5*(BG$9-BG$10)*1000)</f>
        <v>38162.467701912225</v>
      </c>
      <c r="BH135" s="111">
        <f>SUM(BG$135,'Statistics NZ'!BH$135-'Statistics NZ'!BG$135,$G$14/5*(BH$9-BH$10)*1000)</f>
        <v>38332.467701912225</v>
      </c>
      <c r="BI135" s="111">
        <f>SUM(BH$135,'Statistics NZ'!BI$135-'Statistics NZ'!BH$135,$G$14/5*(BI$9-BI$10)*1000)</f>
        <v>38502.467701912225</v>
      </c>
      <c r="BJ135" s="111">
        <f>SUM(BI$135,'Statistics NZ'!BJ$135-'Statistics NZ'!BI$135,$G$14/5*(BJ$9-BJ$10)*1000)</f>
        <v>38652.467701912225</v>
      </c>
      <c r="BK135" s="111">
        <f>SUM(BJ$135,'Statistics NZ'!BK$135-'Statistics NZ'!BJ$135,$G$14/5*(BK$9-BK$10)*1000)</f>
        <v>38782.467701912225</v>
      </c>
      <c r="BL135" s="111">
        <f>SUM(BK$135,'Statistics NZ'!BL$135-'Statistics NZ'!BK$135,$G$14/5*(BL$9-BL$10)*1000)</f>
        <v>38892.467701912225</v>
      </c>
      <c r="BM135" s="195">
        <f>SUM(BL$135,'Statistics NZ'!BM$135-'Statistics NZ'!BL$135,$G$14/5*(BM$9-BM$10)*1000)</f>
        <v>38952.467701912225</v>
      </c>
      <c r="BN135" s="195">
        <f>SUM(BM$135,'Statistics NZ'!BN$135-'Statistics NZ'!BM$135,$G$14/5*(BN$9-BN$10)*1000)</f>
        <v>38992.467701912225</v>
      </c>
      <c r="BO135" s="195">
        <f>SUM(BN$135,'Statistics NZ'!BO$135-'Statistics NZ'!BN$135,$G$14/5*(BO$9-BO$10)*1000)</f>
        <v>38992.467701912225</v>
      </c>
      <c r="BP135" s="195">
        <f>SUM(BO$135,'Statistics NZ'!BP$135-'Statistics NZ'!BO$135,$G$14/5*(BP$9-BP$10)*1000)</f>
        <v>38962.467701912225</v>
      </c>
      <c r="BQ135" s="195">
        <f>SUM(BP$135,'Statistics NZ'!BQ$135-'Statistics NZ'!BP$135,$G$14/5*(BQ$9-BQ$10)*1000)</f>
        <v>38902.467701912225</v>
      </c>
    </row>
    <row r="136" spans="1:69">
      <c r="A136" s="105">
        <f>$A$43</f>
        <v>26</v>
      </c>
      <c r="B136" s="118">
        <f>'Statistics NZ'!B$136*'Economic Forecasts'!D$9*1000000/SUM('Statistics NZ'!B$32:B$107,'Statistics NZ'!B$125:B$200)</f>
        <v>25425.236566838168</v>
      </c>
      <c r="C136" s="118">
        <f>'Statistics NZ'!C$136*'Economic Forecasts'!E$9*1000000/SUM('Statistics NZ'!C$32:C$107,'Statistics NZ'!C$125:C$200)</f>
        <v>26144.469236862948</v>
      </c>
      <c r="D136" s="118">
        <f>'Statistics NZ'!D$136*'Economic Forecasts'!F$9*1000000/SUM('Statistics NZ'!D$32:D$107,'Statistics NZ'!D$125:D$200)</f>
        <v>26296.086010510546</v>
      </c>
      <c r="E136" s="118">
        <f>'Statistics NZ'!E$136*'Economic Forecasts'!G$9*1000000/SUM('Statistics NZ'!E$32:E$107,'Statistics NZ'!E$125:E$200)</f>
        <v>26886.418359337098</v>
      </c>
      <c r="F136" s="118">
        <f>'Statistics NZ'!F$136*'Economic Forecasts'!H$9*1000000/SUM('Statistics NZ'!F$32:F$107,'Statistics NZ'!F$125:F$200)</f>
        <v>26954.034387499891</v>
      </c>
      <c r="G136" s="118">
        <f>'Statistics NZ'!G$136*'Economic Forecasts'!I$9*1000000/SUM('Statistics NZ'!G$32:G$107,'Statistics NZ'!G$125:G$200)</f>
        <v>26474.677737917693</v>
      </c>
      <c r="H136" s="118">
        <f>'Statistics NZ'!H$136*'Economic Forecasts'!J$9*1000000/SUM('Statistics NZ'!H$32:H$107,'Statistics NZ'!H$125:H$200)</f>
        <v>26495.596840633818</v>
      </c>
      <c r="I136" s="118">
        <f>'Statistics NZ'!I$136*'Economic Forecasts'!K$9*1000000/SUM('Statistics NZ'!I$32:I$107,'Statistics NZ'!I$125:I$200)</f>
        <v>27062.669281778271</v>
      </c>
      <c r="J136" s="203">
        <f>'Statistics NZ'!J$136*'Economic Forecasts'!L$9*1000000/SUM('Statistics NZ'!J$32:J$107,'Statistics NZ'!J$125:J$200)</f>
        <v>28974.22570926019</v>
      </c>
      <c r="K136" s="203">
        <f>'Statistics NZ'!K$136*'Economic Forecasts'!M$9*1000000/SUM('Statistics NZ'!K$32:K$107,'Statistics NZ'!K$125:K$200)</f>
        <v>31617.857125449173</v>
      </c>
      <c r="L136" s="203">
        <f>'Statistics NZ'!L$136*'Economic Forecasts'!N$9*1000000/SUM('Statistics NZ'!L$32:L$107,'Statistics NZ'!L$125:L$200)</f>
        <v>34963.330694114542</v>
      </c>
      <c r="M136" s="203">
        <f>'Statistics NZ'!M$136*'Economic Forecasts'!O$9*1000000/SUM('Statistics NZ'!M$32:M$107,'Statistics NZ'!M$125:M$200)</f>
        <v>37224.576232709565</v>
      </c>
      <c r="N136" s="203">
        <f>'Statistics NZ'!N$136*'Economic Forecasts'!P$9*1000000/SUM('Statistics NZ'!N$32:N$107,'Statistics NZ'!N$125:N$200)</f>
        <v>38220.667961518622</v>
      </c>
      <c r="O136" s="203">
        <f>'Statistics NZ'!O$136*'Economic Forecasts'!Q$9*1000000/SUM('Statistics NZ'!O$32:O$107,'Statistics NZ'!O$125:O$200)</f>
        <v>37855.42750476607</v>
      </c>
      <c r="P136" s="203">
        <f>'Statistics NZ'!P$136*'Economic Forecasts'!R$9*1000000/SUM('Statistics NZ'!P$32:P$107,'Statistics NZ'!P$125:P$200)</f>
        <v>37320.647029600994</v>
      </c>
      <c r="Q136" s="121">
        <f>SUM('Statistics NZ'!Q$136,$G$14/5*(Q$9-Q$10)*1000)*'Economic Forecasts'!S$9*1000000/SUM('Statistics NZ'!Q$32:Q$107,'Statistics NZ'!Q$125:Q$200,SUM($E$13:$Q$14)*(Q$9-Q$10)*1000)</f>
        <v>36810.02758763681</v>
      </c>
      <c r="R136" s="205">
        <f>SUM('Statistics NZ'!R$136,$G$14/5*(R$9-R$10)*1000)*'Economic Forecasts'!T$9*1000000/SUM('Statistics NZ'!R$32:R$107,'Statistics NZ'!R$125:R$200,SUM($E$13:$Q$14)*(R$9-R$10)*1000)</f>
        <v>36391.64605046004</v>
      </c>
      <c r="S136" s="205">
        <f>SUM('Statistics NZ'!S$136,$G$14/5*(S$9-S$10)*1000)*'Economic Forecasts'!U$9*1000000/SUM('Statistics NZ'!S$32:S$107,'Statistics NZ'!S$125:S$200,SUM($E$13:$Q$14)*(S$9-S$10)*1000)</f>
        <v>35101.806927726568</v>
      </c>
      <c r="T136" s="205">
        <f>SUM('Statistics NZ'!T$136,$G$14/5*(T$9-T$10)*1000)*'Economic Forecasts'!V$9*1000000/SUM('Statistics NZ'!T$32:T$107,'Statistics NZ'!T$125:T$200,SUM($E$13:$Q$14)*(T$9-T$10)*1000)</f>
        <v>35074.021002623878</v>
      </c>
      <c r="U136" s="205">
        <f>SUM('Statistics NZ'!U$136,$G$14/5*(U$9-U$10)*1000)*'Economic Forecasts'!W$9*1000000/SUM('Statistics NZ'!U$32:U$107,'Statistics NZ'!U$125:U$200,SUM($E$13:$Q$14)*(U$9-U$10)*1000)</f>
        <v>34332.270041874086</v>
      </c>
      <c r="V136" s="111">
        <f>SUM(U$136,'Statistics NZ'!V$136-'Statistics NZ'!U$136,$G$14/5*(V$9-V$10)*1000)</f>
        <v>35290.418963711316</v>
      </c>
      <c r="W136" s="111">
        <f>SUM(V$136,'Statistics NZ'!W$136-'Statistics NZ'!V$136,$G$14/5*(W$9-W$10)*1000)</f>
        <v>35020.049270318894</v>
      </c>
      <c r="X136" s="111">
        <f>SUM(W$136,'Statistics NZ'!X$136-'Statistics NZ'!W$136,$G$14/5*(X$9-X$10)*1000)</f>
        <v>33861.16096169682</v>
      </c>
      <c r="Y136" s="111">
        <f>SUM(X$136,'Statistics NZ'!Y$136-'Statistics NZ'!X$136,$G$14/5*(Y$9-Y$10)*1000)</f>
        <v>34553.754037845087</v>
      </c>
      <c r="Z136" s="111">
        <f>SUM(Y$136,'Statistics NZ'!Z$136-'Statistics NZ'!Y$136,$G$14/5*(Z$9-Z$10)*1000)</f>
        <v>34927.828498763702</v>
      </c>
      <c r="AA136" s="111">
        <f>SUM(Z$136,'Statistics NZ'!AA$136-'Statistics NZ'!Z$136,$G$14/5*(AA$9-AA$10)*1000)</f>
        <v>35423.384344452665</v>
      </c>
      <c r="AB136" s="111">
        <f>SUM(AA$136,'Statistics NZ'!AB$136-'Statistics NZ'!AA$136,$G$14/5*(AB$9-AB$10)*1000)</f>
        <v>36500.421574911976</v>
      </c>
      <c r="AC136" s="111">
        <f>SUM(AB$136,'Statistics NZ'!AC$136-'Statistics NZ'!AB$136,$G$14/5*(AC$9-AC$10)*1000)</f>
        <v>38518.940190141628</v>
      </c>
      <c r="AD136" s="111">
        <f>SUM(AC$136,'Statistics NZ'!AD$136-'Statistics NZ'!AC$136,$G$14/5*(AD$9-AD$10)*1000)</f>
        <v>39598.940190141628</v>
      </c>
      <c r="AE136" s="111">
        <f>SUM(AD$136,'Statistics NZ'!AE$136-'Statistics NZ'!AD$136,$G$14/5*(AE$9-AE$10)*1000)</f>
        <v>40168.940190141628</v>
      </c>
      <c r="AF136" s="111">
        <f>SUM(AE$136,'Statistics NZ'!AF$136-'Statistics NZ'!AE$136,$G$14/5*(AF$9-AF$10)*1000)</f>
        <v>40658.940190141628</v>
      </c>
      <c r="AG136" s="111">
        <f>SUM(AF$136,'Statistics NZ'!AG$136-'Statistics NZ'!AF$136,$G$14/5*(AG$9-AG$10)*1000)</f>
        <v>40368.940190141628</v>
      </c>
      <c r="AH136" s="111">
        <f>SUM(AG$136,'Statistics NZ'!AH$136-'Statistics NZ'!AG$136,$G$14/5*(AH$9-AH$10)*1000)</f>
        <v>40208.940190141628</v>
      </c>
      <c r="AI136" s="111">
        <f>SUM(AH$136,'Statistics NZ'!AI$136-'Statistics NZ'!AH$136,$G$14/5*(AI$9-AI$10)*1000)</f>
        <v>39918.940190141628</v>
      </c>
      <c r="AJ136" s="111">
        <f>SUM(AI$136,'Statistics NZ'!AJ$136-'Statistics NZ'!AI$136,$G$14/5*(AJ$9-AJ$10)*1000)</f>
        <v>39568.940190141628</v>
      </c>
      <c r="AK136" s="111">
        <f>SUM(AJ$136,'Statistics NZ'!AK$136-'Statistics NZ'!AJ$136,$G$14/5*(AK$9-AK$10)*1000)</f>
        <v>39498.940190141628</v>
      </c>
      <c r="AL136" s="111">
        <f>SUM(AK$136,'Statistics NZ'!AL$136-'Statistics NZ'!AK$136,$G$14/5*(AL$9-AL$10)*1000)</f>
        <v>39198.940190141628</v>
      </c>
      <c r="AM136" s="111">
        <f>SUM(AL$136,'Statistics NZ'!AM$136-'Statistics NZ'!AL$136,$G$14/5*(AM$9-AM$10)*1000)</f>
        <v>38958.940190141628</v>
      </c>
      <c r="AN136" s="111">
        <f>SUM(AM$136,'Statistics NZ'!AN$136-'Statistics NZ'!AM$136,$G$14/5*(AN$9-AN$10)*1000)</f>
        <v>38268.940190141628</v>
      </c>
      <c r="AO136" s="111">
        <f>SUM(AN$136,'Statistics NZ'!AO$136-'Statistics NZ'!AN$136,$G$14/5*(AO$9-AO$10)*1000)</f>
        <v>38238.940190141628</v>
      </c>
      <c r="AP136" s="111">
        <f>SUM(AO$136,'Statistics NZ'!AP$136-'Statistics NZ'!AO$136,$G$14/5*(AP$9-AP$10)*1000)</f>
        <v>37608.940190141628</v>
      </c>
      <c r="AQ136" s="111">
        <f>SUM(AP$136,'Statistics NZ'!AQ$136-'Statistics NZ'!AP$136,$G$14/5*(AQ$9-AQ$10)*1000)</f>
        <v>37428.940190141628</v>
      </c>
      <c r="AR136" s="111">
        <f>SUM(AQ$136,'Statistics NZ'!AR$136-'Statistics NZ'!AQ$136,$G$14/5*(AR$9-AR$10)*1000)</f>
        <v>37388.940190141628</v>
      </c>
      <c r="AS136" s="111">
        <f>SUM(AR$136,'Statistics NZ'!AS$136-'Statistics NZ'!AR$136,$G$14/5*(AS$9-AS$10)*1000)</f>
        <v>37328.940190141628</v>
      </c>
      <c r="AT136" s="111">
        <f>SUM(AS$136,'Statistics NZ'!AT$136-'Statistics NZ'!AS$136,$G$14/5*(AT$9-AT$10)*1000)</f>
        <v>37248.940190141628</v>
      </c>
      <c r="AU136" s="111">
        <f>SUM(AT$136,'Statistics NZ'!AU$136-'Statistics NZ'!AT$136,$G$14/5*(AU$9-AU$10)*1000)</f>
        <v>37368.940190141628</v>
      </c>
      <c r="AV136" s="111">
        <f>SUM(AU$136,'Statistics NZ'!AV$136-'Statistics NZ'!AU$136,$G$14/5*(AV$9-AV$10)*1000)</f>
        <v>37458.940190141628</v>
      </c>
      <c r="AW136" s="111">
        <f>SUM(AV$136,'Statistics NZ'!AW$136-'Statistics NZ'!AV$136,$G$14/5*(AW$9-AW$10)*1000)</f>
        <v>37518.940190141628</v>
      </c>
      <c r="AX136" s="111">
        <f>SUM(AW$136,'Statistics NZ'!AX$136-'Statistics NZ'!AW$136,$G$14/5*(AX$9-AX$10)*1000)</f>
        <v>37548.940190141628</v>
      </c>
      <c r="AY136" s="111">
        <f>SUM(AX$136,'Statistics NZ'!AY$136-'Statistics NZ'!AX$136,$G$14/5*(AY$9-AY$10)*1000)</f>
        <v>37578.940190141628</v>
      </c>
      <c r="AZ136" s="111">
        <f>SUM(AY$136,'Statistics NZ'!AZ$136-'Statistics NZ'!AY$136,$G$14/5*(AZ$9-AZ$10)*1000)</f>
        <v>37608.940190141628</v>
      </c>
      <c r="BA136" s="111">
        <f>SUM(AZ$136,'Statistics NZ'!BA$136-'Statistics NZ'!AZ$136,$G$14/5*(BA$9-BA$10)*1000)</f>
        <v>37638.940190141628</v>
      </c>
      <c r="BB136" s="111">
        <f>SUM(BA$136,'Statistics NZ'!BB$136-'Statistics NZ'!BA$136,$G$14/5*(BB$9-BB$10)*1000)</f>
        <v>37678.940190141628</v>
      </c>
      <c r="BC136" s="111">
        <f>SUM(BB$136,'Statistics NZ'!BC$136-'Statistics NZ'!BB$136,$G$14/5*(BC$9-BC$10)*1000)</f>
        <v>37728.940190141628</v>
      </c>
      <c r="BD136" s="111">
        <f>SUM(BC$136,'Statistics NZ'!BD$136-'Statistics NZ'!BC$136,$G$14/5*(BD$9-BD$10)*1000)</f>
        <v>37798.940190141628</v>
      </c>
      <c r="BE136" s="111">
        <f>SUM(BD$136,'Statistics NZ'!BE$136-'Statistics NZ'!BD$136,$G$14/5*(BE$9-BE$10)*1000)</f>
        <v>37888.940190141628</v>
      </c>
      <c r="BF136" s="111">
        <f>SUM(BE$136,'Statistics NZ'!BF$136-'Statistics NZ'!BE$136,$G$14/5*(BF$9-BF$10)*1000)</f>
        <v>38008.940190141628</v>
      </c>
      <c r="BG136" s="111">
        <f>SUM(BF$136,'Statistics NZ'!BG$136-'Statistics NZ'!BF$136,$G$14/5*(BG$9-BG$10)*1000)</f>
        <v>38148.940190141628</v>
      </c>
      <c r="BH136" s="111">
        <f>SUM(BG$136,'Statistics NZ'!BH$136-'Statistics NZ'!BG$136,$G$14/5*(BH$9-BH$10)*1000)</f>
        <v>38308.940190141628</v>
      </c>
      <c r="BI136" s="111">
        <f>SUM(BH$136,'Statistics NZ'!BI$136-'Statistics NZ'!BH$136,$G$14/5*(BI$9-BI$10)*1000)</f>
        <v>38478.940190141628</v>
      </c>
      <c r="BJ136" s="111">
        <f>SUM(BI$136,'Statistics NZ'!BJ$136-'Statistics NZ'!BI$136,$G$14/5*(BJ$9-BJ$10)*1000)</f>
        <v>38648.940190141628</v>
      </c>
      <c r="BK136" s="111">
        <f>SUM(BJ$136,'Statistics NZ'!BK$136-'Statistics NZ'!BJ$136,$G$14/5*(BK$9-BK$10)*1000)</f>
        <v>38798.940190141628</v>
      </c>
      <c r="BL136" s="111">
        <f>SUM(BK$136,'Statistics NZ'!BL$136-'Statistics NZ'!BK$136,$G$14/5*(BL$9-BL$10)*1000)</f>
        <v>38928.940190141628</v>
      </c>
      <c r="BM136" s="195">
        <f>SUM(BL$136,'Statistics NZ'!BM$136-'Statistics NZ'!BL$136,$G$14/5*(BM$9-BM$10)*1000)</f>
        <v>39028.940190141628</v>
      </c>
      <c r="BN136" s="195">
        <f>SUM(BM$136,'Statistics NZ'!BN$136-'Statistics NZ'!BM$136,$G$14/5*(BN$9-BN$10)*1000)</f>
        <v>39098.940190141628</v>
      </c>
      <c r="BO136" s="195">
        <f>SUM(BN$136,'Statistics NZ'!BO$136-'Statistics NZ'!BN$136,$G$14/5*(BO$9-BO$10)*1000)</f>
        <v>39138.940190141628</v>
      </c>
      <c r="BP136" s="195">
        <f>SUM(BO$136,'Statistics NZ'!BP$136-'Statistics NZ'!BO$136,$G$14/5*(BP$9-BP$10)*1000)</f>
        <v>39138.940190141628</v>
      </c>
      <c r="BQ136" s="195">
        <f>SUM(BP$136,'Statistics NZ'!BQ$136-'Statistics NZ'!BP$136,$G$14/5*(BQ$9-BQ$10)*1000)</f>
        <v>39108.940190141628</v>
      </c>
    </row>
    <row r="137" spans="1:69">
      <c r="A137" s="105">
        <f>$A$44</f>
        <v>27</v>
      </c>
      <c r="B137" s="118">
        <f>'Statistics NZ'!B$137*'Economic Forecasts'!D$9*1000000/SUM('Statistics NZ'!B$32:B$107,'Statistics NZ'!B$125:B$200)</f>
        <v>24578.057045432477</v>
      </c>
      <c r="C137" s="118">
        <f>'Statistics NZ'!C$137*'Economic Forecasts'!E$9*1000000/SUM('Statistics NZ'!C$32:C$107,'Statistics NZ'!C$125:C$200)</f>
        <v>25138.912727752839</v>
      </c>
      <c r="D137" s="118">
        <f>'Statistics NZ'!D$137*'Economic Forecasts'!F$9*1000000/SUM('Statistics NZ'!D$32:D$107,'Statistics NZ'!D$125:D$200)</f>
        <v>25803.280800418524</v>
      </c>
      <c r="E137" s="118">
        <f>'Statistics NZ'!E$137*'Economic Forecasts'!G$9*1000000/SUM('Statistics NZ'!E$32:E$107,'Statistics NZ'!E$125:E$200)</f>
        <v>26098.537967854692</v>
      </c>
      <c r="F137" s="118">
        <f>'Statistics NZ'!F$137*'Economic Forecasts'!H$9*1000000/SUM('Statistics NZ'!F$32:F$107,'Statistics NZ'!F$125:F$200)</f>
        <v>26757.001972386584</v>
      </c>
      <c r="G137" s="118">
        <f>'Statistics NZ'!G$137*'Economic Forecasts'!I$9*1000000/SUM('Statistics NZ'!G$32:G$107,'Statistics NZ'!G$125:G$200)</f>
        <v>26435.266234027968</v>
      </c>
      <c r="H137" s="118">
        <f>'Statistics NZ'!H$137*'Economic Forecasts'!J$9*1000000/SUM('Statistics NZ'!H$32:H$107,'Statistics NZ'!H$125:H$200)</f>
        <v>25934.165978211466</v>
      </c>
      <c r="I137" s="118">
        <f>'Statistics NZ'!I$137*'Economic Forecasts'!K$9*1000000/SUM('Statistics NZ'!I$32:I$107,'Statistics NZ'!I$125:I$200)</f>
        <v>26285.232600592644</v>
      </c>
      <c r="J137" s="203">
        <f>'Statistics NZ'!J$137*'Economic Forecasts'!L$9*1000000/SUM('Statistics NZ'!J$32:J$107,'Statistics NZ'!J$125:J$200)</f>
        <v>27961.896927695128</v>
      </c>
      <c r="K137" s="203">
        <f>'Statistics NZ'!K$137*'Economic Forecasts'!M$9*1000000/SUM('Statistics NZ'!K$32:K$107,'Statistics NZ'!K$125:K$200)</f>
        <v>30458.470195429596</v>
      </c>
      <c r="L137" s="203">
        <f>'Statistics NZ'!L$137*'Economic Forecasts'!N$9*1000000/SUM('Statistics NZ'!L$32:L$107,'Statistics NZ'!L$125:L$200)</f>
        <v>33092.053840063338</v>
      </c>
      <c r="M137" s="203">
        <f>'Statistics NZ'!M$137*'Economic Forecasts'!O$9*1000000/SUM('Statistics NZ'!M$32:M$107,'Statistics NZ'!M$125:M$200)</f>
        <v>36209.987359470862</v>
      </c>
      <c r="N137" s="203">
        <f>'Statistics NZ'!N$137*'Economic Forecasts'!P$9*1000000/SUM('Statistics NZ'!N$32:N$107,'Statistics NZ'!N$125:N$200)</f>
        <v>38171.325503525433</v>
      </c>
      <c r="O137" s="203">
        <f>'Statistics NZ'!O$137*'Economic Forecasts'!Q$9*1000000/SUM('Statistics NZ'!O$32:O$107,'Statistics NZ'!O$125:O$200)</f>
        <v>38674.5100081278</v>
      </c>
      <c r="P137" s="203">
        <f>'Statistics NZ'!P$137*'Economic Forecasts'!R$9*1000000/SUM('Statistics NZ'!P$32:P$107,'Statistics NZ'!P$125:P$200)</f>
        <v>38959.596079049079</v>
      </c>
      <c r="Q137" s="121">
        <f>SUM('Statistics NZ'!Q$137,$G$14/5*(Q$9-Q$10)*1000)*'Economic Forecasts'!S$9*1000000/SUM('Statistics NZ'!Q$32:Q$107,'Statistics NZ'!Q$125:Q$200,SUM($E$13:$Q$14)*(Q$9-Q$10)*1000)</f>
        <v>37215.370935741019</v>
      </c>
      <c r="R137" s="205">
        <f>SUM('Statistics NZ'!R$137,$G$14/5*(R$9-R$10)*1000)*'Economic Forecasts'!T$9*1000000/SUM('Statistics NZ'!R$32:R$107,'Statistics NZ'!R$125:R$200,SUM($E$13:$Q$14)*(R$9-R$10)*1000)</f>
        <v>36816.708751986211</v>
      </c>
      <c r="S137" s="205">
        <f>SUM('Statistics NZ'!S$137,$G$14/5*(S$9-S$10)*1000)*'Economic Forecasts'!U$9*1000000/SUM('Statistics NZ'!S$32:S$107,'Statistics NZ'!S$125:S$200,SUM($E$13:$Q$14)*(S$9-S$10)*1000)</f>
        <v>36524.51195304274</v>
      </c>
      <c r="T137" s="205">
        <f>SUM('Statistics NZ'!T$137,$G$14/5*(T$9-T$10)*1000)*'Economic Forecasts'!V$9*1000000/SUM('Statistics NZ'!T$32:T$107,'Statistics NZ'!T$125:T$200,SUM($E$13:$Q$14)*(T$9-T$10)*1000)</f>
        <v>35330.882394160064</v>
      </c>
      <c r="U137" s="205">
        <f>SUM('Statistics NZ'!U$137,$G$14/5*(U$9-U$10)*1000)*'Economic Forecasts'!W$9*1000000/SUM('Statistics NZ'!U$32:U$107,'Statistics NZ'!U$125:U$200,SUM($E$13:$Q$14)*(U$9-U$10)*1000)</f>
        <v>35361.051062276449</v>
      </c>
      <c r="V137" s="111">
        <f>SUM(U$137,'Statistics NZ'!V$137-'Statistics NZ'!U$137,$G$14/5*(V$9-V$10)*1000)</f>
        <v>34679.199984113679</v>
      </c>
      <c r="W137" s="111">
        <f>SUM(V$137,'Statistics NZ'!W$137-'Statistics NZ'!V$137,$G$14/5*(W$9-W$10)*1000)</f>
        <v>35608.830290721256</v>
      </c>
      <c r="X137" s="111">
        <f>SUM(W$137,'Statistics NZ'!X$137-'Statistics NZ'!W$137,$G$14/5*(X$9-X$10)*1000)</f>
        <v>35309.941982099182</v>
      </c>
      <c r="Y137" s="111">
        <f>SUM(X$137,'Statistics NZ'!Y$137-'Statistics NZ'!X$137,$G$14/5*(Y$9-Y$10)*1000)</f>
        <v>34122.535058247449</v>
      </c>
      <c r="Z137" s="111">
        <f>SUM(Y$137,'Statistics NZ'!Z$137-'Statistics NZ'!Y$137,$G$14/5*(Z$9-Z$10)*1000)</f>
        <v>34786.609519166064</v>
      </c>
      <c r="AA137" s="111">
        <f>SUM(Z$137,'Statistics NZ'!AA$137-'Statistics NZ'!Z$137,$G$14/5*(AA$9-AA$10)*1000)</f>
        <v>35132.165364855027</v>
      </c>
      <c r="AB137" s="111">
        <f>SUM(AA$137,'Statistics NZ'!AB$137-'Statistics NZ'!AA$137,$G$14/5*(AB$9-AB$10)*1000)</f>
        <v>35599.202595314338</v>
      </c>
      <c r="AC137" s="111">
        <f>SUM(AB$137,'Statistics NZ'!AC$137-'Statistics NZ'!AB$137,$G$14/5*(AC$9-AC$10)*1000)</f>
        <v>36647.72121054399</v>
      </c>
      <c r="AD137" s="111">
        <f>SUM(AC$137,'Statistics NZ'!AD$137-'Statistics NZ'!AC$137,$G$14/5*(AD$9-AD$10)*1000)</f>
        <v>38637.72121054399</v>
      </c>
      <c r="AE137" s="111">
        <f>SUM(AD$137,'Statistics NZ'!AE$137-'Statistics NZ'!AD$137,$G$14/5*(AE$9-AE$10)*1000)</f>
        <v>39717.72121054399</v>
      </c>
      <c r="AF137" s="111">
        <f>SUM(AE$137,'Statistics NZ'!AF$137-'Statistics NZ'!AE$137,$G$14/5*(AF$9-AF$10)*1000)</f>
        <v>40287.72121054399</v>
      </c>
      <c r="AG137" s="111">
        <f>SUM(AF$137,'Statistics NZ'!AG$137-'Statistics NZ'!AF$137,$G$14/5*(AG$9-AG$10)*1000)</f>
        <v>40777.72121054399</v>
      </c>
      <c r="AH137" s="111">
        <f>SUM(AG$137,'Statistics NZ'!AH$137-'Statistics NZ'!AG$137,$G$14/5*(AH$9-AH$10)*1000)</f>
        <v>40487.72121054399</v>
      </c>
      <c r="AI137" s="111">
        <f>SUM(AH$137,'Statistics NZ'!AI$137-'Statistics NZ'!AH$137,$G$14/5*(AI$9-AI$10)*1000)</f>
        <v>40327.72121054399</v>
      </c>
      <c r="AJ137" s="111">
        <f>SUM(AI$137,'Statistics NZ'!AJ$137-'Statistics NZ'!AI$137,$G$14/5*(AJ$9-AJ$10)*1000)</f>
        <v>40037.72121054399</v>
      </c>
      <c r="AK137" s="111">
        <f>SUM(AJ$137,'Statistics NZ'!AK$137-'Statistics NZ'!AJ$137,$G$14/5*(AK$9-AK$10)*1000)</f>
        <v>39687.72121054399</v>
      </c>
      <c r="AL137" s="111">
        <f>SUM(AK$137,'Statistics NZ'!AL$137-'Statistics NZ'!AK$137,$G$14/5*(AL$9-AL$10)*1000)</f>
        <v>39617.72121054399</v>
      </c>
      <c r="AM137" s="111">
        <f>SUM(AL$137,'Statistics NZ'!AM$137-'Statistics NZ'!AL$137,$G$14/5*(AM$9-AM$10)*1000)</f>
        <v>39317.72121054399</v>
      </c>
      <c r="AN137" s="111">
        <f>SUM(AM$137,'Statistics NZ'!AN$137-'Statistics NZ'!AM$137,$G$14/5*(AN$9-AN$10)*1000)</f>
        <v>39077.72121054399</v>
      </c>
      <c r="AO137" s="111">
        <f>SUM(AN$137,'Statistics NZ'!AO$137-'Statistics NZ'!AN$137,$G$14/5*(AO$9-AO$10)*1000)</f>
        <v>38387.72121054399</v>
      </c>
      <c r="AP137" s="111">
        <f>SUM(AO$137,'Statistics NZ'!AP$137-'Statistics NZ'!AO$137,$G$14/5*(AP$9-AP$10)*1000)</f>
        <v>38357.72121054399</v>
      </c>
      <c r="AQ137" s="111">
        <f>SUM(AP$137,'Statistics NZ'!AQ$137-'Statistics NZ'!AP$137,$G$14/5*(AQ$9-AQ$10)*1000)</f>
        <v>37727.72121054399</v>
      </c>
      <c r="AR137" s="111">
        <f>SUM(AQ$137,'Statistics NZ'!AR$137-'Statistics NZ'!AQ$137,$G$14/5*(AR$9-AR$10)*1000)</f>
        <v>37547.72121054399</v>
      </c>
      <c r="AS137" s="111">
        <f>SUM(AR$137,'Statistics NZ'!AS$137-'Statistics NZ'!AR$137,$G$14/5*(AS$9-AS$10)*1000)</f>
        <v>37517.72121054399</v>
      </c>
      <c r="AT137" s="111">
        <f>SUM(AS$137,'Statistics NZ'!AT$137-'Statistics NZ'!AS$137,$G$14/5*(AT$9-AT$10)*1000)</f>
        <v>37457.72121054399</v>
      </c>
      <c r="AU137" s="111">
        <f>SUM(AT$137,'Statistics NZ'!AU$137-'Statistics NZ'!AT$137,$G$14/5*(AU$9-AU$10)*1000)</f>
        <v>37367.72121054399</v>
      </c>
      <c r="AV137" s="111">
        <f>SUM(AU$137,'Statistics NZ'!AV$137-'Statistics NZ'!AU$137,$G$14/5*(AV$9-AV$10)*1000)</f>
        <v>37497.72121054399</v>
      </c>
      <c r="AW137" s="111">
        <f>SUM(AV$137,'Statistics NZ'!AW$137-'Statistics NZ'!AV$137,$G$14/5*(AW$9-AW$10)*1000)</f>
        <v>37577.72121054399</v>
      </c>
      <c r="AX137" s="111">
        <f>SUM(AW$137,'Statistics NZ'!AX$137-'Statistics NZ'!AW$137,$G$14/5*(AX$9-AX$10)*1000)</f>
        <v>37637.72121054399</v>
      </c>
      <c r="AY137" s="111">
        <f>SUM(AX$137,'Statistics NZ'!AY$137-'Statistics NZ'!AX$137,$G$14/5*(AY$9-AY$10)*1000)</f>
        <v>37677.72121054399</v>
      </c>
      <c r="AZ137" s="111">
        <f>SUM(AY$137,'Statistics NZ'!AZ$137-'Statistics NZ'!AY$137,$G$14/5*(AZ$9-AZ$10)*1000)</f>
        <v>37707.72121054399</v>
      </c>
      <c r="BA137" s="111">
        <f>SUM(AZ$137,'Statistics NZ'!BA$137-'Statistics NZ'!AZ$137,$G$14/5*(BA$9-BA$10)*1000)</f>
        <v>37737.72121054399</v>
      </c>
      <c r="BB137" s="111">
        <f>SUM(BA$137,'Statistics NZ'!BB$137-'Statistics NZ'!BA$137,$G$14/5*(BB$9-BB$10)*1000)</f>
        <v>37767.72121054399</v>
      </c>
      <c r="BC137" s="111">
        <f>SUM(BB$137,'Statistics NZ'!BC$137-'Statistics NZ'!BB$137,$G$14/5*(BC$9-BC$10)*1000)</f>
        <v>37807.72121054399</v>
      </c>
      <c r="BD137" s="111">
        <f>SUM(BC$137,'Statistics NZ'!BD$137-'Statistics NZ'!BC$137,$G$14/5*(BD$9-BD$10)*1000)</f>
        <v>37857.72121054399</v>
      </c>
      <c r="BE137" s="111">
        <f>SUM(BD$137,'Statistics NZ'!BE$137-'Statistics NZ'!BD$137,$G$14/5*(BE$9-BE$10)*1000)</f>
        <v>37927.72121054399</v>
      </c>
      <c r="BF137" s="111">
        <f>SUM(BE$137,'Statistics NZ'!BF$137-'Statistics NZ'!BE$137,$G$14/5*(BF$9-BF$10)*1000)</f>
        <v>38017.72121054399</v>
      </c>
      <c r="BG137" s="111">
        <f>SUM(BF$137,'Statistics NZ'!BG$137-'Statistics NZ'!BF$137,$G$14/5*(BG$9-BG$10)*1000)</f>
        <v>38137.72121054399</v>
      </c>
      <c r="BH137" s="111">
        <f>SUM(BG$137,'Statistics NZ'!BH$137-'Statistics NZ'!BG$137,$G$14/5*(BH$9-BH$10)*1000)</f>
        <v>38277.72121054399</v>
      </c>
      <c r="BI137" s="111">
        <f>SUM(BH$137,'Statistics NZ'!BI$137-'Statistics NZ'!BH$137,$G$14/5*(BI$9-BI$10)*1000)</f>
        <v>38437.72121054399</v>
      </c>
      <c r="BJ137" s="111">
        <f>SUM(BI$137,'Statistics NZ'!BJ$137-'Statistics NZ'!BI$137,$G$14/5*(BJ$9-BJ$10)*1000)</f>
        <v>38607.72121054399</v>
      </c>
      <c r="BK137" s="111">
        <f>SUM(BJ$137,'Statistics NZ'!BK$137-'Statistics NZ'!BJ$137,$G$14/5*(BK$9-BK$10)*1000)</f>
        <v>38777.72121054399</v>
      </c>
      <c r="BL137" s="111">
        <f>SUM(BK$137,'Statistics NZ'!BL$137-'Statistics NZ'!BK$137,$G$14/5*(BL$9-BL$10)*1000)</f>
        <v>38927.72121054399</v>
      </c>
      <c r="BM137" s="195">
        <f>SUM(BL$137,'Statistics NZ'!BM$137-'Statistics NZ'!BL$137,$G$14/5*(BM$9-BM$10)*1000)</f>
        <v>39057.72121054399</v>
      </c>
      <c r="BN137" s="195">
        <f>SUM(BM$137,'Statistics NZ'!BN$137-'Statistics NZ'!BM$137,$G$14/5*(BN$9-BN$10)*1000)</f>
        <v>39157.72121054399</v>
      </c>
      <c r="BO137" s="195">
        <f>SUM(BN$137,'Statistics NZ'!BO$137-'Statistics NZ'!BN$137,$G$14/5*(BO$9-BO$10)*1000)</f>
        <v>39227.72121054399</v>
      </c>
      <c r="BP137" s="195">
        <f>SUM(BO$137,'Statistics NZ'!BP$137-'Statistics NZ'!BO$137,$G$14/5*(BP$9-BP$10)*1000)</f>
        <v>39267.72121054399</v>
      </c>
      <c r="BQ137" s="195">
        <f>SUM(BP$137,'Statistics NZ'!BQ$137-'Statistics NZ'!BP$137,$G$14/5*(BQ$9-BQ$10)*1000)</f>
        <v>39267.72121054399</v>
      </c>
    </row>
    <row r="138" spans="1:69">
      <c r="A138" s="105">
        <f>$A$45</f>
        <v>28</v>
      </c>
      <c r="B138" s="118">
        <f>'Statistics NZ'!B$138*'Economic Forecasts'!D$9*1000000/SUM('Statistics NZ'!B$32:B$107,'Statistics NZ'!B$125:B$200)</f>
        <v>23947.597866711963</v>
      </c>
      <c r="C138" s="118">
        <f>'Statistics NZ'!C$138*'Economic Forecasts'!E$9*1000000/SUM('Statistics NZ'!C$32:C$107,'Statistics NZ'!C$125:C$200)</f>
        <v>24695.284856086608</v>
      </c>
      <c r="D138" s="118">
        <f>'Statistics NZ'!D$138*'Economic Forecasts'!F$9*1000000/SUM('Statistics NZ'!D$32:D$107,'Statistics NZ'!D$125:D$200)</f>
        <v>25054.216881078639</v>
      </c>
      <c r="E138" s="118">
        <f>'Statistics NZ'!E$138*'Economic Forecasts'!G$9*1000000/SUM('Statistics NZ'!E$32:E$107,'Statistics NZ'!E$125:E$200)</f>
        <v>25812.931325942325</v>
      </c>
      <c r="F138" s="118">
        <f>'Statistics NZ'!F$138*'Economic Forecasts'!H$9*1000000/SUM('Statistics NZ'!F$32:F$107,'Statistics NZ'!F$125:F$200)</f>
        <v>26008.278794956037</v>
      </c>
      <c r="G138" s="118">
        <f>'Statistics NZ'!G$138*'Economic Forecasts'!I$9*1000000/SUM('Statistics NZ'!G$32:G$107,'Statistics NZ'!G$125:G$200)</f>
        <v>26346.59035027611</v>
      </c>
      <c r="H138" s="118">
        <f>'Statistics NZ'!H$138*'Economic Forecasts'!J$9*1000000/SUM('Statistics NZ'!H$32:H$107,'Statistics NZ'!H$125:H$200)</f>
        <v>26022.812956488677</v>
      </c>
      <c r="I138" s="118">
        <f>'Statistics NZ'!I$138*'Economic Forecasts'!K$9*1000000/SUM('Statistics NZ'!I$32:I$107,'Statistics NZ'!I$125:I$200)</f>
        <v>25822.706980140432</v>
      </c>
      <c r="J138" s="203">
        <f>'Statistics NZ'!J$138*'Economic Forecasts'!L$9*1000000/SUM('Statistics NZ'!J$32:J$107,'Statistics NZ'!J$125:J$200)</f>
        <v>27244.421189304361</v>
      </c>
      <c r="K138" s="203">
        <f>'Statistics NZ'!K$138*'Economic Forecasts'!M$9*1000000/SUM('Statistics NZ'!K$32:K$107,'Statistics NZ'!K$125:K$200)</f>
        <v>29387.511082106426</v>
      </c>
      <c r="L138" s="203">
        <f>'Statistics NZ'!L$138*'Economic Forecasts'!N$9*1000000/SUM('Statistics NZ'!L$32:L$107,'Statistics NZ'!L$125:L$200)</f>
        <v>32107.171285299548</v>
      </c>
      <c r="M138" s="203">
        <f>'Statistics NZ'!M$138*'Economic Forecasts'!O$9*1000000/SUM('Statistics NZ'!M$32:M$107,'Statistics NZ'!M$125:M$200)</f>
        <v>34417.218670835457</v>
      </c>
      <c r="N138" s="203">
        <f>'Statistics NZ'!N$138*'Economic Forecasts'!P$9*1000000/SUM('Statistics NZ'!N$32:N$107,'Statistics NZ'!N$125:N$200)</f>
        <v>37411.451650430448</v>
      </c>
      <c r="O138" s="203">
        <f>'Statistics NZ'!O$138*'Economic Forecasts'!Q$9*1000000/SUM('Statistics NZ'!O$32:O$107,'Statistics NZ'!O$125:O$200)</f>
        <v>38704.115399815571</v>
      </c>
      <c r="P138" s="203">
        <f>'Statistics NZ'!P$138*'Economic Forecasts'!R$9*1000000/SUM('Statistics NZ'!P$32:P$107,'Statistics NZ'!P$125:P$200)</f>
        <v>39759.324229683385</v>
      </c>
      <c r="Q138" s="121">
        <f>SUM('Statistics NZ'!Q$138,$G$14/5*(Q$9-Q$10)*1000)*'Economic Forecasts'!S$9*1000000/SUM('Statistics NZ'!Q$32:Q$107,'Statistics NZ'!Q$125:Q$200,SUM($E$13:$Q$14)*(Q$9-Q$10)*1000)</f>
        <v>38846.630751282311</v>
      </c>
      <c r="R138" s="205">
        <f>SUM('Statistics NZ'!R$138,$G$14/5*(R$9-R$10)*1000)*'Economic Forecasts'!T$9*1000000/SUM('Statistics NZ'!R$32:R$107,'Statistics NZ'!R$125:R$200,SUM($E$13:$Q$14)*(R$9-R$10)*1000)</f>
        <v>37231.886274407123</v>
      </c>
      <c r="S138" s="205">
        <f>SUM('Statistics NZ'!S$138,$G$14/5*(S$9-S$10)*1000)*'Economic Forecasts'!U$9*1000000/SUM('Statistics NZ'!S$32:S$107,'Statistics NZ'!S$125:S$200,SUM($E$13:$Q$14)*(S$9-S$10)*1000)</f>
        <v>36959.227377444899</v>
      </c>
      <c r="T138" s="205">
        <f>SUM('Statistics NZ'!T$138,$G$14/5*(T$9-T$10)*1000)*'Economic Forecasts'!V$9*1000000/SUM('Statistics NZ'!T$32:T$107,'Statistics NZ'!T$125:T$200,SUM($E$13:$Q$14)*(T$9-T$10)*1000)</f>
        <v>36862.171459087287</v>
      </c>
      <c r="U138" s="205">
        <f>SUM('Statistics NZ'!U$138,$G$14/5*(U$9-U$10)*1000)*'Economic Forecasts'!W$9*1000000/SUM('Statistics NZ'!U$32:U$107,'Statistics NZ'!U$125:U$200,SUM($E$13:$Q$14)*(U$9-U$10)*1000)</f>
        <v>35717.167569338795</v>
      </c>
      <c r="V138" s="111">
        <f>SUM(U$138,'Statistics NZ'!V$138-'Statistics NZ'!U$138,$G$14/5*(V$9-V$10)*1000)</f>
        <v>35815.316491176025</v>
      </c>
      <c r="W138" s="111">
        <f>SUM(V$138,'Statistics NZ'!W$138-'Statistics NZ'!V$138,$G$14/5*(W$9-W$10)*1000)</f>
        <v>35094.946797783603</v>
      </c>
      <c r="X138" s="111">
        <f>SUM(W$138,'Statistics NZ'!X$138-'Statistics NZ'!W$138,$G$14/5*(X$9-X$10)*1000)</f>
        <v>35996.058489161529</v>
      </c>
      <c r="Y138" s="111">
        <f>SUM(X$138,'Statistics NZ'!Y$138-'Statistics NZ'!X$138,$G$14/5*(Y$9-Y$10)*1000)</f>
        <v>35678.651565309796</v>
      </c>
      <c r="Z138" s="111">
        <f>SUM(Y$138,'Statistics NZ'!Z$138-'Statistics NZ'!Y$138,$G$14/5*(Z$9-Z$10)*1000)</f>
        <v>34462.726026228411</v>
      </c>
      <c r="AA138" s="111">
        <f>SUM(Z$138,'Statistics NZ'!AA$138-'Statistics NZ'!Z$138,$G$14/5*(AA$9-AA$10)*1000)</f>
        <v>35098.281871917374</v>
      </c>
      <c r="AB138" s="111">
        <f>SUM(AA$138,'Statistics NZ'!AB$138-'Statistics NZ'!AA$138,$G$14/5*(AB$9-AB$10)*1000)</f>
        <v>35415.319102376685</v>
      </c>
      <c r="AC138" s="111">
        <f>SUM(AB$138,'Statistics NZ'!AC$138-'Statistics NZ'!AB$138,$G$14/5*(AC$9-AC$10)*1000)</f>
        <v>35853.837717606337</v>
      </c>
      <c r="AD138" s="111">
        <f>SUM(AC$138,'Statistics NZ'!AD$138-'Statistics NZ'!AC$138,$G$14/5*(AD$9-AD$10)*1000)</f>
        <v>36873.837717606337</v>
      </c>
      <c r="AE138" s="111">
        <f>SUM(AD$138,'Statistics NZ'!AE$138-'Statistics NZ'!AD$138,$G$14/5*(AE$9-AE$10)*1000)</f>
        <v>38863.837717606337</v>
      </c>
      <c r="AF138" s="111">
        <f>SUM(AE$138,'Statistics NZ'!AF$138-'Statistics NZ'!AE$138,$G$14/5*(AF$9-AF$10)*1000)</f>
        <v>39933.837717606337</v>
      </c>
      <c r="AG138" s="111">
        <f>SUM(AF$138,'Statistics NZ'!AG$138-'Statistics NZ'!AF$138,$G$14/5*(AG$9-AG$10)*1000)</f>
        <v>40513.837717606337</v>
      </c>
      <c r="AH138" s="111">
        <f>SUM(AG$138,'Statistics NZ'!AH$138-'Statistics NZ'!AG$138,$G$14/5*(AH$9-AH$10)*1000)</f>
        <v>40993.837717606337</v>
      </c>
      <c r="AI138" s="111">
        <f>SUM(AH$138,'Statistics NZ'!AI$138-'Statistics NZ'!AH$138,$G$14/5*(AI$9-AI$10)*1000)</f>
        <v>40703.837717606337</v>
      </c>
      <c r="AJ138" s="111">
        <f>SUM(AI$138,'Statistics NZ'!AJ$138-'Statistics NZ'!AI$138,$G$14/5*(AJ$9-AJ$10)*1000)</f>
        <v>40553.837717606337</v>
      </c>
      <c r="AK138" s="111">
        <f>SUM(AJ$138,'Statistics NZ'!AK$138-'Statistics NZ'!AJ$138,$G$14/5*(AK$9-AK$10)*1000)</f>
        <v>40263.837717606337</v>
      </c>
      <c r="AL138" s="111">
        <f>SUM(AK$138,'Statistics NZ'!AL$138-'Statistics NZ'!AK$138,$G$14/5*(AL$9-AL$10)*1000)</f>
        <v>39913.837717606337</v>
      </c>
      <c r="AM138" s="111">
        <f>SUM(AL$138,'Statistics NZ'!AM$138-'Statistics NZ'!AL$138,$G$14/5*(AM$9-AM$10)*1000)</f>
        <v>39843.837717606337</v>
      </c>
      <c r="AN138" s="111">
        <f>SUM(AM$138,'Statistics NZ'!AN$138-'Statistics NZ'!AM$138,$G$14/5*(AN$9-AN$10)*1000)</f>
        <v>39543.837717606337</v>
      </c>
      <c r="AO138" s="111">
        <f>SUM(AN$138,'Statistics NZ'!AO$138-'Statistics NZ'!AN$138,$G$14/5*(AO$9-AO$10)*1000)</f>
        <v>39303.837717606337</v>
      </c>
      <c r="AP138" s="111">
        <f>SUM(AO$138,'Statistics NZ'!AP$138-'Statistics NZ'!AO$138,$G$14/5*(AP$9-AP$10)*1000)</f>
        <v>38613.837717606337</v>
      </c>
      <c r="AQ138" s="111">
        <f>SUM(AP$138,'Statistics NZ'!AQ$138-'Statistics NZ'!AP$138,$G$14/5*(AQ$9-AQ$10)*1000)</f>
        <v>38583.837717606337</v>
      </c>
      <c r="AR138" s="111">
        <f>SUM(AQ$138,'Statistics NZ'!AR$138-'Statistics NZ'!AQ$138,$G$14/5*(AR$9-AR$10)*1000)</f>
        <v>37953.837717606337</v>
      </c>
      <c r="AS138" s="111">
        <f>SUM(AR$138,'Statistics NZ'!AS$138-'Statistics NZ'!AR$138,$G$14/5*(AS$9-AS$10)*1000)</f>
        <v>37773.837717606337</v>
      </c>
      <c r="AT138" s="111">
        <f>SUM(AS$138,'Statistics NZ'!AT$138-'Statistics NZ'!AS$138,$G$14/5*(AT$9-AT$10)*1000)</f>
        <v>37743.837717606337</v>
      </c>
      <c r="AU138" s="111">
        <f>SUM(AT$138,'Statistics NZ'!AU$138-'Statistics NZ'!AT$138,$G$14/5*(AU$9-AU$10)*1000)</f>
        <v>37683.837717606337</v>
      </c>
      <c r="AV138" s="111">
        <f>SUM(AU$138,'Statistics NZ'!AV$138-'Statistics NZ'!AU$138,$G$14/5*(AV$9-AV$10)*1000)</f>
        <v>37593.837717606337</v>
      </c>
      <c r="AW138" s="111">
        <f>SUM(AV$138,'Statistics NZ'!AW$138-'Statistics NZ'!AV$138,$G$14/5*(AW$9-AW$10)*1000)</f>
        <v>37723.837717606337</v>
      </c>
      <c r="AX138" s="111">
        <f>SUM(AW$138,'Statistics NZ'!AX$138-'Statistics NZ'!AW$138,$G$14/5*(AX$9-AX$10)*1000)</f>
        <v>37803.837717606337</v>
      </c>
      <c r="AY138" s="111">
        <f>SUM(AX$138,'Statistics NZ'!AY$138-'Statistics NZ'!AX$138,$G$14/5*(AY$9-AY$10)*1000)</f>
        <v>37863.837717606337</v>
      </c>
      <c r="AZ138" s="111">
        <f>SUM(AY$138,'Statistics NZ'!AZ$138-'Statistics NZ'!AY$138,$G$14/5*(AZ$9-AZ$10)*1000)</f>
        <v>37903.837717606337</v>
      </c>
      <c r="BA138" s="111">
        <f>SUM(AZ$138,'Statistics NZ'!BA$138-'Statistics NZ'!AZ$138,$G$14/5*(BA$9-BA$10)*1000)</f>
        <v>37933.837717606337</v>
      </c>
      <c r="BB138" s="111">
        <f>SUM(BA$138,'Statistics NZ'!BB$138-'Statistics NZ'!BA$138,$G$14/5*(BB$9-BB$10)*1000)</f>
        <v>37963.837717606337</v>
      </c>
      <c r="BC138" s="111">
        <f>SUM(BB$138,'Statistics NZ'!BC$138-'Statistics NZ'!BB$138,$G$14/5*(BC$9-BC$10)*1000)</f>
        <v>37993.837717606337</v>
      </c>
      <c r="BD138" s="111">
        <f>SUM(BC$138,'Statistics NZ'!BD$138-'Statistics NZ'!BC$138,$G$14/5*(BD$9-BD$10)*1000)</f>
        <v>38033.837717606337</v>
      </c>
      <c r="BE138" s="111">
        <f>SUM(BD$138,'Statistics NZ'!BE$138-'Statistics NZ'!BD$138,$G$14/5*(BE$9-BE$10)*1000)</f>
        <v>38083.837717606337</v>
      </c>
      <c r="BF138" s="111">
        <f>SUM(BE$138,'Statistics NZ'!BF$138-'Statistics NZ'!BE$138,$G$14/5*(BF$9-BF$10)*1000)</f>
        <v>38153.837717606337</v>
      </c>
      <c r="BG138" s="111">
        <f>SUM(BF$138,'Statistics NZ'!BG$138-'Statistics NZ'!BF$138,$G$14/5*(BG$9-BG$10)*1000)</f>
        <v>38243.837717606337</v>
      </c>
      <c r="BH138" s="111">
        <f>SUM(BG$138,'Statistics NZ'!BH$138-'Statistics NZ'!BG$138,$G$14/5*(BH$9-BH$10)*1000)</f>
        <v>38363.837717606337</v>
      </c>
      <c r="BI138" s="111">
        <f>SUM(BH$138,'Statistics NZ'!BI$138-'Statistics NZ'!BH$138,$G$14/5*(BI$9-BI$10)*1000)</f>
        <v>38503.837717606337</v>
      </c>
      <c r="BJ138" s="111">
        <f>SUM(BI$138,'Statistics NZ'!BJ$138-'Statistics NZ'!BI$138,$G$14/5*(BJ$9-BJ$10)*1000)</f>
        <v>38663.837717606337</v>
      </c>
      <c r="BK138" s="111">
        <f>SUM(BJ$138,'Statistics NZ'!BK$138-'Statistics NZ'!BJ$138,$G$14/5*(BK$9-BK$10)*1000)</f>
        <v>38833.837717606337</v>
      </c>
      <c r="BL138" s="111">
        <f>SUM(BK$138,'Statistics NZ'!BL$138-'Statistics NZ'!BK$138,$G$14/5*(BL$9-BL$10)*1000)</f>
        <v>39013.837717606337</v>
      </c>
      <c r="BM138" s="195">
        <f>SUM(BL$138,'Statistics NZ'!BM$138-'Statistics NZ'!BL$138,$G$14/5*(BM$9-BM$10)*1000)</f>
        <v>39163.837717606337</v>
      </c>
      <c r="BN138" s="195">
        <f>SUM(BM$138,'Statistics NZ'!BN$138-'Statistics NZ'!BM$138,$G$14/5*(BN$9-BN$10)*1000)</f>
        <v>39293.837717606337</v>
      </c>
      <c r="BO138" s="195">
        <f>SUM(BN$138,'Statistics NZ'!BO$138-'Statistics NZ'!BN$138,$G$14/5*(BO$9-BO$10)*1000)</f>
        <v>39393.837717606337</v>
      </c>
      <c r="BP138" s="195">
        <f>SUM(BO$138,'Statistics NZ'!BP$138-'Statistics NZ'!BO$138,$G$14/5*(BP$9-BP$10)*1000)</f>
        <v>39463.837717606337</v>
      </c>
      <c r="BQ138" s="195">
        <f>SUM(BP$138,'Statistics NZ'!BQ$138-'Statistics NZ'!BP$138,$G$14/5*(BQ$9-BQ$10)*1000)</f>
        <v>39493.837717606337</v>
      </c>
    </row>
    <row r="139" spans="1:69">
      <c r="A139" s="105">
        <f>$A$46</f>
        <v>29</v>
      </c>
      <c r="B139" s="118">
        <f>'Statistics NZ'!B$139*'Economic Forecasts'!D$9*1000000/SUM('Statistics NZ'!B$32:B$107,'Statistics NZ'!B$125:B$200)</f>
        <v>24489.398723424911</v>
      </c>
      <c r="C139" s="118">
        <f>'Statistics NZ'!C$139*'Economic Forecasts'!E$9*1000000/SUM('Statistics NZ'!C$32:C$107,'Statistics NZ'!C$125:C$200)</f>
        <v>24231.940190124107</v>
      </c>
      <c r="D139" s="118">
        <f>'Statistics NZ'!D$139*'Economic Forecasts'!F$9*1000000/SUM('Statistics NZ'!D$32:D$107,'Statistics NZ'!D$125:D$200)</f>
        <v>24807.814276032626</v>
      </c>
      <c r="E139" s="118">
        <f>'Statistics NZ'!E$139*'Economic Forecasts'!G$9*1000000/SUM('Statistics NZ'!E$32:E$107,'Statistics NZ'!E$125:E$200)</f>
        <v>25261.415051904642</v>
      </c>
      <c r="F139" s="118">
        <f>'Statistics NZ'!F$139*'Economic Forecasts'!H$9*1000000/SUM('Statistics NZ'!F$32:F$107,'Statistics NZ'!F$125:F$200)</f>
        <v>25781.691517575735</v>
      </c>
      <c r="G139" s="118">
        <f>'Statistics NZ'!G$139*'Economic Forecasts'!I$9*1000000/SUM('Statistics NZ'!G$32:G$107,'Statistics NZ'!G$125:G$200)</f>
        <v>25765.270667902776</v>
      </c>
      <c r="H139" s="118">
        <f>'Statistics NZ'!H$139*'Economic Forecasts'!J$9*1000000/SUM('Statistics NZ'!H$32:H$107,'Statistics NZ'!H$125:H$200)</f>
        <v>26121.309599018914</v>
      </c>
      <c r="I139" s="118">
        <f>'Statistics NZ'!I$139*'Economic Forecasts'!K$9*1000000/SUM('Statistics NZ'!I$32:I$107,'Statistics NZ'!I$125:I$200)</f>
        <v>25911.275715971704</v>
      </c>
      <c r="J139" s="203">
        <f>'Statistics NZ'!J$139*'Economic Forecasts'!L$9*1000000/SUM('Statistics NZ'!J$32:J$107,'Statistics NZ'!J$125:J$200)</f>
        <v>26644.886668183306</v>
      </c>
      <c r="K139" s="203">
        <f>'Statistics NZ'!K$139*'Economic Forecasts'!M$9*1000000/SUM('Statistics NZ'!K$32:K$107,'Statistics NZ'!K$125:K$200)</f>
        <v>28562.184792939948</v>
      </c>
      <c r="L139" s="203">
        <f>'Statistics NZ'!L$139*'Economic Forecasts'!N$9*1000000/SUM('Statistics NZ'!L$32:L$107,'Statistics NZ'!L$125:L$200)</f>
        <v>31151.835207178672</v>
      </c>
      <c r="M139" s="203">
        <f>'Statistics NZ'!M$139*'Economic Forecasts'!O$9*1000000/SUM('Statistics NZ'!M$32:M$107,'Statistics NZ'!M$125:M$200)</f>
        <v>33639.038855438783</v>
      </c>
      <c r="N139" s="203">
        <f>'Statistics NZ'!N$139*'Economic Forecasts'!P$9*1000000/SUM('Statistics NZ'!N$32:N$107,'Statistics NZ'!N$125:N$200)</f>
        <v>35556.175229886801</v>
      </c>
      <c r="O139" s="203">
        <f>'Statistics NZ'!O$139*'Economic Forecasts'!Q$9*1000000/SUM('Statistics NZ'!O$32:O$107,'Statistics NZ'!O$125:O$200)</f>
        <v>38141.612957747879</v>
      </c>
      <c r="P139" s="203">
        <f>'Statistics NZ'!P$139*'Economic Forecasts'!R$9*1000000/SUM('Statistics NZ'!P$32:P$107,'Statistics NZ'!P$125:P$200)</f>
        <v>39956.787970580743</v>
      </c>
      <c r="Q139" s="121">
        <f>SUM('Statistics NZ'!Q$139,$G$14/5*(Q$9-Q$10)*1000)*'Economic Forecasts'!S$9*1000000/SUM('Statistics NZ'!Q$32:Q$107,'Statistics NZ'!Q$125:Q$200,SUM($E$13:$Q$14)*(Q$9-Q$10)*1000)</f>
        <v>39677.090293739704</v>
      </c>
      <c r="R139" s="205">
        <f>SUM('Statistics NZ'!R$139,$G$14/5*(R$9-R$10)*1000)*'Economic Forecasts'!T$9*1000000/SUM('Statistics NZ'!R$32:R$107,'Statistics NZ'!R$125:R$200,SUM($E$13:$Q$14)*(R$9-R$10)*1000)</f>
        <v>38912.366722301289</v>
      </c>
      <c r="S139" s="205">
        <f>SUM('Statistics NZ'!S$139,$G$14/5*(S$9-S$10)*1000)*'Economic Forecasts'!U$9*1000000/SUM('Statistics NZ'!S$32:S$107,'Statistics NZ'!S$125:S$200,SUM($E$13:$Q$14)*(S$9-S$10)*1000)</f>
        <v>37443.342281892757</v>
      </c>
      <c r="T139" s="205">
        <f>SUM('Statistics NZ'!T$139,$G$14/5*(T$9-T$10)*1000)*'Economic Forecasts'!V$9*1000000/SUM('Statistics NZ'!T$32:T$107,'Statistics NZ'!T$125:T$200,SUM($E$13:$Q$14)*(T$9-T$10)*1000)</f>
        <v>37474.687085058176</v>
      </c>
      <c r="U139" s="205">
        <f>SUM('Statistics NZ'!U$139,$G$14/5*(U$9-U$10)*1000)*'Economic Forecasts'!W$9*1000000/SUM('Statistics NZ'!U$32:U$107,'Statistics NZ'!U$125:U$200,SUM($E$13:$Q$14)*(U$9-U$10)*1000)</f>
        <v>37418.613103081159</v>
      </c>
      <c r="V139" s="111">
        <f>SUM(U$139,'Statistics NZ'!V$139-'Statistics NZ'!U$139,$G$14/5*(V$9-V$10)*1000)</f>
        <v>36326.762024918389</v>
      </c>
      <c r="W139" s="111">
        <f>SUM(V$139,'Statistics NZ'!W$139-'Statistics NZ'!V$139,$G$14/5*(W$9-W$10)*1000)</f>
        <v>36396.392331525967</v>
      </c>
      <c r="X139" s="111">
        <f>SUM(W$139,'Statistics NZ'!X$139-'Statistics NZ'!W$139,$G$14/5*(X$9-X$10)*1000)</f>
        <v>35657.504022903893</v>
      </c>
      <c r="Y139" s="111">
        <f>SUM(X$139,'Statistics NZ'!Y$139-'Statistics NZ'!X$139,$G$14/5*(Y$9-Y$10)*1000)</f>
        <v>36530.09709905216</v>
      </c>
      <c r="Z139" s="111">
        <f>SUM(Y$139,'Statistics NZ'!Z$139-'Statistics NZ'!Y$139,$G$14/5*(Z$9-Z$10)*1000)</f>
        <v>36174.171559970775</v>
      </c>
      <c r="AA139" s="111">
        <f>SUM(Z$139,'Statistics NZ'!AA$139-'Statistics NZ'!Z$139,$G$14/5*(AA$9-AA$10)*1000)</f>
        <v>34929.727405659738</v>
      </c>
      <c r="AB139" s="111">
        <f>SUM(AA$139,'Statistics NZ'!AB$139-'Statistics NZ'!AA$139,$G$14/5*(AB$9-AB$10)*1000)</f>
        <v>35536.764636119049</v>
      </c>
      <c r="AC139" s="111">
        <f>SUM(AB$139,'Statistics NZ'!AC$139-'Statistics NZ'!AB$139,$G$14/5*(AC$9-AC$10)*1000)</f>
        <v>35825.283251348701</v>
      </c>
      <c r="AD139" s="111">
        <f>SUM(AC$139,'Statistics NZ'!AD$139-'Statistics NZ'!AC$139,$G$14/5*(AD$9-AD$10)*1000)</f>
        <v>36235.283251348701</v>
      </c>
      <c r="AE139" s="111">
        <f>SUM(AD$139,'Statistics NZ'!AE$139-'Statistics NZ'!AD$139,$G$14/5*(AE$9-AE$10)*1000)</f>
        <v>37265.283251348701</v>
      </c>
      <c r="AF139" s="111">
        <f>SUM(AE$139,'Statistics NZ'!AF$139-'Statistics NZ'!AE$139,$G$14/5*(AF$9-AF$10)*1000)</f>
        <v>39245.283251348701</v>
      </c>
      <c r="AG139" s="111">
        <f>SUM(AF$139,'Statistics NZ'!AG$139-'Statistics NZ'!AF$139,$G$14/5*(AG$9-AG$10)*1000)</f>
        <v>40325.283251348701</v>
      </c>
      <c r="AH139" s="111">
        <f>SUM(AG$139,'Statistics NZ'!AH$139-'Statistics NZ'!AG$139,$G$14/5*(AH$9-AH$10)*1000)</f>
        <v>40895.283251348701</v>
      </c>
      <c r="AI139" s="111">
        <f>SUM(AH$139,'Statistics NZ'!AI$139-'Statistics NZ'!AH$139,$G$14/5*(AI$9-AI$10)*1000)</f>
        <v>41385.283251348701</v>
      </c>
      <c r="AJ139" s="111">
        <f>SUM(AI$139,'Statistics NZ'!AJ$139-'Statistics NZ'!AI$139,$G$14/5*(AJ$9-AJ$10)*1000)</f>
        <v>41095.283251348701</v>
      </c>
      <c r="AK139" s="111">
        <f>SUM(AJ$139,'Statistics NZ'!AK$139-'Statistics NZ'!AJ$139,$G$14/5*(AK$9-AK$10)*1000)</f>
        <v>40935.283251348701</v>
      </c>
      <c r="AL139" s="111">
        <f>SUM(AK$139,'Statistics NZ'!AL$139-'Statistics NZ'!AK$139,$G$14/5*(AL$9-AL$10)*1000)</f>
        <v>40655.283251348701</v>
      </c>
      <c r="AM139" s="111">
        <f>SUM(AL$139,'Statistics NZ'!AM$139-'Statistics NZ'!AL$139,$G$14/5*(AM$9-AM$10)*1000)</f>
        <v>40305.283251348701</v>
      </c>
      <c r="AN139" s="111">
        <f>SUM(AM$139,'Statistics NZ'!AN$139-'Statistics NZ'!AM$139,$G$14/5*(AN$9-AN$10)*1000)</f>
        <v>40235.283251348701</v>
      </c>
      <c r="AO139" s="111">
        <f>SUM(AN$139,'Statistics NZ'!AO$139-'Statistics NZ'!AN$139,$G$14/5*(AO$9-AO$10)*1000)</f>
        <v>39925.283251348701</v>
      </c>
      <c r="AP139" s="111">
        <f>SUM(AO$139,'Statistics NZ'!AP$139-'Statistics NZ'!AO$139,$G$14/5*(AP$9-AP$10)*1000)</f>
        <v>39695.283251348701</v>
      </c>
      <c r="AQ139" s="111">
        <f>SUM(AP$139,'Statistics NZ'!AQ$139-'Statistics NZ'!AP$139,$G$14/5*(AQ$9-AQ$10)*1000)</f>
        <v>39005.283251348701</v>
      </c>
      <c r="AR139" s="111">
        <f>SUM(AQ$139,'Statistics NZ'!AR$139-'Statistics NZ'!AQ$139,$G$14/5*(AR$9-AR$10)*1000)</f>
        <v>38975.283251348701</v>
      </c>
      <c r="AS139" s="111">
        <f>SUM(AR$139,'Statistics NZ'!AS$139-'Statistics NZ'!AR$139,$G$14/5*(AS$9-AS$10)*1000)</f>
        <v>38345.283251348701</v>
      </c>
      <c r="AT139" s="111">
        <f>SUM(AS$139,'Statistics NZ'!AT$139-'Statistics NZ'!AS$139,$G$14/5*(AT$9-AT$10)*1000)</f>
        <v>38165.283251348701</v>
      </c>
      <c r="AU139" s="111">
        <f>SUM(AT$139,'Statistics NZ'!AU$139-'Statistics NZ'!AT$139,$G$14/5*(AU$9-AU$10)*1000)</f>
        <v>38135.283251348701</v>
      </c>
      <c r="AV139" s="111">
        <f>SUM(AU$139,'Statistics NZ'!AV$139-'Statistics NZ'!AU$139,$G$14/5*(AV$9-AV$10)*1000)</f>
        <v>38075.283251348701</v>
      </c>
      <c r="AW139" s="111">
        <f>SUM(AV$139,'Statistics NZ'!AW$139-'Statistics NZ'!AV$139,$G$14/5*(AW$9-AW$10)*1000)</f>
        <v>37985.283251348701</v>
      </c>
      <c r="AX139" s="111">
        <f>SUM(AW$139,'Statistics NZ'!AX$139-'Statistics NZ'!AW$139,$G$14/5*(AX$9-AX$10)*1000)</f>
        <v>38115.283251348701</v>
      </c>
      <c r="AY139" s="111">
        <f>SUM(AX$139,'Statistics NZ'!AY$139-'Statistics NZ'!AX$139,$G$14/5*(AY$9-AY$10)*1000)</f>
        <v>38195.283251348701</v>
      </c>
      <c r="AZ139" s="111">
        <f>SUM(AY$139,'Statistics NZ'!AZ$139-'Statistics NZ'!AY$139,$G$14/5*(AZ$9-AZ$10)*1000)</f>
        <v>38255.283251348701</v>
      </c>
      <c r="BA139" s="111">
        <f>SUM(AZ$139,'Statistics NZ'!BA$139-'Statistics NZ'!AZ$139,$G$14/5*(BA$9-BA$10)*1000)</f>
        <v>38295.283251348701</v>
      </c>
      <c r="BB139" s="111">
        <f>SUM(BA$139,'Statistics NZ'!BB$139-'Statistics NZ'!BA$139,$G$14/5*(BB$9-BB$10)*1000)</f>
        <v>38325.283251348701</v>
      </c>
      <c r="BC139" s="111">
        <f>SUM(BB$139,'Statistics NZ'!BC$139-'Statistics NZ'!BB$139,$G$14/5*(BC$9-BC$10)*1000)</f>
        <v>38355.283251348701</v>
      </c>
      <c r="BD139" s="111">
        <f>SUM(BC$139,'Statistics NZ'!BD$139-'Statistics NZ'!BC$139,$G$14/5*(BD$9-BD$10)*1000)</f>
        <v>38385.283251348701</v>
      </c>
      <c r="BE139" s="111">
        <f>SUM(BD$139,'Statistics NZ'!BE$139-'Statistics NZ'!BD$139,$G$14/5*(BE$9-BE$10)*1000)</f>
        <v>38425.283251348701</v>
      </c>
      <c r="BF139" s="111">
        <f>SUM(BE$139,'Statistics NZ'!BF$139-'Statistics NZ'!BE$139,$G$14/5*(BF$9-BF$10)*1000)</f>
        <v>38475.283251348701</v>
      </c>
      <c r="BG139" s="111">
        <f>SUM(BF$139,'Statistics NZ'!BG$139-'Statistics NZ'!BF$139,$G$14/5*(BG$9-BG$10)*1000)</f>
        <v>38545.283251348701</v>
      </c>
      <c r="BH139" s="111">
        <f>SUM(BG$139,'Statistics NZ'!BH$139-'Statistics NZ'!BG$139,$G$14/5*(BH$9-BH$10)*1000)</f>
        <v>38635.283251348701</v>
      </c>
      <c r="BI139" s="111">
        <f>SUM(BH$139,'Statistics NZ'!BI$139-'Statistics NZ'!BH$139,$G$14/5*(BI$9-BI$10)*1000)</f>
        <v>38755.283251348701</v>
      </c>
      <c r="BJ139" s="111">
        <f>SUM(BI$139,'Statistics NZ'!BJ$139-'Statistics NZ'!BI$139,$G$14/5*(BJ$9-BJ$10)*1000)</f>
        <v>38905.283251348701</v>
      </c>
      <c r="BK139" s="111">
        <f>SUM(BJ$139,'Statistics NZ'!BK$139-'Statistics NZ'!BJ$139,$G$14/5*(BK$9-BK$10)*1000)</f>
        <v>39055.283251348701</v>
      </c>
      <c r="BL139" s="111">
        <f>SUM(BK$139,'Statistics NZ'!BL$139-'Statistics NZ'!BK$139,$G$14/5*(BL$9-BL$10)*1000)</f>
        <v>39235.283251348701</v>
      </c>
      <c r="BM139" s="195">
        <f>SUM(BL$139,'Statistics NZ'!BM$139-'Statistics NZ'!BL$139,$G$14/5*(BM$9-BM$10)*1000)</f>
        <v>39405.283251348701</v>
      </c>
      <c r="BN139" s="195">
        <f>SUM(BM$139,'Statistics NZ'!BN$139-'Statistics NZ'!BM$139,$G$14/5*(BN$9-BN$10)*1000)</f>
        <v>39555.283251348701</v>
      </c>
      <c r="BO139" s="195">
        <f>SUM(BN$139,'Statistics NZ'!BO$139-'Statistics NZ'!BN$139,$G$14/5*(BO$9-BO$10)*1000)</f>
        <v>39685.283251348701</v>
      </c>
      <c r="BP139" s="195">
        <f>SUM(BO$139,'Statistics NZ'!BP$139-'Statistics NZ'!BO$139,$G$14/5*(BP$9-BP$10)*1000)</f>
        <v>39785.283251348701</v>
      </c>
      <c r="BQ139" s="195">
        <f>SUM(BP$139,'Statistics NZ'!BQ$139-'Statistics NZ'!BP$139,$G$14/5*(BQ$9-BQ$10)*1000)</f>
        <v>39855.283251348701</v>
      </c>
    </row>
    <row r="140" spans="1:69">
      <c r="A140" s="105">
        <f>$A$47</f>
        <v>30</v>
      </c>
      <c r="B140" s="118">
        <f>'Statistics NZ'!B$140*'Economic Forecasts'!D$9*1000000/SUM('Statistics NZ'!B$32:B$107,'Statistics NZ'!B$125:B$200)</f>
        <v>24804.62831278516</v>
      </c>
      <c r="C140" s="118">
        <f>'Statistics NZ'!C$140*'Economic Forecasts'!E$9*1000000/SUM('Statistics NZ'!C$32:C$107,'Statistics NZ'!C$125:C$200)</f>
        <v>24803.727224716135</v>
      </c>
      <c r="D140" s="118">
        <f>'Statistics NZ'!D$140*'Economic Forecasts'!F$9*1000000/SUM('Statistics NZ'!D$32:D$107,'Statistics NZ'!D$125:D$200)</f>
        <v>24423.426212160844</v>
      </c>
      <c r="E140" s="118">
        <f>'Statistics NZ'!E$140*'Economic Forecasts'!G$9*1000000/SUM('Statistics NZ'!E$32:E$107,'Statistics NZ'!E$125:E$200)</f>
        <v>25044.747944246978</v>
      </c>
      <c r="F140" s="118">
        <f>'Statistics NZ'!F$140*'Economic Forecasts'!H$9*1000000/SUM('Statistics NZ'!F$32:F$107,'Statistics NZ'!F$125:F$200)</f>
        <v>25387.626687349126</v>
      </c>
      <c r="G140" s="118">
        <f>'Statistics NZ'!G$140*'Economic Forecasts'!I$9*1000000/SUM('Statistics NZ'!G$32:G$107,'Statistics NZ'!G$125:G$200)</f>
        <v>25765.270667902776</v>
      </c>
      <c r="H140" s="118">
        <f>'Statistics NZ'!H$140*'Economic Forecasts'!J$9*1000000/SUM('Statistics NZ'!H$32:H$107,'Statistics NZ'!H$125:H$200)</f>
        <v>25609.127057861682</v>
      </c>
      <c r="I140" s="118">
        <f>'Statistics NZ'!I$140*'Economic Forecasts'!K$9*1000000/SUM('Statistics NZ'!I$32:I$107,'Statistics NZ'!I$125:I$200)</f>
        <v>26108.095128930094</v>
      </c>
      <c r="J140" s="203">
        <f>'Statistics NZ'!J$140*'Economic Forecasts'!L$9*1000000/SUM('Statistics NZ'!J$32:J$107,'Statistics NZ'!J$125:J$200)</f>
        <v>26851.283798405308</v>
      </c>
      <c r="K140" s="203">
        <f>'Statistics NZ'!K$140*'Economic Forecasts'!M$9*1000000/SUM('Statistics NZ'!K$32:K$107,'Statistics NZ'!K$125:K$200)</f>
        <v>27972.666014963888</v>
      </c>
      <c r="L140" s="203">
        <f>'Statistics NZ'!L$140*'Economic Forecasts'!N$9*1000000/SUM('Statistics NZ'!L$32:L$107,'Statistics NZ'!L$125:L$200)</f>
        <v>30038.917920295589</v>
      </c>
      <c r="M140" s="203">
        <f>'Statistics NZ'!M$140*'Economic Forecasts'!O$9*1000000/SUM('Statistics NZ'!M$32:M$107,'Statistics NZ'!M$125:M$200)</f>
        <v>32644.150737020242</v>
      </c>
      <c r="N140" s="203">
        <f>'Statistics NZ'!N$140*'Economic Forecasts'!P$9*1000000/SUM('Statistics NZ'!N$32:N$107,'Statistics NZ'!N$125:N$200)</f>
        <v>34954.197242369992</v>
      </c>
      <c r="O140" s="203">
        <f>'Statistics NZ'!O$140*'Economic Forecasts'!Q$9*1000000/SUM('Statistics NZ'!O$32:O$107,'Statistics NZ'!O$125:O$200)</f>
        <v>36325.815600897789</v>
      </c>
      <c r="P140" s="203">
        <f>'Statistics NZ'!P$140*'Economic Forecasts'!R$9*1000000/SUM('Statistics NZ'!P$32:P$107,'Statistics NZ'!P$125:P$200)</f>
        <v>39403.889496068135</v>
      </c>
      <c r="Q140" s="121">
        <f>SUM('Statistics NZ'!Q$140,$H$14/5*(Q$9-Q$10)*1000)*'Economic Forecasts'!S$9*1000000/SUM('Statistics NZ'!Q$32:Q$107,'Statistics NZ'!Q$125:Q$200,SUM($E$13:$Q$14)*(Q$9-Q$10)*1000)</f>
        <v>39880.781005706514</v>
      </c>
      <c r="R140" s="205">
        <f>SUM('Statistics NZ'!R$140,$H$14/5*(R$9-R$10)*1000)*'Economic Forecasts'!T$9*1000000/SUM('Statistics NZ'!R$32:R$107,'Statistics NZ'!R$125:R$200,SUM($E$13:$Q$14)*(R$9-R$10)*1000)</f>
        <v>39717.788672268704</v>
      </c>
      <c r="S140" s="205">
        <f>SUM('Statistics NZ'!S$140,$H$14/5*(S$9-S$10)*1000)*'Economic Forecasts'!U$9*1000000/SUM('Statistics NZ'!S$32:S$107,'Statistics NZ'!S$125:S$200,SUM($E$13:$Q$14)*(S$9-S$10)*1000)</f>
        <v>39097.412897386399</v>
      </c>
      <c r="T140" s="205">
        <f>SUM('Statistics NZ'!T$140,$H$14/5*(T$9-T$10)*1000)*'Economic Forecasts'!V$9*1000000/SUM('Statistics NZ'!T$32:T$107,'Statistics NZ'!T$125:T$200,SUM($E$13:$Q$14)*(T$9-T$10)*1000)</f>
        <v>37969.531362875787</v>
      </c>
      <c r="U140" s="205">
        <f>SUM('Statistics NZ'!U$140,$H$14/5*(U$9-U$10)*1000)*'Economic Forecasts'!W$9*1000000/SUM('Statistics NZ'!U$32:U$107,'Statistics NZ'!U$125:U$200,SUM($E$13:$Q$14)*(U$9-U$10)*1000)</f>
        <v>38069.12268893655</v>
      </c>
      <c r="V140" s="111">
        <f>SUM(U$140,'Statistics NZ'!V$140-'Statistics NZ'!U$140,$H$14/5*(V$9-V$10)*1000)</f>
        <v>38110.69691778854</v>
      </c>
      <c r="W140" s="111">
        <f>SUM(V$140,'Statistics NZ'!W$140-'Statistics NZ'!V$140,$H$14/5*(W$9-W$10)*1000)</f>
        <v>37029.574368034031</v>
      </c>
      <c r="X140" s="111">
        <f>SUM(W$140,'Statistics NZ'!X$140-'Statistics NZ'!W$140,$H$14/5*(X$9-X$10)*1000)</f>
        <v>37095.755039673022</v>
      </c>
      <c r="Y140" s="111">
        <f>SUM(X$140,'Statistics NZ'!Y$140-'Statistics NZ'!X$140,$H$14/5*(Y$9-Y$10)*1000)</f>
        <v>36339.238932705513</v>
      </c>
      <c r="Z140" s="111">
        <f>SUM(Y$140,'Statistics NZ'!Z$140-'Statistics NZ'!Y$140,$H$14/5*(Z$9-Z$10)*1000)</f>
        <v>37200.026047131505</v>
      </c>
      <c r="AA140" s="111">
        <f>SUM(Z$140,'Statistics NZ'!AA$140-'Statistics NZ'!Z$140,$H$14/5*(AA$9-AA$10)*1000)</f>
        <v>36838.116382951004</v>
      </c>
      <c r="AB140" s="111">
        <f>SUM(AA$140,'Statistics NZ'!AB$140-'Statistics NZ'!AA$140,$H$14/5*(AB$9-AB$10)*1000)</f>
        <v>35573.509940164004</v>
      </c>
      <c r="AC140" s="111">
        <f>SUM(AB$140,'Statistics NZ'!AC$140-'Statistics NZ'!AB$140,$H$14/5*(AC$9-AC$10)*1000)</f>
        <v>36156.206718770503</v>
      </c>
      <c r="AD140" s="111">
        <f>SUM(AC$140,'Statistics NZ'!AD$140-'Statistics NZ'!AC$140,$H$14/5*(AD$9-AD$10)*1000)</f>
        <v>36416.206718770503</v>
      </c>
      <c r="AE140" s="111">
        <f>SUM(AD$140,'Statistics NZ'!AE$140-'Statistics NZ'!AD$140,$H$14/5*(AE$9-AE$10)*1000)</f>
        <v>36826.206718770503</v>
      </c>
      <c r="AF140" s="111">
        <f>SUM(AE$140,'Statistics NZ'!AF$140-'Statistics NZ'!AE$140,$H$14/5*(AF$9-AF$10)*1000)</f>
        <v>37846.206718770503</v>
      </c>
      <c r="AG140" s="111">
        <f>SUM(AF$140,'Statistics NZ'!AG$140-'Statistics NZ'!AF$140,$H$14/5*(AG$9-AG$10)*1000)</f>
        <v>39836.206718770503</v>
      </c>
      <c r="AH140" s="111">
        <f>SUM(AG$140,'Statistics NZ'!AH$140-'Statistics NZ'!AG$140,$H$14/5*(AH$9-AH$10)*1000)</f>
        <v>40906.206718770503</v>
      </c>
      <c r="AI140" s="111">
        <f>SUM(AH$140,'Statistics NZ'!AI$140-'Statistics NZ'!AH$140,$H$14/5*(AI$9-AI$10)*1000)</f>
        <v>41486.206718770503</v>
      </c>
      <c r="AJ140" s="111">
        <f>SUM(AI$140,'Statistics NZ'!AJ$140-'Statistics NZ'!AI$140,$H$14/5*(AJ$9-AJ$10)*1000)</f>
        <v>41966.206718770503</v>
      </c>
      <c r="AK140" s="111">
        <f>SUM(AJ$140,'Statistics NZ'!AK$140-'Statistics NZ'!AJ$140,$H$14/5*(AK$9-AK$10)*1000)</f>
        <v>41676.206718770503</v>
      </c>
      <c r="AL140" s="111">
        <f>SUM(AK$140,'Statistics NZ'!AL$140-'Statistics NZ'!AK$140,$H$14/5*(AL$9-AL$10)*1000)</f>
        <v>41526.206718770503</v>
      </c>
      <c r="AM140" s="111">
        <f>SUM(AL$140,'Statistics NZ'!AM$140-'Statistics NZ'!AL$140,$H$14/5*(AM$9-AM$10)*1000)</f>
        <v>41236.206718770503</v>
      </c>
      <c r="AN140" s="111">
        <f>SUM(AM$140,'Statistics NZ'!AN$140-'Statistics NZ'!AM$140,$H$14/5*(AN$9-AN$10)*1000)</f>
        <v>40886.206718770503</v>
      </c>
      <c r="AO140" s="111">
        <f>SUM(AN$140,'Statistics NZ'!AO$140-'Statistics NZ'!AN$140,$H$14/5*(AO$9-AO$10)*1000)</f>
        <v>40816.206718770503</v>
      </c>
      <c r="AP140" s="111">
        <f>SUM(AO$140,'Statistics NZ'!AP$140-'Statistics NZ'!AO$140,$H$14/5*(AP$9-AP$10)*1000)</f>
        <v>40516.206718770503</v>
      </c>
      <c r="AQ140" s="111">
        <f>SUM(AP$140,'Statistics NZ'!AQ$140-'Statistics NZ'!AP$140,$H$14/5*(AQ$9-AQ$10)*1000)</f>
        <v>40286.206718770503</v>
      </c>
      <c r="AR140" s="111">
        <f>SUM(AQ$140,'Statistics NZ'!AR$140-'Statistics NZ'!AQ$140,$H$14/5*(AR$9-AR$10)*1000)</f>
        <v>39596.206718770503</v>
      </c>
      <c r="AS140" s="111">
        <f>SUM(AR$140,'Statistics NZ'!AS$140-'Statistics NZ'!AR$140,$H$14/5*(AS$9-AS$10)*1000)</f>
        <v>39566.206718770503</v>
      </c>
      <c r="AT140" s="111">
        <f>SUM(AS$140,'Statistics NZ'!AT$140-'Statistics NZ'!AS$140,$H$14/5*(AT$9-AT$10)*1000)</f>
        <v>38936.206718770503</v>
      </c>
      <c r="AU140" s="111">
        <f>SUM(AT$140,'Statistics NZ'!AU$140-'Statistics NZ'!AT$140,$H$14/5*(AU$9-AU$10)*1000)</f>
        <v>38756.206718770503</v>
      </c>
      <c r="AV140" s="111">
        <f>SUM(AU$140,'Statistics NZ'!AV$140-'Statistics NZ'!AU$140,$H$14/5*(AV$9-AV$10)*1000)</f>
        <v>38726.206718770503</v>
      </c>
      <c r="AW140" s="111">
        <f>SUM(AV$140,'Statistics NZ'!AW$140-'Statistics NZ'!AV$140,$H$14/5*(AW$9-AW$10)*1000)</f>
        <v>38666.206718770503</v>
      </c>
      <c r="AX140" s="111">
        <f>SUM(AW$140,'Statistics NZ'!AX$140-'Statistics NZ'!AW$140,$H$14/5*(AX$9-AX$10)*1000)</f>
        <v>38576.206718770503</v>
      </c>
      <c r="AY140" s="111">
        <f>SUM(AX$140,'Statistics NZ'!AY$140-'Statistics NZ'!AX$140,$H$14/5*(AY$9-AY$10)*1000)</f>
        <v>38706.206718770503</v>
      </c>
      <c r="AZ140" s="111">
        <f>SUM(AY$140,'Statistics NZ'!AZ$140-'Statistics NZ'!AY$140,$H$14/5*(AZ$9-AZ$10)*1000)</f>
        <v>38786.206718770503</v>
      </c>
      <c r="BA140" s="111">
        <f>SUM(AZ$140,'Statistics NZ'!BA$140-'Statistics NZ'!AZ$140,$H$14/5*(BA$9-BA$10)*1000)</f>
        <v>38846.206718770503</v>
      </c>
      <c r="BB140" s="111">
        <f>SUM(BA$140,'Statistics NZ'!BB$140-'Statistics NZ'!BA$140,$H$14/5*(BB$9-BB$10)*1000)</f>
        <v>38886.206718770503</v>
      </c>
      <c r="BC140" s="111">
        <f>SUM(BB$140,'Statistics NZ'!BC$140-'Statistics NZ'!BB$140,$H$14/5*(BC$9-BC$10)*1000)</f>
        <v>38916.206718770503</v>
      </c>
      <c r="BD140" s="111">
        <f>SUM(BC$140,'Statistics NZ'!BD$140-'Statistics NZ'!BC$140,$H$14/5*(BD$9-BD$10)*1000)</f>
        <v>38946.206718770503</v>
      </c>
      <c r="BE140" s="111">
        <f>SUM(BD$140,'Statistics NZ'!BE$140-'Statistics NZ'!BD$140,$H$14/5*(BE$9-BE$10)*1000)</f>
        <v>38976.206718770503</v>
      </c>
      <c r="BF140" s="111">
        <f>SUM(BE$140,'Statistics NZ'!BF$140-'Statistics NZ'!BE$140,$H$14/5*(BF$9-BF$10)*1000)</f>
        <v>39016.206718770503</v>
      </c>
      <c r="BG140" s="111">
        <f>SUM(BF$140,'Statistics NZ'!BG$140-'Statistics NZ'!BF$140,$H$14/5*(BG$9-BG$10)*1000)</f>
        <v>39066.206718770503</v>
      </c>
      <c r="BH140" s="111">
        <f>SUM(BG$140,'Statistics NZ'!BH$140-'Statistics NZ'!BG$140,$H$14/5*(BH$9-BH$10)*1000)</f>
        <v>39136.206718770503</v>
      </c>
      <c r="BI140" s="111">
        <f>SUM(BH$140,'Statistics NZ'!BI$140-'Statistics NZ'!BH$140,$H$14/5*(BI$9-BI$10)*1000)</f>
        <v>39236.206718770503</v>
      </c>
      <c r="BJ140" s="111">
        <f>SUM(BI$140,'Statistics NZ'!BJ$140-'Statistics NZ'!BI$140,$H$14/5*(BJ$9-BJ$10)*1000)</f>
        <v>39356.206718770503</v>
      </c>
      <c r="BK140" s="111">
        <f>SUM(BJ$140,'Statistics NZ'!BK$140-'Statistics NZ'!BJ$140,$H$14/5*(BK$9-BK$10)*1000)</f>
        <v>39496.206718770503</v>
      </c>
      <c r="BL140" s="111">
        <f>SUM(BK$140,'Statistics NZ'!BL$140-'Statistics NZ'!BK$140,$H$14/5*(BL$9-BL$10)*1000)</f>
        <v>39656.206718770503</v>
      </c>
      <c r="BM140" s="195">
        <f>SUM(BL$140,'Statistics NZ'!BM$140-'Statistics NZ'!BL$140,$H$14/5*(BM$9-BM$10)*1000)</f>
        <v>39826.206718770503</v>
      </c>
      <c r="BN140" s="195">
        <f>SUM(BM$140,'Statistics NZ'!BN$140-'Statistics NZ'!BM$140,$H$14/5*(BN$9-BN$10)*1000)</f>
        <v>39996.206718770503</v>
      </c>
      <c r="BO140" s="195">
        <f>SUM(BN$140,'Statistics NZ'!BO$140-'Statistics NZ'!BN$140,$H$14/5*(BO$9-BO$10)*1000)</f>
        <v>40146.206718770503</v>
      </c>
      <c r="BP140" s="195">
        <f>SUM(BO$140,'Statistics NZ'!BP$140-'Statistics NZ'!BO$140,$H$14/5*(BP$9-BP$10)*1000)</f>
        <v>40276.206718770503</v>
      </c>
      <c r="BQ140" s="195">
        <f>SUM(BP$140,'Statistics NZ'!BQ$140-'Statistics NZ'!BP$140,$H$14/5*(BQ$9-BQ$10)*1000)</f>
        <v>40376.206718770503</v>
      </c>
    </row>
    <row r="141" spans="1:69">
      <c r="A141" s="105">
        <f>$A$48</f>
        <v>31</v>
      </c>
      <c r="B141" s="118">
        <f>'Statistics NZ'!B$141*'Economic Forecasts'!D$9*1000000/SUM('Statistics NZ'!B$32:B$107,'Statistics NZ'!B$125:B$200)</f>
        <v>25730.615231530919</v>
      </c>
      <c r="C141" s="118">
        <f>'Statistics NZ'!C$141*'Economic Forecasts'!E$9*1000000/SUM('Statistics NZ'!C$32:C$107,'Statistics NZ'!C$125:C$200)</f>
        <v>25060.045550567731</v>
      </c>
      <c r="D141" s="118">
        <f>'Statistics NZ'!D$141*'Economic Forecasts'!F$9*1000000/SUM('Statistics NZ'!D$32:D$107,'Statistics NZ'!D$125:D$200)</f>
        <v>25113.353506289681</v>
      </c>
      <c r="E141" s="118">
        <f>'Statistics NZ'!E$141*'Economic Forecasts'!G$9*1000000/SUM('Statistics NZ'!E$32:E$107,'Statistics NZ'!E$125:E$200)</f>
        <v>24680.35326318636</v>
      </c>
      <c r="F141" s="118">
        <f>'Statistics NZ'!F$141*'Economic Forecasts'!H$9*1000000/SUM('Statistics NZ'!F$32:F$107,'Statistics NZ'!F$125:F$200)</f>
        <v>25141.336168457496</v>
      </c>
      <c r="G141" s="118">
        <f>'Statistics NZ'!G$141*'Economic Forecasts'!I$9*1000000/SUM('Statistics NZ'!G$32:G$107,'Statistics NZ'!G$125:G$200)</f>
        <v>25390.861380950457</v>
      </c>
      <c r="H141" s="118">
        <f>'Statistics NZ'!H$141*'Economic Forecasts'!J$9*1000000/SUM('Statistics NZ'!H$32:H$107,'Statistics NZ'!H$125:H$200)</f>
        <v>25717.473364644942</v>
      </c>
      <c r="I141" s="118">
        <f>'Statistics NZ'!I$141*'Economic Forecasts'!K$9*1000000/SUM('Statistics NZ'!I$32:I$107,'Statistics NZ'!I$125:I$200)</f>
        <v>25645.569508477885</v>
      </c>
      <c r="J141" s="203">
        <f>'Statistics NZ'!J$141*'Economic Forecasts'!L$9*1000000/SUM('Statistics NZ'!J$32:J$107,'Statistics NZ'!J$125:J$200)</f>
        <v>26998.710319992453</v>
      </c>
      <c r="K141" s="203">
        <f>'Statistics NZ'!K$141*'Economic Forecasts'!M$9*1000000/SUM('Statistics NZ'!K$32:K$107,'Statistics NZ'!K$125:K$200)</f>
        <v>28051.268518694033</v>
      </c>
      <c r="L141" s="203">
        <f>'Statistics NZ'!L$141*'Economic Forecasts'!N$9*1000000/SUM('Statistics NZ'!L$32:L$107,'Statistics NZ'!L$125:L$200)</f>
        <v>29310.104829770386</v>
      </c>
      <c r="M141" s="203">
        <f>'Statistics NZ'!M$141*'Economic Forecasts'!O$9*1000000/SUM('Statistics NZ'!M$32:M$107,'Statistics NZ'!M$125:M$200)</f>
        <v>31452.255070400013</v>
      </c>
      <c r="N141" s="203">
        <f>'Statistics NZ'!N$141*'Economic Forecasts'!P$9*1000000/SUM('Statistics NZ'!N$32:N$107,'Statistics NZ'!N$125:N$200)</f>
        <v>33927.874116111809</v>
      </c>
      <c r="O141" s="203">
        <f>'Statistics NZ'!O$141*'Economic Forecasts'!Q$9*1000000/SUM('Statistics NZ'!O$32:O$107,'Statistics NZ'!O$125:O$200)</f>
        <v>35733.707767142318</v>
      </c>
      <c r="P141" s="203">
        <f>'Statistics NZ'!P$141*'Economic Forecasts'!R$9*1000000/SUM('Statistics NZ'!P$32:P$107,'Statistics NZ'!P$125:P$200)</f>
        <v>37725.447698440577</v>
      </c>
      <c r="Q141" s="121">
        <f>SUM('Statistics NZ'!Q$141,$H$14/5*(Q$9-Q$10)*1000)*'Economic Forecasts'!S$9*1000000/SUM('Statistics NZ'!Q$32:Q$107,'Statistics NZ'!Q$125:Q$200,SUM($E$13:$Q$14)*(Q$9-Q$10)*1000)</f>
        <v>39376.573426357383</v>
      </c>
      <c r="R141" s="205">
        <f>SUM('Statistics NZ'!R$141,$H$14/5*(R$9-R$10)*1000)*'Economic Forecasts'!T$9*1000000/SUM('Statistics NZ'!R$32:R$107,'Statistics NZ'!R$125:R$200,SUM($E$13:$Q$14)*(R$9-R$10)*1000)</f>
        <v>39964.918149900193</v>
      </c>
      <c r="S141" s="205">
        <f>SUM('Statistics NZ'!S$141,$H$14/5*(S$9-S$10)*1000)*'Economic Forecasts'!U$9*1000000/SUM('Statistics NZ'!S$32:S$107,'Statistics NZ'!S$125:S$200,SUM($E$13:$Q$14)*(S$9-S$10)*1000)</f>
        <v>39947.083954172442</v>
      </c>
      <c r="T141" s="205">
        <f>SUM('Statistics NZ'!T$141,$H$14/5*(T$9-T$10)*1000)*'Economic Forecasts'!V$9*1000000/SUM('Statistics NZ'!T$32:T$107,'Statistics NZ'!T$125:T$200,SUM($E$13:$Q$14)*(T$9-T$10)*1000)</f>
        <v>39678.647545020372</v>
      </c>
      <c r="U141" s="205">
        <f>SUM('Statistics NZ'!U$141,$H$14/5*(U$9-U$10)*1000)*'Economic Forecasts'!W$9*1000000/SUM('Statistics NZ'!U$32:U$107,'Statistics NZ'!U$125:U$200,SUM($E$13:$Q$14)*(U$9-U$10)*1000)</f>
        <v>38603.29744953008</v>
      </c>
      <c r="V141" s="111">
        <f>SUM(U$141,'Statistics NZ'!V$141-'Statistics NZ'!U$141,$H$14/5*(V$9-V$10)*1000)</f>
        <v>38784.871678382071</v>
      </c>
      <c r="W141" s="111">
        <f>SUM(V$141,'Statistics NZ'!W$141-'Statistics NZ'!V$141,$H$14/5*(W$9-W$10)*1000)</f>
        <v>38803.749128627562</v>
      </c>
      <c r="X141" s="111">
        <f>SUM(W$141,'Statistics NZ'!X$141-'Statistics NZ'!W$141,$H$14/5*(X$9-X$10)*1000)</f>
        <v>37679.929800266553</v>
      </c>
      <c r="Y141" s="111">
        <f>SUM(X$141,'Statistics NZ'!Y$141-'Statistics NZ'!X$141,$H$14/5*(Y$9-Y$10)*1000)</f>
        <v>37713.413693299044</v>
      </c>
      <c r="Z141" s="111">
        <f>SUM(Y$141,'Statistics NZ'!Z$141-'Statistics NZ'!Y$141,$H$14/5*(Z$9-Z$10)*1000)</f>
        <v>36934.200807725036</v>
      </c>
      <c r="AA141" s="111">
        <f>SUM(Z$141,'Statistics NZ'!AA$141-'Statistics NZ'!Z$141,$H$14/5*(AA$9-AA$10)*1000)</f>
        <v>37762.291143544535</v>
      </c>
      <c r="AB141" s="111">
        <f>SUM(AA$141,'Statistics NZ'!AB$141-'Statistics NZ'!AA$141,$H$14/5*(AB$9-AB$10)*1000)</f>
        <v>37357.684700757534</v>
      </c>
      <c r="AC141" s="111">
        <f>SUM(AB$141,'Statistics NZ'!AC$141-'Statistics NZ'!AB$141,$H$14/5*(AC$9-AC$10)*1000)</f>
        <v>36060.381479364034</v>
      </c>
      <c r="AD141" s="111">
        <f>SUM(AC$141,'Statistics NZ'!AD$141-'Statistics NZ'!AC$141,$H$14/5*(AD$9-AD$10)*1000)</f>
        <v>36620.381479364034</v>
      </c>
      <c r="AE141" s="111">
        <f>SUM(AD$141,'Statistics NZ'!AE$141-'Statistics NZ'!AD$141,$H$14/5*(AE$9-AE$10)*1000)</f>
        <v>36880.381479364034</v>
      </c>
      <c r="AF141" s="111">
        <f>SUM(AE$141,'Statistics NZ'!AF$141-'Statistics NZ'!AE$141,$H$14/5*(AF$9-AF$10)*1000)</f>
        <v>37290.381479364034</v>
      </c>
      <c r="AG141" s="111">
        <f>SUM(AF$141,'Statistics NZ'!AG$141-'Statistics NZ'!AF$141,$H$14/5*(AG$9-AG$10)*1000)</f>
        <v>38310.381479364034</v>
      </c>
      <c r="AH141" s="111">
        <f>SUM(AG$141,'Statistics NZ'!AH$141-'Statistics NZ'!AG$141,$H$14/5*(AH$9-AH$10)*1000)</f>
        <v>40290.381479364034</v>
      </c>
      <c r="AI141" s="111">
        <f>SUM(AH$141,'Statistics NZ'!AI$141-'Statistics NZ'!AH$141,$H$14/5*(AI$9-AI$10)*1000)</f>
        <v>41370.381479364034</v>
      </c>
      <c r="AJ141" s="111">
        <f>SUM(AI$141,'Statistics NZ'!AJ$141-'Statistics NZ'!AI$141,$H$14/5*(AJ$9-AJ$10)*1000)</f>
        <v>41940.381479364034</v>
      </c>
      <c r="AK141" s="111">
        <f>SUM(AJ$141,'Statistics NZ'!AK$141-'Statistics NZ'!AJ$141,$H$14/5*(AK$9-AK$10)*1000)</f>
        <v>42430.381479364034</v>
      </c>
      <c r="AL141" s="111">
        <f>SUM(AK$141,'Statistics NZ'!AL$141-'Statistics NZ'!AK$141,$H$14/5*(AL$9-AL$10)*1000)</f>
        <v>42140.381479364034</v>
      </c>
      <c r="AM141" s="111">
        <f>SUM(AL$141,'Statistics NZ'!AM$141-'Statistics NZ'!AL$141,$H$14/5*(AM$9-AM$10)*1000)</f>
        <v>41980.381479364034</v>
      </c>
      <c r="AN141" s="111">
        <f>SUM(AM$141,'Statistics NZ'!AN$141-'Statistics NZ'!AM$141,$H$14/5*(AN$9-AN$10)*1000)</f>
        <v>41700.381479364034</v>
      </c>
      <c r="AO141" s="111">
        <f>SUM(AN$141,'Statistics NZ'!AO$141-'Statistics NZ'!AN$141,$H$14/5*(AO$9-AO$10)*1000)</f>
        <v>41350.381479364034</v>
      </c>
      <c r="AP141" s="111">
        <f>SUM(AO$141,'Statistics NZ'!AP$141-'Statistics NZ'!AO$141,$H$14/5*(AP$9-AP$10)*1000)</f>
        <v>41280.381479364034</v>
      </c>
      <c r="AQ141" s="111">
        <f>SUM(AP$141,'Statistics NZ'!AQ$141-'Statistics NZ'!AP$141,$H$14/5*(AQ$9-AQ$10)*1000)</f>
        <v>40980.381479364034</v>
      </c>
      <c r="AR141" s="111">
        <f>SUM(AQ$141,'Statistics NZ'!AR$141-'Statistics NZ'!AQ$141,$H$14/5*(AR$9-AR$10)*1000)</f>
        <v>40750.381479364034</v>
      </c>
      <c r="AS141" s="111">
        <f>SUM(AR$141,'Statistics NZ'!AS$141-'Statistics NZ'!AR$141,$H$14/5*(AS$9-AS$10)*1000)</f>
        <v>40050.381479364034</v>
      </c>
      <c r="AT141" s="111">
        <f>SUM(AS$141,'Statistics NZ'!AT$141-'Statistics NZ'!AS$141,$H$14/5*(AT$9-AT$10)*1000)</f>
        <v>40030.381479364034</v>
      </c>
      <c r="AU141" s="111">
        <f>SUM(AT$141,'Statistics NZ'!AU$141-'Statistics NZ'!AT$141,$H$14/5*(AU$9-AU$10)*1000)</f>
        <v>39400.381479364034</v>
      </c>
      <c r="AV141" s="111">
        <f>SUM(AU$141,'Statistics NZ'!AV$141-'Statistics NZ'!AU$141,$H$14/5*(AV$9-AV$10)*1000)</f>
        <v>39220.381479364034</v>
      </c>
      <c r="AW141" s="111">
        <f>SUM(AV$141,'Statistics NZ'!AW$141-'Statistics NZ'!AV$141,$H$14/5*(AW$9-AW$10)*1000)</f>
        <v>39190.381479364034</v>
      </c>
      <c r="AX141" s="111">
        <f>SUM(AW$141,'Statistics NZ'!AX$141-'Statistics NZ'!AW$141,$H$14/5*(AX$9-AX$10)*1000)</f>
        <v>39130.381479364034</v>
      </c>
      <c r="AY141" s="111">
        <f>SUM(AX$141,'Statistics NZ'!AY$141-'Statistics NZ'!AX$141,$H$14/5*(AY$9-AY$10)*1000)</f>
        <v>39040.381479364034</v>
      </c>
      <c r="AZ141" s="111">
        <f>SUM(AY$141,'Statistics NZ'!AZ$141-'Statistics NZ'!AY$141,$H$14/5*(AZ$9-AZ$10)*1000)</f>
        <v>39170.381479364034</v>
      </c>
      <c r="BA141" s="111">
        <f>SUM(AZ$141,'Statistics NZ'!BA$141-'Statistics NZ'!AZ$141,$H$14/5*(BA$9-BA$10)*1000)</f>
        <v>39260.381479364034</v>
      </c>
      <c r="BB141" s="111">
        <f>SUM(BA$141,'Statistics NZ'!BB$141-'Statistics NZ'!BA$141,$H$14/5*(BB$9-BB$10)*1000)</f>
        <v>39320.381479364034</v>
      </c>
      <c r="BC141" s="111">
        <f>SUM(BB$141,'Statistics NZ'!BC$141-'Statistics NZ'!BB$141,$H$14/5*(BC$9-BC$10)*1000)</f>
        <v>39360.381479364034</v>
      </c>
      <c r="BD141" s="111">
        <f>SUM(BC$141,'Statistics NZ'!BD$141-'Statistics NZ'!BC$141,$H$14/5*(BD$9-BD$10)*1000)</f>
        <v>39390.381479364034</v>
      </c>
      <c r="BE141" s="111">
        <f>SUM(BD$141,'Statistics NZ'!BE$141-'Statistics NZ'!BD$141,$H$14/5*(BE$9-BE$10)*1000)</f>
        <v>39410.381479364034</v>
      </c>
      <c r="BF141" s="111">
        <f>SUM(BE$141,'Statistics NZ'!BF$141-'Statistics NZ'!BE$141,$H$14/5*(BF$9-BF$10)*1000)</f>
        <v>39450.381479364034</v>
      </c>
      <c r="BG141" s="111">
        <f>SUM(BF$141,'Statistics NZ'!BG$141-'Statistics NZ'!BF$141,$H$14/5*(BG$9-BG$10)*1000)</f>
        <v>39480.381479364034</v>
      </c>
      <c r="BH141" s="111">
        <f>SUM(BG$141,'Statistics NZ'!BH$141-'Statistics NZ'!BG$141,$H$14/5*(BH$9-BH$10)*1000)</f>
        <v>39540.381479364034</v>
      </c>
      <c r="BI141" s="111">
        <f>SUM(BH$141,'Statistics NZ'!BI$141-'Statistics NZ'!BH$141,$H$14/5*(BI$9-BI$10)*1000)</f>
        <v>39610.381479364034</v>
      </c>
      <c r="BJ141" s="111">
        <f>SUM(BI$141,'Statistics NZ'!BJ$141-'Statistics NZ'!BI$141,$H$14/5*(BJ$9-BJ$10)*1000)</f>
        <v>39700.381479364034</v>
      </c>
      <c r="BK141" s="111">
        <f>SUM(BJ$141,'Statistics NZ'!BK$141-'Statistics NZ'!BJ$141,$H$14/5*(BK$9-BK$10)*1000)</f>
        <v>39820.381479364034</v>
      </c>
      <c r="BL141" s="111">
        <f>SUM(BK$141,'Statistics NZ'!BL$141-'Statistics NZ'!BK$141,$H$14/5*(BL$9-BL$10)*1000)</f>
        <v>39960.381479364034</v>
      </c>
      <c r="BM141" s="195">
        <f>SUM(BL$141,'Statistics NZ'!BM$141-'Statistics NZ'!BL$141,$H$14/5*(BM$9-BM$10)*1000)</f>
        <v>40120.381479364034</v>
      </c>
      <c r="BN141" s="195">
        <f>SUM(BM$141,'Statistics NZ'!BN$141-'Statistics NZ'!BM$141,$H$14/5*(BN$9-BN$10)*1000)</f>
        <v>40290.381479364034</v>
      </c>
      <c r="BO141" s="195">
        <f>SUM(BN$141,'Statistics NZ'!BO$141-'Statistics NZ'!BN$141,$H$14/5*(BO$9-BO$10)*1000)</f>
        <v>40460.381479364034</v>
      </c>
      <c r="BP141" s="195">
        <f>SUM(BO$141,'Statistics NZ'!BP$141-'Statistics NZ'!BO$141,$H$14/5*(BP$9-BP$10)*1000)</f>
        <v>40610.381479364034</v>
      </c>
      <c r="BQ141" s="195">
        <f>SUM(BP$141,'Statistics NZ'!BQ$141-'Statistics NZ'!BP$141,$H$14/5*(BQ$9-BQ$10)*1000)</f>
        <v>40750.381479364034</v>
      </c>
    </row>
    <row r="142" spans="1:69">
      <c r="A142" s="105">
        <f>$A$49</f>
        <v>32</v>
      </c>
      <c r="B142" s="118">
        <f>'Statistics NZ'!B$142*'Economic Forecasts'!D$9*1000000/SUM('Statistics NZ'!B$32:B$107,'Statistics NZ'!B$125:B$200)</f>
        <v>26676.30399961169</v>
      </c>
      <c r="C142" s="118">
        <f>'Statistics NZ'!C$142*'Economic Forecasts'!E$9*1000000/SUM('Statistics NZ'!C$32:C$107,'Statistics NZ'!C$125:C$200)</f>
        <v>25976.876485344594</v>
      </c>
      <c r="D142" s="118">
        <f>'Statistics NZ'!D$142*'Economic Forecasts'!F$9*1000000/SUM('Statistics NZ'!D$32:D$107,'Statistics NZ'!D$125:D$200)</f>
        <v>25182.346235702567</v>
      </c>
      <c r="E142" s="118">
        <f>'Statistics NZ'!E$142*'Economic Forecasts'!G$9*1000000/SUM('Statistics NZ'!E$32:E$107,'Statistics NZ'!E$125:E$200)</f>
        <v>25241.718042117576</v>
      </c>
      <c r="F142" s="118">
        <f>'Statistics NZ'!F$142*'Economic Forecasts'!H$9*1000000/SUM('Statistics NZ'!F$32:F$107,'Statistics NZ'!F$125:F$200)</f>
        <v>24766.974579742226</v>
      </c>
      <c r="G142" s="118">
        <f>'Statistics NZ'!G$142*'Economic Forecasts'!I$9*1000000/SUM('Statistics NZ'!G$32:G$107,'Statistics NZ'!G$125:G$200)</f>
        <v>25095.275101777581</v>
      </c>
      <c r="H142" s="118">
        <f>'Statistics NZ'!H$142*'Economic Forecasts'!J$9*1000000/SUM('Statistics NZ'!H$32:H$107,'Statistics NZ'!H$125:H$200)</f>
        <v>25224.990151993759</v>
      </c>
      <c r="I142" s="118">
        <f>'Statistics NZ'!I$142*'Economic Forecasts'!K$9*1000000/SUM('Statistics NZ'!I$32:I$107,'Statistics NZ'!I$125:I$200)</f>
        <v>25616.046596534125</v>
      </c>
      <c r="J142" s="203">
        <f>'Statistics NZ'!J$142*'Economic Forecasts'!L$9*1000000/SUM('Statistics NZ'!J$32:J$107,'Statistics NZ'!J$125:J$200)</f>
        <v>26438.489537961304</v>
      </c>
      <c r="K142" s="203">
        <f>'Statistics NZ'!K$142*'Economic Forecasts'!M$9*1000000/SUM('Statistics NZ'!K$32:K$107,'Statistics NZ'!K$125:K$200)</f>
        <v>27953.015389031356</v>
      </c>
      <c r="L142" s="203">
        <f>'Statistics NZ'!L$142*'Economic Forecasts'!N$9*1000000/SUM('Statistics NZ'!L$32:L$107,'Statistics NZ'!L$125:L$200)</f>
        <v>29457.837212984952</v>
      </c>
      <c r="M142" s="203">
        <f>'Statistics NZ'!M$142*'Economic Forecasts'!O$9*1000000/SUM('Statistics NZ'!M$32:M$107,'Statistics NZ'!M$125:M$200)</f>
        <v>30565.721103492397</v>
      </c>
      <c r="N142" s="203">
        <f>'Statistics NZ'!N$142*'Economic Forecasts'!P$9*1000000/SUM('Statistics NZ'!N$32:N$107,'Statistics NZ'!N$125:N$200)</f>
        <v>32625.233225091804</v>
      </c>
      <c r="O142" s="203">
        <f>'Statistics NZ'!O$142*'Economic Forecasts'!Q$9*1000000/SUM('Statistics NZ'!O$32:O$107,'Statistics NZ'!O$125:O$200)</f>
        <v>34677.782130278407</v>
      </c>
      <c r="P142" s="203">
        <f>'Statistics NZ'!P$142*'Economic Forecasts'!R$9*1000000/SUM('Statistics NZ'!P$32:P$107,'Statistics NZ'!P$125:P$200)</f>
        <v>36955.339108940876</v>
      </c>
      <c r="Q142" s="121">
        <f>SUM('Statistics NZ'!Q$142,$H$14/5*(Q$9-Q$10)*1000)*'Economic Forecasts'!S$9*1000000/SUM('Statistics NZ'!Q$32:Q$107,'Statistics NZ'!Q$125:Q$200,SUM($E$13:$Q$14)*(Q$9-Q$10)*1000)</f>
        <v>37745.313610816083</v>
      </c>
      <c r="R142" s="205">
        <f>SUM('Statistics NZ'!R$142,$H$14/5*(R$9-R$10)*1000)*'Economic Forecasts'!T$9*1000000/SUM('Statistics NZ'!R$32:R$107,'Statistics NZ'!R$125:R$200,SUM($E$13:$Q$14)*(R$9-R$10)*1000)</f>
        <v>39490.429552847723</v>
      </c>
      <c r="S142" s="205">
        <f>SUM('Statistics NZ'!S$142,$H$14/5*(S$9-S$10)*1000)*'Economic Forecasts'!U$9*1000000/SUM('Statistics NZ'!S$32:S$107,'Statistics NZ'!S$125:S$200,SUM($E$13:$Q$14)*(S$9-S$10)*1000)</f>
        <v>40213.841146419225</v>
      </c>
      <c r="T142" s="205">
        <f>SUM('Statistics NZ'!T$142,$H$14/5*(T$9-T$10)*1000)*'Economic Forecasts'!V$9*1000000/SUM('Statistics NZ'!T$32:T$107,'Statistics NZ'!T$125:T$200,SUM($E$13:$Q$14)*(T$9-T$10)*1000)</f>
        <v>40478.869572498465</v>
      </c>
      <c r="U142" s="205">
        <f>SUM('Statistics NZ'!U$142,$H$14/5*(U$9-U$10)*1000)*'Economic Forecasts'!W$9*1000000/SUM('Statistics NZ'!U$32:U$107,'Statistics NZ'!U$125:U$200,SUM($E$13:$Q$14)*(U$9-U$10)*1000)</f>
        <v>40265.174482487739</v>
      </c>
      <c r="V142" s="111">
        <f>SUM(U$142,'Statistics NZ'!V$142-'Statistics NZ'!U$142,$H$14/5*(V$9-V$10)*1000)</f>
        <v>39256.748711339729</v>
      </c>
      <c r="W142" s="111">
        <f>SUM(V$142,'Statistics NZ'!W$142-'Statistics NZ'!V$142,$H$14/5*(W$9-W$10)*1000)</f>
        <v>39395.62616158522</v>
      </c>
      <c r="X142" s="111">
        <f>SUM(W$142,'Statistics NZ'!X$142-'Statistics NZ'!W$142,$H$14/5*(X$9-X$10)*1000)</f>
        <v>39381.806833224211</v>
      </c>
      <c r="Y142" s="111">
        <f>SUM(X$142,'Statistics NZ'!Y$142-'Statistics NZ'!X$142,$H$14/5*(Y$9-Y$10)*1000)</f>
        <v>38235.290726256702</v>
      </c>
      <c r="Z142" s="111">
        <f>SUM(Y$142,'Statistics NZ'!Z$142-'Statistics NZ'!Y$142,$H$14/5*(Z$9-Z$10)*1000)</f>
        <v>38236.077840682694</v>
      </c>
      <c r="AA142" s="111">
        <f>SUM(Z$142,'Statistics NZ'!AA$142-'Statistics NZ'!Z$142,$H$14/5*(AA$9-AA$10)*1000)</f>
        <v>37414.168176502193</v>
      </c>
      <c r="AB142" s="111">
        <f>SUM(AA$142,'Statistics NZ'!AB$142-'Statistics NZ'!AA$142,$H$14/5*(AB$9-AB$10)*1000)</f>
        <v>38209.561733715193</v>
      </c>
      <c r="AC142" s="111">
        <f>SUM(AB$142,'Statistics NZ'!AC$142-'Statistics NZ'!AB$142,$H$14/5*(AC$9-AC$10)*1000)</f>
        <v>37782.258512321692</v>
      </c>
      <c r="AD142" s="111">
        <f>SUM(AC$142,'Statistics NZ'!AD$142-'Statistics NZ'!AC$142,$H$14/5*(AD$9-AD$10)*1000)</f>
        <v>36452.258512321692</v>
      </c>
      <c r="AE142" s="111">
        <f>SUM(AD$142,'Statistics NZ'!AE$142-'Statistics NZ'!AD$142,$H$14/5*(AE$9-AE$10)*1000)</f>
        <v>37012.258512321692</v>
      </c>
      <c r="AF142" s="111">
        <f>SUM(AE$142,'Statistics NZ'!AF$142-'Statistics NZ'!AE$142,$H$14/5*(AF$9-AF$10)*1000)</f>
        <v>37272.258512321692</v>
      </c>
      <c r="AG142" s="111">
        <f>SUM(AF$142,'Statistics NZ'!AG$142-'Statistics NZ'!AF$142,$H$14/5*(AG$9-AG$10)*1000)</f>
        <v>37682.258512321692</v>
      </c>
      <c r="AH142" s="111">
        <f>SUM(AG$142,'Statistics NZ'!AH$142-'Statistics NZ'!AG$142,$H$14/5*(AH$9-AH$10)*1000)</f>
        <v>38702.258512321692</v>
      </c>
      <c r="AI142" s="111">
        <f>SUM(AH$142,'Statistics NZ'!AI$142-'Statistics NZ'!AH$142,$H$14/5*(AI$9-AI$10)*1000)</f>
        <v>40682.258512321692</v>
      </c>
      <c r="AJ142" s="111">
        <f>SUM(AI$142,'Statistics NZ'!AJ$142-'Statistics NZ'!AI$142,$H$14/5*(AJ$9-AJ$10)*1000)</f>
        <v>41762.258512321692</v>
      </c>
      <c r="AK142" s="111">
        <f>SUM(AJ$142,'Statistics NZ'!AK$142-'Statistics NZ'!AJ$142,$H$14/5*(AK$9-AK$10)*1000)</f>
        <v>42332.258512321692</v>
      </c>
      <c r="AL142" s="111">
        <f>SUM(AK$142,'Statistics NZ'!AL$142-'Statistics NZ'!AK$142,$H$14/5*(AL$9-AL$10)*1000)</f>
        <v>42822.258512321692</v>
      </c>
      <c r="AM142" s="111">
        <f>SUM(AL$142,'Statistics NZ'!AM$142-'Statistics NZ'!AL$142,$H$14/5*(AM$9-AM$10)*1000)</f>
        <v>42532.258512321692</v>
      </c>
      <c r="AN142" s="111">
        <f>SUM(AM$142,'Statistics NZ'!AN$142-'Statistics NZ'!AM$142,$H$14/5*(AN$9-AN$10)*1000)</f>
        <v>42372.258512321692</v>
      </c>
      <c r="AO142" s="111">
        <f>SUM(AN$142,'Statistics NZ'!AO$142-'Statistics NZ'!AN$142,$H$14/5*(AO$9-AO$10)*1000)</f>
        <v>42092.258512321692</v>
      </c>
      <c r="AP142" s="111">
        <f>SUM(AO$142,'Statistics NZ'!AP$142-'Statistics NZ'!AO$142,$H$14/5*(AP$9-AP$10)*1000)</f>
        <v>41742.258512321692</v>
      </c>
      <c r="AQ142" s="111">
        <f>SUM(AP$142,'Statistics NZ'!AQ$142-'Statistics NZ'!AP$142,$H$14/5*(AQ$9-AQ$10)*1000)</f>
        <v>41672.258512321692</v>
      </c>
      <c r="AR142" s="111">
        <f>SUM(AQ$142,'Statistics NZ'!AR$142-'Statistics NZ'!AQ$142,$H$14/5*(AR$9-AR$10)*1000)</f>
        <v>41372.258512321692</v>
      </c>
      <c r="AS142" s="111">
        <f>SUM(AR$142,'Statistics NZ'!AS$142-'Statistics NZ'!AR$142,$H$14/5*(AS$9-AS$10)*1000)</f>
        <v>41142.258512321692</v>
      </c>
      <c r="AT142" s="111">
        <f>SUM(AS$142,'Statistics NZ'!AT$142-'Statistics NZ'!AS$142,$H$14/5*(AT$9-AT$10)*1000)</f>
        <v>40452.258512321692</v>
      </c>
      <c r="AU142" s="111">
        <f>SUM(AT$142,'Statistics NZ'!AU$142-'Statistics NZ'!AT$142,$H$14/5*(AU$9-AU$10)*1000)</f>
        <v>40422.258512321692</v>
      </c>
      <c r="AV142" s="111">
        <f>SUM(AU$142,'Statistics NZ'!AV$142-'Statistics NZ'!AU$142,$H$14/5*(AV$9-AV$10)*1000)</f>
        <v>39792.258512321692</v>
      </c>
      <c r="AW142" s="111">
        <f>SUM(AV$142,'Statistics NZ'!AW$142-'Statistics NZ'!AV$142,$H$14/5*(AW$9-AW$10)*1000)</f>
        <v>39612.258512321692</v>
      </c>
      <c r="AX142" s="111">
        <f>SUM(AW$142,'Statistics NZ'!AX$142-'Statistics NZ'!AW$142,$H$14/5*(AX$9-AX$10)*1000)</f>
        <v>39582.258512321692</v>
      </c>
      <c r="AY142" s="111">
        <f>SUM(AX$142,'Statistics NZ'!AY$142-'Statistics NZ'!AX$142,$H$14/5*(AY$9-AY$10)*1000)</f>
        <v>39522.258512321692</v>
      </c>
      <c r="AZ142" s="111">
        <f>SUM(AY$142,'Statistics NZ'!AZ$142-'Statistics NZ'!AY$142,$H$14/5*(AZ$9-AZ$10)*1000)</f>
        <v>39442.258512321692</v>
      </c>
      <c r="BA142" s="111">
        <f>SUM(AZ$142,'Statistics NZ'!BA$142-'Statistics NZ'!AZ$142,$H$14/5*(BA$9-BA$10)*1000)</f>
        <v>39562.258512321692</v>
      </c>
      <c r="BB142" s="111">
        <f>SUM(BA$142,'Statistics NZ'!BB$142-'Statistics NZ'!BA$142,$H$14/5*(BB$9-BB$10)*1000)</f>
        <v>39652.258512321692</v>
      </c>
      <c r="BC142" s="111">
        <f>SUM(BB$142,'Statistics NZ'!BC$142-'Statistics NZ'!BB$142,$H$14/5*(BC$9-BC$10)*1000)</f>
        <v>39712.258512321692</v>
      </c>
      <c r="BD142" s="111">
        <f>SUM(BC$142,'Statistics NZ'!BD$142-'Statistics NZ'!BC$142,$H$14/5*(BD$9-BD$10)*1000)</f>
        <v>39752.258512321692</v>
      </c>
      <c r="BE142" s="111">
        <f>SUM(BD$142,'Statistics NZ'!BE$142-'Statistics NZ'!BD$142,$H$14/5*(BE$9-BE$10)*1000)</f>
        <v>39782.258512321692</v>
      </c>
      <c r="BF142" s="111">
        <f>SUM(BE$142,'Statistics NZ'!BF$142-'Statistics NZ'!BE$142,$H$14/5*(BF$9-BF$10)*1000)</f>
        <v>39812.258512321692</v>
      </c>
      <c r="BG142" s="111">
        <f>SUM(BF$142,'Statistics NZ'!BG$142-'Statistics NZ'!BF$142,$H$14/5*(BG$9-BG$10)*1000)</f>
        <v>39842.258512321692</v>
      </c>
      <c r="BH142" s="111">
        <f>SUM(BG$142,'Statistics NZ'!BH$142-'Statistics NZ'!BG$142,$H$14/5*(BH$9-BH$10)*1000)</f>
        <v>39882.258512321692</v>
      </c>
      <c r="BI142" s="111">
        <f>SUM(BH$142,'Statistics NZ'!BI$142-'Statistics NZ'!BH$142,$H$14/5*(BI$9-BI$10)*1000)</f>
        <v>39932.258512321692</v>
      </c>
      <c r="BJ142" s="111">
        <f>SUM(BI$142,'Statistics NZ'!BJ$142-'Statistics NZ'!BI$142,$H$14/5*(BJ$9-BJ$10)*1000)</f>
        <v>40002.258512321692</v>
      </c>
      <c r="BK142" s="111">
        <f>SUM(BJ$142,'Statistics NZ'!BK$142-'Statistics NZ'!BJ$142,$H$14/5*(BK$9-BK$10)*1000)</f>
        <v>40102.258512321692</v>
      </c>
      <c r="BL142" s="111">
        <f>SUM(BK$142,'Statistics NZ'!BL$142-'Statistics NZ'!BK$142,$H$14/5*(BL$9-BL$10)*1000)</f>
        <v>40222.258512321692</v>
      </c>
      <c r="BM142" s="195">
        <f>SUM(BL$142,'Statistics NZ'!BM$142-'Statistics NZ'!BL$142,$H$14/5*(BM$9-BM$10)*1000)</f>
        <v>40362.258512321692</v>
      </c>
      <c r="BN142" s="195">
        <f>SUM(BM$142,'Statistics NZ'!BN$142-'Statistics NZ'!BM$142,$H$14/5*(BN$9-BN$10)*1000)</f>
        <v>40522.258512321692</v>
      </c>
      <c r="BO142" s="195">
        <f>SUM(BN$142,'Statistics NZ'!BO$142-'Statistics NZ'!BN$142,$H$14/5*(BO$9-BO$10)*1000)</f>
        <v>40692.258512321692</v>
      </c>
      <c r="BP142" s="195">
        <f>SUM(BO$142,'Statistics NZ'!BP$142-'Statistics NZ'!BO$142,$H$14/5*(BP$9-BP$10)*1000)</f>
        <v>40862.258512321692</v>
      </c>
      <c r="BQ142" s="195">
        <f>SUM(BP$142,'Statistics NZ'!BQ$142-'Statistics NZ'!BP$142,$H$14/5*(BQ$9-BQ$10)*1000)</f>
        <v>41012.258512321692</v>
      </c>
    </row>
    <row r="143" spans="1:69">
      <c r="A143" s="105">
        <f>$A$50</f>
        <v>33</v>
      </c>
      <c r="B143" s="118">
        <f>'Statistics NZ'!B$143*'Economic Forecasts'!D$9*1000000/SUM('Statistics NZ'!B$32:B$107,'Statistics NZ'!B$125:B$200)</f>
        <v>27848.564035045136</v>
      </c>
      <c r="C143" s="118">
        <f>'Statistics NZ'!C$143*'Economic Forecasts'!E$9*1000000/SUM('Statistics NZ'!C$32:C$107,'Statistics NZ'!C$125:C$200)</f>
        <v>26972.574597306575</v>
      </c>
      <c r="D143" s="118">
        <f>'Statistics NZ'!D$143*'Economic Forecasts'!F$9*1000000/SUM('Statistics NZ'!D$32:D$107,'Statistics NZ'!D$125:D$200)</f>
        <v>26079.251718070056</v>
      </c>
      <c r="E143" s="118">
        <f>'Statistics NZ'!E$143*'Economic Forecasts'!G$9*1000000/SUM('Statistics NZ'!E$32:E$107,'Statistics NZ'!E$125:E$200)</f>
        <v>25310.65757637229</v>
      </c>
      <c r="F143" s="118">
        <f>'Statistics NZ'!F$143*'Economic Forecasts'!H$9*1000000/SUM('Statistics NZ'!F$32:F$107,'Statistics NZ'!F$125:F$200)</f>
        <v>25289.110479792478</v>
      </c>
      <c r="G143" s="118">
        <f>'Statistics NZ'!G$143*'Economic Forecasts'!I$9*1000000/SUM('Statistics NZ'!G$32:G$107,'Statistics NZ'!G$125:G$200)</f>
        <v>24661.74855899069</v>
      </c>
      <c r="H143" s="118">
        <f>'Statistics NZ'!H$143*'Economic Forecasts'!J$9*1000000/SUM('Statistics NZ'!H$32:H$107,'Statistics NZ'!H$125:H$200)</f>
        <v>24959.049217162115</v>
      </c>
      <c r="I143" s="118">
        <f>'Statistics NZ'!I$143*'Economic Forecasts'!K$9*1000000/SUM('Statistics NZ'!I$32:I$107,'Statistics NZ'!I$125:I$200)</f>
        <v>25163.361946729834</v>
      </c>
      <c r="J143" s="203">
        <f>'Statistics NZ'!J$143*'Economic Forecasts'!L$9*1000000/SUM('Statistics NZ'!J$32:J$107,'Statistics NZ'!J$125:J$200)</f>
        <v>26300.891451146636</v>
      </c>
      <c r="K143" s="203">
        <f>'Statistics NZ'!K$143*'Economic Forecasts'!M$9*1000000/SUM('Statistics NZ'!K$32:K$107,'Statistics NZ'!K$125:K$200)</f>
        <v>27383.147236987832</v>
      </c>
      <c r="L143" s="203">
        <f>'Statistics NZ'!L$143*'Economic Forecasts'!N$9*1000000/SUM('Statistics NZ'!L$32:L$107,'Statistics NZ'!L$125:L$200)</f>
        <v>29152.523621008182</v>
      </c>
      <c r="M143" s="203">
        <f>'Statistics NZ'!M$143*'Economic Forecasts'!O$9*1000000/SUM('Statistics NZ'!M$32:M$107,'Statistics NZ'!M$125:M$200)</f>
        <v>30634.673745362994</v>
      </c>
      <c r="N143" s="203">
        <f>'Statistics NZ'!N$143*'Economic Forecasts'!P$9*1000000/SUM('Statistics NZ'!N$32:N$107,'Statistics NZ'!N$125:N$200)</f>
        <v>31717.331998017256</v>
      </c>
      <c r="O143" s="203">
        <f>'Statistics NZ'!O$143*'Economic Forecasts'!Q$9*1000000/SUM('Statistics NZ'!O$32:O$107,'Statistics NZ'!O$125:O$200)</f>
        <v>33375.144896016383</v>
      </c>
      <c r="P143" s="203">
        <f>'Statistics NZ'!P$143*'Economic Forecasts'!R$9*1000000/SUM('Statistics NZ'!P$32:P$107,'Statistics NZ'!P$125:P$200)</f>
        <v>35859.41534696053</v>
      </c>
      <c r="Q143" s="121">
        <f>SUM('Statistics NZ'!Q$143,$H$14/5*(Q$9-Q$10)*1000)*'Economic Forecasts'!S$9*1000000/SUM('Statistics NZ'!Q$32:Q$107,'Statistics NZ'!Q$125:Q$200,SUM($E$13:$Q$14)*(Q$9-Q$10)*1000)</f>
        <v>36993.945453354638</v>
      </c>
      <c r="R143" s="205">
        <f>SUM('Statistics NZ'!R$143,$H$14/5*(R$9-R$10)*1000)*'Economic Forecasts'!T$9*1000000/SUM('Statistics NZ'!R$32:R$107,'Statistics NZ'!R$125:R$200,SUM($E$13:$Q$14)*(R$9-R$10)*1000)</f>
        <v>37859.375000479849</v>
      </c>
      <c r="S143" s="205">
        <f>SUM('Statistics NZ'!S$143,$H$14/5*(S$9-S$10)*1000)*'Economic Forecasts'!U$9*1000000/SUM('Statistics NZ'!S$32:S$107,'Statistics NZ'!S$125:S$200,SUM($E$13:$Q$14)*(S$9-S$10)*1000)</f>
        <v>39729.726241971359</v>
      </c>
      <c r="T143" s="205">
        <f>SUM('Statistics NZ'!T$143,$H$14/5*(T$9-T$10)*1000)*'Economic Forecasts'!V$9*1000000/SUM('Statistics NZ'!T$32:T$107,'Statistics NZ'!T$125:T$200,SUM($E$13:$Q$14)*(T$9-T$10)*1000)</f>
        <v>40646.817405425965</v>
      </c>
      <c r="U143" s="205">
        <f>SUM('Statistics NZ'!U$143,$H$14/5*(U$9-U$10)*1000)*'Economic Forecasts'!W$9*1000000/SUM('Statistics NZ'!U$32:U$107,'Statistics NZ'!U$125:U$200,SUM($E$13:$Q$14)*(U$9-U$10)*1000)</f>
        <v>40967.515371416266</v>
      </c>
      <c r="V143" s="111">
        <f>SUM(U$143,'Statistics NZ'!V$143-'Statistics NZ'!U$143,$H$14/5*(V$9-V$10)*1000)</f>
        <v>40829.089600268257</v>
      </c>
      <c r="W143" s="111">
        <f>SUM(V$143,'Statistics NZ'!W$143-'Statistics NZ'!V$143,$H$14/5*(W$9-W$10)*1000)</f>
        <v>39787.967050513747</v>
      </c>
      <c r="X143" s="111">
        <f>SUM(W$143,'Statistics NZ'!X$143-'Statistics NZ'!W$143,$H$14/5*(X$9-X$10)*1000)</f>
        <v>39904.147722152738</v>
      </c>
      <c r="Y143" s="111">
        <f>SUM(X$143,'Statistics NZ'!Y$143-'Statistics NZ'!X$143,$H$14/5*(Y$9-Y$10)*1000)</f>
        <v>39857.63161518523</v>
      </c>
      <c r="Z143" s="111">
        <f>SUM(Y$143,'Statistics NZ'!Z$143-'Statistics NZ'!Y$143,$H$14/5*(Z$9-Z$10)*1000)</f>
        <v>38678.418729611221</v>
      </c>
      <c r="AA143" s="111">
        <f>SUM(Z$143,'Statistics NZ'!AA$143-'Statistics NZ'!Z$143,$H$14/5*(AA$9-AA$10)*1000)</f>
        <v>38646.509065430721</v>
      </c>
      <c r="AB143" s="111">
        <f>SUM(AA$143,'Statistics NZ'!AB$143-'Statistics NZ'!AA$143,$H$14/5*(AB$9-AB$10)*1000)</f>
        <v>37801.90262264372</v>
      </c>
      <c r="AC143" s="111">
        <f>SUM(AB$143,'Statistics NZ'!AC$143-'Statistics NZ'!AB$143,$H$14/5*(AC$9-AC$10)*1000)</f>
        <v>38554.59940125022</v>
      </c>
      <c r="AD143" s="111">
        <f>SUM(AC$143,'Statistics NZ'!AD$143-'Statistics NZ'!AC$143,$H$14/5*(AD$9-AD$10)*1000)</f>
        <v>38094.59940125022</v>
      </c>
      <c r="AE143" s="111">
        <f>SUM(AD$143,'Statistics NZ'!AE$143-'Statistics NZ'!AD$143,$H$14/5*(AE$9-AE$10)*1000)</f>
        <v>36774.59940125022</v>
      </c>
      <c r="AF143" s="111">
        <f>SUM(AE$143,'Statistics NZ'!AF$143-'Statistics NZ'!AE$143,$H$14/5*(AF$9-AF$10)*1000)</f>
        <v>37324.59940125022</v>
      </c>
      <c r="AG143" s="111">
        <f>SUM(AF$143,'Statistics NZ'!AG$143-'Statistics NZ'!AF$143,$H$14/5*(AG$9-AG$10)*1000)</f>
        <v>37584.59940125022</v>
      </c>
      <c r="AH143" s="111">
        <f>SUM(AG$143,'Statistics NZ'!AH$143-'Statistics NZ'!AG$143,$H$14/5*(AH$9-AH$10)*1000)</f>
        <v>37994.59940125022</v>
      </c>
      <c r="AI143" s="111">
        <f>SUM(AH$143,'Statistics NZ'!AI$143-'Statistics NZ'!AH$143,$H$14/5*(AI$9-AI$10)*1000)</f>
        <v>39014.59940125022</v>
      </c>
      <c r="AJ143" s="111">
        <f>SUM(AI$143,'Statistics NZ'!AJ$143-'Statistics NZ'!AI$143,$H$14/5*(AJ$9-AJ$10)*1000)</f>
        <v>40994.59940125022</v>
      </c>
      <c r="AK143" s="111">
        <f>SUM(AJ$143,'Statistics NZ'!AK$143-'Statistics NZ'!AJ$143,$H$14/5*(AK$9-AK$10)*1000)</f>
        <v>42074.59940125022</v>
      </c>
      <c r="AL143" s="111">
        <f>SUM(AK$143,'Statistics NZ'!AL$143-'Statistics NZ'!AK$143,$H$14/5*(AL$9-AL$10)*1000)</f>
        <v>42644.59940125022</v>
      </c>
      <c r="AM143" s="111">
        <f>SUM(AL$143,'Statistics NZ'!AM$143-'Statistics NZ'!AL$143,$H$14/5*(AM$9-AM$10)*1000)</f>
        <v>43134.59940125022</v>
      </c>
      <c r="AN143" s="111">
        <f>SUM(AM$143,'Statistics NZ'!AN$143-'Statistics NZ'!AM$143,$H$14/5*(AN$9-AN$10)*1000)</f>
        <v>42844.59940125022</v>
      </c>
      <c r="AO143" s="111">
        <f>SUM(AN$143,'Statistics NZ'!AO$143-'Statistics NZ'!AN$143,$H$14/5*(AO$9-AO$10)*1000)</f>
        <v>42694.59940125022</v>
      </c>
      <c r="AP143" s="111">
        <f>SUM(AO$143,'Statistics NZ'!AP$143-'Statistics NZ'!AO$143,$H$14/5*(AP$9-AP$10)*1000)</f>
        <v>42404.59940125022</v>
      </c>
      <c r="AQ143" s="111">
        <f>SUM(AP$143,'Statistics NZ'!AQ$143-'Statistics NZ'!AP$143,$H$14/5*(AQ$9-AQ$10)*1000)</f>
        <v>42054.59940125022</v>
      </c>
      <c r="AR143" s="111">
        <f>SUM(AQ$143,'Statistics NZ'!AR$143-'Statistics NZ'!AQ$143,$H$14/5*(AR$9-AR$10)*1000)</f>
        <v>41984.59940125022</v>
      </c>
      <c r="AS143" s="111">
        <f>SUM(AR$143,'Statistics NZ'!AS$143-'Statistics NZ'!AR$143,$H$14/5*(AS$9-AS$10)*1000)</f>
        <v>41684.59940125022</v>
      </c>
      <c r="AT143" s="111">
        <f>SUM(AS$143,'Statistics NZ'!AT$143-'Statistics NZ'!AS$143,$H$14/5*(AT$9-AT$10)*1000)</f>
        <v>41454.59940125022</v>
      </c>
      <c r="AU143" s="111">
        <f>SUM(AT$143,'Statistics NZ'!AU$143-'Statistics NZ'!AT$143,$H$14/5*(AU$9-AU$10)*1000)</f>
        <v>40764.59940125022</v>
      </c>
      <c r="AV143" s="111">
        <f>SUM(AU$143,'Statistics NZ'!AV$143-'Statistics NZ'!AU$143,$H$14/5*(AV$9-AV$10)*1000)</f>
        <v>40744.59940125022</v>
      </c>
      <c r="AW143" s="111">
        <f>SUM(AV$143,'Statistics NZ'!AW$143-'Statistics NZ'!AV$143,$H$14/5*(AW$9-AW$10)*1000)</f>
        <v>40114.59940125022</v>
      </c>
      <c r="AX143" s="111">
        <f>SUM(AW$143,'Statistics NZ'!AX$143-'Statistics NZ'!AW$143,$H$14/5*(AX$9-AX$10)*1000)</f>
        <v>39934.59940125022</v>
      </c>
      <c r="AY143" s="111">
        <f>SUM(AX$143,'Statistics NZ'!AY$143-'Statistics NZ'!AX$143,$H$14/5*(AY$9-AY$10)*1000)</f>
        <v>39904.59940125022</v>
      </c>
      <c r="AZ143" s="111">
        <f>SUM(AY$143,'Statistics NZ'!AZ$143-'Statistics NZ'!AY$143,$H$14/5*(AZ$9-AZ$10)*1000)</f>
        <v>39844.59940125022</v>
      </c>
      <c r="BA143" s="111">
        <f>SUM(AZ$143,'Statistics NZ'!BA$143-'Statistics NZ'!AZ$143,$H$14/5*(BA$9-BA$10)*1000)</f>
        <v>39764.59940125022</v>
      </c>
      <c r="BB143" s="111">
        <f>SUM(BA$143,'Statistics NZ'!BB$143-'Statistics NZ'!BA$143,$H$14/5*(BB$9-BB$10)*1000)</f>
        <v>39884.59940125022</v>
      </c>
      <c r="BC143" s="111">
        <f>SUM(BB$143,'Statistics NZ'!BC$143-'Statistics NZ'!BB$143,$H$14/5*(BC$9-BC$10)*1000)</f>
        <v>39974.59940125022</v>
      </c>
      <c r="BD143" s="111">
        <f>SUM(BC$143,'Statistics NZ'!BD$143-'Statistics NZ'!BC$143,$H$14/5*(BD$9-BD$10)*1000)</f>
        <v>40034.59940125022</v>
      </c>
      <c r="BE143" s="111">
        <f>SUM(BD$143,'Statistics NZ'!BE$143-'Statistics NZ'!BD$143,$H$14/5*(BE$9-BE$10)*1000)</f>
        <v>40074.59940125022</v>
      </c>
      <c r="BF143" s="111">
        <f>SUM(BE$143,'Statistics NZ'!BF$143-'Statistics NZ'!BE$143,$H$14/5*(BF$9-BF$10)*1000)</f>
        <v>40104.59940125022</v>
      </c>
      <c r="BG143" s="111">
        <f>SUM(BF$143,'Statistics NZ'!BG$143-'Statistics NZ'!BF$143,$H$14/5*(BG$9-BG$10)*1000)</f>
        <v>40134.59940125022</v>
      </c>
      <c r="BH143" s="111">
        <f>SUM(BG$143,'Statistics NZ'!BH$143-'Statistics NZ'!BG$143,$H$14/5*(BH$9-BH$10)*1000)</f>
        <v>40164.59940125022</v>
      </c>
      <c r="BI143" s="111">
        <f>SUM(BH$143,'Statistics NZ'!BI$143-'Statistics NZ'!BH$143,$H$14/5*(BI$9-BI$10)*1000)</f>
        <v>40204.59940125022</v>
      </c>
      <c r="BJ143" s="111">
        <f>SUM(BI$143,'Statistics NZ'!BJ$143-'Statistics NZ'!BI$143,$H$14/5*(BJ$9-BJ$10)*1000)</f>
        <v>40254.59940125022</v>
      </c>
      <c r="BK143" s="111">
        <f>SUM(BJ$143,'Statistics NZ'!BK$143-'Statistics NZ'!BJ$143,$H$14/5*(BK$9-BK$10)*1000)</f>
        <v>40324.59940125022</v>
      </c>
      <c r="BL143" s="111">
        <f>SUM(BK$143,'Statistics NZ'!BL$143-'Statistics NZ'!BK$143,$H$14/5*(BL$9-BL$10)*1000)</f>
        <v>40414.59940125022</v>
      </c>
      <c r="BM143" s="195">
        <f>SUM(BL$143,'Statistics NZ'!BM$143-'Statistics NZ'!BL$143,$H$14/5*(BM$9-BM$10)*1000)</f>
        <v>40534.59940125022</v>
      </c>
      <c r="BN143" s="195">
        <f>SUM(BM$143,'Statistics NZ'!BN$143-'Statistics NZ'!BM$143,$H$14/5*(BN$9-BN$10)*1000)</f>
        <v>40684.59940125022</v>
      </c>
      <c r="BO143" s="195">
        <f>SUM(BN$143,'Statistics NZ'!BO$143-'Statistics NZ'!BN$143,$H$14/5*(BO$9-BO$10)*1000)</f>
        <v>40844.59940125022</v>
      </c>
      <c r="BP143" s="195">
        <f>SUM(BO$143,'Statistics NZ'!BP$143-'Statistics NZ'!BO$143,$H$14/5*(BP$9-BP$10)*1000)</f>
        <v>41014.59940125022</v>
      </c>
      <c r="BQ143" s="195">
        <f>SUM(BP$143,'Statistics NZ'!BQ$143-'Statistics NZ'!BP$143,$H$14/5*(BQ$9-BQ$10)*1000)</f>
        <v>41184.59940125022</v>
      </c>
    </row>
    <row r="144" spans="1:69">
      <c r="A144" s="105">
        <f>$A$51</f>
        <v>34</v>
      </c>
      <c r="B144" s="118">
        <f>'Statistics NZ'!B$144*'Economic Forecasts'!D$9*1000000/SUM('Statistics NZ'!B$32:B$107,'Statistics NZ'!B$125:B$200)</f>
        <v>29227.693488496257</v>
      </c>
      <c r="C144" s="118">
        <f>'Statistics NZ'!C$144*'Economic Forecasts'!E$9*1000000/SUM('Statistics NZ'!C$32:C$107,'Statistics NZ'!C$125:C$200)</f>
        <v>28165.440652231318</v>
      </c>
      <c r="D144" s="118">
        <f>'Statistics NZ'!D$144*'Economic Forecasts'!F$9*1000000/SUM('Statistics NZ'!D$32:D$107,'Statistics NZ'!D$125:D$200)</f>
        <v>27183.135388676194</v>
      </c>
      <c r="E144" s="118">
        <f>'Statistics NZ'!E$144*'Economic Forecasts'!G$9*1000000/SUM('Statistics NZ'!E$32:E$107,'Statistics NZ'!E$125:E$200)</f>
        <v>26246.265541257642</v>
      </c>
      <c r="F144" s="118">
        <f>'Statistics NZ'!F$144*'Economic Forecasts'!H$9*1000000/SUM('Statistics NZ'!F$32:F$107,'Statistics NZ'!F$125:F$200)</f>
        <v>25387.626687349126</v>
      </c>
      <c r="G144" s="118">
        <f>'Statistics NZ'!G$144*'Economic Forecasts'!I$9*1000000/SUM('Statistics NZ'!G$32:G$107,'Statistics NZ'!G$125:G$200)</f>
        <v>25321.891249143457</v>
      </c>
      <c r="H144" s="118">
        <f>'Statistics NZ'!H$144*'Economic Forecasts'!J$9*1000000/SUM('Statistics NZ'!H$32:H$107,'Statistics NZ'!H$125:H$200)</f>
        <v>24604.461304053268</v>
      </c>
      <c r="I144" s="118">
        <f>'Statistics NZ'!I$144*'Economic Forecasts'!K$9*1000000/SUM('Statistics NZ'!I$32:I$107,'Statistics NZ'!I$125:I$200)</f>
        <v>24917.337680531848</v>
      </c>
      <c r="J144" s="203">
        <f>'Statistics NZ'!J$144*'Economic Forecasts'!L$9*1000000/SUM('Statistics NZ'!J$32:J$107,'Statistics NZ'!J$125:J$200)</f>
        <v>25838.955016840249</v>
      </c>
      <c r="K144" s="203">
        <f>'Statistics NZ'!K$144*'Economic Forecasts'!M$9*1000000/SUM('Statistics NZ'!K$32:K$107,'Statistics NZ'!K$125:K$200)</f>
        <v>27196.466290628749</v>
      </c>
      <c r="L144" s="203">
        <f>'Statistics NZ'!L$144*'Economic Forecasts'!N$9*1000000/SUM('Statistics NZ'!L$32:L$107,'Statistics NZ'!L$125:L$200)</f>
        <v>28522.198785959354</v>
      </c>
      <c r="M144" s="203">
        <f>'Statistics NZ'!M$144*'Economic Forecasts'!O$9*1000000/SUM('Statistics NZ'!M$32:M$107,'Statistics NZ'!M$125:M$200)</f>
        <v>30260.359403779777</v>
      </c>
      <c r="N144" s="203">
        <f>'Statistics NZ'!N$144*'Economic Forecasts'!P$9*1000000/SUM('Statistics NZ'!N$32:N$107,'Statistics NZ'!N$125:N$200)</f>
        <v>31766.674456010438</v>
      </c>
      <c r="O144" s="203">
        <f>'Statistics NZ'!O$144*'Economic Forecasts'!Q$9*1000000/SUM('Statistics NZ'!O$32:O$107,'Statistics NZ'!O$125:O$200)</f>
        <v>32457.377753695415</v>
      </c>
      <c r="P144" s="203">
        <f>'Statistics NZ'!P$144*'Economic Forecasts'!R$9*1000000/SUM('Statistics NZ'!P$32:P$107,'Statistics NZ'!P$125:P$200)</f>
        <v>34348.817729095732</v>
      </c>
      <c r="Q144" s="121">
        <f>SUM('Statistics NZ'!Q$144,$H$14/5*(Q$9-Q$10)*1000)*'Economic Forecasts'!S$9*1000000/SUM('Statistics NZ'!Q$32:Q$107,'Statistics NZ'!Q$125:Q$200,SUM($E$13:$Q$14)*(Q$9-Q$10)*1000)</f>
        <v>35936.098179033914</v>
      </c>
      <c r="R144" s="205">
        <f>SUM('Statistics NZ'!R$144,$H$14/5*(R$9-R$10)*1000)*'Economic Forecasts'!T$9*1000000/SUM('Statistics NZ'!R$32:R$107,'Statistics NZ'!R$125:R$200,SUM($E$13:$Q$14)*(R$9-R$10)*1000)</f>
        <v>37137.756925795889</v>
      </c>
      <c r="S144" s="205">
        <f>SUM('Statistics NZ'!S$144,$H$14/5*(S$9-S$10)*1000)*'Economic Forecasts'!U$9*1000000/SUM('Statistics NZ'!S$32:S$107,'Statistics NZ'!S$125:S$200,SUM($E$13:$Q$14)*(S$9-S$10)*1000)</f>
        <v>38129.183088490674</v>
      </c>
      <c r="T144" s="205">
        <f>SUM('Statistics NZ'!T$144,$H$14/5*(T$9-T$10)*1000)*'Economic Forecasts'!V$9*1000000/SUM('Statistics NZ'!T$32:T$107,'Statistics NZ'!T$125:T$200,SUM($E$13:$Q$14)*(T$9-T$10)*1000)</f>
        <v>40152.853190933318</v>
      </c>
      <c r="U144" s="205">
        <f>SUM('Statistics NZ'!U$144,$H$14/5*(U$9-U$10)*1000)*'Economic Forecasts'!W$9*1000000/SUM('Statistics NZ'!U$32:U$107,'Statistics NZ'!U$125:U$200,SUM($E$13:$Q$14)*(U$9-U$10)*1000)</f>
        <v>41135.68149975127</v>
      </c>
      <c r="V144" s="111">
        <f>SUM(U$144,'Statistics NZ'!V$144-'Statistics NZ'!U$144,$H$14/5*(V$9-V$10)*1000)</f>
        <v>41537.255728603261</v>
      </c>
      <c r="W144" s="111">
        <f>SUM(V$144,'Statistics NZ'!W$144-'Statistics NZ'!V$144,$H$14/5*(W$9-W$10)*1000)</f>
        <v>41366.133178848751</v>
      </c>
      <c r="X144" s="111">
        <f>SUM(W$144,'Statistics NZ'!X$144-'Statistics NZ'!W$144,$H$14/5*(X$9-X$10)*1000)</f>
        <v>40292.313850487742</v>
      </c>
      <c r="Y144" s="111">
        <f>SUM(X$144,'Statistics NZ'!Y$144-'Statistics NZ'!X$144,$H$14/5*(Y$9-Y$10)*1000)</f>
        <v>40375.797743520234</v>
      </c>
      <c r="Z144" s="111">
        <f>SUM(Y$144,'Statistics NZ'!Z$144-'Statistics NZ'!Y$144,$H$14/5*(Z$9-Z$10)*1000)</f>
        <v>40296.584857946225</v>
      </c>
      <c r="AA144" s="111">
        <f>SUM(Z$144,'Statistics NZ'!AA$144-'Statistics NZ'!Z$144,$H$14/5*(AA$9-AA$10)*1000)</f>
        <v>39084.675193765725</v>
      </c>
      <c r="AB144" s="111">
        <f>SUM(AA$144,'Statistics NZ'!AB$144-'Statistics NZ'!AA$144,$H$14/5*(AB$9-AB$10)*1000)</f>
        <v>39020.068750978724</v>
      </c>
      <c r="AC144" s="111">
        <f>SUM(AB$144,'Statistics NZ'!AC$144-'Statistics NZ'!AB$144,$H$14/5*(AC$9-AC$10)*1000)</f>
        <v>38142.765529585224</v>
      </c>
      <c r="AD144" s="111">
        <f>SUM(AC$144,'Statistics NZ'!AD$144-'Statistics NZ'!AC$144,$H$14/5*(AD$9-AD$10)*1000)</f>
        <v>38872.765529585224</v>
      </c>
      <c r="AE144" s="111">
        <f>SUM(AD$144,'Statistics NZ'!AE$144-'Statistics NZ'!AD$144,$H$14/5*(AE$9-AE$10)*1000)</f>
        <v>38402.765529585224</v>
      </c>
      <c r="AF144" s="111">
        <f>SUM(AE$144,'Statistics NZ'!AF$144-'Statistics NZ'!AE$144,$H$14/5*(AF$9-AF$10)*1000)</f>
        <v>37082.765529585224</v>
      </c>
      <c r="AG144" s="111">
        <f>SUM(AF$144,'Statistics NZ'!AG$144-'Statistics NZ'!AF$144,$H$14/5*(AG$9-AG$10)*1000)</f>
        <v>37632.765529585224</v>
      </c>
      <c r="AH144" s="111">
        <f>SUM(AG$144,'Statistics NZ'!AH$144-'Statistics NZ'!AG$144,$H$14/5*(AH$9-AH$10)*1000)</f>
        <v>37892.765529585224</v>
      </c>
      <c r="AI144" s="111">
        <f>SUM(AH$144,'Statistics NZ'!AI$144-'Statistics NZ'!AH$144,$H$14/5*(AI$9-AI$10)*1000)</f>
        <v>38302.765529585224</v>
      </c>
      <c r="AJ144" s="111">
        <f>SUM(AI$144,'Statistics NZ'!AJ$144-'Statistics NZ'!AI$144,$H$14/5*(AJ$9-AJ$10)*1000)</f>
        <v>39322.765529585224</v>
      </c>
      <c r="AK144" s="111">
        <f>SUM(AJ$144,'Statistics NZ'!AK$144-'Statistics NZ'!AJ$144,$H$14/5*(AK$9-AK$10)*1000)</f>
        <v>41302.765529585224</v>
      </c>
      <c r="AL144" s="111">
        <f>SUM(AK$144,'Statistics NZ'!AL$144-'Statistics NZ'!AK$144,$H$14/5*(AL$9-AL$10)*1000)</f>
        <v>42382.765529585224</v>
      </c>
      <c r="AM144" s="111">
        <f>SUM(AL$144,'Statistics NZ'!AM$144-'Statistics NZ'!AL$144,$H$14/5*(AM$9-AM$10)*1000)</f>
        <v>42952.765529585224</v>
      </c>
      <c r="AN144" s="111">
        <f>SUM(AM$144,'Statistics NZ'!AN$144-'Statistics NZ'!AM$144,$H$14/5*(AN$9-AN$10)*1000)</f>
        <v>43442.765529585224</v>
      </c>
      <c r="AO144" s="111">
        <f>SUM(AN$144,'Statistics NZ'!AO$144-'Statistics NZ'!AN$144,$H$14/5*(AO$9-AO$10)*1000)</f>
        <v>43152.765529585224</v>
      </c>
      <c r="AP144" s="111">
        <f>SUM(AO$144,'Statistics NZ'!AP$144-'Statistics NZ'!AO$144,$H$14/5*(AP$9-AP$10)*1000)</f>
        <v>43002.765529585224</v>
      </c>
      <c r="AQ144" s="111">
        <f>SUM(AP$144,'Statistics NZ'!AQ$144-'Statistics NZ'!AP$144,$H$14/5*(AQ$9-AQ$10)*1000)</f>
        <v>42712.765529585224</v>
      </c>
      <c r="AR144" s="111">
        <f>SUM(AQ$144,'Statistics NZ'!AR$144-'Statistics NZ'!AQ$144,$H$14/5*(AR$9-AR$10)*1000)</f>
        <v>42372.765529585224</v>
      </c>
      <c r="AS144" s="111">
        <f>SUM(AR$144,'Statistics NZ'!AS$144-'Statistics NZ'!AR$144,$H$14/5*(AS$9-AS$10)*1000)</f>
        <v>42302.765529585224</v>
      </c>
      <c r="AT144" s="111">
        <f>SUM(AS$144,'Statistics NZ'!AT$144-'Statistics NZ'!AS$144,$H$14/5*(AT$9-AT$10)*1000)</f>
        <v>42002.765529585224</v>
      </c>
      <c r="AU144" s="111">
        <f>SUM(AT$144,'Statistics NZ'!AU$144-'Statistics NZ'!AT$144,$H$14/5*(AU$9-AU$10)*1000)</f>
        <v>41762.765529585224</v>
      </c>
      <c r="AV144" s="111">
        <f>SUM(AU$144,'Statistics NZ'!AV$144-'Statistics NZ'!AU$144,$H$14/5*(AV$9-AV$10)*1000)</f>
        <v>41082.765529585224</v>
      </c>
      <c r="AW144" s="111">
        <f>SUM(AV$144,'Statistics NZ'!AW$144-'Statistics NZ'!AV$144,$H$14/5*(AW$9-AW$10)*1000)</f>
        <v>41052.765529585224</v>
      </c>
      <c r="AX144" s="111">
        <f>SUM(AW$144,'Statistics NZ'!AX$144-'Statistics NZ'!AW$144,$H$14/5*(AX$9-AX$10)*1000)</f>
        <v>40422.765529585224</v>
      </c>
      <c r="AY144" s="111">
        <f>SUM(AX$144,'Statistics NZ'!AY$144-'Statistics NZ'!AX$144,$H$14/5*(AY$9-AY$10)*1000)</f>
        <v>40242.765529585224</v>
      </c>
      <c r="AZ144" s="111">
        <f>SUM(AY$144,'Statistics NZ'!AZ$144-'Statistics NZ'!AY$144,$H$14/5*(AZ$9-AZ$10)*1000)</f>
        <v>40212.765529585224</v>
      </c>
      <c r="BA144" s="111">
        <f>SUM(AZ$144,'Statistics NZ'!BA$144-'Statistics NZ'!AZ$144,$H$14/5*(BA$9-BA$10)*1000)</f>
        <v>40162.765529585224</v>
      </c>
      <c r="BB144" s="111">
        <f>SUM(BA$144,'Statistics NZ'!BB$144-'Statistics NZ'!BA$144,$H$14/5*(BB$9-BB$10)*1000)</f>
        <v>40072.765529585224</v>
      </c>
      <c r="BC144" s="111">
        <f>SUM(BB$144,'Statistics NZ'!BC$144-'Statistics NZ'!BB$144,$H$14/5*(BC$9-BC$10)*1000)</f>
        <v>40202.765529585224</v>
      </c>
      <c r="BD144" s="111">
        <f>SUM(BC$144,'Statistics NZ'!BD$144-'Statistics NZ'!BC$144,$H$14/5*(BD$9-BD$10)*1000)</f>
        <v>40282.765529585224</v>
      </c>
      <c r="BE144" s="111">
        <f>SUM(BD$144,'Statistics NZ'!BE$144-'Statistics NZ'!BD$144,$H$14/5*(BE$9-BE$10)*1000)</f>
        <v>40342.765529585224</v>
      </c>
      <c r="BF144" s="111">
        <f>SUM(BE$144,'Statistics NZ'!BF$144-'Statistics NZ'!BE$144,$H$14/5*(BF$9-BF$10)*1000)</f>
        <v>40392.765529585224</v>
      </c>
      <c r="BG144" s="111">
        <f>SUM(BF$144,'Statistics NZ'!BG$144-'Statistics NZ'!BF$144,$H$14/5*(BG$9-BG$10)*1000)</f>
        <v>40422.765529585224</v>
      </c>
      <c r="BH144" s="111">
        <f>SUM(BG$144,'Statistics NZ'!BH$144-'Statistics NZ'!BG$144,$H$14/5*(BH$9-BH$10)*1000)</f>
        <v>40442.765529585224</v>
      </c>
      <c r="BI144" s="111">
        <f>SUM(BH$144,'Statistics NZ'!BI$144-'Statistics NZ'!BH$144,$H$14/5*(BI$9-BI$10)*1000)</f>
        <v>40482.765529585224</v>
      </c>
      <c r="BJ144" s="111">
        <f>SUM(BI$144,'Statistics NZ'!BJ$144-'Statistics NZ'!BI$144,$H$14/5*(BJ$9-BJ$10)*1000)</f>
        <v>40522.765529585224</v>
      </c>
      <c r="BK144" s="111">
        <f>SUM(BJ$144,'Statistics NZ'!BK$144-'Statistics NZ'!BJ$144,$H$14/5*(BK$9-BK$10)*1000)</f>
        <v>40572.765529585224</v>
      </c>
      <c r="BL144" s="111">
        <f>SUM(BK$144,'Statistics NZ'!BL$144-'Statistics NZ'!BK$144,$H$14/5*(BL$9-BL$10)*1000)</f>
        <v>40642.765529585224</v>
      </c>
      <c r="BM144" s="195">
        <f>SUM(BL$144,'Statistics NZ'!BM$144-'Statistics NZ'!BL$144,$H$14/5*(BM$9-BM$10)*1000)</f>
        <v>40732.765529585224</v>
      </c>
      <c r="BN144" s="195">
        <f>SUM(BM$144,'Statistics NZ'!BN$144-'Statistics NZ'!BM$144,$H$14/5*(BN$9-BN$10)*1000)</f>
        <v>40852.765529585224</v>
      </c>
      <c r="BO144" s="195">
        <f>SUM(BN$144,'Statistics NZ'!BO$144-'Statistics NZ'!BN$144,$H$14/5*(BO$9-BO$10)*1000)</f>
        <v>41002.765529585224</v>
      </c>
      <c r="BP144" s="195">
        <f>SUM(BO$144,'Statistics NZ'!BP$144-'Statistics NZ'!BO$144,$H$14/5*(BP$9-BP$10)*1000)</f>
        <v>41162.765529585224</v>
      </c>
      <c r="BQ144" s="195">
        <f>SUM(BP$144,'Statistics NZ'!BQ$144-'Statistics NZ'!BP$144,$H$14/5*(BQ$9-BQ$10)*1000)</f>
        <v>41332.765529585224</v>
      </c>
    </row>
    <row r="145" spans="1:69">
      <c r="A145" s="105">
        <f>$A$52</f>
        <v>35</v>
      </c>
      <c r="B145" s="118">
        <f>'Statistics NZ'!B$145*'Economic Forecasts'!D$9*1000000/SUM('Statistics NZ'!B$32:B$107,'Statistics NZ'!B$125:B$200)</f>
        <v>29690.686947869133</v>
      </c>
      <c r="C145" s="118">
        <f>'Statistics NZ'!C$145*'Economic Forecasts'!E$9*1000000/SUM('Statistics NZ'!C$32:C$107,'Statistics NZ'!C$125:C$200)</f>
        <v>29486.465870081858</v>
      </c>
      <c r="D145" s="118">
        <f>'Statistics NZ'!D$145*'Economic Forecasts'!F$9*1000000/SUM('Statistics NZ'!D$32:D$107,'Statistics NZ'!D$125:D$200)</f>
        <v>28227.882434071296</v>
      </c>
      <c r="E145" s="118">
        <f>'Statistics NZ'!E$145*'Economic Forecasts'!G$9*1000000/SUM('Statistics NZ'!E$32:E$107,'Statistics NZ'!E$125:E$200)</f>
        <v>27329.601079545952</v>
      </c>
      <c r="F145" s="118">
        <f>'Statistics NZ'!F$145*'Economic Forecasts'!H$9*1000000/SUM('Statistics NZ'!F$32:F$107,'Statistics NZ'!F$125:F$200)</f>
        <v>26382.640383671311</v>
      </c>
      <c r="G145" s="118">
        <f>'Statistics NZ'!G$145*'Economic Forecasts'!I$9*1000000/SUM('Statistics NZ'!G$32:G$107,'Statistics NZ'!G$125:G$200)</f>
        <v>25351.449877060742</v>
      </c>
      <c r="H145" s="118">
        <f>'Statistics NZ'!H$145*'Economic Forecasts'!J$9*1000000/SUM('Statistics NZ'!H$32:H$107,'Statistics NZ'!H$125:H$200)</f>
        <v>25284.088137511899</v>
      </c>
      <c r="I145" s="118">
        <f>'Statistics NZ'!I$145*'Economic Forecasts'!K$9*1000000/SUM('Statistics NZ'!I$32:I$107,'Statistics NZ'!I$125:I$200)</f>
        <v>24572.903707854672</v>
      </c>
      <c r="J145" s="203">
        <f>'Statistics NZ'!J$145*'Economic Forecasts'!L$9*1000000/SUM('Statistics NZ'!J$32:J$107,'Statistics NZ'!J$125:J$200)</f>
        <v>25524.445104121001</v>
      </c>
      <c r="K145" s="203">
        <f>'Statistics NZ'!K$145*'Economic Forecasts'!M$9*1000000/SUM('Statistics NZ'!K$32:K$107,'Statistics NZ'!K$125:K$200)</f>
        <v>26705.200642315365</v>
      </c>
      <c r="L145" s="203">
        <f>'Statistics NZ'!L$145*'Economic Forecasts'!N$9*1000000/SUM('Statistics NZ'!L$32:L$107,'Statistics NZ'!L$125:L$200)</f>
        <v>28226.73401953022</v>
      </c>
      <c r="M145" s="203">
        <f>'Statistics NZ'!M$145*'Economic Forecasts'!O$9*1000000/SUM('Statistics NZ'!M$32:M$107,'Statistics NZ'!M$125:M$200)</f>
        <v>29590.533739894025</v>
      </c>
      <c r="N145" s="203">
        <f>'Statistics NZ'!N$145*'Economic Forecasts'!P$9*1000000/SUM('Statistics NZ'!N$32:N$107,'Statistics NZ'!N$125:N$200)</f>
        <v>31292.986859275894</v>
      </c>
      <c r="O145" s="203">
        <f>'Statistics NZ'!O$145*'Economic Forecasts'!Q$9*1000000/SUM('Statistics NZ'!O$32:O$107,'Statistics NZ'!O$125:O$200)</f>
        <v>32477.114681487263</v>
      </c>
      <c r="P145" s="203">
        <f>'Statistics NZ'!P$145*'Economic Forecasts'!R$9*1000000/SUM('Statistics NZ'!P$32:P$107,'Statistics NZ'!P$125:P$200)</f>
        <v>33637.948261865233</v>
      </c>
      <c r="Q145" s="121">
        <f>SUM('Statistics NZ'!Q$145,$I$14/5*(Q$9-Q$10)*1000)*'Economic Forecasts'!S$9*1000000/SUM('Statistics NZ'!Q$32:Q$107,'Statistics NZ'!Q$125:Q$200,SUM($E$13:$Q$14)*(Q$9-Q$10)*1000)</f>
        <v>34433.162942136463</v>
      </c>
      <c r="R145" s="205">
        <f>SUM('Statistics NZ'!R$145,$I$14/5*(R$9-R$10)*1000)*'Economic Forecasts'!T$9*1000000/SUM('Statistics NZ'!R$32:R$107,'Statistics NZ'!R$125:R$200,SUM($E$13:$Q$14)*(R$9-R$10)*1000)</f>
        <v>36092.787869640008</v>
      </c>
      <c r="S145" s="205">
        <f>SUM('Statistics NZ'!S$145,$I$14/5*(S$9-S$10)*1000)*'Economic Forecasts'!U$9*1000000/SUM('Statistics NZ'!S$32:S$107,'Statistics NZ'!S$125:S$200,SUM($E$13:$Q$14)*(S$9-S$10)*1000)</f>
        <v>37397.760042597285</v>
      </c>
      <c r="T145" s="205">
        <f>SUM('Statistics NZ'!T$145,$I$14/5*(T$9-T$10)*1000)*'Economic Forecasts'!V$9*1000000/SUM('Statistics NZ'!T$32:T$107,'Statistics NZ'!T$125:T$200,SUM($E$13:$Q$14)*(T$9-T$10)*1000)</f>
        <v>38491.579820351508</v>
      </c>
      <c r="U145" s="205">
        <f>SUM('Statistics NZ'!U$145,$I$14/5*(U$9-U$10)*1000)*'Economic Forecasts'!W$9*1000000/SUM('Statistics NZ'!U$32:U$107,'Statistics NZ'!U$125:U$200,SUM($E$13:$Q$14)*(U$9-U$10)*1000)</f>
        <v>40529.46173015402</v>
      </c>
      <c r="V145" s="111">
        <f>SUM(U$145,'Statistics NZ'!V$145-'Statistics NZ'!U$145,$I$14/5*(V$9-V$10)*1000)</f>
        <v>41518.519809307858</v>
      </c>
      <c r="W145" s="111">
        <f>SUM(V$145,'Statistics NZ'!W$145-'Statistics NZ'!V$145,$I$14/5*(W$9-W$10)*1000)</f>
        <v>41805.195628567461</v>
      </c>
      <c r="X145" s="111">
        <f>SUM(W$145,'Statistics NZ'!X$145-'Statistics NZ'!W$145,$I$14/5*(X$9-X$10)*1000)</f>
        <v>41549.489187932835</v>
      </c>
      <c r="Y145" s="111">
        <f>SUM(X$145,'Statistics NZ'!Y$145-'Statistics NZ'!X$145,$I$14/5*(Y$9-Y$10)*1000)</f>
        <v>40391.400487403982</v>
      </c>
      <c r="Z145" s="111">
        <f>SUM(Y$145,'Statistics NZ'!Z$145-'Statistics NZ'!Y$145,$I$14/5*(Z$9-Z$10)*1000)</f>
        <v>40400.929526980901</v>
      </c>
      <c r="AA145" s="111">
        <f>SUM(Z$145,'Statistics NZ'!AA$145-'Statistics NZ'!Z$145,$I$14/5*(AA$9-AA$10)*1000)</f>
        <v>40258.076306663592</v>
      </c>
      <c r="AB145" s="111">
        <f>SUM(AA$145,'Statistics NZ'!AB$145-'Statistics NZ'!AA$145,$I$14/5*(AB$9-AB$10)*1000)</f>
        <v>38992.840826452048</v>
      </c>
      <c r="AC145" s="111">
        <f>SUM(AB$145,'Statistics NZ'!AC$145-'Statistics NZ'!AB$145,$I$14/5*(AC$9-AC$10)*1000)</f>
        <v>38885.223086346276</v>
      </c>
      <c r="AD145" s="111">
        <f>SUM(AC$145,'Statistics NZ'!AD$145-'Statistics NZ'!AC$145,$I$14/5*(AD$9-AD$10)*1000)</f>
        <v>37975.223086346276</v>
      </c>
      <c r="AE145" s="111">
        <f>SUM(AD$145,'Statistics NZ'!AE$145-'Statistics NZ'!AD$145,$I$14/5*(AE$9-AE$10)*1000)</f>
        <v>38705.223086346276</v>
      </c>
      <c r="AF145" s="111">
        <f>SUM(AE$145,'Statistics NZ'!AF$145-'Statistics NZ'!AE$145,$I$14/5*(AF$9-AF$10)*1000)</f>
        <v>38245.223086346276</v>
      </c>
      <c r="AG145" s="111">
        <f>SUM(AF$145,'Statistics NZ'!AG$145-'Statistics NZ'!AF$145,$I$14/5*(AG$9-AG$10)*1000)</f>
        <v>36915.223086346276</v>
      </c>
      <c r="AH145" s="111">
        <f>SUM(AG$145,'Statistics NZ'!AH$145-'Statistics NZ'!AG$145,$I$14/5*(AH$9-AH$10)*1000)</f>
        <v>37475.223086346276</v>
      </c>
      <c r="AI145" s="111">
        <f>SUM(AH$145,'Statistics NZ'!AI$145-'Statistics NZ'!AH$145,$I$14/5*(AI$9-AI$10)*1000)</f>
        <v>37735.223086346276</v>
      </c>
      <c r="AJ145" s="111">
        <f>SUM(AI$145,'Statistics NZ'!AJ$145-'Statistics NZ'!AI$145,$I$14/5*(AJ$9-AJ$10)*1000)</f>
        <v>38145.223086346276</v>
      </c>
      <c r="AK145" s="111">
        <f>SUM(AJ$145,'Statistics NZ'!AK$145-'Statistics NZ'!AJ$145,$I$14/5*(AK$9-AK$10)*1000)</f>
        <v>39165.223086346276</v>
      </c>
      <c r="AL145" s="111">
        <f>SUM(AK$145,'Statistics NZ'!AL$145-'Statistics NZ'!AK$145,$I$14/5*(AL$9-AL$10)*1000)</f>
        <v>41145.223086346276</v>
      </c>
      <c r="AM145" s="111">
        <f>SUM(AL$145,'Statistics NZ'!AM$145-'Statistics NZ'!AL$145,$I$14/5*(AM$9-AM$10)*1000)</f>
        <v>42215.223086346276</v>
      </c>
      <c r="AN145" s="111">
        <f>SUM(AM$145,'Statistics NZ'!AN$145-'Statistics NZ'!AM$145,$I$14/5*(AN$9-AN$10)*1000)</f>
        <v>42795.223086346276</v>
      </c>
      <c r="AO145" s="111">
        <f>SUM(AN$145,'Statistics NZ'!AO$145-'Statistics NZ'!AN$145,$I$14/5*(AO$9-AO$10)*1000)</f>
        <v>43275.223086346276</v>
      </c>
      <c r="AP145" s="111">
        <f>SUM(AO$145,'Statistics NZ'!AP$145-'Statistics NZ'!AO$145,$I$14/5*(AP$9-AP$10)*1000)</f>
        <v>42995.223086346276</v>
      </c>
      <c r="AQ145" s="111">
        <f>SUM(AP$145,'Statistics NZ'!AQ$145-'Statistics NZ'!AP$145,$I$14/5*(AQ$9-AQ$10)*1000)</f>
        <v>42835.223086346276</v>
      </c>
      <c r="AR145" s="111">
        <f>SUM(AQ$145,'Statistics NZ'!AR$145-'Statistics NZ'!AQ$145,$I$14/5*(AR$9-AR$10)*1000)</f>
        <v>42555.223086346276</v>
      </c>
      <c r="AS145" s="111">
        <f>SUM(AR$145,'Statistics NZ'!AS$145-'Statistics NZ'!AR$145,$I$14/5*(AS$9-AS$10)*1000)</f>
        <v>42205.223086346276</v>
      </c>
      <c r="AT145" s="111">
        <f>SUM(AS$145,'Statistics NZ'!AT$145-'Statistics NZ'!AS$145,$I$14/5*(AT$9-AT$10)*1000)</f>
        <v>42135.223086346276</v>
      </c>
      <c r="AU145" s="111">
        <f>SUM(AT$145,'Statistics NZ'!AU$145-'Statistics NZ'!AT$145,$I$14/5*(AU$9-AU$10)*1000)</f>
        <v>41845.223086346276</v>
      </c>
      <c r="AV145" s="111">
        <f>SUM(AU$145,'Statistics NZ'!AV$145-'Statistics NZ'!AU$145,$I$14/5*(AV$9-AV$10)*1000)</f>
        <v>41605.223086346276</v>
      </c>
      <c r="AW145" s="111">
        <f>SUM(AV$145,'Statistics NZ'!AW$145-'Statistics NZ'!AV$145,$I$14/5*(AW$9-AW$10)*1000)</f>
        <v>40915.223086346276</v>
      </c>
      <c r="AX145" s="111">
        <f>SUM(AW$145,'Statistics NZ'!AX$145-'Statistics NZ'!AW$145,$I$14/5*(AX$9-AX$10)*1000)</f>
        <v>40895.223086346276</v>
      </c>
      <c r="AY145" s="111">
        <f>SUM(AX$145,'Statistics NZ'!AY$145-'Statistics NZ'!AX$145,$I$14/5*(AY$9-AY$10)*1000)</f>
        <v>40265.223086346276</v>
      </c>
      <c r="AZ145" s="111">
        <f>SUM(AY$145,'Statistics NZ'!AZ$145-'Statistics NZ'!AY$145,$I$14/5*(AZ$9-AZ$10)*1000)</f>
        <v>40085.223086346276</v>
      </c>
      <c r="BA145" s="111">
        <f>SUM(AZ$145,'Statistics NZ'!BA$145-'Statistics NZ'!AZ$145,$I$14/5*(BA$9-BA$10)*1000)</f>
        <v>40055.223086346276</v>
      </c>
      <c r="BB145" s="111">
        <f>SUM(BA$145,'Statistics NZ'!BB$145-'Statistics NZ'!BA$145,$I$14/5*(BB$9-BB$10)*1000)</f>
        <v>40005.223086346276</v>
      </c>
      <c r="BC145" s="111">
        <f>SUM(BB$145,'Statistics NZ'!BC$145-'Statistics NZ'!BB$145,$I$14/5*(BC$9-BC$10)*1000)</f>
        <v>39915.223086346276</v>
      </c>
      <c r="BD145" s="111">
        <f>SUM(BC$145,'Statistics NZ'!BD$145-'Statistics NZ'!BC$145,$I$14/5*(BD$9-BD$10)*1000)</f>
        <v>40045.223086346276</v>
      </c>
      <c r="BE145" s="111">
        <f>SUM(BD$145,'Statistics NZ'!BE$145-'Statistics NZ'!BD$145,$I$14/5*(BE$9-BE$10)*1000)</f>
        <v>40135.223086346276</v>
      </c>
      <c r="BF145" s="111">
        <f>SUM(BE$145,'Statistics NZ'!BF$145-'Statistics NZ'!BE$145,$I$14/5*(BF$9-BF$10)*1000)</f>
        <v>40195.223086346276</v>
      </c>
      <c r="BG145" s="111">
        <f>SUM(BF$145,'Statistics NZ'!BG$145-'Statistics NZ'!BF$145,$I$14/5*(BG$9-BG$10)*1000)</f>
        <v>40235.223086346276</v>
      </c>
      <c r="BH145" s="111">
        <f>SUM(BG$145,'Statistics NZ'!BH$145-'Statistics NZ'!BG$145,$I$14/5*(BH$9-BH$10)*1000)</f>
        <v>40265.223086346276</v>
      </c>
      <c r="BI145" s="111">
        <f>SUM(BH$145,'Statistics NZ'!BI$145-'Statistics NZ'!BH$145,$I$14/5*(BI$9-BI$10)*1000)</f>
        <v>40295.223086346276</v>
      </c>
      <c r="BJ145" s="111">
        <f>SUM(BI$145,'Statistics NZ'!BJ$145-'Statistics NZ'!BI$145,$I$14/5*(BJ$9-BJ$10)*1000)</f>
        <v>40325.223086346276</v>
      </c>
      <c r="BK145" s="111">
        <f>SUM(BJ$145,'Statistics NZ'!BK$145-'Statistics NZ'!BJ$145,$I$14/5*(BK$9-BK$10)*1000)</f>
        <v>40365.223086346276</v>
      </c>
      <c r="BL145" s="111">
        <f>SUM(BK$145,'Statistics NZ'!BL$145-'Statistics NZ'!BK$145,$I$14/5*(BL$9-BL$10)*1000)</f>
        <v>40415.223086346276</v>
      </c>
      <c r="BM145" s="195">
        <f>SUM(BL$145,'Statistics NZ'!BM$145-'Statistics NZ'!BL$145,$I$14/5*(BM$9-BM$10)*1000)</f>
        <v>40485.223086346276</v>
      </c>
      <c r="BN145" s="195">
        <f>SUM(BM$145,'Statistics NZ'!BN$145-'Statistics NZ'!BM$145,$I$14/5*(BN$9-BN$10)*1000)</f>
        <v>40585.223086346276</v>
      </c>
      <c r="BO145" s="195">
        <f>SUM(BN$145,'Statistics NZ'!BO$145-'Statistics NZ'!BN$145,$I$14/5*(BO$9-BO$10)*1000)</f>
        <v>40705.223086346276</v>
      </c>
      <c r="BP145" s="195">
        <f>SUM(BO$145,'Statistics NZ'!BP$145-'Statistics NZ'!BO$145,$I$14/5*(BP$9-BP$10)*1000)</f>
        <v>40845.223086346276</v>
      </c>
      <c r="BQ145" s="195">
        <f>SUM(BP$145,'Statistics NZ'!BQ$145-'Statistics NZ'!BP$145,$I$14/5*(BQ$9-BQ$10)*1000)</f>
        <v>41005.223086346276</v>
      </c>
    </row>
    <row r="146" spans="1:69">
      <c r="A146" s="105">
        <f>$A$53</f>
        <v>36</v>
      </c>
      <c r="B146" s="118">
        <f>'Statistics NZ'!B$146*'Economic Forecasts'!D$9*1000000/SUM('Statistics NZ'!B$32:B$107,'Statistics NZ'!B$125:B$200)</f>
        <v>29237.544413163767</v>
      </c>
      <c r="C146" s="118">
        <f>'Statistics NZ'!C$146*'Economic Forecasts'!E$9*1000000/SUM('Statistics NZ'!C$32:C$107,'Statistics NZ'!C$125:C$200)</f>
        <v>29890.660153155532</v>
      </c>
      <c r="D146" s="118">
        <f>'Statistics NZ'!D$146*'Economic Forecasts'!F$9*1000000/SUM('Statistics NZ'!D$32:D$107,'Statistics NZ'!D$125:D$200)</f>
        <v>29637.305334934488</v>
      </c>
      <c r="E146" s="118">
        <f>'Statistics NZ'!E$146*'Economic Forecasts'!G$9*1000000/SUM('Statistics NZ'!E$32:E$107,'Statistics NZ'!E$125:E$200)</f>
        <v>28353.845588473083</v>
      </c>
      <c r="F146" s="118">
        <f>'Statistics NZ'!F$146*'Economic Forecasts'!H$9*1000000/SUM('Statistics NZ'!F$32:F$107,'Statistics NZ'!F$125:F$200)</f>
        <v>27476.170287550143</v>
      </c>
      <c r="G146" s="118">
        <f>'Statistics NZ'!G$146*'Economic Forecasts'!I$9*1000000/SUM('Statistics NZ'!G$32:G$107,'Statistics NZ'!G$125:G$200)</f>
        <v>26405.707606110682</v>
      </c>
      <c r="H146" s="118">
        <f>'Statistics NZ'!H$146*'Economic Forecasts'!J$9*1000000/SUM('Statistics NZ'!H$32:H$107,'Statistics NZ'!H$125:H$200)</f>
        <v>25323.486794523993</v>
      </c>
      <c r="I146" s="118">
        <f>'Statistics NZ'!I$146*'Economic Forecasts'!K$9*1000000/SUM('Statistics NZ'!I$32:I$107,'Statistics NZ'!I$125:I$200)</f>
        <v>25330.658447744467</v>
      </c>
      <c r="J146" s="203">
        <f>'Statistics NZ'!J$146*'Economic Forecasts'!L$9*1000000/SUM('Statistics NZ'!J$32:J$107,'Statistics NZ'!J$125:J$200)</f>
        <v>25121.479278449475</v>
      </c>
      <c r="K146" s="203">
        <f>'Statistics NZ'!K$146*'Economic Forecasts'!M$9*1000000/SUM('Statistics NZ'!K$32:K$107,'Statistics NZ'!K$125:K$200)</f>
        <v>26351.489375529734</v>
      </c>
      <c r="L146" s="203">
        <f>'Statistics NZ'!L$146*'Economic Forecasts'!N$9*1000000/SUM('Statistics NZ'!L$32:L$107,'Statistics NZ'!L$125:L$200)</f>
        <v>27675.199788862497</v>
      </c>
      <c r="M146" s="203">
        <f>'Statistics NZ'!M$146*'Economic Forecasts'!O$9*1000000/SUM('Statistics NZ'!M$32:M$107,'Statistics NZ'!M$125:M$200)</f>
        <v>29216.219398310815</v>
      </c>
      <c r="N146" s="203">
        <f>'Statistics NZ'!N$146*'Economic Forecasts'!P$9*1000000/SUM('Statistics NZ'!N$32:N$107,'Statistics NZ'!N$125:N$200)</f>
        <v>30681.140380160439</v>
      </c>
      <c r="O146" s="203">
        <f>'Statistics NZ'!O$146*'Economic Forecasts'!Q$9*1000000/SUM('Statistics NZ'!O$32:O$107,'Statistics NZ'!O$125:O$200)</f>
        <v>32102.113053442135</v>
      </c>
      <c r="P146" s="203">
        <f>'Statistics NZ'!P$146*'Economic Forecasts'!R$9*1000000/SUM('Statistics NZ'!P$32:P$107,'Statistics NZ'!P$125:P$200)</f>
        <v>33489.850456192209</v>
      </c>
      <c r="Q146" s="121">
        <f>SUM('Statistics NZ'!Q$146,$I$14/5*(Q$9-Q$10)*1000)*'Economic Forecasts'!S$9*1000000/SUM('Statistics NZ'!Q$32:Q$107,'Statistics NZ'!Q$125:Q$200,SUM($E$13:$Q$14)*(Q$9-Q$10)*1000)</f>
        <v>33721.340477172977</v>
      </c>
      <c r="R146" s="205">
        <f>SUM('Statistics NZ'!R$146,$I$14/5*(R$9-R$10)*1000)*'Economic Forecasts'!T$9*1000000/SUM('Statistics NZ'!R$32:R$107,'Statistics NZ'!R$125:R$200,SUM($E$13:$Q$14)*(R$9-R$10)*1000)</f>
        <v>34590.240645640508</v>
      </c>
      <c r="S146" s="205">
        <f>SUM('Statistics NZ'!S$146,$I$14/5*(S$9-S$10)*1000)*'Economic Forecasts'!U$9*1000000/SUM('Statistics NZ'!S$32:S$107,'Statistics NZ'!S$125:S$200,SUM($E$13:$Q$14)*(S$9-S$10)*1000)</f>
        <v>36340.611169619304</v>
      </c>
      <c r="T146" s="205">
        <f>SUM('Statistics NZ'!T$146,$I$14/5*(T$9-T$10)*1000)*'Economic Forecasts'!V$9*1000000/SUM('Statistics NZ'!T$32:T$107,'Statistics NZ'!T$125:T$200,SUM($E$13:$Q$14)*(T$9-T$10)*1000)</f>
        <v>37750.633498612522</v>
      </c>
      <c r="U146" s="205">
        <f>SUM('Statistics NZ'!U$146,$I$14/5*(U$9-U$10)*1000)*'Economic Forecasts'!W$9*1000000/SUM('Statistics NZ'!U$32:U$107,'Statistics NZ'!U$125:U$200,SUM($E$13:$Q$14)*(U$9-U$10)*1000)</f>
        <v>38897.261072784895</v>
      </c>
      <c r="V146" s="111">
        <f>SUM(U$146,'Statistics NZ'!V$146-'Statistics NZ'!U$146,$I$14/5*(V$9-V$10)*1000)</f>
        <v>40996.319151938733</v>
      </c>
      <c r="W146" s="111">
        <f>SUM(V$146,'Statistics NZ'!W$146-'Statistics NZ'!V$146,$I$14/5*(W$9-W$10)*1000)</f>
        <v>41962.994971198335</v>
      </c>
      <c r="X146" s="111">
        <f>SUM(W$146,'Statistics NZ'!X$146-'Statistics NZ'!W$146,$I$14/5*(X$9-X$10)*1000)</f>
        <v>42227.28853056371</v>
      </c>
      <c r="Y146" s="111">
        <f>SUM(X$146,'Statistics NZ'!Y$146-'Statistics NZ'!X$146,$I$14/5*(Y$9-Y$10)*1000)</f>
        <v>41949.199830034857</v>
      </c>
      <c r="Z146" s="111">
        <f>SUM(Y$146,'Statistics NZ'!Z$146-'Statistics NZ'!Y$146,$I$14/5*(Z$9-Z$10)*1000)</f>
        <v>40768.728869611776</v>
      </c>
      <c r="AA146" s="111">
        <f>SUM(Z$146,'Statistics NZ'!AA$146-'Statistics NZ'!Z$146,$I$14/5*(AA$9-AA$10)*1000)</f>
        <v>40755.875649294467</v>
      </c>
      <c r="AB146" s="111">
        <f>SUM(AA$146,'Statistics NZ'!AB$146-'Statistics NZ'!AA$146,$I$14/5*(AB$9-AB$10)*1000)</f>
        <v>40590.640169082923</v>
      </c>
      <c r="AC146" s="111">
        <f>SUM(AB$146,'Statistics NZ'!AC$146-'Statistics NZ'!AB$146,$I$14/5*(AC$9-AC$10)*1000)</f>
        <v>39303.02242897715</v>
      </c>
      <c r="AD146" s="111">
        <f>SUM(AC$146,'Statistics NZ'!AD$146-'Statistics NZ'!AC$146,$I$14/5*(AD$9-AD$10)*1000)</f>
        <v>39183.02242897715</v>
      </c>
      <c r="AE146" s="111">
        <f>SUM(AD$146,'Statistics NZ'!AE$146-'Statistics NZ'!AD$146,$I$14/5*(AE$9-AE$10)*1000)</f>
        <v>38273.02242897715</v>
      </c>
      <c r="AF146" s="111">
        <f>SUM(AE$146,'Statistics NZ'!AF$146-'Statistics NZ'!AE$146,$I$14/5*(AF$9-AF$10)*1000)</f>
        <v>39003.02242897715</v>
      </c>
      <c r="AG146" s="111">
        <f>SUM(AF$146,'Statistics NZ'!AG$146-'Statistics NZ'!AF$146,$I$14/5*(AG$9-AG$10)*1000)</f>
        <v>38543.02242897715</v>
      </c>
      <c r="AH146" s="111">
        <f>SUM(AG$146,'Statistics NZ'!AH$146-'Statistics NZ'!AG$146,$I$14/5*(AH$9-AH$10)*1000)</f>
        <v>37213.02242897715</v>
      </c>
      <c r="AI146" s="111">
        <f>SUM(AH$146,'Statistics NZ'!AI$146-'Statistics NZ'!AH$146,$I$14/5*(AI$9-AI$10)*1000)</f>
        <v>37773.02242897715</v>
      </c>
      <c r="AJ146" s="111">
        <f>SUM(AI$146,'Statistics NZ'!AJ$146-'Statistics NZ'!AI$146,$I$14/5*(AJ$9-AJ$10)*1000)</f>
        <v>38033.02242897715</v>
      </c>
      <c r="AK146" s="111">
        <f>SUM(AJ$146,'Statistics NZ'!AK$146-'Statistics NZ'!AJ$146,$I$14/5*(AK$9-AK$10)*1000)</f>
        <v>38443.02242897715</v>
      </c>
      <c r="AL146" s="111">
        <f>SUM(AK$146,'Statistics NZ'!AL$146-'Statistics NZ'!AK$146,$I$14/5*(AL$9-AL$10)*1000)</f>
        <v>39463.02242897715</v>
      </c>
      <c r="AM146" s="111">
        <f>SUM(AL$146,'Statistics NZ'!AM$146-'Statistics NZ'!AL$146,$I$14/5*(AM$9-AM$10)*1000)</f>
        <v>41443.02242897715</v>
      </c>
      <c r="AN146" s="111">
        <f>SUM(AM$146,'Statistics NZ'!AN$146-'Statistics NZ'!AM$146,$I$14/5*(AN$9-AN$10)*1000)</f>
        <v>42513.02242897715</v>
      </c>
      <c r="AO146" s="111">
        <f>SUM(AN$146,'Statistics NZ'!AO$146-'Statistics NZ'!AN$146,$I$14/5*(AO$9-AO$10)*1000)</f>
        <v>43083.02242897715</v>
      </c>
      <c r="AP146" s="111">
        <f>SUM(AO$146,'Statistics NZ'!AP$146-'Statistics NZ'!AO$146,$I$14/5*(AP$9-AP$10)*1000)</f>
        <v>43573.02242897715</v>
      </c>
      <c r="AQ146" s="111">
        <f>SUM(AP$146,'Statistics NZ'!AQ$146-'Statistics NZ'!AP$146,$I$14/5*(AQ$9-AQ$10)*1000)</f>
        <v>43283.02242897715</v>
      </c>
      <c r="AR146" s="111">
        <f>SUM(AQ$146,'Statistics NZ'!AR$146-'Statistics NZ'!AQ$146,$I$14/5*(AR$9-AR$10)*1000)</f>
        <v>43133.02242897715</v>
      </c>
      <c r="AS146" s="111">
        <f>SUM(AR$146,'Statistics NZ'!AS$146-'Statistics NZ'!AR$146,$I$14/5*(AS$9-AS$10)*1000)</f>
        <v>42853.02242897715</v>
      </c>
      <c r="AT146" s="111">
        <f>SUM(AS$146,'Statistics NZ'!AT$146-'Statistics NZ'!AS$146,$I$14/5*(AT$9-AT$10)*1000)</f>
        <v>42503.02242897715</v>
      </c>
      <c r="AU146" s="111">
        <f>SUM(AT$146,'Statistics NZ'!AU$146-'Statistics NZ'!AT$146,$I$14/5*(AU$9-AU$10)*1000)</f>
        <v>42433.02242897715</v>
      </c>
      <c r="AV146" s="111">
        <f>SUM(AU$146,'Statistics NZ'!AV$146-'Statistics NZ'!AU$146,$I$14/5*(AV$9-AV$10)*1000)</f>
        <v>42133.02242897715</v>
      </c>
      <c r="AW146" s="111">
        <f>SUM(AV$146,'Statistics NZ'!AW$146-'Statistics NZ'!AV$146,$I$14/5*(AW$9-AW$10)*1000)</f>
        <v>41903.02242897715</v>
      </c>
      <c r="AX146" s="111">
        <f>SUM(AW$146,'Statistics NZ'!AX$146-'Statistics NZ'!AW$146,$I$14/5*(AX$9-AX$10)*1000)</f>
        <v>41213.02242897715</v>
      </c>
      <c r="AY146" s="111">
        <f>SUM(AX$146,'Statistics NZ'!AY$146-'Statistics NZ'!AX$146,$I$14/5*(AY$9-AY$10)*1000)</f>
        <v>41193.02242897715</v>
      </c>
      <c r="AZ146" s="111">
        <f>SUM(AY$146,'Statistics NZ'!AZ$146-'Statistics NZ'!AY$146,$I$14/5*(AZ$9-AZ$10)*1000)</f>
        <v>40563.02242897715</v>
      </c>
      <c r="BA146" s="111">
        <f>SUM(AZ$146,'Statistics NZ'!BA$146-'Statistics NZ'!AZ$146,$I$14/5*(BA$9-BA$10)*1000)</f>
        <v>40393.02242897715</v>
      </c>
      <c r="BB146" s="111">
        <f>SUM(BA$146,'Statistics NZ'!BB$146-'Statistics NZ'!BA$146,$I$14/5*(BB$9-BB$10)*1000)</f>
        <v>40363.02242897715</v>
      </c>
      <c r="BC146" s="111">
        <f>SUM(BB$146,'Statistics NZ'!BC$146-'Statistics NZ'!BB$146,$I$14/5*(BC$9-BC$10)*1000)</f>
        <v>40303.02242897715</v>
      </c>
      <c r="BD146" s="111">
        <f>SUM(BC$146,'Statistics NZ'!BD$146-'Statistics NZ'!BC$146,$I$14/5*(BD$9-BD$10)*1000)</f>
        <v>40223.02242897715</v>
      </c>
      <c r="BE146" s="111">
        <f>SUM(BD$146,'Statistics NZ'!BE$146-'Statistics NZ'!BD$146,$I$14/5*(BE$9-BE$10)*1000)</f>
        <v>40343.02242897715</v>
      </c>
      <c r="BF146" s="111">
        <f>SUM(BE$146,'Statistics NZ'!BF$146-'Statistics NZ'!BE$146,$I$14/5*(BF$9-BF$10)*1000)</f>
        <v>40433.02242897715</v>
      </c>
      <c r="BG146" s="111">
        <f>SUM(BF$146,'Statistics NZ'!BG$146-'Statistics NZ'!BF$146,$I$14/5*(BG$9-BG$10)*1000)</f>
        <v>40493.02242897715</v>
      </c>
      <c r="BH146" s="111">
        <f>SUM(BG$146,'Statistics NZ'!BH$146-'Statistics NZ'!BG$146,$I$14/5*(BH$9-BH$10)*1000)</f>
        <v>40533.02242897715</v>
      </c>
      <c r="BI146" s="111">
        <f>SUM(BH$146,'Statistics NZ'!BI$146-'Statistics NZ'!BH$146,$I$14/5*(BI$9-BI$10)*1000)</f>
        <v>40563.02242897715</v>
      </c>
      <c r="BJ146" s="111">
        <f>SUM(BI$146,'Statistics NZ'!BJ$146-'Statistics NZ'!BI$146,$I$14/5*(BJ$9-BJ$10)*1000)</f>
        <v>40593.02242897715</v>
      </c>
      <c r="BK146" s="111">
        <f>SUM(BJ$146,'Statistics NZ'!BK$146-'Statistics NZ'!BJ$146,$I$14/5*(BK$9-BK$10)*1000)</f>
        <v>40623.02242897715</v>
      </c>
      <c r="BL146" s="111">
        <f>SUM(BK$146,'Statistics NZ'!BL$146-'Statistics NZ'!BK$146,$I$14/5*(BL$9-BL$10)*1000)</f>
        <v>40663.02242897715</v>
      </c>
      <c r="BM146" s="195">
        <f>SUM(BL$146,'Statistics NZ'!BM$146-'Statistics NZ'!BL$146,$I$14/5*(BM$9-BM$10)*1000)</f>
        <v>40723.02242897715</v>
      </c>
      <c r="BN146" s="195">
        <f>SUM(BM$146,'Statistics NZ'!BN$146-'Statistics NZ'!BM$146,$I$14/5*(BN$9-BN$10)*1000)</f>
        <v>40793.02242897715</v>
      </c>
      <c r="BO146" s="195">
        <f>SUM(BN$146,'Statistics NZ'!BO$146-'Statistics NZ'!BN$146,$I$14/5*(BO$9-BO$10)*1000)</f>
        <v>40883.02242897715</v>
      </c>
      <c r="BP146" s="195">
        <f>SUM(BO$146,'Statistics NZ'!BP$146-'Statistics NZ'!BO$146,$I$14/5*(BP$9-BP$10)*1000)</f>
        <v>41003.02242897715</v>
      </c>
      <c r="BQ146" s="195">
        <f>SUM(BP$146,'Statistics NZ'!BQ$146-'Statistics NZ'!BP$146,$I$14/5*(BQ$9-BQ$10)*1000)</f>
        <v>41153.02242897715</v>
      </c>
    </row>
    <row r="147" spans="1:69">
      <c r="A147" s="105">
        <f>$A$54</f>
        <v>37</v>
      </c>
      <c r="B147" s="118">
        <f>'Statistics NZ'!B$147*'Economic Forecasts'!D$9*1000000/SUM('Statistics NZ'!B$32:B$107,'Statistics NZ'!B$125:B$200)</f>
        <v>29592.177701194054</v>
      </c>
      <c r="C147" s="118">
        <f>'Statistics NZ'!C$147*'Economic Forecasts'!E$9*1000000/SUM('Statistics NZ'!C$32:C$107,'Statistics NZ'!C$125:C$200)</f>
        <v>29437.173884341166</v>
      </c>
      <c r="D147" s="118">
        <f>'Statistics NZ'!D$147*'Economic Forecasts'!F$9*1000000/SUM('Statistics NZ'!D$32:D$107,'Statistics NZ'!D$125:D$200)</f>
        <v>30041.405607209948</v>
      </c>
      <c r="E147" s="118">
        <f>'Statistics NZ'!E$147*'Economic Forecasts'!G$9*1000000/SUM('Statistics NZ'!E$32:E$107,'Statistics NZ'!E$125:E$200)</f>
        <v>29742.484778460825</v>
      </c>
      <c r="F147" s="118">
        <f>'Statistics NZ'!F$147*'Economic Forecasts'!H$9*1000000/SUM('Statistics NZ'!F$32:F$107,'Statistics NZ'!F$125:F$200)</f>
        <v>28490.887225383656</v>
      </c>
      <c r="G147" s="118">
        <f>'Statistics NZ'!G$147*'Economic Forecasts'!I$9*1000000/SUM('Statistics NZ'!G$32:G$107,'Statistics NZ'!G$125:G$200)</f>
        <v>27548.641218912493</v>
      </c>
      <c r="H147" s="118">
        <f>'Statistics NZ'!H$147*'Economic Forecasts'!J$9*1000000/SUM('Statistics NZ'!H$32:H$107,'Statistics NZ'!H$125:H$200)</f>
        <v>26367.551205344509</v>
      </c>
      <c r="I147" s="118">
        <f>'Statistics NZ'!I$147*'Economic Forecasts'!K$9*1000000/SUM('Statistics NZ'!I$32:I$107,'Statistics NZ'!I$125:I$200)</f>
        <v>25419.227183575735</v>
      </c>
      <c r="J147" s="203">
        <f>'Statistics NZ'!J$147*'Economic Forecasts'!L$9*1000000/SUM('Statistics NZ'!J$32:J$107,'Statistics NZ'!J$125:J$200)</f>
        <v>25779.984408205386</v>
      </c>
      <c r="K147" s="203">
        <f>'Statistics NZ'!K$147*'Economic Forecasts'!M$9*1000000/SUM('Statistics NZ'!K$32:K$107,'Statistics NZ'!K$125:K$200)</f>
        <v>25811.097162385016</v>
      </c>
      <c r="L147" s="203">
        <f>'Statistics NZ'!L$147*'Economic Forecasts'!N$9*1000000/SUM('Statistics NZ'!L$32:L$107,'Statistics NZ'!L$125:L$200)</f>
        <v>27291.095592504615</v>
      </c>
      <c r="M147" s="203">
        <f>'Statistics NZ'!M$147*'Economic Forecasts'!O$9*1000000/SUM('Statistics NZ'!M$32:M$107,'Statistics NZ'!M$125:M$200)</f>
        <v>28694.149395576329</v>
      </c>
      <c r="N147" s="203">
        <f>'Statistics NZ'!N$147*'Economic Forecasts'!P$9*1000000/SUM('Statistics NZ'!N$32:N$107,'Statistics NZ'!N$125:N$200)</f>
        <v>30197.584291827257</v>
      </c>
      <c r="O147" s="203">
        <f>'Statistics NZ'!O$147*'Economic Forecasts'!Q$9*1000000/SUM('Statistics NZ'!O$32:O$107,'Statistics NZ'!O$125:O$200)</f>
        <v>31519.873683582595</v>
      </c>
      <c r="P147" s="203">
        <f>'Statistics NZ'!P$147*'Economic Forecasts'!R$9*1000000/SUM('Statistics NZ'!P$32:P$107,'Statistics NZ'!P$125:P$200)</f>
        <v>33154.162096666703</v>
      </c>
      <c r="Q147" s="121">
        <f>SUM('Statistics NZ'!Q$147,$I$14/5*(Q$9-Q$10)*1000)*'Economic Forecasts'!S$9*1000000/SUM('Statistics NZ'!Q$32:Q$107,'Statistics NZ'!Q$125:Q$200,SUM($E$13:$Q$14)*(Q$9-Q$10)*1000)</f>
        <v>33573.044130305592</v>
      </c>
      <c r="R147" s="205">
        <f>SUM('Statistics NZ'!R$147,$I$14/5*(R$9-R$10)*1000)*'Economic Forecasts'!T$9*1000000/SUM('Statistics NZ'!R$32:R$107,'Statistics NZ'!R$125:R$200,SUM($E$13:$Q$14)*(R$9-R$10)*1000)</f>
        <v>33868.622570956548</v>
      </c>
      <c r="S147" s="205">
        <f>SUM('Statistics NZ'!S$147,$I$14/5*(S$9-S$10)*1000)*'Economic Forecasts'!U$9*1000000/SUM('Statistics NZ'!S$32:S$107,'Statistics NZ'!S$125:S$200,SUM($E$13:$Q$14)*(S$9-S$10)*1000)</f>
        <v>34819.107184211731</v>
      </c>
      <c r="T147" s="205">
        <f>SUM('Statistics NZ'!T$147,$I$14/5*(T$9-T$10)*1000)*'Economic Forecasts'!V$9*1000000/SUM('Statistics NZ'!T$32:T$107,'Statistics NZ'!T$125:T$200,SUM($E$13:$Q$14)*(T$9-T$10)*1000)</f>
        <v>36673.791511018535</v>
      </c>
      <c r="U147" s="205">
        <f>SUM('Statistics NZ'!U$147,$I$14/5*(U$9-U$10)*1000)*'Economic Forecasts'!W$9*1000000/SUM('Statistics NZ'!U$32:U$107,'Statistics NZ'!U$125:U$200,SUM($E$13:$Q$14)*(U$9-U$10)*1000)</f>
        <v>38135.567432679301</v>
      </c>
      <c r="V147" s="111">
        <f>SUM(U$147,'Statistics NZ'!V$147-'Statistics NZ'!U$147,$I$14/5*(V$9-V$10)*1000)</f>
        <v>39334.625511833139</v>
      </c>
      <c r="W147" s="111">
        <f>SUM(V$147,'Statistics NZ'!W$147-'Statistics NZ'!V$147,$I$14/5*(W$9-W$10)*1000)</f>
        <v>41411.301331092742</v>
      </c>
      <c r="X147" s="111">
        <f>SUM(W$147,'Statistics NZ'!X$147-'Statistics NZ'!W$147,$I$14/5*(X$9-X$10)*1000)</f>
        <v>42355.594890458116</v>
      </c>
      <c r="Y147" s="111">
        <f>SUM(X$147,'Statistics NZ'!Y$147-'Statistics NZ'!X$147,$I$14/5*(Y$9-Y$10)*1000)</f>
        <v>42597.506189929263</v>
      </c>
      <c r="Z147" s="111">
        <f>SUM(Y$147,'Statistics NZ'!Z$147-'Statistics NZ'!Y$147,$I$14/5*(Z$9-Z$10)*1000)</f>
        <v>42297.035229506182</v>
      </c>
      <c r="AA147" s="111">
        <f>SUM(Z$147,'Statistics NZ'!AA$147-'Statistics NZ'!Z$147,$I$14/5*(AA$9-AA$10)*1000)</f>
        <v>41104.182009188873</v>
      </c>
      <c r="AB147" s="111">
        <f>SUM(AA$147,'Statistics NZ'!AB$147-'Statistics NZ'!AA$147,$I$14/5*(AB$9-AB$10)*1000)</f>
        <v>41068.946528977329</v>
      </c>
      <c r="AC147" s="111">
        <f>SUM(AB$147,'Statistics NZ'!AC$147-'Statistics NZ'!AB$147,$I$14/5*(AC$9-AC$10)*1000)</f>
        <v>40871.328788871557</v>
      </c>
      <c r="AD147" s="111">
        <f>SUM(AC$147,'Statistics NZ'!AD$147-'Statistics NZ'!AC$147,$I$14/5*(AD$9-AD$10)*1000)</f>
        <v>39571.328788871557</v>
      </c>
      <c r="AE147" s="111">
        <f>SUM(AD$147,'Statistics NZ'!AE$147-'Statistics NZ'!AD$147,$I$14/5*(AE$9-AE$10)*1000)</f>
        <v>39441.328788871557</v>
      </c>
      <c r="AF147" s="111">
        <f>SUM(AE$147,'Statistics NZ'!AF$147-'Statistics NZ'!AE$147,$I$14/5*(AF$9-AF$10)*1000)</f>
        <v>38531.328788871557</v>
      </c>
      <c r="AG147" s="111">
        <f>SUM(AF$147,'Statistics NZ'!AG$147-'Statistics NZ'!AF$147,$I$14/5*(AG$9-AG$10)*1000)</f>
        <v>39261.328788871557</v>
      </c>
      <c r="AH147" s="111">
        <f>SUM(AG$147,'Statistics NZ'!AH$147-'Statistics NZ'!AG$147,$I$14/5*(AH$9-AH$10)*1000)</f>
        <v>38801.328788871557</v>
      </c>
      <c r="AI147" s="111">
        <f>SUM(AH$147,'Statistics NZ'!AI$147-'Statistics NZ'!AH$147,$I$14/5*(AI$9-AI$10)*1000)</f>
        <v>37481.328788871557</v>
      </c>
      <c r="AJ147" s="111">
        <f>SUM(AI$147,'Statistics NZ'!AJ$147-'Statistics NZ'!AI$147,$I$14/5*(AJ$9-AJ$10)*1000)</f>
        <v>38031.328788871557</v>
      </c>
      <c r="AK147" s="111">
        <f>SUM(AJ$147,'Statistics NZ'!AK$147-'Statistics NZ'!AJ$147,$I$14/5*(AK$9-AK$10)*1000)</f>
        <v>38291.328788871557</v>
      </c>
      <c r="AL147" s="111">
        <f>SUM(AK$147,'Statistics NZ'!AL$147-'Statistics NZ'!AK$147,$I$14/5*(AL$9-AL$10)*1000)</f>
        <v>38701.328788871557</v>
      </c>
      <c r="AM147" s="111">
        <f>SUM(AL$147,'Statistics NZ'!AM$147-'Statistics NZ'!AL$147,$I$14/5*(AM$9-AM$10)*1000)</f>
        <v>39721.328788871557</v>
      </c>
      <c r="AN147" s="111">
        <f>SUM(AM$147,'Statistics NZ'!AN$147-'Statistics NZ'!AM$147,$I$14/5*(AN$9-AN$10)*1000)</f>
        <v>41701.328788871557</v>
      </c>
      <c r="AO147" s="111">
        <f>SUM(AN$147,'Statistics NZ'!AO$147-'Statistics NZ'!AN$147,$I$14/5*(AO$9-AO$10)*1000)</f>
        <v>42771.328788871557</v>
      </c>
      <c r="AP147" s="111">
        <f>SUM(AO$147,'Statistics NZ'!AP$147-'Statistics NZ'!AO$147,$I$14/5*(AP$9-AP$10)*1000)</f>
        <v>43351.328788871557</v>
      </c>
      <c r="AQ147" s="111">
        <f>SUM(AP$147,'Statistics NZ'!AQ$147-'Statistics NZ'!AP$147,$I$14/5*(AQ$9-AQ$10)*1000)</f>
        <v>43831.328788871557</v>
      </c>
      <c r="AR147" s="111">
        <f>SUM(AQ$147,'Statistics NZ'!AR$147-'Statistics NZ'!AQ$147,$I$14/5*(AR$9-AR$10)*1000)</f>
        <v>43551.328788871557</v>
      </c>
      <c r="AS147" s="111">
        <f>SUM(AR$147,'Statistics NZ'!AS$147-'Statistics NZ'!AR$147,$I$14/5*(AS$9-AS$10)*1000)</f>
        <v>43401.328788871557</v>
      </c>
      <c r="AT147" s="111">
        <f>SUM(AS$147,'Statistics NZ'!AT$147-'Statistics NZ'!AS$147,$I$14/5*(AT$9-AT$10)*1000)</f>
        <v>43121.328788871557</v>
      </c>
      <c r="AU147" s="111">
        <f>SUM(AT$147,'Statistics NZ'!AU$147-'Statistics NZ'!AT$147,$I$14/5*(AU$9-AU$10)*1000)</f>
        <v>42771.328788871557</v>
      </c>
      <c r="AV147" s="111">
        <f>SUM(AU$147,'Statistics NZ'!AV$147-'Statistics NZ'!AU$147,$I$14/5*(AV$9-AV$10)*1000)</f>
        <v>42701.328788871557</v>
      </c>
      <c r="AW147" s="111">
        <f>SUM(AV$147,'Statistics NZ'!AW$147-'Statistics NZ'!AV$147,$I$14/5*(AW$9-AW$10)*1000)</f>
        <v>42401.328788871557</v>
      </c>
      <c r="AX147" s="111">
        <f>SUM(AW$147,'Statistics NZ'!AX$147-'Statistics NZ'!AW$147,$I$14/5*(AX$9-AX$10)*1000)</f>
        <v>42171.328788871557</v>
      </c>
      <c r="AY147" s="111">
        <f>SUM(AX$147,'Statistics NZ'!AY$147-'Statistics NZ'!AX$147,$I$14/5*(AY$9-AY$10)*1000)</f>
        <v>41481.328788871557</v>
      </c>
      <c r="AZ147" s="111">
        <f>SUM(AY$147,'Statistics NZ'!AZ$147-'Statistics NZ'!AY$147,$I$14/5*(AZ$9-AZ$10)*1000)</f>
        <v>41461.328788871557</v>
      </c>
      <c r="BA147" s="111">
        <f>SUM(AZ$147,'Statistics NZ'!BA$147-'Statistics NZ'!AZ$147,$I$14/5*(BA$9-BA$10)*1000)</f>
        <v>40831.328788871557</v>
      </c>
      <c r="BB147" s="111">
        <f>SUM(BA$147,'Statistics NZ'!BB$147-'Statistics NZ'!BA$147,$I$14/5*(BB$9-BB$10)*1000)</f>
        <v>40661.328788871557</v>
      </c>
      <c r="BC147" s="111">
        <f>SUM(BB$147,'Statistics NZ'!BC$147-'Statistics NZ'!BB$147,$I$14/5*(BC$9-BC$10)*1000)</f>
        <v>40631.328788871557</v>
      </c>
      <c r="BD147" s="111">
        <f>SUM(BC$147,'Statistics NZ'!BD$147-'Statistics NZ'!BC$147,$I$14/5*(BD$9-BD$10)*1000)</f>
        <v>40571.328788871557</v>
      </c>
      <c r="BE147" s="111">
        <f>SUM(BD$147,'Statistics NZ'!BE$147-'Statistics NZ'!BD$147,$I$14/5*(BE$9-BE$10)*1000)</f>
        <v>40491.328788871557</v>
      </c>
      <c r="BF147" s="111">
        <f>SUM(BE$147,'Statistics NZ'!BF$147-'Statistics NZ'!BE$147,$I$14/5*(BF$9-BF$10)*1000)</f>
        <v>40611.328788871557</v>
      </c>
      <c r="BG147" s="111">
        <f>SUM(BF$147,'Statistics NZ'!BG$147-'Statistics NZ'!BF$147,$I$14/5*(BG$9-BG$10)*1000)</f>
        <v>40701.328788871557</v>
      </c>
      <c r="BH147" s="111">
        <f>SUM(BG$147,'Statistics NZ'!BH$147-'Statistics NZ'!BG$147,$I$14/5*(BH$9-BH$10)*1000)</f>
        <v>40761.328788871557</v>
      </c>
      <c r="BI147" s="111">
        <f>SUM(BH$147,'Statistics NZ'!BI$147-'Statistics NZ'!BH$147,$I$14/5*(BI$9-BI$10)*1000)</f>
        <v>40801.328788871557</v>
      </c>
      <c r="BJ147" s="111">
        <f>SUM(BI$147,'Statistics NZ'!BJ$147-'Statistics NZ'!BI$147,$I$14/5*(BJ$9-BJ$10)*1000)</f>
        <v>40841.328788871557</v>
      </c>
      <c r="BK147" s="111">
        <f>SUM(BJ$147,'Statistics NZ'!BK$147-'Statistics NZ'!BJ$147,$I$14/5*(BK$9-BK$10)*1000)</f>
        <v>40871.328788871557</v>
      </c>
      <c r="BL147" s="111">
        <f>SUM(BK$147,'Statistics NZ'!BL$147-'Statistics NZ'!BK$147,$I$14/5*(BL$9-BL$10)*1000)</f>
        <v>40901.328788871557</v>
      </c>
      <c r="BM147" s="195">
        <f>SUM(BL$147,'Statistics NZ'!BM$147-'Statistics NZ'!BL$147,$I$14/5*(BM$9-BM$10)*1000)</f>
        <v>40941.328788871557</v>
      </c>
      <c r="BN147" s="195">
        <f>SUM(BM$147,'Statistics NZ'!BN$147-'Statistics NZ'!BM$147,$I$14/5*(BN$9-BN$10)*1000)</f>
        <v>40991.328788871557</v>
      </c>
      <c r="BO147" s="195">
        <f>SUM(BN$147,'Statistics NZ'!BO$147-'Statistics NZ'!BN$147,$I$14/5*(BO$9-BO$10)*1000)</f>
        <v>41061.328788871557</v>
      </c>
      <c r="BP147" s="195">
        <f>SUM(BO$147,'Statistics NZ'!BP$147-'Statistics NZ'!BO$147,$I$14/5*(BP$9-BP$10)*1000)</f>
        <v>41161.328788871557</v>
      </c>
      <c r="BQ147" s="195">
        <f>SUM(BP$147,'Statistics NZ'!BQ$147-'Statistics NZ'!BP$147,$I$14/5*(BQ$9-BQ$10)*1000)</f>
        <v>41281.328788871557</v>
      </c>
    </row>
    <row r="148" spans="1:69">
      <c r="A148" s="105">
        <f>$A$55</f>
        <v>38</v>
      </c>
      <c r="B148" s="118">
        <f>'Statistics NZ'!B$148*'Economic Forecasts'!D$9*1000000/SUM('Statistics NZ'!B$32:B$107,'Statistics NZ'!B$125:B$200)</f>
        <v>29267.097187166295</v>
      </c>
      <c r="C148" s="118">
        <f>'Statistics NZ'!C$148*'Economic Forecasts'!E$9*1000000/SUM('Statistics NZ'!C$32:C$107,'Statistics NZ'!C$125:C$200)</f>
        <v>29792.076181674147</v>
      </c>
      <c r="D148" s="118">
        <f>'Statistics NZ'!D$148*'Economic Forecasts'!F$9*1000000/SUM('Statistics NZ'!D$32:D$107,'Statistics NZ'!D$125:D$200)</f>
        <v>29479.607667705041</v>
      </c>
      <c r="E148" s="118">
        <f>'Statistics NZ'!E$148*'Economic Forecasts'!G$9*1000000/SUM('Statistics NZ'!E$32:E$107,'Statistics NZ'!E$125:E$200)</f>
        <v>30146.273479095558</v>
      </c>
      <c r="F148" s="118">
        <f>'Statistics NZ'!F$148*'Economic Forecasts'!H$9*1000000/SUM('Statistics NZ'!F$32:F$107,'Statistics NZ'!F$125:F$200)</f>
        <v>29850.410889665451</v>
      </c>
      <c r="G148" s="118">
        <f>'Statistics NZ'!G$148*'Economic Forecasts'!I$9*1000000/SUM('Statistics NZ'!G$32:G$107,'Statistics NZ'!G$125:G$200)</f>
        <v>28484.664436293282</v>
      </c>
      <c r="H148" s="118">
        <f>'Statistics NZ'!H$148*'Economic Forecasts'!J$9*1000000/SUM('Statistics NZ'!H$32:H$107,'Statistics NZ'!H$125:H$200)</f>
        <v>27519.961922948285</v>
      </c>
      <c r="I148" s="118">
        <f>'Statistics NZ'!I$148*'Economic Forecasts'!K$9*1000000/SUM('Statistics NZ'!I$32:I$107,'Statistics NZ'!I$125:I$200)</f>
        <v>26413.165219015595</v>
      </c>
      <c r="J148" s="203">
        <f>'Statistics NZ'!J$148*'Economic Forecasts'!L$9*1000000/SUM('Statistics NZ'!J$32:J$107,'Statistics NZ'!J$125:J$200)</f>
        <v>25907.754060247582</v>
      </c>
      <c r="K148" s="203">
        <f>'Statistics NZ'!K$148*'Economic Forecasts'!M$9*1000000/SUM('Statistics NZ'!K$32:K$107,'Statistics NZ'!K$125:K$200)</f>
        <v>26410.441253327339</v>
      </c>
      <c r="L148" s="203">
        <f>'Statistics NZ'!L$148*'Economic Forecasts'!N$9*1000000/SUM('Statistics NZ'!L$32:L$107,'Statistics NZ'!L$125:L$200)</f>
        <v>26660.770757455794</v>
      </c>
      <c r="M148" s="203">
        <f>'Statistics NZ'!M$148*'Economic Forecasts'!O$9*1000000/SUM('Statistics NZ'!M$32:M$107,'Statistics NZ'!M$125:M$200)</f>
        <v>28201.630525072102</v>
      </c>
      <c r="N148" s="203">
        <f>'Statistics NZ'!N$148*'Economic Forecasts'!P$9*1000000/SUM('Statistics NZ'!N$32:N$107,'Statistics NZ'!N$125:N$200)</f>
        <v>29644.948762303622</v>
      </c>
      <c r="O148" s="203">
        <f>'Statistics NZ'!O$148*'Economic Forecasts'!Q$9*1000000/SUM('Statistics NZ'!O$32:O$107,'Statistics NZ'!O$125:O$200)</f>
        <v>30819.21274697196</v>
      </c>
      <c r="P148" s="203">
        <f>'Statistics NZ'!P$148*'Economic Forecasts'!R$9*1000000/SUM('Statistics NZ'!P$32:P$107,'Statistics NZ'!P$125:P$200)</f>
        <v>32384.053507167006</v>
      </c>
      <c r="Q148" s="121">
        <f>SUM('Statistics NZ'!Q$148,$I$14/5*(Q$9-Q$10)*1000)*'Economic Forecasts'!S$9*1000000/SUM('Statistics NZ'!Q$32:Q$107,'Statistics NZ'!Q$125:Q$200,SUM($E$13:$Q$14)*(Q$9-Q$10)*1000)</f>
        <v>33246.792167197331</v>
      </c>
      <c r="R148" s="205">
        <f>SUM('Statistics NZ'!R$148,$I$14/5*(R$9-R$10)*1000)*'Economic Forecasts'!T$9*1000000/SUM('Statistics NZ'!R$32:R$107,'Statistics NZ'!R$125:R$200,SUM($E$13:$Q$14)*(R$9-R$10)*1000)</f>
        <v>33710.459705272384</v>
      </c>
      <c r="S148" s="205">
        <f>SUM('Statistics NZ'!S$148,$I$14/5*(S$9-S$10)*1000)*'Economic Forecasts'!U$9*1000000/SUM('Statistics NZ'!S$32:S$107,'Statistics NZ'!S$125:S$200,SUM($E$13:$Q$14)*(S$9-S$10)*1000)</f>
        <v>34107.754671553652</v>
      </c>
      <c r="T148" s="205">
        <f>SUM('Statistics NZ'!T$148,$I$14/5*(T$9-T$10)*1000)*'Economic Forecasts'!V$9*1000000/SUM('Statistics NZ'!T$32:T$107,'Statistics NZ'!T$125:T$200,SUM($E$13:$Q$14)*(T$9-T$10)*1000)</f>
        <v>35142.502446091305</v>
      </c>
      <c r="U148" s="205">
        <f>SUM('Statistics NZ'!U$148,$I$14/5*(U$9-U$10)*1000)*'Economic Forecasts'!W$9*1000000/SUM('Statistics NZ'!U$32:U$107,'Statistics NZ'!U$125:U$200,SUM($E$13:$Q$14)*(U$9-U$10)*1000)</f>
        <v>37047.433661099887</v>
      </c>
      <c r="V148" s="111">
        <f>SUM(U$148,'Statistics NZ'!V$148-'Statistics NZ'!U$148,$I$14/5*(V$9-V$10)*1000)</f>
        <v>38566.491740253725</v>
      </c>
      <c r="W148" s="111">
        <f>SUM(V$148,'Statistics NZ'!W$148-'Statistics NZ'!V$148,$I$14/5*(W$9-W$10)*1000)</f>
        <v>39743.167559513327</v>
      </c>
      <c r="X148" s="111">
        <f>SUM(W$148,'Statistics NZ'!X$148-'Statistics NZ'!W$148,$I$14/5*(X$9-X$10)*1000)</f>
        <v>41797.461118878702</v>
      </c>
      <c r="Y148" s="111">
        <f>SUM(X$148,'Statistics NZ'!Y$148-'Statistics NZ'!X$148,$I$14/5*(Y$9-Y$10)*1000)</f>
        <v>42709.372418349849</v>
      </c>
      <c r="Z148" s="111">
        <f>SUM(Y$148,'Statistics NZ'!Z$148-'Statistics NZ'!Y$148,$I$14/5*(Z$9-Z$10)*1000)</f>
        <v>42938.901457926768</v>
      </c>
      <c r="AA148" s="111">
        <f>SUM(Z$148,'Statistics NZ'!AA$148-'Statistics NZ'!Z$148,$I$14/5*(AA$9-AA$10)*1000)</f>
        <v>42606.048237609459</v>
      </c>
      <c r="AB148" s="111">
        <f>SUM(AA$148,'Statistics NZ'!AB$148-'Statistics NZ'!AA$148,$I$14/5*(AB$9-AB$10)*1000)</f>
        <v>41390.812757397915</v>
      </c>
      <c r="AC148" s="111">
        <f>SUM(AB$148,'Statistics NZ'!AC$148-'Statistics NZ'!AB$148,$I$14/5*(AC$9-AC$10)*1000)</f>
        <v>41333.195017292142</v>
      </c>
      <c r="AD148" s="111">
        <f>SUM(AC$148,'Statistics NZ'!AD$148-'Statistics NZ'!AC$148,$I$14/5*(AD$9-AD$10)*1000)</f>
        <v>41123.195017292142</v>
      </c>
      <c r="AE148" s="111">
        <f>SUM(AD$148,'Statistics NZ'!AE$148-'Statistics NZ'!AD$148,$I$14/5*(AE$9-AE$10)*1000)</f>
        <v>39823.195017292142</v>
      </c>
      <c r="AF148" s="111">
        <f>SUM(AE$148,'Statistics NZ'!AF$148-'Statistics NZ'!AE$148,$I$14/5*(AF$9-AF$10)*1000)</f>
        <v>39693.195017292142</v>
      </c>
      <c r="AG148" s="111">
        <f>SUM(AF$148,'Statistics NZ'!AG$148-'Statistics NZ'!AF$148,$I$14/5*(AG$9-AG$10)*1000)</f>
        <v>38783.195017292142</v>
      </c>
      <c r="AH148" s="111">
        <f>SUM(AG$148,'Statistics NZ'!AH$148-'Statistics NZ'!AG$148,$I$14/5*(AH$9-AH$10)*1000)</f>
        <v>39513.195017292142</v>
      </c>
      <c r="AI148" s="111">
        <f>SUM(AH$148,'Statistics NZ'!AI$148-'Statistics NZ'!AH$148,$I$14/5*(AI$9-AI$10)*1000)</f>
        <v>39053.195017292142</v>
      </c>
      <c r="AJ148" s="111">
        <f>SUM(AI$148,'Statistics NZ'!AJ$148-'Statistics NZ'!AI$148,$I$14/5*(AJ$9-AJ$10)*1000)</f>
        <v>37733.195017292142</v>
      </c>
      <c r="AK148" s="111">
        <f>SUM(AJ$148,'Statistics NZ'!AK$148-'Statistics NZ'!AJ$148,$I$14/5*(AK$9-AK$10)*1000)</f>
        <v>38293.195017292142</v>
      </c>
      <c r="AL148" s="111">
        <f>SUM(AK$148,'Statistics NZ'!AL$148-'Statistics NZ'!AK$148,$I$14/5*(AL$9-AL$10)*1000)</f>
        <v>38553.195017292142</v>
      </c>
      <c r="AM148" s="111">
        <f>SUM(AL$148,'Statistics NZ'!AM$148-'Statistics NZ'!AL$148,$I$14/5*(AM$9-AM$10)*1000)</f>
        <v>38963.195017292142</v>
      </c>
      <c r="AN148" s="111">
        <f>SUM(AM$148,'Statistics NZ'!AN$148-'Statistics NZ'!AM$148,$I$14/5*(AN$9-AN$10)*1000)</f>
        <v>39983.195017292142</v>
      </c>
      <c r="AO148" s="111">
        <f>SUM(AN$148,'Statistics NZ'!AO$148-'Statistics NZ'!AN$148,$I$14/5*(AO$9-AO$10)*1000)</f>
        <v>41963.195017292142</v>
      </c>
      <c r="AP148" s="111">
        <f>SUM(AO$148,'Statistics NZ'!AP$148-'Statistics NZ'!AO$148,$I$14/5*(AP$9-AP$10)*1000)</f>
        <v>43033.195017292142</v>
      </c>
      <c r="AQ148" s="111">
        <f>SUM(AP$148,'Statistics NZ'!AQ$148-'Statistics NZ'!AP$148,$I$14/5*(AQ$9-AQ$10)*1000)</f>
        <v>43603.195017292142</v>
      </c>
      <c r="AR148" s="111">
        <f>SUM(AQ$148,'Statistics NZ'!AR$148-'Statistics NZ'!AQ$148,$I$14/5*(AR$9-AR$10)*1000)</f>
        <v>44093.195017292142</v>
      </c>
      <c r="AS148" s="111">
        <f>SUM(AR$148,'Statistics NZ'!AS$148-'Statistics NZ'!AR$148,$I$14/5*(AS$9-AS$10)*1000)</f>
        <v>43803.195017292142</v>
      </c>
      <c r="AT148" s="111">
        <f>SUM(AS$148,'Statistics NZ'!AT$148-'Statistics NZ'!AS$148,$I$14/5*(AT$9-AT$10)*1000)</f>
        <v>43653.195017292142</v>
      </c>
      <c r="AU148" s="111">
        <f>SUM(AT$148,'Statistics NZ'!AU$148-'Statistics NZ'!AT$148,$I$14/5*(AU$9-AU$10)*1000)</f>
        <v>43373.195017292142</v>
      </c>
      <c r="AV148" s="111">
        <f>SUM(AU$148,'Statistics NZ'!AV$148-'Statistics NZ'!AU$148,$I$14/5*(AV$9-AV$10)*1000)</f>
        <v>43023.195017292142</v>
      </c>
      <c r="AW148" s="111">
        <f>SUM(AV$148,'Statistics NZ'!AW$148-'Statistics NZ'!AV$148,$I$14/5*(AW$9-AW$10)*1000)</f>
        <v>42963.195017292142</v>
      </c>
      <c r="AX148" s="111">
        <f>SUM(AW$148,'Statistics NZ'!AX$148-'Statistics NZ'!AW$148,$I$14/5*(AX$9-AX$10)*1000)</f>
        <v>42663.195017292142</v>
      </c>
      <c r="AY148" s="111">
        <f>SUM(AX$148,'Statistics NZ'!AY$148-'Statistics NZ'!AX$148,$I$14/5*(AY$9-AY$10)*1000)</f>
        <v>42433.195017292142</v>
      </c>
      <c r="AZ148" s="111">
        <f>SUM(AY$148,'Statistics NZ'!AZ$148-'Statistics NZ'!AY$148,$I$14/5*(AZ$9-AZ$10)*1000)</f>
        <v>41743.195017292142</v>
      </c>
      <c r="BA148" s="111">
        <f>SUM(AZ$148,'Statistics NZ'!BA$148-'Statistics NZ'!AZ$148,$I$14/5*(BA$9-BA$10)*1000)</f>
        <v>41723.195017292142</v>
      </c>
      <c r="BB148" s="111">
        <f>SUM(BA$148,'Statistics NZ'!BB$148-'Statistics NZ'!BA$148,$I$14/5*(BB$9-BB$10)*1000)</f>
        <v>41093.195017292142</v>
      </c>
      <c r="BC148" s="111">
        <f>SUM(BB$148,'Statistics NZ'!BC$148-'Statistics NZ'!BB$148,$I$14/5*(BC$9-BC$10)*1000)</f>
        <v>40923.195017292142</v>
      </c>
      <c r="BD148" s="111">
        <f>SUM(BC$148,'Statistics NZ'!BD$148-'Statistics NZ'!BC$148,$I$14/5*(BD$9-BD$10)*1000)</f>
        <v>40893.195017292142</v>
      </c>
      <c r="BE148" s="111">
        <f>SUM(BD$148,'Statistics NZ'!BE$148-'Statistics NZ'!BD$148,$I$14/5*(BE$9-BE$10)*1000)</f>
        <v>40833.195017292142</v>
      </c>
      <c r="BF148" s="111">
        <f>SUM(BE$148,'Statistics NZ'!BF$148-'Statistics NZ'!BE$148,$I$14/5*(BF$9-BF$10)*1000)</f>
        <v>40753.195017292142</v>
      </c>
      <c r="BG148" s="111">
        <f>SUM(BF$148,'Statistics NZ'!BG$148-'Statistics NZ'!BF$148,$I$14/5*(BG$9-BG$10)*1000)</f>
        <v>40873.195017292142</v>
      </c>
      <c r="BH148" s="111">
        <f>SUM(BG$148,'Statistics NZ'!BH$148-'Statistics NZ'!BG$148,$I$14/5*(BH$9-BH$10)*1000)</f>
        <v>40963.195017292142</v>
      </c>
      <c r="BI148" s="111">
        <f>SUM(BH$148,'Statistics NZ'!BI$148-'Statistics NZ'!BH$148,$I$14/5*(BI$9-BI$10)*1000)</f>
        <v>41023.195017292142</v>
      </c>
      <c r="BJ148" s="111">
        <f>SUM(BI$148,'Statistics NZ'!BJ$148-'Statistics NZ'!BI$148,$I$14/5*(BJ$9-BJ$10)*1000)</f>
        <v>41073.195017292142</v>
      </c>
      <c r="BK148" s="111">
        <f>SUM(BJ$148,'Statistics NZ'!BK$148-'Statistics NZ'!BJ$148,$I$14/5*(BK$9-BK$10)*1000)</f>
        <v>41103.195017292142</v>
      </c>
      <c r="BL148" s="111">
        <f>SUM(BK$148,'Statistics NZ'!BL$148-'Statistics NZ'!BK$148,$I$14/5*(BL$9-BL$10)*1000)</f>
        <v>41133.195017292142</v>
      </c>
      <c r="BM148" s="195">
        <f>SUM(BL$148,'Statistics NZ'!BM$148-'Statistics NZ'!BL$148,$I$14/5*(BM$9-BM$10)*1000)</f>
        <v>41163.195017292142</v>
      </c>
      <c r="BN148" s="195">
        <f>SUM(BM$148,'Statistics NZ'!BN$148-'Statistics NZ'!BM$148,$I$14/5*(BN$9-BN$10)*1000)</f>
        <v>41203.195017292142</v>
      </c>
      <c r="BO148" s="195">
        <f>SUM(BN$148,'Statistics NZ'!BO$148-'Statistics NZ'!BN$148,$I$14/5*(BO$9-BO$10)*1000)</f>
        <v>41253.195017292142</v>
      </c>
      <c r="BP148" s="195">
        <f>SUM(BO$148,'Statistics NZ'!BP$148-'Statistics NZ'!BO$148,$I$14/5*(BP$9-BP$10)*1000)</f>
        <v>41333.195017292142</v>
      </c>
      <c r="BQ148" s="195">
        <f>SUM(BP$148,'Statistics NZ'!BQ$148-'Statistics NZ'!BP$148,$I$14/5*(BQ$9-BQ$10)*1000)</f>
        <v>41423.195017292142</v>
      </c>
    </row>
    <row r="149" spans="1:69">
      <c r="A149" s="105">
        <f>$A$56</f>
        <v>39</v>
      </c>
      <c r="B149" s="118">
        <f>'Statistics NZ'!B$149*'Economic Forecasts'!D$9*1000000/SUM('Statistics NZ'!B$32:B$107,'Statistics NZ'!B$125:B$200)</f>
        <v>29129.184241821182</v>
      </c>
      <c r="C149" s="118">
        <f>'Statistics NZ'!C$149*'Economic Forecasts'!E$9*1000000/SUM('Statistics NZ'!C$32:C$107,'Statistics NZ'!C$125:C$200)</f>
        <v>29466.749075785581</v>
      </c>
      <c r="D149" s="118">
        <f>'Statistics NZ'!D$149*'Economic Forecasts'!F$9*1000000/SUM('Statistics NZ'!D$32:D$107,'Statistics NZ'!D$125:D$200)</f>
        <v>29824.571314769462</v>
      </c>
      <c r="E149" s="118">
        <f>'Statistics NZ'!E$149*'Economic Forecasts'!G$9*1000000/SUM('Statistics NZ'!E$32:E$107,'Statistics NZ'!E$125:E$200)</f>
        <v>29575.060195270813</v>
      </c>
      <c r="F149" s="118">
        <f>'Statistics NZ'!F$149*'Economic Forecasts'!H$9*1000000/SUM('Statistics NZ'!F$32:F$107,'Statistics NZ'!F$125:F$200)</f>
        <v>30185.365995358061</v>
      </c>
      <c r="G149" s="118">
        <f>'Statistics NZ'!G$149*'Economic Forecasts'!I$9*1000000/SUM('Statistics NZ'!G$32:G$107,'Statistics NZ'!G$125:G$200)</f>
        <v>29804.949816598815</v>
      </c>
      <c r="H149" s="118">
        <f>'Statistics NZ'!H$149*'Economic Forecasts'!J$9*1000000/SUM('Statistics NZ'!H$32:H$107,'Statistics NZ'!H$125:H$200)</f>
        <v>28475.379355491586</v>
      </c>
      <c r="I149" s="118">
        <f>'Statistics NZ'!I$149*'Economic Forecasts'!K$9*1000000/SUM('Statistics NZ'!I$32:I$107,'Statistics NZ'!I$125:I$200)</f>
        <v>27672.809461949273</v>
      </c>
      <c r="J149" s="203">
        <f>'Statistics NZ'!J$149*'Economic Forecasts'!L$9*1000000/SUM('Statistics NZ'!J$32:J$107,'Statistics NZ'!J$125:J$200)</f>
        <v>26831.626928860358</v>
      </c>
      <c r="K149" s="203">
        <f>'Statistics NZ'!K$149*'Economic Forecasts'!M$9*1000000/SUM('Statistics NZ'!K$32:K$107,'Statistics NZ'!K$125:K$200)</f>
        <v>26528.345008922552</v>
      </c>
      <c r="L149" s="203">
        <f>'Statistics NZ'!L$149*'Economic Forecasts'!N$9*1000000/SUM('Statistics NZ'!L$32:L$107,'Statistics NZ'!L$125:L$200)</f>
        <v>27163.060860385325</v>
      </c>
      <c r="M149" s="203">
        <f>'Statistics NZ'!M$149*'Economic Forecasts'!O$9*1000000/SUM('Statistics NZ'!M$32:M$107,'Statistics NZ'!M$125:M$200)</f>
        <v>27443.15146449559</v>
      </c>
      <c r="N149" s="203">
        <f>'Statistics NZ'!N$149*'Economic Forecasts'!P$9*1000000/SUM('Statistics NZ'!N$32:N$107,'Statistics NZ'!N$125:N$200)</f>
        <v>29112.050215977262</v>
      </c>
      <c r="O149" s="203">
        <f>'Statistics NZ'!O$149*'Economic Forecasts'!Q$9*1000000/SUM('Statistics NZ'!O$32:O$107,'Statistics NZ'!O$125:O$200)</f>
        <v>30355.394943863514</v>
      </c>
      <c r="P149" s="203">
        <f>'Statistics NZ'!P$149*'Economic Forecasts'!R$9*1000000/SUM('Statistics NZ'!P$32:P$107,'Statistics NZ'!P$125:P$200)</f>
        <v>31742.296349250581</v>
      </c>
      <c r="Q149" s="121">
        <f>SUM('Statistics NZ'!Q$149,$I$14/5*(Q$9-Q$10)*1000)*'Economic Forecasts'!S$9*1000000/SUM('Statistics NZ'!Q$32:Q$107,'Statistics NZ'!Q$125:Q$200,SUM($E$13:$Q$14)*(Q$9-Q$10)*1000)</f>
        <v>32465.764740362407</v>
      </c>
      <c r="R149" s="205">
        <f>SUM('Statistics NZ'!R$149,$I$14/5*(R$9-R$10)*1000)*'Economic Forecasts'!T$9*1000000/SUM('Statistics NZ'!R$32:R$107,'Statistics NZ'!R$125:R$200,SUM($E$13:$Q$14)*(R$9-R$10)*1000)</f>
        <v>33374.363615693546</v>
      </c>
      <c r="S149" s="205">
        <f>SUM('Statistics NZ'!S$149,$I$14/5*(S$9-S$10)*1000)*'Economic Forecasts'!U$9*1000000/SUM('Statistics NZ'!S$32:S$107,'Statistics NZ'!S$125:S$200,SUM($E$13:$Q$14)*(S$9-S$10)*1000)</f>
        <v>33929.916543389125</v>
      </c>
      <c r="T149" s="205">
        <f>SUM('Statistics NZ'!T$149,$I$14/5*(T$9-T$10)*1000)*'Economic Forecasts'!V$9*1000000/SUM('Statistics NZ'!T$32:T$107,'Statistics NZ'!T$125:T$200,SUM($E$13:$Q$14)*(T$9-T$10)*1000)</f>
        <v>34391.676840062471</v>
      </c>
      <c r="U149" s="205">
        <f>SUM('Statistics NZ'!U$149,$I$14/5*(U$9-U$10)*1000)*'Economic Forecasts'!W$9*1000000/SUM('Statistics NZ'!U$32:U$107,'Statistics NZ'!U$125:U$200,SUM($E$13:$Q$14)*(U$9-U$10)*1000)</f>
        <v>35484.477880104001</v>
      </c>
      <c r="V149" s="111">
        <f>SUM(U$149,'Statistics NZ'!V$149-'Statistics NZ'!U$149,$I$14/5*(V$9-V$10)*1000)</f>
        <v>37443.535959257839</v>
      </c>
      <c r="W149" s="111">
        <f>SUM(V$149,'Statistics NZ'!W$149-'Statistics NZ'!V$149,$I$14/5*(W$9-W$10)*1000)</f>
        <v>38950.211778517441</v>
      </c>
      <c r="X149" s="111">
        <f>SUM(W$149,'Statistics NZ'!X$149-'Statistics NZ'!W$149,$I$14/5*(X$9-X$10)*1000)</f>
        <v>40094.505337882816</v>
      </c>
      <c r="Y149" s="111">
        <f>SUM(X$149,'Statistics NZ'!Y$149-'Statistics NZ'!X$149,$I$14/5*(Y$9-Y$10)*1000)</f>
        <v>42126.416637353963</v>
      </c>
      <c r="Z149" s="111">
        <f>SUM(Y$149,'Statistics NZ'!Z$149-'Statistics NZ'!Y$149,$I$14/5*(Z$9-Z$10)*1000)</f>
        <v>43015.945676930882</v>
      </c>
      <c r="AA149" s="111">
        <f>SUM(Z$149,'Statistics NZ'!AA$149-'Statistics NZ'!Z$149,$I$14/5*(AA$9-AA$10)*1000)</f>
        <v>43223.092456613573</v>
      </c>
      <c r="AB149" s="111">
        <f>SUM(AA$149,'Statistics NZ'!AB$149-'Statistics NZ'!AA$149,$I$14/5*(AB$9-AB$10)*1000)</f>
        <v>42877.856976402029</v>
      </c>
      <c r="AC149" s="111">
        <f>SUM(AB$149,'Statistics NZ'!AC$149-'Statistics NZ'!AB$149,$I$14/5*(AC$9-AC$10)*1000)</f>
        <v>41640.239236296256</v>
      </c>
      <c r="AD149" s="111">
        <f>SUM(AC$149,'Statistics NZ'!AD$149-'Statistics NZ'!AC$149,$I$14/5*(AD$9-AD$10)*1000)</f>
        <v>41560.239236296256</v>
      </c>
      <c r="AE149" s="111">
        <f>SUM(AD$149,'Statistics NZ'!AE$149-'Statistics NZ'!AD$149,$I$14/5*(AE$9-AE$10)*1000)</f>
        <v>41350.239236296256</v>
      </c>
      <c r="AF149" s="111">
        <f>SUM(AE$149,'Statistics NZ'!AF$149-'Statistics NZ'!AE$149,$I$14/5*(AF$9-AF$10)*1000)</f>
        <v>40050.239236296256</v>
      </c>
      <c r="AG149" s="111">
        <f>SUM(AF$149,'Statistics NZ'!AG$149-'Statistics NZ'!AF$149,$I$14/5*(AG$9-AG$10)*1000)</f>
        <v>39920.239236296256</v>
      </c>
      <c r="AH149" s="111">
        <f>SUM(AG$149,'Statistics NZ'!AH$149-'Statistics NZ'!AG$149,$I$14/5*(AH$9-AH$10)*1000)</f>
        <v>39020.239236296256</v>
      </c>
      <c r="AI149" s="111">
        <f>SUM(AH$149,'Statistics NZ'!AI$149-'Statistics NZ'!AH$149,$I$14/5*(AI$9-AI$10)*1000)</f>
        <v>39740.239236296256</v>
      </c>
      <c r="AJ149" s="111">
        <f>SUM(AI$149,'Statistics NZ'!AJ$149-'Statistics NZ'!AI$149,$I$14/5*(AJ$9-AJ$10)*1000)</f>
        <v>39290.239236296256</v>
      </c>
      <c r="AK149" s="111">
        <f>SUM(AJ$149,'Statistics NZ'!AK$149-'Statistics NZ'!AJ$149,$I$14/5*(AK$9-AK$10)*1000)</f>
        <v>37970.239236296256</v>
      </c>
      <c r="AL149" s="111">
        <f>SUM(AK$149,'Statistics NZ'!AL$149-'Statistics NZ'!AK$149,$I$14/5*(AL$9-AL$10)*1000)</f>
        <v>38520.239236296256</v>
      </c>
      <c r="AM149" s="111">
        <f>SUM(AL$149,'Statistics NZ'!AM$149-'Statistics NZ'!AL$149,$I$14/5*(AM$9-AM$10)*1000)</f>
        <v>38780.239236296256</v>
      </c>
      <c r="AN149" s="111">
        <f>SUM(AM$149,'Statistics NZ'!AN$149-'Statistics NZ'!AM$149,$I$14/5*(AN$9-AN$10)*1000)</f>
        <v>39190.239236296256</v>
      </c>
      <c r="AO149" s="111">
        <f>SUM(AN$149,'Statistics NZ'!AO$149-'Statistics NZ'!AN$149,$I$14/5*(AO$9-AO$10)*1000)</f>
        <v>40210.239236296256</v>
      </c>
      <c r="AP149" s="111">
        <f>SUM(AO$149,'Statistics NZ'!AP$149-'Statistics NZ'!AO$149,$I$14/5*(AP$9-AP$10)*1000)</f>
        <v>42190.239236296256</v>
      </c>
      <c r="AQ149" s="111">
        <f>SUM(AP$149,'Statistics NZ'!AQ$149-'Statistics NZ'!AP$149,$I$14/5*(AQ$9-AQ$10)*1000)</f>
        <v>43260.239236296256</v>
      </c>
      <c r="AR149" s="111">
        <f>SUM(AQ$149,'Statistics NZ'!AR$149-'Statistics NZ'!AQ$149,$I$14/5*(AR$9-AR$10)*1000)</f>
        <v>43830.239236296256</v>
      </c>
      <c r="AS149" s="111">
        <f>SUM(AR$149,'Statistics NZ'!AS$149-'Statistics NZ'!AR$149,$I$14/5*(AS$9-AS$10)*1000)</f>
        <v>44320.239236296256</v>
      </c>
      <c r="AT149" s="111">
        <f>SUM(AS$149,'Statistics NZ'!AT$149-'Statistics NZ'!AS$149,$I$14/5*(AT$9-AT$10)*1000)</f>
        <v>44040.239236296256</v>
      </c>
      <c r="AU149" s="111">
        <f>SUM(AT$149,'Statistics NZ'!AU$149-'Statistics NZ'!AT$149,$I$14/5*(AU$9-AU$10)*1000)</f>
        <v>43890.239236296256</v>
      </c>
      <c r="AV149" s="111">
        <f>SUM(AU$149,'Statistics NZ'!AV$149-'Statistics NZ'!AU$149,$I$14/5*(AV$9-AV$10)*1000)</f>
        <v>43610.239236296256</v>
      </c>
      <c r="AW149" s="111">
        <f>SUM(AV$149,'Statistics NZ'!AW$149-'Statistics NZ'!AV$149,$I$14/5*(AW$9-AW$10)*1000)</f>
        <v>43260.239236296256</v>
      </c>
      <c r="AX149" s="111">
        <f>SUM(AW$149,'Statistics NZ'!AX$149-'Statistics NZ'!AW$149,$I$14/5*(AX$9-AX$10)*1000)</f>
        <v>43190.239236296256</v>
      </c>
      <c r="AY149" s="111">
        <f>SUM(AX$149,'Statistics NZ'!AY$149-'Statistics NZ'!AX$149,$I$14/5*(AY$9-AY$10)*1000)</f>
        <v>42900.239236296256</v>
      </c>
      <c r="AZ149" s="111">
        <f>SUM(AY$149,'Statistics NZ'!AZ$149-'Statistics NZ'!AY$149,$I$14/5*(AZ$9-AZ$10)*1000)</f>
        <v>42670.239236296256</v>
      </c>
      <c r="BA149" s="111">
        <f>SUM(AZ$149,'Statistics NZ'!BA$149-'Statistics NZ'!AZ$149,$I$14/5*(BA$9-BA$10)*1000)</f>
        <v>41980.239236296256</v>
      </c>
      <c r="BB149" s="111">
        <f>SUM(BA$149,'Statistics NZ'!BB$149-'Statistics NZ'!BA$149,$I$14/5*(BB$9-BB$10)*1000)</f>
        <v>41960.239236296256</v>
      </c>
      <c r="BC149" s="111">
        <f>SUM(BB$149,'Statistics NZ'!BC$149-'Statistics NZ'!BB$149,$I$14/5*(BC$9-BC$10)*1000)</f>
        <v>41330.239236296256</v>
      </c>
      <c r="BD149" s="111">
        <f>SUM(BC$149,'Statistics NZ'!BD$149-'Statistics NZ'!BC$149,$I$14/5*(BD$9-BD$10)*1000)</f>
        <v>41160.239236296256</v>
      </c>
      <c r="BE149" s="111">
        <f>SUM(BD$149,'Statistics NZ'!BE$149-'Statistics NZ'!BD$149,$I$14/5*(BE$9-BE$10)*1000)</f>
        <v>41130.239236296256</v>
      </c>
      <c r="BF149" s="111">
        <f>SUM(BE$149,'Statistics NZ'!BF$149-'Statistics NZ'!BE$149,$I$14/5*(BF$9-BF$10)*1000)</f>
        <v>41070.239236296256</v>
      </c>
      <c r="BG149" s="111">
        <f>SUM(BF$149,'Statistics NZ'!BG$149-'Statistics NZ'!BF$149,$I$14/5*(BG$9-BG$10)*1000)</f>
        <v>40990.239236296256</v>
      </c>
      <c r="BH149" s="111">
        <f>SUM(BG$149,'Statistics NZ'!BH$149-'Statistics NZ'!BG$149,$I$14/5*(BH$9-BH$10)*1000)</f>
        <v>41110.239236296256</v>
      </c>
      <c r="BI149" s="111">
        <f>SUM(BH$149,'Statistics NZ'!BI$149-'Statistics NZ'!BH$149,$I$14/5*(BI$9-BI$10)*1000)</f>
        <v>41200.239236296256</v>
      </c>
      <c r="BJ149" s="111">
        <f>SUM(BI$149,'Statistics NZ'!BJ$149-'Statistics NZ'!BI$149,$I$14/5*(BJ$9-BJ$10)*1000)</f>
        <v>41270.239236296256</v>
      </c>
      <c r="BK149" s="111">
        <f>SUM(BJ$149,'Statistics NZ'!BK$149-'Statistics NZ'!BJ$149,$I$14/5*(BK$9-BK$10)*1000)</f>
        <v>41310.239236296256</v>
      </c>
      <c r="BL149" s="111">
        <f>SUM(BK$149,'Statistics NZ'!BL$149-'Statistics NZ'!BK$149,$I$14/5*(BL$9-BL$10)*1000)</f>
        <v>41340.239236296256</v>
      </c>
      <c r="BM149" s="195">
        <f>SUM(BL$149,'Statistics NZ'!BM$149-'Statistics NZ'!BL$149,$I$14/5*(BM$9-BM$10)*1000)</f>
        <v>41370.239236296256</v>
      </c>
      <c r="BN149" s="195">
        <f>SUM(BM$149,'Statistics NZ'!BN$149-'Statistics NZ'!BM$149,$I$14/5*(BN$9-BN$10)*1000)</f>
        <v>41400.239236296256</v>
      </c>
      <c r="BO149" s="195">
        <f>SUM(BN$149,'Statistics NZ'!BO$149-'Statistics NZ'!BN$149,$I$14/5*(BO$9-BO$10)*1000)</f>
        <v>41440.239236296256</v>
      </c>
      <c r="BP149" s="195">
        <f>SUM(BO$149,'Statistics NZ'!BP$149-'Statistics NZ'!BO$149,$I$14/5*(BP$9-BP$10)*1000)</f>
        <v>41500.239236296256</v>
      </c>
      <c r="BQ149" s="195">
        <f>SUM(BP$149,'Statistics NZ'!BQ$149-'Statistics NZ'!BP$149,$I$14/5*(BQ$9-BQ$10)*1000)</f>
        <v>41570.239236296256</v>
      </c>
    </row>
    <row r="150" spans="1:69">
      <c r="A150" s="105">
        <f>$A$57</f>
        <v>40</v>
      </c>
      <c r="B150" s="118">
        <f>'Statistics NZ'!B$150*'Economic Forecasts'!D$9*1000000/SUM('Statistics NZ'!B$32:B$107,'Statistics NZ'!B$125:B$200)</f>
        <v>29473.966605183959</v>
      </c>
      <c r="C150" s="118">
        <f>'Statistics NZ'!C$150*'Economic Forecasts'!E$9*1000000/SUM('Statistics NZ'!C$32:C$107,'Statistics NZ'!C$125:C$200)</f>
        <v>29328.731515711646</v>
      </c>
      <c r="D150" s="118">
        <f>'Statistics NZ'!D$150*'Economic Forecasts'!F$9*1000000/SUM('Statistics NZ'!D$32:D$107,'Statistics NZ'!D$125:D$200)</f>
        <v>29519.032084512401</v>
      </c>
      <c r="E150" s="118">
        <f>'Statistics NZ'!E$150*'Economic Forecasts'!G$9*1000000/SUM('Statistics NZ'!E$32:E$107,'Statistics NZ'!E$125:E$200)</f>
        <v>29900.060856757304</v>
      </c>
      <c r="F150" s="118">
        <f>'Statistics NZ'!F$150*'Economic Forecasts'!H$9*1000000/SUM('Statistics NZ'!F$32:F$107,'Statistics NZ'!F$125:F$200)</f>
        <v>29604.12037077382</v>
      </c>
      <c r="G150" s="118">
        <f>'Statistics NZ'!G$150*'Economic Forecasts'!I$9*1000000/SUM('Statistics NZ'!G$32:G$107,'Statistics NZ'!G$125:G$200)</f>
        <v>30159.653351606274</v>
      </c>
      <c r="H150" s="118">
        <f>'Statistics NZ'!H$150*'Economic Forecasts'!J$9*1000000/SUM('Statistics NZ'!H$32:H$107,'Statistics NZ'!H$125:H$200)</f>
        <v>29755.835708384671</v>
      </c>
      <c r="I150" s="118">
        <f>'Statistics NZ'!I$150*'Economic Forecasts'!K$9*1000000/SUM('Statistics NZ'!I$32:I$107,'Statistics NZ'!I$125:I$200)</f>
        <v>28538.814878966183</v>
      </c>
      <c r="J150" s="203">
        <f>'Statistics NZ'!J$150*'Economic Forecasts'!L$9*1000000/SUM('Statistics NZ'!J$32:J$107,'Statistics NZ'!J$125:J$200)</f>
        <v>28060.181275419891</v>
      </c>
      <c r="K150" s="203">
        <f>'Statistics NZ'!K$150*'Economic Forecasts'!M$9*1000000/SUM('Statistics NZ'!K$32:K$107,'Statistics NZ'!K$125:K$200)</f>
        <v>27392.972549954102</v>
      </c>
      <c r="L150" s="203">
        <f>'Statistics NZ'!L$150*'Economic Forecasts'!N$9*1000000/SUM('Statistics NZ'!L$32:L$107,'Statistics NZ'!L$125:L$200)</f>
        <v>27310.793243599892</v>
      </c>
      <c r="M150" s="203">
        <f>'Statistics NZ'!M$150*'Economic Forecasts'!O$9*1000000/SUM('Statistics NZ'!M$32:M$107,'Statistics NZ'!M$125:M$200)</f>
        <v>27915.969580179652</v>
      </c>
      <c r="N150" s="203">
        <f>'Statistics NZ'!N$150*'Economic Forecasts'!P$9*1000000/SUM('Statistics NZ'!N$32:N$107,'Statistics NZ'!N$125:N$200)</f>
        <v>28292.96541329044</v>
      </c>
      <c r="O150" s="203">
        <f>'Statistics NZ'!O$150*'Economic Forecasts'!Q$9*1000000/SUM('Statistics NZ'!O$32:O$107,'Statistics NZ'!O$125:O$200)</f>
        <v>29773.155574003973</v>
      </c>
      <c r="P150" s="203">
        <f>'Statistics NZ'!P$150*'Economic Forecasts'!R$9*1000000/SUM('Statistics NZ'!P$32:P$107,'Statistics NZ'!P$125:P$200)</f>
        <v>31199.271061782842</v>
      </c>
      <c r="Q150" s="121">
        <f>SUM('Statistics NZ'!Q$150,$J$14/5*(Q$9-Q$10)*1000)*'Economic Forecasts'!S$9*1000000/SUM('Statistics NZ'!Q$32:Q$107,'Statistics NZ'!Q$125:Q$200,SUM($E$13:$Q$14)*(Q$9-Q$10)*1000)</f>
        <v>31819.395639786231</v>
      </c>
      <c r="R150" s="205">
        <f>SUM('Statistics NZ'!R$150,$J$14/5*(R$9-R$10)*1000)*'Economic Forecasts'!T$9*1000000/SUM('Statistics NZ'!R$32:R$107,'Statistics NZ'!R$125:R$200,SUM($E$13:$Q$14)*(R$9-R$10)*1000)</f>
        <v>32601.50558965257</v>
      </c>
      <c r="S150" s="205">
        <f>SUM('Statistics NZ'!S$150,$J$14/5*(S$9-S$10)*1000)*'Economic Forecasts'!U$9*1000000/SUM('Statistics NZ'!S$32:S$107,'Statistics NZ'!S$125:S$200,SUM($E$13:$Q$14)*(S$9-S$10)*1000)</f>
        <v>33577.666735314335</v>
      </c>
      <c r="T150" s="205">
        <f>SUM('Statistics NZ'!T$150,$J$14/5*(T$9-T$10)*1000)*'Economic Forecasts'!V$9*1000000/SUM('Statistics NZ'!T$32:T$107,'Statistics NZ'!T$125:T$200,SUM($E$13:$Q$14)*(T$9-T$10)*1000)</f>
        <v>34161.825913335088</v>
      </c>
      <c r="U150" s="205">
        <f>SUM('Statistics NZ'!U$150,$J$14/5*(U$9-U$10)*1000)*'Economic Forecasts'!W$9*1000000/SUM('Statistics NZ'!U$32:U$107,'Statistics NZ'!U$125:U$200,SUM($E$13:$Q$14)*(U$9-U$10)*1000)</f>
        <v>34644.847067984832</v>
      </c>
      <c r="V150" s="111">
        <f>SUM(U$150,'Statistics NZ'!V$150-'Statistics NZ'!U$150,$J$14/5*(V$9-V$10)*1000)</f>
        <v>35731.649959440976</v>
      </c>
      <c r="W150" s="111">
        <f>SUM(V$150,'Statistics NZ'!W$150-'Statistics NZ'!V$150,$J$14/5*(W$9-W$10)*1000)</f>
        <v>37632.602489465098</v>
      </c>
      <c r="X150" s="111">
        <f>SUM(W$150,'Statistics NZ'!X$150-'Statistics NZ'!W$150,$J$14/5*(X$9-X$10)*1000)</f>
        <v>39067.704658057206</v>
      </c>
      <c r="Y150" s="111">
        <f>SUM(X$150,'Statistics NZ'!Y$150-'Statistics NZ'!X$150,$J$14/5*(Y$9-Y$10)*1000)</f>
        <v>40156.956465217292</v>
      </c>
      <c r="Z150" s="111">
        <f>SUM(Y$150,'Statistics NZ'!Z$150-'Statistics NZ'!Y$150,$J$14/5*(Z$9-Z$10)*1000)</f>
        <v>42140.357910945364</v>
      </c>
      <c r="AA150" s="111">
        <f>SUM(Z$150,'Statistics NZ'!AA$150-'Statistics NZ'!Z$150,$J$14/5*(AA$9-AA$10)*1000)</f>
        <v>42997.908995241414</v>
      </c>
      <c r="AB150" s="111">
        <f>SUM(AA$150,'Statistics NZ'!AB$150-'Statistics NZ'!AA$150,$J$14/5*(AB$9-AB$10)*1000)</f>
        <v>43169.60971810545</v>
      </c>
      <c r="AC150" s="111">
        <f>SUM(AB$150,'Statistics NZ'!AC$150-'Statistics NZ'!AB$150,$J$14/5*(AC$9-AC$10)*1000)</f>
        <v>42785.460079537464</v>
      </c>
      <c r="AD150" s="111">
        <f>SUM(AC$150,'Statistics NZ'!AD$150-'Statistics NZ'!AC$150,$J$14/5*(AD$9-AD$10)*1000)</f>
        <v>41525.460079537464</v>
      </c>
      <c r="AE150" s="111">
        <f>SUM(AD$150,'Statistics NZ'!AE$150-'Statistics NZ'!AD$150,$J$14/5*(AE$9-AE$10)*1000)</f>
        <v>41455.460079537464</v>
      </c>
      <c r="AF150" s="111">
        <f>SUM(AE$150,'Statistics NZ'!AF$150-'Statistics NZ'!AE$150,$J$14/5*(AF$9-AF$10)*1000)</f>
        <v>41245.460079537464</v>
      </c>
      <c r="AG150" s="111">
        <f>SUM(AF$150,'Statistics NZ'!AG$150-'Statistics NZ'!AF$150,$J$14/5*(AG$9-AG$10)*1000)</f>
        <v>39935.460079537464</v>
      </c>
      <c r="AH150" s="111">
        <f>SUM(AG$150,'Statistics NZ'!AH$150-'Statistics NZ'!AG$150,$J$14/5*(AH$9-AH$10)*1000)</f>
        <v>39815.460079537464</v>
      </c>
      <c r="AI150" s="111">
        <f>SUM(AH$150,'Statistics NZ'!AI$150-'Statistics NZ'!AH$150,$J$14/5*(AI$9-AI$10)*1000)</f>
        <v>38905.460079537464</v>
      </c>
      <c r="AJ150" s="111">
        <f>SUM(AI$150,'Statistics NZ'!AJ$150-'Statistics NZ'!AI$150,$J$14/5*(AJ$9-AJ$10)*1000)</f>
        <v>39635.460079537464</v>
      </c>
      <c r="AK150" s="111">
        <f>SUM(AJ$150,'Statistics NZ'!AK$150-'Statistics NZ'!AJ$150,$J$14/5*(AK$9-AK$10)*1000)</f>
        <v>39185.460079537464</v>
      </c>
      <c r="AL150" s="111">
        <f>SUM(AK$150,'Statistics NZ'!AL$150-'Statistics NZ'!AK$150,$J$14/5*(AL$9-AL$10)*1000)</f>
        <v>37865.460079537464</v>
      </c>
      <c r="AM150" s="111">
        <f>SUM(AL$150,'Statistics NZ'!AM$150-'Statistics NZ'!AL$150,$J$14/5*(AM$9-AM$10)*1000)</f>
        <v>38415.460079537464</v>
      </c>
      <c r="AN150" s="111">
        <f>SUM(AM$150,'Statistics NZ'!AN$150-'Statistics NZ'!AM$150,$J$14/5*(AN$9-AN$10)*1000)</f>
        <v>38675.460079537464</v>
      </c>
      <c r="AO150" s="111">
        <f>SUM(AN$150,'Statistics NZ'!AO$150-'Statistics NZ'!AN$150,$J$14/5*(AO$9-AO$10)*1000)</f>
        <v>39085.460079537464</v>
      </c>
      <c r="AP150" s="111">
        <f>SUM(AO$150,'Statistics NZ'!AP$150-'Statistics NZ'!AO$150,$J$14/5*(AP$9-AP$10)*1000)</f>
        <v>40105.460079537464</v>
      </c>
      <c r="AQ150" s="111">
        <f>SUM(AP$150,'Statistics NZ'!AQ$150-'Statistics NZ'!AP$150,$J$14/5*(AQ$9-AQ$10)*1000)</f>
        <v>42085.460079537464</v>
      </c>
      <c r="AR150" s="111">
        <f>SUM(AQ$150,'Statistics NZ'!AR$150-'Statistics NZ'!AQ$150,$J$14/5*(AR$9-AR$10)*1000)</f>
        <v>43155.460079537464</v>
      </c>
      <c r="AS150" s="111">
        <f>SUM(AR$150,'Statistics NZ'!AS$150-'Statistics NZ'!AR$150,$J$14/5*(AS$9-AS$10)*1000)</f>
        <v>43725.460079537464</v>
      </c>
      <c r="AT150" s="111">
        <f>SUM(AS$150,'Statistics NZ'!AT$150-'Statistics NZ'!AS$150,$J$14/5*(AT$9-AT$10)*1000)</f>
        <v>44215.460079537464</v>
      </c>
      <c r="AU150" s="111">
        <f>SUM(AT$150,'Statistics NZ'!AU$150-'Statistics NZ'!AT$150,$J$14/5*(AU$9-AU$10)*1000)</f>
        <v>43935.460079537464</v>
      </c>
      <c r="AV150" s="111">
        <f>SUM(AU$150,'Statistics NZ'!AV$150-'Statistics NZ'!AU$150,$J$14/5*(AV$9-AV$10)*1000)</f>
        <v>43785.460079537464</v>
      </c>
      <c r="AW150" s="111">
        <f>SUM(AV$150,'Statistics NZ'!AW$150-'Statistics NZ'!AV$150,$J$14/5*(AW$9-AW$10)*1000)</f>
        <v>43505.460079537464</v>
      </c>
      <c r="AX150" s="111">
        <f>SUM(AW$150,'Statistics NZ'!AX$150-'Statistics NZ'!AW$150,$J$14/5*(AX$9-AX$10)*1000)</f>
        <v>43155.460079537464</v>
      </c>
      <c r="AY150" s="111">
        <f>SUM(AX$150,'Statistics NZ'!AY$150-'Statistics NZ'!AX$150,$J$14/5*(AY$9-AY$10)*1000)</f>
        <v>43095.460079537464</v>
      </c>
      <c r="AZ150" s="111">
        <f>SUM(AY$150,'Statistics NZ'!AZ$150-'Statistics NZ'!AY$150,$J$14/5*(AZ$9-AZ$10)*1000)</f>
        <v>42795.460079537464</v>
      </c>
      <c r="BA150" s="111">
        <f>SUM(AZ$150,'Statistics NZ'!BA$150-'Statistics NZ'!AZ$150,$J$14/5*(BA$9-BA$10)*1000)</f>
        <v>42565.460079537464</v>
      </c>
      <c r="BB150" s="111">
        <f>SUM(BA$150,'Statistics NZ'!BB$150-'Statistics NZ'!BA$150,$J$14/5*(BB$9-BB$10)*1000)</f>
        <v>41875.460079537464</v>
      </c>
      <c r="BC150" s="111">
        <f>SUM(BB$150,'Statistics NZ'!BC$150-'Statistics NZ'!BB$150,$J$14/5*(BC$9-BC$10)*1000)</f>
        <v>41855.460079537464</v>
      </c>
      <c r="BD150" s="111">
        <f>SUM(BC$150,'Statistics NZ'!BD$150-'Statistics NZ'!BC$150,$J$14/5*(BD$9-BD$10)*1000)</f>
        <v>41235.460079537464</v>
      </c>
      <c r="BE150" s="111">
        <f>SUM(BD$150,'Statistics NZ'!BE$150-'Statistics NZ'!BD$150,$J$14/5*(BE$9-BE$10)*1000)</f>
        <v>41055.460079537464</v>
      </c>
      <c r="BF150" s="111">
        <f>SUM(BE$150,'Statistics NZ'!BF$150-'Statistics NZ'!BE$150,$J$14/5*(BF$9-BF$10)*1000)</f>
        <v>41025.460079537464</v>
      </c>
      <c r="BG150" s="111">
        <f>SUM(BF$150,'Statistics NZ'!BG$150-'Statistics NZ'!BF$150,$J$14/5*(BG$9-BG$10)*1000)</f>
        <v>40975.460079537464</v>
      </c>
      <c r="BH150" s="111">
        <f>SUM(BG$150,'Statistics NZ'!BH$150-'Statistics NZ'!BG$150,$J$14/5*(BH$9-BH$10)*1000)</f>
        <v>40895.460079537464</v>
      </c>
      <c r="BI150" s="111">
        <f>SUM(BH$150,'Statistics NZ'!BI$150-'Statistics NZ'!BH$150,$J$14/5*(BI$9-BI$10)*1000)</f>
        <v>41015.460079537464</v>
      </c>
      <c r="BJ150" s="111">
        <f>SUM(BI$150,'Statistics NZ'!BJ$150-'Statistics NZ'!BI$150,$J$14/5*(BJ$9-BJ$10)*1000)</f>
        <v>41105.460079537464</v>
      </c>
      <c r="BK150" s="111">
        <f>SUM(BJ$150,'Statistics NZ'!BK$150-'Statistics NZ'!BJ$150,$J$14/5*(BK$9-BK$10)*1000)</f>
        <v>41165.460079537464</v>
      </c>
      <c r="BL150" s="111">
        <f>SUM(BK$150,'Statistics NZ'!BL$150-'Statistics NZ'!BK$150,$J$14/5*(BL$9-BL$10)*1000)</f>
        <v>41215.460079537464</v>
      </c>
      <c r="BM150" s="195">
        <f>SUM(BL$150,'Statistics NZ'!BM$150-'Statistics NZ'!BL$150,$J$14/5*(BM$9-BM$10)*1000)</f>
        <v>41245.460079537464</v>
      </c>
      <c r="BN150" s="195">
        <f>SUM(BM$150,'Statistics NZ'!BN$150-'Statistics NZ'!BM$150,$J$14/5*(BN$9-BN$10)*1000)</f>
        <v>41275.460079537464</v>
      </c>
      <c r="BO150" s="195">
        <f>SUM(BN$150,'Statistics NZ'!BO$150-'Statistics NZ'!BN$150,$J$14/5*(BO$9-BO$10)*1000)</f>
        <v>41305.460079537464</v>
      </c>
      <c r="BP150" s="195">
        <f>SUM(BO$150,'Statistics NZ'!BP$150-'Statistics NZ'!BO$150,$J$14/5*(BP$9-BP$10)*1000)</f>
        <v>41345.460079537464</v>
      </c>
      <c r="BQ150" s="195">
        <f>SUM(BP$150,'Statistics NZ'!BQ$150-'Statistics NZ'!BP$150,$J$14/5*(BQ$9-BQ$10)*1000)</f>
        <v>41405.460079537464</v>
      </c>
    </row>
    <row r="151" spans="1:69">
      <c r="A151" s="105">
        <f>$A$58</f>
        <v>41</v>
      </c>
      <c r="B151" s="118">
        <f>'Statistics NZ'!B$151*'Economic Forecasts'!D$9*1000000/SUM('Statistics NZ'!B$32:B$107,'Statistics NZ'!B$125:B$200)</f>
        <v>29927.10913988933</v>
      </c>
      <c r="C151" s="118">
        <f>'Statistics NZ'!C$151*'Economic Forecasts'!E$9*1000000/SUM('Statistics NZ'!C$32:C$107,'Statistics NZ'!C$125:C$200)</f>
        <v>29614.625033007655</v>
      </c>
      <c r="D151" s="118">
        <f>'Statistics NZ'!D$151*'Economic Forecasts'!F$9*1000000/SUM('Statistics NZ'!D$32:D$107,'Statistics NZ'!D$125:D$200)</f>
        <v>29351.478313081112</v>
      </c>
      <c r="E151" s="118">
        <f>'Statistics NZ'!E$151*'Economic Forecasts'!G$9*1000000/SUM('Statistics NZ'!E$32:E$107,'Statistics NZ'!E$125:E$200)</f>
        <v>29555.363185483751</v>
      </c>
      <c r="F151" s="118">
        <f>'Statistics NZ'!F$151*'Economic Forecasts'!H$9*1000000/SUM('Statistics NZ'!F$32:F$107,'Statistics NZ'!F$125:F$200)</f>
        <v>29968.63033873343</v>
      </c>
      <c r="G151" s="118">
        <f>'Statistics NZ'!G$151*'Economic Forecasts'!I$9*1000000/SUM('Statistics NZ'!G$32:G$107,'Statistics NZ'!G$125:G$200)</f>
        <v>29568.480793260511</v>
      </c>
      <c r="H151" s="118">
        <f>'Statistics NZ'!H$151*'Economic Forecasts'!J$9*1000000/SUM('Statistics NZ'!H$32:H$107,'Statistics NZ'!H$125:H$200)</f>
        <v>30120.273285746549</v>
      </c>
      <c r="I151" s="118">
        <f>'Statistics NZ'!I$151*'Economic Forecasts'!K$9*1000000/SUM('Statistics NZ'!I$32:I$107,'Statistics NZ'!I$125:I$200)</f>
        <v>29788.618151251943</v>
      </c>
      <c r="J151" s="203">
        <f>'Statistics NZ'!J$151*'Economic Forecasts'!L$9*1000000/SUM('Statistics NZ'!J$32:J$107,'Statistics NZ'!J$125:J$200)</f>
        <v>29062.681622212476</v>
      </c>
      <c r="K151" s="203">
        <f>'Statistics NZ'!K$151*'Economic Forecasts'!M$9*1000000/SUM('Statistics NZ'!K$32:K$107,'Statistics NZ'!K$125:K$200)</f>
        <v>28532.708854041142</v>
      </c>
      <c r="L151" s="203">
        <f>'Statistics NZ'!L$151*'Economic Forecasts'!N$9*1000000/SUM('Statistics NZ'!L$32:L$107,'Statistics NZ'!L$125:L$200)</f>
        <v>28069.15281076801</v>
      </c>
      <c r="M151" s="203">
        <f>'Statistics NZ'!M$151*'Economic Forecasts'!O$9*1000000/SUM('Statistics NZ'!M$32:M$107,'Statistics NZ'!M$125:M$200)</f>
        <v>27975.071844640159</v>
      </c>
      <c r="N151" s="203">
        <f>'Statistics NZ'!N$151*'Economic Forecasts'!P$9*1000000/SUM('Statistics NZ'!N$32:N$107,'Statistics NZ'!N$125:N$200)</f>
        <v>28638.362619242715</v>
      </c>
      <c r="O151" s="203">
        <f>'Statistics NZ'!O$151*'Economic Forecasts'!Q$9*1000000/SUM('Statistics NZ'!O$32:O$107,'Statistics NZ'!O$125:O$200)</f>
        <v>28825.783039995229</v>
      </c>
      <c r="P151" s="203">
        <f>'Statistics NZ'!P$151*'Economic Forecasts'!R$9*1000000/SUM('Statistics NZ'!P$32:P$107,'Statistics NZ'!P$125:P$200)</f>
        <v>30557.513903866424</v>
      </c>
      <c r="Q151" s="121">
        <f>SUM('Statistics NZ'!Q$151,$J$14/5*(Q$9-Q$10)*1000)*'Economic Forecasts'!S$9*1000000/SUM('Statistics NZ'!Q$32:Q$107,'Statistics NZ'!Q$125:Q$200,SUM($E$13:$Q$14)*(Q$9-Q$10)*1000)</f>
        <v>31275.64236793913</v>
      </c>
      <c r="R151" s="205">
        <f>SUM('Statistics NZ'!R$151,$J$14/5*(R$9-R$10)*1000)*'Economic Forecasts'!T$9*1000000/SUM('Statistics NZ'!R$32:R$107,'Statistics NZ'!R$125:R$200,SUM($E$13:$Q$14)*(R$9-R$10)*1000)</f>
        <v>31939.198589600161</v>
      </c>
      <c r="S151" s="205">
        <f>SUM('Statistics NZ'!S$151,$J$14/5*(S$9-S$10)*1000)*'Economic Forecasts'!U$9*1000000/SUM('Statistics NZ'!S$32:S$107,'Statistics NZ'!S$125:S$200,SUM($E$13:$Q$14)*(S$9-S$10)*1000)</f>
        <v>32787.27505458313</v>
      </c>
      <c r="T151" s="205">
        <f>SUM('Statistics NZ'!T$151,$J$14/5*(T$9-T$10)*1000)*'Economic Forecasts'!V$9*1000000/SUM('Statistics NZ'!T$32:T$107,'Statistics NZ'!T$125:T$200,SUM($E$13:$Q$14)*(T$9-T$10)*1000)</f>
        <v>33796.292394610529</v>
      </c>
      <c r="U151" s="205">
        <f>SUM('Statistics NZ'!U$151,$J$14/5*(U$9-U$10)*1000)*'Economic Forecasts'!W$9*1000000/SUM('Statistics NZ'!U$32:U$107,'Statistics NZ'!U$125:U$200,SUM($E$13:$Q$14)*(U$9-U$10)*1000)</f>
        <v>34437.11243886513</v>
      </c>
      <c r="V151" s="111">
        <f>SUM(U$151,'Statistics NZ'!V$151-'Statistics NZ'!U$151,$J$14/5*(V$9-V$10)*1000)</f>
        <v>34943.915330321273</v>
      </c>
      <c r="W151" s="111">
        <f>SUM(V$151,'Statistics NZ'!W$151-'Statistics NZ'!V$151,$J$14/5*(W$9-W$10)*1000)</f>
        <v>36014.867860345395</v>
      </c>
      <c r="X151" s="111">
        <f>SUM(W$151,'Statistics NZ'!X$151-'Statistics NZ'!W$151,$J$14/5*(X$9-X$10)*1000)</f>
        <v>37889.970028937503</v>
      </c>
      <c r="Y151" s="111">
        <f>SUM(X$151,'Statistics NZ'!Y$151-'Statistics NZ'!X$151,$J$14/5*(Y$9-Y$10)*1000)</f>
        <v>39309.221836097589</v>
      </c>
      <c r="Z151" s="111">
        <f>SUM(Y$151,'Statistics NZ'!Z$151-'Statistics NZ'!Y$151,$J$14/5*(Z$9-Z$10)*1000)</f>
        <v>40392.623281825661</v>
      </c>
      <c r="AA151" s="111">
        <f>SUM(Z$151,'Statistics NZ'!AA$151-'Statistics NZ'!Z$151,$J$14/5*(AA$9-AA$10)*1000)</f>
        <v>42350.174366121712</v>
      </c>
      <c r="AB151" s="111">
        <f>SUM(AA$151,'Statistics NZ'!AB$151-'Statistics NZ'!AA$151,$J$14/5*(AB$9-AB$10)*1000)</f>
        <v>43191.875088985747</v>
      </c>
      <c r="AC151" s="111">
        <f>SUM(AB$151,'Statistics NZ'!AC$151-'Statistics NZ'!AB$151,$J$14/5*(AC$9-AC$10)*1000)</f>
        <v>43347.725450417762</v>
      </c>
      <c r="AD151" s="111">
        <f>SUM(AC$151,'Statistics NZ'!AD$151-'Statistics NZ'!AC$151,$J$14/5*(AD$9-AD$10)*1000)</f>
        <v>42947.725450417762</v>
      </c>
      <c r="AE151" s="111">
        <f>SUM(AD$151,'Statistics NZ'!AE$151-'Statistics NZ'!AD$151,$J$14/5*(AE$9-AE$10)*1000)</f>
        <v>41697.725450417762</v>
      </c>
      <c r="AF151" s="111">
        <f>SUM(AE$151,'Statistics NZ'!AF$151-'Statistics NZ'!AE$151,$J$14/5*(AF$9-AF$10)*1000)</f>
        <v>41617.725450417762</v>
      </c>
      <c r="AG151" s="111">
        <f>SUM(AF$151,'Statistics NZ'!AG$151-'Statistics NZ'!AF$151,$J$14/5*(AG$9-AG$10)*1000)</f>
        <v>41407.725450417762</v>
      </c>
      <c r="AH151" s="111">
        <f>SUM(AG$151,'Statistics NZ'!AH$151-'Statistics NZ'!AG$151,$J$14/5*(AH$9-AH$10)*1000)</f>
        <v>40107.725450417762</v>
      </c>
      <c r="AI151" s="111">
        <f>SUM(AH$151,'Statistics NZ'!AI$151-'Statistics NZ'!AH$151,$J$14/5*(AI$9-AI$10)*1000)</f>
        <v>39987.725450417762</v>
      </c>
      <c r="AJ151" s="111">
        <f>SUM(AI$151,'Statistics NZ'!AJ$151-'Statistics NZ'!AI$151,$J$14/5*(AJ$9-AJ$10)*1000)</f>
        <v>39077.725450417762</v>
      </c>
      <c r="AK151" s="111">
        <f>SUM(AJ$151,'Statistics NZ'!AK$151-'Statistics NZ'!AJ$151,$J$14/5*(AK$9-AK$10)*1000)</f>
        <v>39807.725450417762</v>
      </c>
      <c r="AL151" s="111">
        <f>SUM(AK$151,'Statistics NZ'!AL$151-'Statistics NZ'!AK$151,$J$14/5*(AL$9-AL$10)*1000)</f>
        <v>39357.725450417762</v>
      </c>
      <c r="AM151" s="111">
        <f>SUM(AL$151,'Statistics NZ'!AM$151-'Statistics NZ'!AL$151,$J$14/5*(AM$9-AM$10)*1000)</f>
        <v>38037.725450417762</v>
      </c>
      <c r="AN151" s="111">
        <f>SUM(AM$151,'Statistics NZ'!AN$151-'Statistics NZ'!AM$151,$J$14/5*(AN$9-AN$10)*1000)</f>
        <v>38587.725450417762</v>
      </c>
      <c r="AO151" s="111">
        <f>SUM(AN$151,'Statistics NZ'!AO$151-'Statistics NZ'!AN$151,$J$14/5*(AO$9-AO$10)*1000)</f>
        <v>38857.725450417762</v>
      </c>
      <c r="AP151" s="111">
        <f>SUM(AO$151,'Statistics NZ'!AP$151-'Statistics NZ'!AO$151,$J$14/5*(AP$9-AP$10)*1000)</f>
        <v>39267.725450417762</v>
      </c>
      <c r="AQ151" s="111">
        <f>SUM(AP$151,'Statistics NZ'!AQ$151-'Statistics NZ'!AP$151,$J$14/5*(AQ$9-AQ$10)*1000)</f>
        <v>40277.725450417762</v>
      </c>
      <c r="AR151" s="111">
        <f>SUM(AQ$151,'Statistics NZ'!AR$151-'Statistics NZ'!AQ$151,$J$14/5*(AR$9-AR$10)*1000)</f>
        <v>42257.725450417762</v>
      </c>
      <c r="AS151" s="111">
        <f>SUM(AR$151,'Statistics NZ'!AS$151-'Statistics NZ'!AR$151,$J$14/5*(AS$9-AS$10)*1000)</f>
        <v>43327.725450417762</v>
      </c>
      <c r="AT151" s="111">
        <f>SUM(AS$151,'Statistics NZ'!AT$151-'Statistics NZ'!AS$151,$J$14/5*(AT$9-AT$10)*1000)</f>
        <v>43907.725450417762</v>
      </c>
      <c r="AU151" s="111">
        <f>SUM(AT$151,'Statistics NZ'!AU$151-'Statistics NZ'!AT$151,$J$14/5*(AU$9-AU$10)*1000)</f>
        <v>44387.725450417762</v>
      </c>
      <c r="AV151" s="111">
        <f>SUM(AU$151,'Statistics NZ'!AV$151-'Statistics NZ'!AU$151,$J$14/5*(AV$9-AV$10)*1000)</f>
        <v>44107.725450417762</v>
      </c>
      <c r="AW151" s="111">
        <f>SUM(AV$151,'Statistics NZ'!AW$151-'Statistics NZ'!AV$151,$J$14/5*(AW$9-AW$10)*1000)</f>
        <v>43957.725450417762</v>
      </c>
      <c r="AX151" s="111">
        <f>SUM(AW$151,'Statistics NZ'!AX$151-'Statistics NZ'!AW$151,$J$14/5*(AX$9-AX$10)*1000)</f>
        <v>43677.725450417762</v>
      </c>
      <c r="AY151" s="111">
        <f>SUM(AX$151,'Statistics NZ'!AY$151-'Statistics NZ'!AX$151,$J$14/5*(AY$9-AY$10)*1000)</f>
        <v>43337.725450417762</v>
      </c>
      <c r="AZ151" s="111">
        <f>SUM(AY$151,'Statistics NZ'!AZ$151-'Statistics NZ'!AY$151,$J$14/5*(AZ$9-AZ$10)*1000)</f>
        <v>43267.725450417762</v>
      </c>
      <c r="BA151" s="111">
        <f>SUM(AZ$151,'Statistics NZ'!BA$151-'Statistics NZ'!AZ$151,$J$14/5*(BA$9-BA$10)*1000)</f>
        <v>42967.725450417762</v>
      </c>
      <c r="BB151" s="111">
        <f>SUM(BA$151,'Statistics NZ'!BB$151-'Statistics NZ'!BA$151,$J$14/5*(BB$9-BB$10)*1000)</f>
        <v>42747.725450417762</v>
      </c>
      <c r="BC151" s="111">
        <f>SUM(BB$151,'Statistics NZ'!BC$151-'Statistics NZ'!BB$151,$J$14/5*(BC$9-BC$10)*1000)</f>
        <v>42057.725450417762</v>
      </c>
      <c r="BD151" s="111">
        <f>SUM(BC$151,'Statistics NZ'!BD$151-'Statistics NZ'!BC$151,$J$14/5*(BD$9-BD$10)*1000)</f>
        <v>42037.725450417762</v>
      </c>
      <c r="BE151" s="111">
        <f>SUM(BD$151,'Statistics NZ'!BE$151-'Statistics NZ'!BD$151,$J$14/5*(BE$9-BE$10)*1000)</f>
        <v>41417.725450417762</v>
      </c>
      <c r="BF151" s="111">
        <f>SUM(BE$151,'Statistics NZ'!BF$151-'Statistics NZ'!BE$151,$J$14/5*(BF$9-BF$10)*1000)</f>
        <v>41237.725450417762</v>
      </c>
      <c r="BG151" s="111">
        <f>SUM(BF$151,'Statistics NZ'!BG$151-'Statistics NZ'!BF$151,$J$14/5*(BG$9-BG$10)*1000)</f>
        <v>41207.725450417762</v>
      </c>
      <c r="BH151" s="111">
        <f>SUM(BG$151,'Statistics NZ'!BH$151-'Statistics NZ'!BG$151,$J$14/5*(BH$9-BH$10)*1000)</f>
        <v>41157.725450417762</v>
      </c>
      <c r="BI151" s="111">
        <f>SUM(BH$151,'Statistics NZ'!BI$151-'Statistics NZ'!BH$151,$J$14/5*(BI$9-BI$10)*1000)</f>
        <v>41077.725450417762</v>
      </c>
      <c r="BJ151" s="111">
        <f>SUM(BI$151,'Statistics NZ'!BJ$151-'Statistics NZ'!BI$151,$J$14/5*(BJ$9-BJ$10)*1000)</f>
        <v>41197.725450417762</v>
      </c>
      <c r="BK151" s="111">
        <f>SUM(BJ$151,'Statistics NZ'!BK$151-'Statistics NZ'!BJ$151,$J$14/5*(BK$9-BK$10)*1000)</f>
        <v>41287.725450417762</v>
      </c>
      <c r="BL151" s="111">
        <f>SUM(BK$151,'Statistics NZ'!BL$151-'Statistics NZ'!BK$151,$J$14/5*(BL$9-BL$10)*1000)</f>
        <v>41347.725450417762</v>
      </c>
      <c r="BM151" s="195">
        <f>SUM(BL$151,'Statistics NZ'!BM$151-'Statistics NZ'!BL$151,$J$14/5*(BM$9-BM$10)*1000)</f>
        <v>41397.725450417762</v>
      </c>
      <c r="BN151" s="195">
        <f>SUM(BM$151,'Statistics NZ'!BN$151-'Statistics NZ'!BM$151,$J$14/5*(BN$9-BN$10)*1000)</f>
        <v>41427.725450417762</v>
      </c>
      <c r="BO151" s="195">
        <f>SUM(BN$151,'Statistics NZ'!BO$151-'Statistics NZ'!BN$151,$J$14/5*(BO$9-BO$10)*1000)</f>
        <v>41457.725450417762</v>
      </c>
      <c r="BP151" s="195">
        <f>SUM(BO$151,'Statistics NZ'!BP$151-'Statistics NZ'!BO$151,$J$14/5*(BP$9-BP$10)*1000)</f>
        <v>41487.725450417762</v>
      </c>
      <c r="BQ151" s="195">
        <f>SUM(BP$151,'Statistics NZ'!BQ$151-'Statistics NZ'!BP$151,$J$14/5*(BQ$9-BQ$10)*1000)</f>
        <v>41537.725450417762</v>
      </c>
    </row>
    <row r="152" spans="1:69">
      <c r="A152" s="105">
        <f>$A$59</f>
        <v>42</v>
      </c>
      <c r="B152" s="118">
        <f>'Statistics NZ'!B$152*'Economic Forecasts'!D$9*1000000/SUM('Statistics NZ'!B$32:B$107,'Statistics NZ'!B$125:B$200)</f>
        <v>31128.921949325304</v>
      </c>
      <c r="C152" s="118">
        <f>'Statistics NZ'!C$152*'Economic Forecasts'!E$9*1000000/SUM('Statistics NZ'!C$32:C$107,'Statistics NZ'!C$125:C$200)</f>
        <v>30048.394507525747</v>
      </c>
      <c r="D152" s="118">
        <f>'Statistics NZ'!D$152*'Economic Forecasts'!F$9*1000000/SUM('Statistics NZ'!D$32:D$107,'Statistics NZ'!D$125:D$200)</f>
        <v>29607.737022328965</v>
      </c>
      <c r="E152" s="118">
        <f>'Statistics NZ'!E$152*'Economic Forecasts'!G$9*1000000/SUM('Statistics NZ'!E$32:E$107,'Statistics NZ'!E$125:E$200)</f>
        <v>29358.393087613153</v>
      </c>
      <c r="F152" s="118">
        <f>'Statistics NZ'!F$152*'Economic Forecasts'!H$9*1000000/SUM('Statistics NZ'!F$32:F$107,'Statistics NZ'!F$125:F$200)</f>
        <v>29613.971991529485</v>
      </c>
      <c r="G152" s="118">
        <f>'Statistics NZ'!G$152*'Economic Forecasts'!I$9*1000000/SUM('Statistics NZ'!G$32:G$107,'Statistics NZ'!G$125:G$200)</f>
        <v>29952.742956185251</v>
      </c>
      <c r="H152" s="118">
        <f>'Statistics NZ'!H$152*'Economic Forecasts'!J$9*1000000/SUM('Statistics NZ'!H$32:H$107,'Statistics NZ'!H$125:H$200)</f>
        <v>29489.894773553031</v>
      </c>
      <c r="I152" s="118">
        <f>'Statistics NZ'!I$152*'Economic Forecasts'!K$9*1000000/SUM('Statistics NZ'!I$32:I$107,'Statistics NZ'!I$125:I$200)</f>
        <v>30162.575035872873</v>
      </c>
      <c r="J152" s="203">
        <f>'Statistics NZ'!J$152*'Economic Forecasts'!L$9*1000000/SUM('Statistics NZ'!J$32:J$107,'Statistics NZ'!J$125:J$200)</f>
        <v>30192.951621047258</v>
      </c>
      <c r="K152" s="203">
        <f>'Statistics NZ'!K$152*'Economic Forecasts'!M$9*1000000/SUM('Statistics NZ'!K$32:K$107,'Statistics NZ'!K$125:K$200)</f>
        <v>29603.667967364312</v>
      </c>
      <c r="L152" s="203">
        <f>'Statistics NZ'!L$152*'Economic Forecasts'!N$9*1000000/SUM('Statistics NZ'!L$32:L$107,'Statistics NZ'!L$125:L$200)</f>
        <v>29182.070097651096</v>
      </c>
      <c r="M152" s="203">
        <f>'Statistics NZ'!M$152*'Economic Forecasts'!O$9*1000000/SUM('Statistics NZ'!M$32:M$107,'Statistics NZ'!M$125:M$200)</f>
        <v>28713.850150396498</v>
      </c>
      <c r="N152" s="203">
        <f>'Statistics NZ'!N$152*'Economic Forecasts'!P$9*1000000/SUM('Statistics NZ'!N$32:N$107,'Statistics NZ'!N$125:N$200)</f>
        <v>28667.968094038624</v>
      </c>
      <c r="O152" s="203">
        <f>'Statistics NZ'!O$152*'Economic Forecasts'!Q$9*1000000/SUM('Statistics NZ'!O$32:O$107,'Statistics NZ'!O$125:O$200)</f>
        <v>29259.995451415904</v>
      </c>
      <c r="P152" s="203">
        <f>'Statistics NZ'!P$152*'Economic Forecasts'!R$9*1000000/SUM('Statistics NZ'!P$32:P$107,'Statistics NZ'!P$125:P$200)</f>
        <v>29560.322012334756</v>
      </c>
      <c r="Q152" s="121">
        <f>SUM('Statistics NZ'!Q$152,$J$14/5*(Q$9-Q$10)*1000)*'Economic Forecasts'!S$9*1000000/SUM('Statistics NZ'!Q$32:Q$107,'Statistics NZ'!Q$125:Q$200,SUM($E$13:$Q$14)*(Q$9-Q$10)*1000)</f>
        <v>30633.024864847102</v>
      </c>
      <c r="R152" s="205">
        <f>SUM('Statistics NZ'!R$152,$J$14/5*(R$9-R$10)*1000)*'Economic Forecasts'!T$9*1000000/SUM('Statistics NZ'!R$32:R$107,'Statistics NZ'!R$125:R$200,SUM($E$13:$Q$14)*(R$9-R$10)*1000)</f>
        <v>31385.628559705612</v>
      </c>
      <c r="S152" s="205">
        <f>SUM('Statistics NZ'!S$152,$J$14/5*(S$9-S$10)*1000)*'Economic Forecasts'!U$9*1000000/SUM('Statistics NZ'!S$32:S$107,'Statistics NZ'!S$125:S$200,SUM($E$13:$Q$14)*(S$9-S$10)*1000)</f>
        <v>32115.44212596161</v>
      </c>
      <c r="T152" s="205">
        <f>SUM('Statistics NZ'!T$152,$J$14/5*(T$9-T$10)*1000)*'Economic Forecasts'!V$9*1000000/SUM('Statistics NZ'!T$32:T$107,'Statistics NZ'!T$125:T$200,SUM($E$13:$Q$14)*(T$9-T$10)*1000)</f>
        <v>32986.191082842568</v>
      </c>
      <c r="U152" s="205">
        <f>SUM('Statistics NZ'!U$152,$J$14/5*(U$9-U$10)*1000)*'Economic Forecasts'!W$9*1000000/SUM('Statistics NZ'!U$32:U$107,'Statistics NZ'!U$125:U$200,SUM($E$13:$Q$14)*(U$9-U$10)*1000)</f>
        <v>34041.42743101807</v>
      </c>
      <c r="V152" s="111">
        <f>SUM(U$152,'Statistics NZ'!V$152-'Statistics NZ'!U$152,$J$14/5*(V$9-V$10)*1000)</f>
        <v>34698.230322474214</v>
      </c>
      <c r="W152" s="111">
        <f>SUM(V$152,'Statistics NZ'!W$152-'Statistics NZ'!V$152,$J$14/5*(W$9-W$10)*1000)</f>
        <v>35189.182852498336</v>
      </c>
      <c r="X152" s="111">
        <f>SUM(W$152,'Statistics NZ'!X$152-'Statistics NZ'!W$152,$J$14/5*(X$9-X$10)*1000)</f>
        <v>36254.285021090443</v>
      </c>
      <c r="Y152" s="111">
        <f>SUM(X$152,'Statistics NZ'!Y$152-'Statistics NZ'!X$152,$J$14/5*(Y$9-Y$10)*1000)</f>
        <v>38103.53682825053</v>
      </c>
      <c r="Z152" s="111">
        <f>SUM(Y$152,'Statistics NZ'!Z$152-'Statistics NZ'!Y$152,$J$14/5*(Z$9-Z$10)*1000)</f>
        <v>39516.938273978602</v>
      </c>
      <c r="AA152" s="111">
        <f>SUM(Z$152,'Statistics NZ'!AA$152-'Statistics NZ'!Z$152,$J$14/5*(AA$9-AA$10)*1000)</f>
        <v>40574.489358274652</v>
      </c>
      <c r="AB152" s="111">
        <f>SUM(AA$152,'Statistics NZ'!AB$152-'Statistics NZ'!AA$152,$J$14/5*(AB$9-AB$10)*1000)</f>
        <v>42526.190081138688</v>
      </c>
      <c r="AC152" s="111">
        <f>SUM(AB$152,'Statistics NZ'!AC$152-'Statistics NZ'!AB$152,$J$14/5*(AC$9-AC$10)*1000)</f>
        <v>43342.040442570702</v>
      </c>
      <c r="AD152" s="111">
        <f>SUM(AC$152,'Statistics NZ'!AD$152-'Statistics NZ'!AC$152,$J$14/5*(AD$9-AD$10)*1000)</f>
        <v>43482.040442570702</v>
      </c>
      <c r="AE152" s="111">
        <f>SUM(AD$152,'Statistics NZ'!AE$152-'Statistics NZ'!AD$152,$J$14/5*(AE$9-AE$10)*1000)</f>
        <v>43092.040442570702</v>
      </c>
      <c r="AF152" s="111">
        <f>SUM(AE$152,'Statistics NZ'!AF$152-'Statistics NZ'!AE$152,$J$14/5*(AF$9-AF$10)*1000)</f>
        <v>41832.040442570702</v>
      </c>
      <c r="AG152" s="111">
        <f>SUM(AF$152,'Statistics NZ'!AG$152-'Statistics NZ'!AF$152,$J$14/5*(AG$9-AG$10)*1000)</f>
        <v>41762.040442570702</v>
      </c>
      <c r="AH152" s="111">
        <f>SUM(AG$152,'Statistics NZ'!AH$152-'Statistics NZ'!AG$152,$J$14/5*(AH$9-AH$10)*1000)</f>
        <v>41552.040442570702</v>
      </c>
      <c r="AI152" s="111">
        <f>SUM(AH$152,'Statistics NZ'!AI$152-'Statistics NZ'!AH$152,$J$14/5*(AI$9-AI$10)*1000)</f>
        <v>40252.040442570702</v>
      </c>
      <c r="AJ152" s="111">
        <f>SUM(AI$152,'Statistics NZ'!AJ$152-'Statistics NZ'!AI$152,$J$14/5*(AJ$9-AJ$10)*1000)</f>
        <v>40132.040442570702</v>
      </c>
      <c r="AK152" s="111">
        <f>SUM(AJ$152,'Statistics NZ'!AK$152-'Statistics NZ'!AJ$152,$J$14/5*(AK$9-AK$10)*1000)</f>
        <v>39222.040442570702</v>
      </c>
      <c r="AL152" s="111">
        <f>SUM(AK$152,'Statistics NZ'!AL$152-'Statistics NZ'!AK$152,$J$14/5*(AL$9-AL$10)*1000)</f>
        <v>39952.040442570702</v>
      </c>
      <c r="AM152" s="111">
        <f>SUM(AL$152,'Statistics NZ'!AM$152-'Statistics NZ'!AL$152,$J$14/5*(AM$9-AM$10)*1000)</f>
        <v>39502.040442570702</v>
      </c>
      <c r="AN152" s="111">
        <f>SUM(AM$152,'Statistics NZ'!AN$152-'Statistics NZ'!AM$152,$J$14/5*(AN$9-AN$10)*1000)</f>
        <v>38182.040442570702</v>
      </c>
      <c r="AO152" s="111">
        <f>SUM(AN$152,'Statistics NZ'!AO$152-'Statistics NZ'!AN$152,$J$14/5*(AO$9-AO$10)*1000)</f>
        <v>38742.040442570702</v>
      </c>
      <c r="AP152" s="111">
        <f>SUM(AO$152,'Statistics NZ'!AP$152-'Statistics NZ'!AO$152,$J$14/5*(AP$9-AP$10)*1000)</f>
        <v>39002.040442570702</v>
      </c>
      <c r="AQ152" s="111">
        <f>SUM(AP$152,'Statistics NZ'!AQ$152-'Statistics NZ'!AP$152,$J$14/5*(AQ$9-AQ$10)*1000)</f>
        <v>39412.040442570702</v>
      </c>
      <c r="AR152" s="111">
        <f>SUM(AQ$152,'Statistics NZ'!AR$152-'Statistics NZ'!AQ$152,$J$14/5*(AR$9-AR$10)*1000)</f>
        <v>40432.040442570702</v>
      </c>
      <c r="AS152" s="111">
        <f>SUM(AR$152,'Statistics NZ'!AS$152-'Statistics NZ'!AR$152,$J$14/5*(AS$9-AS$10)*1000)</f>
        <v>42402.040442570702</v>
      </c>
      <c r="AT152" s="111">
        <f>SUM(AS$152,'Statistics NZ'!AT$152-'Statistics NZ'!AS$152,$J$14/5*(AT$9-AT$10)*1000)</f>
        <v>43472.040442570702</v>
      </c>
      <c r="AU152" s="111">
        <f>SUM(AT$152,'Statistics NZ'!AU$152-'Statistics NZ'!AT$152,$J$14/5*(AU$9-AU$10)*1000)</f>
        <v>44052.040442570702</v>
      </c>
      <c r="AV152" s="111">
        <f>SUM(AU$152,'Statistics NZ'!AV$152-'Statistics NZ'!AU$152,$J$14/5*(AV$9-AV$10)*1000)</f>
        <v>44532.040442570702</v>
      </c>
      <c r="AW152" s="111">
        <f>SUM(AV$152,'Statistics NZ'!AW$152-'Statistics NZ'!AV$152,$J$14/5*(AW$9-AW$10)*1000)</f>
        <v>44252.040442570702</v>
      </c>
      <c r="AX152" s="111">
        <f>SUM(AW$152,'Statistics NZ'!AX$152-'Statistics NZ'!AW$152,$J$14/5*(AX$9-AX$10)*1000)</f>
        <v>44102.040442570702</v>
      </c>
      <c r="AY152" s="111">
        <f>SUM(AX$152,'Statistics NZ'!AY$152-'Statistics NZ'!AX$152,$J$14/5*(AY$9-AY$10)*1000)</f>
        <v>43822.040442570702</v>
      </c>
      <c r="AZ152" s="111">
        <f>SUM(AY$152,'Statistics NZ'!AZ$152-'Statistics NZ'!AY$152,$J$14/5*(AZ$9-AZ$10)*1000)</f>
        <v>43482.040442570702</v>
      </c>
      <c r="BA152" s="111">
        <f>SUM(AZ$152,'Statistics NZ'!BA$152-'Statistics NZ'!AZ$152,$J$14/5*(BA$9-BA$10)*1000)</f>
        <v>43422.040442570702</v>
      </c>
      <c r="BB152" s="111">
        <f>SUM(BA$152,'Statistics NZ'!BB$152-'Statistics NZ'!BA$152,$J$14/5*(BB$9-BB$10)*1000)</f>
        <v>43122.040442570702</v>
      </c>
      <c r="BC152" s="111">
        <f>SUM(BB$152,'Statistics NZ'!BC$152-'Statistics NZ'!BB$152,$J$14/5*(BC$9-BC$10)*1000)</f>
        <v>42892.040442570702</v>
      </c>
      <c r="BD152" s="111">
        <f>SUM(BC$152,'Statistics NZ'!BD$152-'Statistics NZ'!BC$152,$J$14/5*(BD$9-BD$10)*1000)</f>
        <v>42212.040442570702</v>
      </c>
      <c r="BE152" s="111">
        <f>SUM(BD$152,'Statistics NZ'!BE$152-'Statistics NZ'!BD$152,$J$14/5*(BE$9-BE$10)*1000)</f>
        <v>42192.040442570702</v>
      </c>
      <c r="BF152" s="111">
        <f>SUM(BE$152,'Statistics NZ'!BF$152-'Statistics NZ'!BE$152,$J$14/5*(BF$9-BF$10)*1000)</f>
        <v>41562.040442570702</v>
      </c>
      <c r="BG152" s="111">
        <f>SUM(BF$152,'Statistics NZ'!BG$152-'Statistics NZ'!BF$152,$J$14/5*(BG$9-BG$10)*1000)</f>
        <v>41392.040442570702</v>
      </c>
      <c r="BH152" s="111">
        <f>SUM(BG$152,'Statistics NZ'!BH$152-'Statistics NZ'!BG$152,$J$14/5*(BH$9-BH$10)*1000)</f>
        <v>41362.040442570702</v>
      </c>
      <c r="BI152" s="111">
        <f>SUM(BH$152,'Statistics NZ'!BI$152-'Statistics NZ'!BH$152,$J$14/5*(BI$9-BI$10)*1000)</f>
        <v>41312.040442570702</v>
      </c>
      <c r="BJ152" s="111">
        <f>SUM(BI$152,'Statistics NZ'!BJ$152-'Statistics NZ'!BI$152,$J$14/5*(BJ$9-BJ$10)*1000)</f>
        <v>41232.040442570702</v>
      </c>
      <c r="BK152" s="111">
        <f>SUM(BJ$152,'Statistics NZ'!BK$152-'Statistics NZ'!BJ$152,$J$14/5*(BK$9-BK$10)*1000)</f>
        <v>41352.040442570702</v>
      </c>
      <c r="BL152" s="111">
        <f>SUM(BK$152,'Statistics NZ'!BL$152-'Statistics NZ'!BK$152,$J$14/5*(BL$9-BL$10)*1000)</f>
        <v>41442.040442570702</v>
      </c>
      <c r="BM152" s="195">
        <f>SUM(BL$152,'Statistics NZ'!BM$152-'Statistics NZ'!BL$152,$J$14/5*(BM$9-BM$10)*1000)</f>
        <v>41512.040442570702</v>
      </c>
      <c r="BN152" s="195">
        <f>SUM(BM$152,'Statistics NZ'!BN$152-'Statistics NZ'!BM$152,$J$14/5*(BN$9-BN$10)*1000)</f>
        <v>41552.040442570702</v>
      </c>
      <c r="BO152" s="195">
        <f>SUM(BN$152,'Statistics NZ'!BO$152-'Statistics NZ'!BN$152,$J$14/5*(BO$9-BO$10)*1000)</f>
        <v>41582.040442570702</v>
      </c>
      <c r="BP152" s="195">
        <f>SUM(BO$152,'Statistics NZ'!BP$152-'Statistics NZ'!BO$152,$J$14/5*(BP$9-BP$10)*1000)</f>
        <v>41612.040442570702</v>
      </c>
      <c r="BQ152" s="195">
        <f>SUM(BP$152,'Statistics NZ'!BQ$152-'Statistics NZ'!BP$152,$J$14/5*(BQ$9-BQ$10)*1000)</f>
        <v>41652.040442570702</v>
      </c>
    </row>
    <row r="153" spans="1:69">
      <c r="A153" s="105">
        <f>$A$60</f>
        <v>43</v>
      </c>
      <c r="B153" s="118">
        <f>'Statistics NZ'!B$153*'Economic Forecasts'!D$9*1000000/SUM('Statistics NZ'!B$32:B$107,'Statistics NZ'!B$125:B$200)</f>
        <v>31463.85338802058</v>
      </c>
      <c r="C153" s="118">
        <f>'Statistics NZ'!C$153*'Economic Forecasts'!E$9*1000000/SUM('Statistics NZ'!C$32:C$107,'Statistics NZ'!C$125:C$200)</f>
        <v>31182.11017956166</v>
      </c>
      <c r="D153" s="118">
        <f>'Statistics NZ'!D$153*'Economic Forecasts'!F$9*1000000/SUM('Statistics NZ'!D$32:D$107,'Statistics NZ'!D$125:D$200)</f>
        <v>30031.549503008107</v>
      </c>
      <c r="E153" s="118">
        <f>'Statistics NZ'!E$153*'Economic Forecasts'!G$9*1000000/SUM('Statistics NZ'!E$32:E$107,'Statistics NZ'!E$125:E$200)</f>
        <v>29584.908700164342</v>
      </c>
      <c r="F153" s="118">
        <f>'Statistics NZ'!F$153*'Economic Forecasts'!H$9*1000000/SUM('Statistics NZ'!F$32:F$107,'Statistics NZ'!F$125:F$200)</f>
        <v>29318.42336885953</v>
      </c>
      <c r="G153" s="118">
        <f>'Statistics NZ'!G$153*'Economic Forecasts'!I$9*1000000/SUM('Statistics NZ'!G$32:G$107,'Statistics NZ'!G$125:G$200)</f>
        <v>29568.480793260511</v>
      </c>
      <c r="H153" s="118">
        <f>'Statistics NZ'!H$153*'Economic Forecasts'!J$9*1000000/SUM('Statistics NZ'!H$32:H$107,'Statistics NZ'!H$125:H$200)</f>
        <v>29844.482686661886</v>
      </c>
      <c r="I153" s="118">
        <f>'Statistics NZ'!I$153*'Economic Forecasts'!K$9*1000000/SUM('Statistics NZ'!I$32:I$107,'Statistics NZ'!I$125:I$200)</f>
        <v>29513.070973110196</v>
      </c>
      <c r="J153" s="203">
        <f>'Statistics NZ'!J$153*'Economic Forecasts'!L$9*1000000/SUM('Statistics NZ'!J$32:J$107,'Statistics NZ'!J$125:J$200)</f>
        <v>30556.603707628881</v>
      </c>
      <c r="K153" s="203">
        <f>'Statistics NZ'!K$153*'Economic Forecasts'!M$9*1000000/SUM('Statistics NZ'!K$32:K$107,'Statistics NZ'!K$125:K$200)</f>
        <v>30743.404271451356</v>
      </c>
      <c r="L153" s="203">
        <f>'Statistics NZ'!L$153*'Economic Forecasts'!N$9*1000000/SUM('Statistics NZ'!L$32:L$107,'Statistics NZ'!L$125:L$200)</f>
        <v>30344.231512272363</v>
      </c>
      <c r="M153" s="203">
        <f>'Statistics NZ'!M$153*'Economic Forecasts'!O$9*1000000/SUM('Statistics NZ'!M$32:M$107,'Statistics NZ'!M$125:M$200)</f>
        <v>29787.541288095716</v>
      </c>
      <c r="N153" s="203">
        <f>'Statistics NZ'!N$153*'Economic Forecasts'!P$9*1000000/SUM('Statistics NZ'!N$32:N$107,'Statistics NZ'!N$125:N$200)</f>
        <v>29378.499489140442</v>
      </c>
      <c r="O153" s="203">
        <f>'Statistics NZ'!O$153*'Economic Forecasts'!Q$9*1000000/SUM('Statistics NZ'!O$32:O$107,'Statistics NZ'!O$125:O$200)</f>
        <v>29181.047740248508</v>
      </c>
      <c r="P153" s="203">
        <f>'Statistics NZ'!P$153*'Economic Forecasts'!R$9*1000000/SUM('Statistics NZ'!P$32:P$107,'Statistics NZ'!P$125:P$200)</f>
        <v>29935.503120039739</v>
      </c>
      <c r="Q153" s="121">
        <f>SUM('Statistics NZ'!Q$153,$J$14/5*(Q$9-Q$10)*1000)*'Economic Forecasts'!S$9*1000000/SUM('Statistics NZ'!Q$32:Q$107,'Statistics NZ'!Q$125:Q$200,SUM($E$13:$Q$14)*(Q$9-Q$10)*1000)</f>
        <v>29624.609706148844</v>
      </c>
      <c r="R153" s="205">
        <f>SUM('Statistics NZ'!R$153,$J$14/5*(R$9-R$10)*1000)*'Economic Forecasts'!T$9*1000000/SUM('Statistics NZ'!R$32:R$107,'Statistics NZ'!R$125:R$200,SUM($E$13:$Q$14)*(R$9-R$10)*1000)</f>
        <v>30733.206738758465</v>
      </c>
      <c r="S153" s="205">
        <f>SUM('Statistics NZ'!S$153,$J$14/5*(S$9-S$10)*1000)*'Economic Forecasts'!U$9*1000000/SUM('Statistics NZ'!S$32:S$107,'Statistics NZ'!S$125:S$200,SUM($E$13:$Q$14)*(S$9-S$10)*1000)</f>
        <v>31542.408157431484</v>
      </c>
      <c r="T153" s="205">
        <f>SUM('Statistics NZ'!T$153,$J$14/5*(T$9-T$10)*1000)*'Economic Forecasts'!V$9*1000000/SUM('Statistics NZ'!T$32:T$107,'Statistics NZ'!T$125:T$200,SUM($E$13:$Q$14)*(T$9-T$10)*1000)</f>
        <v>32284.761898263005</v>
      </c>
      <c r="U153" s="205">
        <f>SUM('Statistics NZ'!U$153,$J$14/5*(U$9-U$10)*1000)*'Economic Forecasts'!W$9*1000000/SUM('Statistics NZ'!U$32:U$107,'Statistics NZ'!U$125:U$200,SUM($E$13:$Q$14)*(U$9-U$10)*1000)</f>
        <v>33190.704664146884</v>
      </c>
      <c r="V153" s="111">
        <f>SUM(U$153,'Statistics NZ'!V$153-'Statistics NZ'!U$153,$J$14/5*(V$9-V$10)*1000)</f>
        <v>34287.507555603028</v>
      </c>
      <c r="W153" s="111">
        <f>SUM(V$153,'Statistics NZ'!W$153-'Statistics NZ'!V$153,$J$14/5*(W$9-W$10)*1000)</f>
        <v>34928.46008562715</v>
      </c>
      <c r="X153" s="111">
        <f>SUM(W$153,'Statistics NZ'!X$153-'Statistics NZ'!W$153,$J$14/5*(X$9-X$10)*1000)</f>
        <v>35403.562254219258</v>
      </c>
      <c r="Y153" s="111">
        <f>SUM(X$153,'Statistics NZ'!Y$153-'Statistics NZ'!X$153,$J$14/5*(Y$9-Y$10)*1000)</f>
        <v>36442.814061379344</v>
      </c>
      <c r="Z153" s="111">
        <f>SUM(Y$153,'Statistics NZ'!Z$153-'Statistics NZ'!Y$153,$J$14/5*(Z$9-Z$10)*1000)</f>
        <v>38286.215507107416</v>
      </c>
      <c r="AA153" s="111">
        <f>SUM(Z$153,'Statistics NZ'!AA$153-'Statistics NZ'!Z$153,$J$14/5*(AA$9-AA$10)*1000)</f>
        <v>39673.766591403466</v>
      </c>
      <c r="AB153" s="111">
        <f>SUM(AA$153,'Statistics NZ'!AB$153-'Statistics NZ'!AA$153,$J$14/5*(AB$9-AB$10)*1000)</f>
        <v>40715.467314267502</v>
      </c>
      <c r="AC153" s="111">
        <f>SUM(AB$153,'Statistics NZ'!AC$153-'Statistics NZ'!AB$153,$J$14/5*(AC$9-AC$10)*1000)</f>
        <v>42651.317675699516</v>
      </c>
      <c r="AD153" s="111">
        <f>SUM(AC$153,'Statistics NZ'!AD$153-'Statistics NZ'!AC$153,$J$14/5*(AD$9-AD$10)*1000)</f>
        <v>43451.317675699516</v>
      </c>
      <c r="AE153" s="111">
        <f>SUM(AD$153,'Statistics NZ'!AE$153-'Statistics NZ'!AD$153,$J$14/5*(AE$9-AE$10)*1000)</f>
        <v>43591.317675699516</v>
      </c>
      <c r="AF153" s="111">
        <f>SUM(AE$153,'Statistics NZ'!AF$153-'Statistics NZ'!AE$153,$J$14/5*(AF$9-AF$10)*1000)</f>
        <v>43201.317675699516</v>
      </c>
      <c r="AG153" s="111">
        <f>SUM(AF$153,'Statistics NZ'!AG$153-'Statistics NZ'!AF$153,$J$14/5*(AG$9-AG$10)*1000)</f>
        <v>41951.317675699516</v>
      </c>
      <c r="AH153" s="111">
        <f>SUM(AG$153,'Statistics NZ'!AH$153-'Statistics NZ'!AG$153,$J$14/5*(AH$9-AH$10)*1000)</f>
        <v>41871.317675699516</v>
      </c>
      <c r="AI153" s="111">
        <f>SUM(AH$153,'Statistics NZ'!AI$153-'Statistics NZ'!AH$153,$J$14/5*(AI$9-AI$10)*1000)</f>
        <v>41671.317675699516</v>
      </c>
      <c r="AJ153" s="111">
        <f>SUM(AI$153,'Statistics NZ'!AJ$153-'Statistics NZ'!AI$153,$J$14/5*(AJ$9-AJ$10)*1000)</f>
        <v>40371.317675699516</v>
      </c>
      <c r="AK153" s="111">
        <f>SUM(AJ$153,'Statistics NZ'!AK$153-'Statistics NZ'!AJ$153,$J$14/5*(AK$9-AK$10)*1000)</f>
        <v>40241.317675699516</v>
      </c>
      <c r="AL153" s="111">
        <f>SUM(AK$153,'Statistics NZ'!AL$153-'Statistics NZ'!AK$153,$J$14/5*(AL$9-AL$10)*1000)</f>
        <v>39341.317675699516</v>
      </c>
      <c r="AM153" s="111">
        <f>SUM(AL$153,'Statistics NZ'!AM$153-'Statistics NZ'!AL$153,$J$14/5*(AM$9-AM$10)*1000)</f>
        <v>40071.317675699516</v>
      </c>
      <c r="AN153" s="111">
        <f>SUM(AM$153,'Statistics NZ'!AN$153-'Statistics NZ'!AM$153,$J$14/5*(AN$9-AN$10)*1000)</f>
        <v>39621.317675699516</v>
      </c>
      <c r="AO153" s="111">
        <f>SUM(AN$153,'Statistics NZ'!AO$153-'Statistics NZ'!AN$153,$J$14/5*(AO$9-AO$10)*1000)</f>
        <v>38311.317675699516</v>
      </c>
      <c r="AP153" s="111">
        <f>SUM(AO$153,'Statistics NZ'!AP$153-'Statistics NZ'!AO$153,$J$14/5*(AP$9-AP$10)*1000)</f>
        <v>38861.317675699516</v>
      </c>
      <c r="AQ153" s="111">
        <f>SUM(AP$153,'Statistics NZ'!AQ$153-'Statistics NZ'!AP$153,$J$14/5*(AQ$9-AQ$10)*1000)</f>
        <v>39121.317675699516</v>
      </c>
      <c r="AR153" s="111">
        <f>SUM(AQ$153,'Statistics NZ'!AR$153-'Statistics NZ'!AQ$153,$J$14/5*(AR$9-AR$10)*1000)</f>
        <v>39531.317675699516</v>
      </c>
      <c r="AS153" s="111">
        <f>SUM(AR$153,'Statistics NZ'!AS$153-'Statistics NZ'!AR$153,$J$14/5*(AS$9-AS$10)*1000)</f>
        <v>40551.317675699516</v>
      </c>
      <c r="AT153" s="111">
        <f>SUM(AS$153,'Statistics NZ'!AT$153-'Statistics NZ'!AS$153,$J$14/5*(AT$9-AT$10)*1000)</f>
        <v>42521.317675699516</v>
      </c>
      <c r="AU153" s="111">
        <f>SUM(AT$153,'Statistics NZ'!AU$153-'Statistics NZ'!AT$153,$J$14/5*(AU$9-AU$10)*1000)</f>
        <v>43591.317675699516</v>
      </c>
      <c r="AV153" s="111">
        <f>SUM(AU$153,'Statistics NZ'!AV$153-'Statistics NZ'!AU$153,$J$14/5*(AV$9-AV$10)*1000)</f>
        <v>44171.317675699516</v>
      </c>
      <c r="AW153" s="111">
        <f>SUM(AV$153,'Statistics NZ'!AW$153-'Statistics NZ'!AV$153,$J$14/5*(AW$9-AW$10)*1000)</f>
        <v>44661.317675699516</v>
      </c>
      <c r="AX153" s="111">
        <f>SUM(AW$153,'Statistics NZ'!AX$153-'Statistics NZ'!AW$153,$J$14/5*(AX$9-AX$10)*1000)</f>
        <v>44381.317675699516</v>
      </c>
      <c r="AY153" s="111">
        <f>SUM(AX$153,'Statistics NZ'!AY$153-'Statistics NZ'!AX$153,$J$14/5*(AY$9-AY$10)*1000)</f>
        <v>44231.317675699516</v>
      </c>
      <c r="AZ153" s="111">
        <f>SUM(AY$153,'Statistics NZ'!AZ$153-'Statistics NZ'!AY$153,$J$14/5*(AZ$9-AZ$10)*1000)</f>
        <v>43951.317675699516</v>
      </c>
      <c r="BA153" s="111">
        <f>SUM(AZ$153,'Statistics NZ'!BA$153-'Statistics NZ'!AZ$153,$J$14/5*(BA$9-BA$10)*1000)</f>
        <v>43611.317675699516</v>
      </c>
      <c r="BB153" s="111">
        <f>SUM(BA$153,'Statistics NZ'!BB$153-'Statistics NZ'!BA$153,$J$14/5*(BB$9-BB$10)*1000)</f>
        <v>43541.317675699516</v>
      </c>
      <c r="BC153" s="111">
        <f>SUM(BB$153,'Statistics NZ'!BC$153-'Statistics NZ'!BB$153,$J$14/5*(BC$9-BC$10)*1000)</f>
        <v>43251.317675699516</v>
      </c>
      <c r="BD153" s="111">
        <f>SUM(BC$153,'Statistics NZ'!BD$153-'Statistics NZ'!BC$153,$J$14/5*(BD$9-BD$10)*1000)</f>
        <v>43021.317675699516</v>
      </c>
      <c r="BE153" s="111">
        <f>SUM(BD$153,'Statistics NZ'!BE$153-'Statistics NZ'!BD$153,$J$14/5*(BE$9-BE$10)*1000)</f>
        <v>42341.317675699516</v>
      </c>
      <c r="BF153" s="111">
        <f>SUM(BE$153,'Statistics NZ'!BF$153-'Statistics NZ'!BE$153,$J$14/5*(BF$9-BF$10)*1000)</f>
        <v>42321.317675699516</v>
      </c>
      <c r="BG153" s="111">
        <f>SUM(BF$153,'Statistics NZ'!BG$153-'Statistics NZ'!BF$153,$J$14/5*(BG$9-BG$10)*1000)</f>
        <v>41691.317675699516</v>
      </c>
      <c r="BH153" s="111">
        <f>SUM(BG$153,'Statistics NZ'!BH$153-'Statistics NZ'!BG$153,$J$14/5*(BH$9-BH$10)*1000)</f>
        <v>41521.317675699516</v>
      </c>
      <c r="BI153" s="111">
        <f>SUM(BH$153,'Statistics NZ'!BI$153-'Statistics NZ'!BH$153,$J$14/5*(BI$9-BI$10)*1000)</f>
        <v>41491.317675699516</v>
      </c>
      <c r="BJ153" s="111">
        <f>SUM(BI$153,'Statistics NZ'!BJ$153-'Statistics NZ'!BI$153,$J$14/5*(BJ$9-BJ$10)*1000)</f>
        <v>41441.317675699516</v>
      </c>
      <c r="BK153" s="111">
        <f>SUM(BJ$153,'Statistics NZ'!BK$153-'Statistics NZ'!BJ$153,$J$14/5*(BK$9-BK$10)*1000)</f>
        <v>41361.317675699516</v>
      </c>
      <c r="BL153" s="111">
        <f>SUM(BK$153,'Statistics NZ'!BL$153-'Statistics NZ'!BK$153,$J$14/5*(BL$9-BL$10)*1000)</f>
        <v>41481.317675699516</v>
      </c>
      <c r="BM153" s="195">
        <f>SUM(BL$153,'Statistics NZ'!BM$153-'Statistics NZ'!BL$153,$J$14/5*(BM$9-BM$10)*1000)</f>
        <v>41571.317675699516</v>
      </c>
      <c r="BN153" s="195">
        <f>SUM(BM$153,'Statistics NZ'!BN$153-'Statistics NZ'!BM$153,$J$14/5*(BN$9-BN$10)*1000)</f>
        <v>41641.317675699516</v>
      </c>
      <c r="BO153" s="195">
        <f>SUM(BN$153,'Statistics NZ'!BO$153-'Statistics NZ'!BN$153,$J$14/5*(BO$9-BO$10)*1000)</f>
        <v>41681.317675699516</v>
      </c>
      <c r="BP153" s="195">
        <f>SUM(BO$153,'Statistics NZ'!BP$153-'Statistics NZ'!BO$153,$J$14/5*(BP$9-BP$10)*1000)</f>
        <v>41721.317675699516</v>
      </c>
      <c r="BQ153" s="195">
        <f>SUM(BP$153,'Statistics NZ'!BQ$153-'Statistics NZ'!BP$153,$J$14/5*(BQ$9-BQ$10)*1000)</f>
        <v>41751.317675699516</v>
      </c>
    </row>
    <row r="154" spans="1:69">
      <c r="A154" s="105">
        <f>$A$61</f>
        <v>44</v>
      </c>
      <c r="B154" s="118">
        <f>'Statistics NZ'!B$154*'Economic Forecasts'!D$9*1000000/SUM('Statistics NZ'!B$32:B$107,'Statistics NZ'!B$125:B$200)</f>
        <v>31631.319107368214</v>
      </c>
      <c r="C154" s="118">
        <f>'Statistics NZ'!C$154*'Economic Forecasts'!E$9*1000000/SUM('Statistics NZ'!C$32:C$107,'Statistics NZ'!C$125:C$200)</f>
        <v>31517.295682598357</v>
      </c>
      <c r="D154" s="118">
        <f>'Statistics NZ'!D$154*'Economic Forecasts'!F$9*1000000/SUM('Statistics NZ'!D$32:D$107,'Statistics NZ'!D$125:D$200)</f>
        <v>31086.152652605047</v>
      </c>
      <c r="E154" s="118">
        <f>'Statistics NZ'!E$154*'Economic Forecasts'!G$9*1000000/SUM('Statistics NZ'!E$32:E$107,'Statistics NZ'!E$125:E$200)</f>
        <v>29959.151886118485</v>
      </c>
      <c r="F154" s="118">
        <f>'Statistics NZ'!F$154*'Economic Forecasts'!H$9*1000000/SUM('Statistics NZ'!F$32:F$107,'Statistics NZ'!F$125:F$200)</f>
        <v>29613.971991529485</v>
      </c>
      <c r="G154" s="118">
        <f>'Statistics NZ'!G$154*'Economic Forecasts'!I$9*1000000/SUM('Statistics NZ'!G$32:G$107,'Statistics NZ'!G$125:G$200)</f>
        <v>29233.483010197913</v>
      </c>
      <c r="H154" s="118">
        <f>'Statistics NZ'!H$154*'Economic Forecasts'!J$9*1000000/SUM('Statistics NZ'!H$32:H$107,'Statistics NZ'!H$125:H$200)</f>
        <v>29470.195445046982</v>
      </c>
      <c r="I154" s="118">
        <f>'Statistics NZ'!I$154*'Economic Forecasts'!K$9*1000000/SUM('Statistics NZ'!I$32:I$107,'Statistics NZ'!I$125:I$200)</f>
        <v>29778.777180604022</v>
      </c>
      <c r="J154" s="203">
        <f>'Statistics NZ'!J$154*'Economic Forecasts'!L$9*1000000/SUM('Statistics NZ'!J$32:J$107,'Statistics NZ'!J$125:J$200)</f>
        <v>29937.412316962873</v>
      </c>
      <c r="K154" s="203">
        <f>'Statistics NZ'!K$154*'Economic Forecasts'!M$9*1000000/SUM('Statistics NZ'!K$32:K$107,'Statistics NZ'!K$125:K$200)</f>
        <v>30998.862408574314</v>
      </c>
      <c r="L154" s="203">
        <f>'Statistics NZ'!L$154*'Economic Forecasts'!N$9*1000000/SUM('Statistics NZ'!L$32:L$107,'Statistics NZ'!L$125:L$200)</f>
        <v>31437.451148060176</v>
      </c>
      <c r="M154" s="203">
        <f>'Statistics NZ'!M$154*'Economic Forecasts'!O$9*1000000/SUM('Statistics NZ'!M$32:M$107,'Statistics NZ'!M$125:M$200)</f>
        <v>30949.885822485696</v>
      </c>
      <c r="N154" s="203">
        <f>'Statistics NZ'!N$154*'Economic Forecasts'!P$9*1000000/SUM('Statistics NZ'!N$32:N$107,'Statistics NZ'!N$125:N$200)</f>
        <v>30385.08563220135</v>
      </c>
      <c r="O154" s="203">
        <f>'Statistics NZ'!O$154*'Economic Forecasts'!Q$9*1000000/SUM('Statistics NZ'!O$32:O$107,'Statistics NZ'!O$125:O$200)</f>
        <v>29812.629429587669</v>
      </c>
      <c r="P154" s="203">
        <f>'Statistics NZ'!P$154*'Economic Forecasts'!R$9*1000000/SUM('Statistics NZ'!P$32:P$107,'Statistics NZ'!P$125:P$200)</f>
        <v>29767.658940276982</v>
      </c>
      <c r="Q154" s="121">
        <f>SUM('Statistics NZ'!Q$154,$J$14/5*(Q$9-Q$10)*1000)*'Economic Forecasts'!S$9*1000000/SUM('Statistics NZ'!Q$32:Q$107,'Statistics NZ'!Q$125:Q$200,SUM($E$13:$Q$14)*(Q$9-Q$10)*1000)</f>
        <v>30000.29378487957</v>
      </c>
      <c r="R154" s="205">
        <f>SUM('Statistics NZ'!R$154,$J$14/5*(R$9-R$10)*1000)*'Economic Forecasts'!T$9*1000000/SUM('Statistics NZ'!R$32:R$107,'Statistics NZ'!R$125:R$200,SUM($E$13:$Q$14)*(R$9-R$10)*1000)</f>
        <v>29724.918470021967</v>
      </c>
      <c r="S154" s="205">
        <f>SUM('Statistics NZ'!S$154,$J$14/5*(S$9-S$10)*1000)*'Economic Forecasts'!U$9*1000000/SUM('Statistics NZ'!S$32:S$107,'Statistics NZ'!S$125:S$200,SUM($E$13:$Q$14)*(S$9-S$10)*1000)</f>
        <v>30880.455124819102</v>
      </c>
      <c r="T154" s="205">
        <f>SUM('Statistics NZ'!T$154,$J$14/5*(T$9-T$10)*1000)*'Economic Forecasts'!V$9*1000000/SUM('Statistics NZ'!T$32:T$107,'Statistics NZ'!T$125:T$200,SUM($E$13:$Q$14)*(T$9-T$10)*1000)</f>
        <v>31692.004840871814</v>
      </c>
      <c r="U154" s="205">
        <f>SUM('Statistics NZ'!U$154,$J$14/5*(U$9-U$10)*1000)*'Economic Forecasts'!W$9*1000000/SUM('Statistics NZ'!U$32:U$107,'Statistics NZ'!U$125:U$200,SUM($E$13:$Q$14)*(U$9-U$10)*1000)</f>
        <v>32468.579524826</v>
      </c>
      <c r="V154" s="111">
        <f>SUM(U$154,'Statistics NZ'!V$154-'Statistics NZ'!U$154,$J$14/5*(V$9-V$10)*1000)</f>
        <v>33415.38241628214</v>
      </c>
      <c r="W154" s="111">
        <f>SUM(V$154,'Statistics NZ'!W$154-'Statistics NZ'!V$154,$J$14/5*(W$9-W$10)*1000)</f>
        <v>34486.334946306262</v>
      </c>
      <c r="X154" s="111">
        <f>SUM(W$154,'Statistics NZ'!X$154-'Statistics NZ'!W$154,$J$14/5*(X$9-X$10)*1000)</f>
        <v>35111.43711489837</v>
      </c>
      <c r="Y154" s="111">
        <f>SUM(X$154,'Statistics NZ'!Y$154-'Statistics NZ'!X$154,$J$14/5*(Y$9-Y$10)*1000)</f>
        <v>35570.688922058456</v>
      </c>
      <c r="Z154" s="111">
        <f>SUM(Y$154,'Statistics NZ'!Z$154-'Statistics NZ'!Y$154,$J$14/5*(Z$9-Z$10)*1000)</f>
        <v>36594.090367786528</v>
      </c>
      <c r="AA154" s="111">
        <f>SUM(Z$154,'Statistics NZ'!AA$154-'Statistics NZ'!Z$154,$J$14/5*(AA$9-AA$10)*1000)</f>
        <v>38421.641452082578</v>
      </c>
      <c r="AB154" s="111">
        <f>SUM(AA$154,'Statistics NZ'!AB$154-'Statistics NZ'!AA$154,$J$14/5*(AB$9-AB$10)*1000)</f>
        <v>39793.342174946614</v>
      </c>
      <c r="AC154" s="111">
        <f>SUM(AB$154,'Statistics NZ'!AC$154-'Statistics NZ'!AB$154,$J$14/5*(AC$9-AC$10)*1000)</f>
        <v>40819.192536378629</v>
      </c>
      <c r="AD154" s="111">
        <f>SUM(AC$154,'Statistics NZ'!AD$154-'Statistics NZ'!AC$154,$J$14/5*(AD$9-AD$10)*1000)</f>
        <v>42739.192536378629</v>
      </c>
      <c r="AE154" s="111">
        <f>SUM(AD$154,'Statistics NZ'!AE$154-'Statistics NZ'!AD$154,$J$14/5*(AE$9-AE$10)*1000)</f>
        <v>43539.192536378629</v>
      </c>
      <c r="AF154" s="111">
        <f>SUM(AE$154,'Statistics NZ'!AF$154-'Statistics NZ'!AE$154,$J$14/5*(AF$9-AF$10)*1000)</f>
        <v>43679.192536378629</v>
      </c>
      <c r="AG154" s="111">
        <f>SUM(AF$154,'Statistics NZ'!AG$154-'Statistics NZ'!AF$154,$J$14/5*(AG$9-AG$10)*1000)</f>
        <v>43289.192536378629</v>
      </c>
      <c r="AH154" s="111">
        <f>SUM(AG$154,'Statistics NZ'!AH$154-'Statistics NZ'!AG$154,$J$14/5*(AH$9-AH$10)*1000)</f>
        <v>42039.192536378629</v>
      </c>
      <c r="AI154" s="111">
        <f>SUM(AH$154,'Statistics NZ'!AI$154-'Statistics NZ'!AH$154,$J$14/5*(AI$9-AI$10)*1000)</f>
        <v>41969.192536378629</v>
      </c>
      <c r="AJ154" s="111">
        <f>SUM(AI$154,'Statistics NZ'!AJ$154-'Statistics NZ'!AI$154,$J$14/5*(AJ$9-AJ$10)*1000)</f>
        <v>41759.192536378629</v>
      </c>
      <c r="AK154" s="111">
        <f>SUM(AJ$154,'Statistics NZ'!AK$154-'Statistics NZ'!AJ$154,$J$14/5*(AK$9-AK$10)*1000)</f>
        <v>40469.192536378629</v>
      </c>
      <c r="AL154" s="111">
        <f>SUM(AK$154,'Statistics NZ'!AL$154-'Statistics NZ'!AK$154,$J$14/5*(AL$9-AL$10)*1000)</f>
        <v>40339.192536378629</v>
      </c>
      <c r="AM154" s="111">
        <f>SUM(AL$154,'Statistics NZ'!AM$154-'Statistics NZ'!AL$154,$J$14/5*(AM$9-AM$10)*1000)</f>
        <v>39439.192536378629</v>
      </c>
      <c r="AN154" s="111">
        <f>SUM(AM$154,'Statistics NZ'!AN$154-'Statistics NZ'!AM$154,$J$14/5*(AN$9-AN$10)*1000)</f>
        <v>40169.192536378629</v>
      </c>
      <c r="AO154" s="111">
        <f>SUM(AN$154,'Statistics NZ'!AO$154-'Statistics NZ'!AN$154,$J$14/5*(AO$9-AO$10)*1000)</f>
        <v>39719.192536378629</v>
      </c>
      <c r="AP154" s="111">
        <f>SUM(AO$154,'Statistics NZ'!AP$154-'Statistics NZ'!AO$154,$J$14/5*(AP$9-AP$10)*1000)</f>
        <v>38409.192536378629</v>
      </c>
      <c r="AQ154" s="111">
        <f>SUM(AP$154,'Statistics NZ'!AQ$154-'Statistics NZ'!AP$154,$J$14/5*(AQ$9-AQ$10)*1000)</f>
        <v>38959.192536378629</v>
      </c>
      <c r="AR154" s="111">
        <f>SUM(AQ$154,'Statistics NZ'!AR$154-'Statistics NZ'!AQ$154,$J$14/5*(AR$9-AR$10)*1000)</f>
        <v>39229.192536378629</v>
      </c>
      <c r="AS154" s="111">
        <f>SUM(AR$154,'Statistics NZ'!AS$154-'Statistics NZ'!AR$154,$J$14/5*(AS$9-AS$10)*1000)</f>
        <v>39639.192536378629</v>
      </c>
      <c r="AT154" s="111">
        <f>SUM(AS$154,'Statistics NZ'!AT$154-'Statistics NZ'!AS$154,$J$14/5*(AT$9-AT$10)*1000)</f>
        <v>40649.192536378629</v>
      </c>
      <c r="AU154" s="111">
        <f>SUM(AT$154,'Statistics NZ'!AU$154-'Statistics NZ'!AT$154,$J$14/5*(AU$9-AU$10)*1000)</f>
        <v>42619.192536378629</v>
      </c>
      <c r="AV154" s="111">
        <f>SUM(AU$154,'Statistics NZ'!AV$154-'Statistics NZ'!AU$154,$J$14/5*(AV$9-AV$10)*1000)</f>
        <v>43699.192536378629</v>
      </c>
      <c r="AW154" s="111">
        <f>SUM(AV$154,'Statistics NZ'!AW$154-'Statistics NZ'!AV$154,$J$14/5*(AW$9-AW$10)*1000)</f>
        <v>44269.192536378629</v>
      </c>
      <c r="AX154" s="111">
        <f>SUM(AW$154,'Statistics NZ'!AX$154-'Statistics NZ'!AW$154,$J$14/5*(AX$9-AX$10)*1000)</f>
        <v>44759.192536378629</v>
      </c>
      <c r="AY154" s="111">
        <f>SUM(AX$154,'Statistics NZ'!AY$154-'Statistics NZ'!AX$154,$J$14/5*(AY$9-AY$10)*1000)</f>
        <v>44479.192536378629</v>
      </c>
      <c r="AZ154" s="111">
        <f>SUM(AY$154,'Statistics NZ'!AZ$154-'Statistics NZ'!AY$154,$J$14/5*(AZ$9-AZ$10)*1000)</f>
        <v>44329.192536378629</v>
      </c>
      <c r="BA154" s="111">
        <f>SUM(AZ$154,'Statistics NZ'!BA$154-'Statistics NZ'!AZ$154,$J$14/5*(BA$9-BA$10)*1000)</f>
        <v>44049.192536378629</v>
      </c>
      <c r="BB154" s="111">
        <f>SUM(BA$154,'Statistics NZ'!BB$154-'Statistics NZ'!BA$154,$J$14/5*(BB$9-BB$10)*1000)</f>
        <v>43709.192536378629</v>
      </c>
      <c r="BC154" s="111">
        <f>SUM(BB$154,'Statistics NZ'!BC$154-'Statistics NZ'!BB$154,$J$14/5*(BC$9-BC$10)*1000)</f>
        <v>43649.192536378629</v>
      </c>
      <c r="BD154" s="111">
        <f>SUM(BC$154,'Statistics NZ'!BD$154-'Statistics NZ'!BC$154,$J$14/5*(BD$9-BD$10)*1000)</f>
        <v>43349.192536378629</v>
      </c>
      <c r="BE154" s="111">
        <f>SUM(BD$154,'Statistics NZ'!BE$154-'Statistics NZ'!BD$154,$J$14/5*(BE$9-BE$10)*1000)</f>
        <v>43129.192536378629</v>
      </c>
      <c r="BF154" s="111">
        <f>SUM(BE$154,'Statistics NZ'!BF$154-'Statistics NZ'!BE$154,$J$14/5*(BF$9-BF$10)*1000)</f>
        <v>42449.192536378629</v>
      </c>
      <c r="BG154" s="111">
        <f>SUM(BF$154,'Statistics NZ'!BG$154-'Statistics NZ'!BF$154,$J$14/5*(BG$9-BG$10)*1000)</f>
        <v>42419.192536378629</v>
      </c>
      <c r="BH154" s="111">
        <f>SUM(BG$154,'Statistics NZ'!BH$154-'Statistics NZ'!BG$154,$J$14/5*(BH$9-BH$10)*1000)</f>
        <v>41799.192536378629</v>
      </c>
      <c r="BI154" s="111">
        <f>SUM(BH$154,'Statistics NZ'!BI$154-'Statistics NZ'!BH$154,$J$14/5*(BI$9-BI$10)*1000)</f>
        <v>41629.192536378629</v>
      </c>
      <c r="BJ154" s="111">
        <f>SUM(BI$154,'Statistics NZ'!BJ$154-'Statistics NZ'!BI$154,$J$14/5*(BJ$9-BJ$10)*1000)</f>
        <v>41599.192536378629</v>
      </c>
      <c r="BK154" s="111">
        <f>SUM(BJ$154,'Statistics NZ'!BK$154-'Statistics NZ'!BJ$154,$J$14/5*(BK$9-BK$10)*1000)</f>
        <v>41549.192536378629</v>
      </c>
      <c r="BL154" s="111">
        <f>SUM(BK$154,'Statistics NZ'!BL$154-'Statistics NZ'!BK$154,$J$14/5*(BL$9-BL$10)*1000)</f>
        <v>41469.192536378629</v>
      </c>
      <c r="BM154" s="195">
        <f>SUM(BL$154,'Statistics NZ'!BM$154-'Statistics NZ'!BL$154,$J$14/5*(BM$9-BM$10)*1000)</f>
        <v>41599.192536378629</v>
      </c>
      <c r="BN154" s="195">
        <f>SUM(BM$154,'Statistics NZ'!BN$154-'Statistics NZ'!BM$154,$J$14/5*(BN$9-BN$10)*1000)</f>
        <v>41689.192536378629</v>
      </c>
      <c r="BO154" s="195">
        <f>SUM(BN$154,'Statistics NZ'!BO$154-'Statistics NZ'!BN$154,$J$14/5*(BO$9-BO$10)*1000)</f>
        <v>41749.192536378629</v>
      </c>
      <c r="BP154" s="195">
        <f>SUM(BO$154,'Statistics NZ'!BP$154-'Statistics NZ'!BO$154,$J$14/5*(BP$9-BP$10)*1000)</f>
        <v>41799.192536378629</v>
      </c>
      <c r="BQ154" s="195">
        <f>SUM(BP$154,'Statistics NZ'!BQ$154-'Statistics NZ'!BP$154,$J$14/5*(BQ$9-BQ$10)*1000)</f>
        <v>41829.192536378629</v>
      </c>
    </row>
    <row r="155" spans="1:69">
      <c r="A155" s="105">
        <f>$A$62</f>
        <v>45</v>
      </c>
      <c r="B155" s="118">
        <f>'Statistics NZ'!B$155*'Economic Forecasts'!D$9*1000000/SUM('Statistics NZ'!B$32:B$107,'Statistics NZ'!B$125:B$200)</f>
        <v>31020.561777982715</v>
      </c>
      <c r="C155" s="118">
        <f>'Statistics NZ'!C$155*'Economic Forecasts'!E$9*1000000/SUM('Statistics NZ'!C$32:C$107,'Statistics NZ'!C$125:C$200)</f>
        <v>31684.88843411671</v>
      </c>
      <c r="D155" s="118">
        <f>'Statistics NZ'!D$155*'Economic Forecasts'!F$9*1000000/SUM('Statistics NZ'!D$32:D$107,'Statistics NZ'!D$125:D$200)</f>
        <v>31460.684612274985</v>
      </c>
      <c r="E155" s="118">
        <f>'Statistics NZ'!E$155*'Economic Forecasts'!G$9*1000000/SUM('Statistics NZ'!E$32:E$107,'Statistics NZ'!E$125:E$200)</f>
        <v>31052.335929300323</v>
      </c>
      <c r="F155" s="118">
        <f>'Statistics NZ'!F$155*'Economic Forecasts'!H$9*1000000/SUM('Statistics NZ'!F$32:F$107,'Statistics NZ'!F$125:F$200)</f>
        <v>29948.927097222102</v>
      </c>
      <c r="G155" s="118">
        <f>'Statistics NZ'!G$155*'Economic Forecasts'!I$9*1000000/SUM('Statistics NZ'!G$32:G$107,'Statistics NZ'!G$125:G$200)</f>
        <v>29529.069289370789</v>
      </c>
      <c r="H155" s="118">
        <f>'Statistics NZ'!H$155*'Economic Forecasts'!J$9*1000000/SUM('Statistics NZ'!H$32:H$107,'Statistics NZ'!H$125:H$200)</f>
        <v>29086.058539179056</v>
      </c>
      <c r="I155" s="118">
        <f>'Statistics NZ'!I$155*'Economic Forecasts'!K$9*1000000/SUM('Statistics NZ'!I$32:I$107,'Statistics NZ'!I$125:I$200)</f>
        <v>29454.025149222678</v>
      </c>
      <c r="J155" s="203">
        <f>'Statistics NZ'!J$155*'Economic Forecasts'!L$9*1000000/SUM('Statistics NZ'!J$32:J$107,'Statistics NZ'!J$125:J$200)</f>
        <v>30124.152577639925</v>
      </c>
      <c r="K155" s="203">
        <f>'Statistics NZ'!K$155*'Economic Forecasts'!M$9*1000000/SUM('Statistics NZ'!K$32:K$107,'Statistics NZ'!K$125:K$200)</f>
        <v>30389.693004665722</v>
      </c>
      <c r="L155" s="203">
        <f>'Statistics NZ'!L$155*'Economic Forecasts'!N$9*1000000/SUM('Statistics NZ'!L$32:L$107,'Statistics NZ'!L$125:L$200)</f>
        <v>31555.637054631825</v>
      </c>
      <c r="M155" s="203">
        <f>'Statistics NZ'!M$155*'Economic Forecasts'!O$9*1000000/SUM('Statistics NZ'!M$32:M$107,'Statistics NZ'!M$125:M$200)</f>
        <v>32013.726582774831</v>
      </c>
      <c r="N155" s="203">
        <f>'Statistics NZ'!N$155*'Economic Forecasts'!P$9*1000000/SUM('Statistics NZ'!N$32:N$107,'Statistics NZ'!N$125:N$200)</f>
        <v>31608.778590432259</v>
      </c>
      <c r="O155" s="203">
        <f>'Statistics NZ'!O$155*'Economic Forecasts'!Q$9*1000000/SUM('Statistics NZ'!O$32:O$107,'Statistics NZ'!O$125:O$200)</f>
        <v>30750.133499700489</v>
      </c>
      <c r="P155" s="203">
        <f>'Statistics NZ'!P$155*'Economic Forecasts'!R$9*1000000/SUM('Statistics NZ'!P$32:P$107,'Statistics NZ'!P$125:P$200)</f>
        <v>30300.811040699853</v>
      </c>
      <c r="Q155" s="121">
        <f>SUM('Statistics NZ'!Q$155,$K$14/5*(Q$9-Q$10)*1000)*'Economic Forecasts'!S$9*1000000/SUM('Statistics NZ'!Q$32:Q$107,'Statistics NZ'!Q$125:Q$200,SUM($E$13:$Q$14)*(Q$9-Q$10)*1000)</f>
        <v>29840.156911685281</v>
      </c>
      <c r="R155" s="205">
        <f>SUM('Statistics NZ'!R$155,$K$14/5*(R$9-R$10)*1000)*'Economic Forecasts'!T$9*1000000/SUM('Statistics NZ'!R$32:R$107,'Statistics NZ'!R$125:R$200,SUM($E$13:$Q$14)*(R$9-R$10)*1000)</f>
        <v>30091.220867534685</v>
      </c>
      <c r="S155" s="205">
        <f>SUM('Statistics NZ'!S$155,$K$14/5*(S$9-S$10)*1000)*'Economic Forecasts'!U$9*1000000/SUM('Statistics NZ'!S$32:S$107,'Statistics NZ'!S$125:S$200,SUM($E$13:$Q$14)*(S$9-S$10)*1000)</f>
        <v>29844.601642052537</v>
      </c>
      <c r="T155" s="205">
        <f>SUM('Statistics NZ'!T$155,$K$14/5*(T$9-T$10)*1000)*'Economic Forecasts'!V$9*1000000/SUM('Statistics NZ'!T$32:T$107,'Statistics NZ'!T$125:T$200,SUM($E$13:$Q$14)*(T$9-T$10)*1000)</f>
        <v>30948.85675042159</v>
      </c>
      <c r="U155" s="205">
        <f>SUM('Statistics NZ'!U$155,$K$14/5*(U$9-U$10)*1000)*'Economic Forecasts'!W$9*1000000/SUM('Statistics NZ'!U$32:U$107,'Statistics NZ'!U$125:U$200,SUM($E$13:$Q$14)*(U$9-U$10)*1000)</f>
        <v>31770.184001103196</v>
      </c>
      <c r="V155" s="111">
        <f>SUM(U$155,'Statistics NZ'!V$155-'Statistics NZ'!U$155,$K$14/5*(V$9-V$10)*1000)</f>
        <v>32509.421016900098</v>
      </c>
      <c r="W155" s="111">
        <f>SUM(V$155,'Statistics NZ'!W$155-'Statistics NZ'!V$155,$K$14/5*(W$9-W$10)*1000)</f>
        <v>33381.253405722389</v>
      </c>
      <c r="X155" s="111">
        <f>SUM(W$155,'Statistics NZ'!X$155-'Statistics NZ'!W$155,$K$14/5*(X$9-X$10)*1000)</f>
        <v>34385.681167570066</v>
      </c>
      <c r="Y155" s="111">
        <f>SUM(X$155,'Statistics NZ'!Y$155-'Statistics NZ'!X$155,$K$14/5*(Y$9-Y$10)*1000)</f>
        <v>34952.704302443126</v>
      </c>
      <c r="Z155" s="111">
        <f>SUM(Y$155,'Statistics NZ'!Z$155-'Statistics NZ'!Y$155,$K$14/5*(Z$9-Z$10)*1000)</f>
        <v>35362.322810341575</v>
      </c>
      <c r="AA155" s="111">
        <f>SUM(Z$155,'Statistics NZ'!AA$155-'Statistics NZ'!Z$155,$K$14/5*(AA$9-AA$10)*1000)</f>
        <v>36344.536691265414</v>
      </c>
      <c r="AB155" s="111">
        <f>SUM(AA$155,'Statistics NZ'!AB$155-'Statistics NZ'!AA$155,$K$14/5*(AB$9-AB$10)*1000)</f>
        <v>38139.345945214642</v>
      </c>
      <c r="AC155" s="111">
        <f>SUM(AB$155,'Statistics NZ'!AC$155-'Statistics NZ'!AB$155,$K$14/5*(AC$9-AC$10)*1000)</f>
        <v>39486.750572189252</v>
      </c>
      <c r="AD155" s="111">
        <f>SUM(AC$155,'Statistics NZ'!AD$155-'Statistics NZ'!AC$155,$K$14/5*(AD$9-AD$10)*1000)</f>
        <v>40496.750572189252</v>
      </c>
      <c r="AE155" s="111">
        <f>SUM(AD$155,'Statistics NZ'!AE$155-'Statistics NZ'!AD$155,$K$14/5*(AE$9-AE$10)*1000)</f>
        <v>42406.750572189252</v>
      </c>
      <c r="AF155" s="111">
        <f>SUM(AE$155,'Statistics NZ'!AF$155-'Statistics NZ'!AE$155,$K$14/5*(AF$9-AF$10)*1000)</f>
        <v>43206.750572189252</v>
      </c>
      <c r="AG155" s="111">
        <f>SUM(AF$155,'Statistics NZ'!AG$155-'Statistics NZ'!AF$155,$K$14/5*(AG$9-AG$10)*1000)</f>
        <v>43356.750572189252</v>
      </c>
      <c r="AH155" s="111">
        <f>SUM(AG$155,'Statistics NZ'!AH$155-'Statistics NZ'!AG$155,$K$14/5*(AH$9-AH$10)*1000)</f>
        <v>42966.750572189252</v>
      </c>
      <c r="AI155" s="111">
        <f>SUM(AH$155,'Statistics NZ'!AI$155-'Statistics NZ'!AH$155,$K$14/5*(AI$9-AI$10)*1000)</f>
        <v>41716.750572189252</v>
      </c>
      <c r="AJ155" s="111">
        <f>SUM(AI$155,'Statistics NZ'!AJ$155-'Statistics NZ'!AI$155,$K$14/5*(AJ$9-AJ$10)*1000)</f>
        <v>41646.750572189252</v>
      </c>
      <c r="AK155" s="111">
        <f>SUM(AJ$155,'Statistics NZ'!AK$155-'Statistics NZ'!AJ$155,$K$14/5*(AK$9-AK$10)*1000)</f>
        <v>41436.750572189252</v>
      </c>
      <c r="AL155" s="111">
        <f>SUM(AK$155,'Statistics NZ'!AL$155-'Statistics NZ'!AK$155,$K$14/5*(AL$9-AL$10)*1000)</f>
        <v>40146.750572189252</v>
      </c>
      <c r="AM155" s="111">
        <f>SUM(AL$155,'Statistics NZ'!AM$155-'Statistics NZ'!AL$155,$K$14/5*(AM$9-AM$10)*1000)</f>
        <v>40026.750572189252</v>
      </c>
      <c r="AN155" s="111">
        <f>SUM(AM$155,'Statistics NZ'!AN$155-'Statistics NZ'!AM$155,$K$14/5*(AN$9-AN$10)*1000)</f>
        <v>39126.750572189252</v>
      </c>
      <c r="AO155" s="111">
        <f>SUM(AN$155,'Statistics NZ'!AO$155-'Statistics NZ'!AN$155,$K$14/5*(AO$9-AO$10)*1000)</f>
        <v>39856.750572189252</v>
      </c>
      <c r="AP155" s="111">
        <f>SUM(AO$155,'Statistics NZ'!AP$155-'Statistics NZ'!AO$155,$K$14/5*(AP$9-AP$10)*1000)</f>
        <v>39406.750572189252</v>
      </c>
      <c r="AQ155" s="111">
        <f>SUM(AP$155,'Statistics NZ'!AQ$155-'Statistics NZ'!AP$155,$K$14/5*(AQ$9-AQ$10)*1000)</f>
        <v>38096.750572189252</v>
      </c>
      <c r="AR155" s="111">
        <f>SUM(AQ$155,'Statistics NZ'!AR$155-'Statistics NZ'!AQ$155,$K$14/5*(AR$9-AR$10)*1000)</f>
        <v>38646.750572189252</v>
      </c>
      <c r="AS155" s="111">
        <f>SUM(AR$155,'Statistics NZ'!AS$155-'Statistics NZ'!AR$155,$K$14/5*(AS$9-AS$10)*1000)</f>
        <v>38916.750572189252</v>
      </c>
      <c r="AT155" s="111">
        <f>SUM(AS$155,'Statistics NZ'!AT$155-'Statistics NZ'!AS$155,$K$14/5*(AT$9-AT$10)*1000)</f>
        <v>39326.750572189252</v>
      </c>
      <c r="AU155" s="111">
        <f>SUM(AT$155,'Statistics NZ'!AU$155-'Statistics NZ'!AT$155,$K$14/5*(AU$9-AU$10)*1000)</f>
        <v>40336.750572189252</v>
      </c>
      <c r="AV155" s="111">
        <f>SUM(AU$155,'Statistics NZ'!AV$155-'Statistics NZ'!AU$155,$K$14/5*(AV$9-AV$10)*1000)</f>
        <v>42306.750572189252</v>
      </c>
      <c r="AW155" s="111">
        <f>SUM(AV$155,'Statistics NZ'!AW$155-'Statistics NZ'!AV$155,$K$14/5*(AW$9-AW$10)*1000)</f>
        <v>43376.750572189252</v>
      </c>
      <c r="AX155" s="111">
        <f>SUM(AW$155,'Statistics NZ'!AX$155-'Statistics NZ'!AW$155,$K$14/5*(AX$9-AX$10)*1000)</f>
        <v>43956.750572189252</v>
      </c>
      <c r="AY155" s="111">
        <f>SUM(AX$155,'Statistics NZ'!AY$155-'Statistics NZ'!AX$155,$K$14/5*(AY$9-AY$10)*1000)</f>
        <v>44446.750572189252</v>
      </c>
      <c r="AZ155" s="111">
        <f>SUM(AY$155,'Statistics NZ'!AZ$155-'Statistics NZ'!AY$155,$K$14/5*(AZ$9-AZ$10)*1000)</f>
        <v>44166.750572189252</v>
      </c>
      <c r="BA155" s="111">
        <f>SUM(AZ$155,'Statistics NZ'!BA$155-'Statistics NZ'!AZ$155,$K$14/5*(BA$9-BA$10)*1000)</f>
        <v>44016.750572189252</v>
      </c>
      <c r="BB155" s="111">
        <f>SUM(BA$155,'Statistics NZ'!BB$155-'Statistics NZ'!BA$155,$K$14/5*(BB$9-BB$10)*1000)</f>
        <v>43736.750572189252</v>
      </c>
      <c r="BC155" s="111">
        <f>SUM(BB$155,'Statistics NZ'!BC$155-'Statistics NZ'!BB$155,$K$14/5*(BC$9-BC$10)*1000)</f>
        <v>43396.750572189252</v>
      </c>
      <c r="BD155" s="111">
        <f>SUM(BC$155,'Statistics NZ'!BD$155-'Statistics NZ'!BC$155,$K$14/5*(BD$9-BD$10)*1000)</f>
        <v>43336.750572189252</v>
      </c>
      <c r="BE155" s="111">
        <f>SUM(BD$155,'Statistics NZ'!BE$155-'Statistics NZ'!BD$155,$K$14/5*(BE$9-BE$10)*1000)</f>
        <v>43046.750572189252</v>
      </c>
      <c r="BF155" s="111">
        <f>SUM(BE$155,'Statistics NZ'!BF$155-'Statistics NZ'!BE$155,$K$14/5*(BF$9-BF$10)*1000)</f>
        <v>42816.750572189252</v>
      </c>
      <c r="BG155" s="111">
        <f>SUM(BF$155,'Statistics NZ'!BG$155-'Statistics NZ'!BF$155,$K$14/5*(BG$9-BG$10)*1000)</f>
        <v>42136.750572189252</v>
      </c>
      <c r="BH155" s="111">
        <f>SUM(BG$155,'Statistics NZ'!BH$155-'Statistics NZ'!BG$155,$K$14/5*(BH$9-BH$10)*1000)</f>
        <v>42116.750572189252</v>
      </c>
      <c r="BI155" s="111">
        <f>SUM(BH$155,'Statistics NZ'!BI$155-'Statistics NZ'!BH$155,$K$14/5*(BI$9-BI$10)*1000)</f>
        <v>41496.750572189252</v>
      </c>
      <c r="BJ155" s="111">
        <f>SUM(BI$155,'Statistics NZ'!BJ$155-'Statistics NZ'!BI$155,$K$14/5*(BJ$9-BJ$10)*1000)</f>
        <v>41326.750572189252</v>
      </c>
      <c r="BK155" s="111">
        <f>SUM(BJ$155,'Statistics NZ'!BK$155-'Statistics NZ'!BJ$155,$K$14/5*(BK$9-BK$10)*1000)</f>
        <v>41296.750572189252</v>
      </c>
      <c r="BL155" s="111">
        <f>SUM(BK$155,'Statistics NZ'!BL$155-'Statistics NZ'!BK$155,$K$14/5*(BL$9-BL$10)*1000)</f>
        <v>41246.750572189252</v>
      </c>
      <c r="BM155" s="195">
        <f>SUM(BL$155,'Statistics NZ'!BM$155-'Statistics NZ'!BL$155,$K$14/5*(BM$9-BM$10)*1000)</f>
        <v>41166.750572189252</v>
      </c>
      <c r="BN155" s="195">
        <f>SUM(BM$155,'Statistics NZ'!BN$155-'Statistics NZ'!BM$155,$K$14/5*(BN$9-BN$10)*1000)</f>
        <v>41296.750572189252</v>
      </c>
      <c r="BO155" s="195">
        <f>SUM(BN$155,'Statistics NZ'!BO$155-'Statistics NZ'!BN$155,$K$14/5*(BO$9-BO$10)*1000)</f>
        <v>41386.750572189252</v>
      </c>
      <c r="BP155" s="195">
        <f>SUM(BO$155,'Statistics NZ'!BP$155-'Statistics NZ'!BO$155,$K$14/5*(BP$9-BP$10)*1000)</f>
        <v>41446.750572189252</v>
      </c>
      <c r="BQ155" s="195">
        <f>SUM(BP$155,'Statistics NZ'!BQ$155-'Statistics NZ'!BP$155,$K$14/5*(BQ$9-BQ$10)*1000)</f>
        <v>41496.750572189252</v>
      </c>
    </row>
    <row r="156" spans="1:69">
      <c r="A156" s="105">
        <f>$A$63</f>
        <v>46</v>
      </c>
      <c r="B156" s="118">
        <f>'Statistics NZ'!B$156*'Economic Forecasts'!D$9*1000000/SUM('Statistics NZ'!B$32:B$107,'Statistics NZ'!B$125:B$200)</f>
        <v>30084.723934569454</v>
      </c>
      <c r="C156" s="118">
        <f>'Statistics NZ'!C$156*'Economic Forecasts'!E$9*1000000/SUM('Statistics NZ'!C$32:C$107,'Statistics NZ'!C$125:C$200)</f>
        <v>30975.083839450752</v>
      </c>
      <c r="D156" s="118">
        <f>'Statistics NZ'!D$156*'Economic Forecasts'!F$9*1000000/SUM('Statistics NZ'!D$32:D$107,'Statistics NZ'!D$125:D$200)</f>
        <v>31608.526175302595</v>
      </c>
      <c r="E156" s="118">
        <f>'Statistics NZ'!E$156*'Economic Forecasts'!G$9*1000000/SUM('Statistics NZ'!E$32:E$107,'Statistics NZ'!E$125:E$200)</f>
        <v>31387.185095680346</v>
      </c>
      <c r="F156" s="118">
        <f>'Statistics NZ'!F$156*'Economic Forecasts'!H$9*1000000/SUM('Statistics NZ'!F$32:F$107,'Statistics NZ'!F$125:F$200)</f>
        <v>30993.198897322607</v>
      </c>
      <c r="G156" s="118">
        <f>'Statistics NZ'!G$156*'Economic Forecasts'!I$9*1000000/SUM('Statistics NZ'!G$32:G$107,'Statistics NZ'!G$125:G$200)</f>
        <v>29844.361320488533</v>
      </c>
      <c r="H156" s="118">
        <f>'Statistics NZ'!H$156*'Economic Forecasts'!J$9*1000000/SUM('Statistics NZ'!H$32:H$107,'Statistics NZ'!H$125:H$200)</f>
        <v>29371.698802516745</v>
      </c>
      <c r="I156" s="118">
        <f>'Statistics NZ'!I$156*'Economic Forecasts'!K$9*1000000/SUM('Statistics NZ'!I$32:I$107,'Statistics NZ'!I$125:I$200)</f>
        <v>29050.545352657988</v>
      </c>
      <c r="J156" s="203">
        <f>'Statistics NZ'!J$156*'Economic Forecasts'!L$9*1000000/SUM('Statistics NZ'!J$32:J$107,'Statistics NZ'!J$125:J$200)</f>
        <v>29711.358317195918</v>
      </c>
      <c r="K156" s="203">
        <f>'Statistics NZ'!K$156*'Economic Forecasts'!M$9*1000000/SUM('Statistics NZ'!K$32:K$107,'Statistics NZ'!K$125:K$200)</f>
        <v>30537.072699159737</v>
      </c>
      <c r="L156" s="203">
        <f>'Statistics NZ'!L$156*'Economic Forecasts'!N$9*1000000/SUM('Statistics NZ'!L$32:L$107,'Statistics NZ'!L$125:L$200)</f>
        <v>30974.556347321191</v>
      </c>
      <c r="M156" s="203">
        <f>'Statistics NZ'!M$156*'Economic Forecasts'!O$9*1000000/SUM('Statistics NZ'!M$32:M$107,'Statistics NZ'!M$125:M$200)</f>
        <v>32062.978469825255</v>
      </c>
      <c r="N156" s="203">
        <f>'Statistics NZ'!N$156*'Economic Forecasts'!P$9*1000000/SUM('Statistics NZ'!N$32:N$107,'Statistics NZ'!N$125:N$200)</f>
        <v>32566.022275499985</v>
      </c>
      <c r="O156" s="203">
        <f>'Statistics NZ'!O$156*'Economic Forecasts'!Q$9*1000000/SUM('Statistics NZ'!O$32:O$107,'Statistics NZ'!O$125:O$200)</f>
        <v>31954.086095003269</v>
      </c>
      <c r="P156" s="203">
        <f>'Statistics NZ'!P$156*'Economic Forecasts'!R$9*1000000/SUM('Statistics NZ'!P$32:P$107,'Statistics NZ'!P$125:P$200)</f>
        <v>31219.017435872578</v>
      </c>
      <c r="Q156" s="121">
        <f>SUM('Statistics NZ'!Q$156,$K$14/5*(Q$9-Q$10)*1000)*'Economic Forecasts'!S$9*1000000/SUM('Statistics NZ'!Q$32:Q$107,'Statistics NZ'!Q$125:Q$200,SUM($E$13:$Q$14)*(Q$9-Q$10)*1000)</f>
        <v>30374.023760407887</v>
      </c>
      <c r="R156" s="205">
        <f>SUM('Statistics NZ'!R$156,$K$14/5*(R$9-R$10)*1000)*'Economic Forecasts'!T$9*1000000/SUM('Statistics NZ'!R$32:R$107,'Statistics NZ'!R$125:R$200,SUM($E$13:$Q$14)*(R$9-R$10)*1000)</f>
        <v>29913.287643640007</v>
      </c>
      <c r="S156" s="205">
        <f>SUM('Statistics NZ'!S$156,$K$14/5*(S$9-S$10)*1000)*'Economic Forecasts'!U$9*1000000/SUM('Statistics NZ'!S$32:S$107,'Statistics NZ'!S$125:S$200,SUM($E$13:$Q$14)*(S$9-S$10)*1000)</f>
        <v>30190.398002372443</v>
      </c>
      <c r="T156" s="205">
        <f>SUM('Statistics NZ'!T$156,$K$14/5*(T$9-T$10)*1000)*'Economic Forecasts'!V$9*1000000/SUM('Statistics NZ'!T$32:T$107,'Statistics NZ'!T$125:T$200,SUM($E$13:$Q$14)*(T$9-T$10)*1000)</f>
        <v>29891.773331407305</v>
      </c>
      <c r="U156" s="205">
        <f>SUM('Statistics NZ'!U$156,$K$14/5*(U$9-U$10)*1000)*'Economic Forecasts'!W$9*1000000/SUM('Statistics NZ'!U$32:U$107,'Statistics NZ'!U$125:U$200,SUM($E$13:$Q$14)*(U$9-U$10)*1000)</f>
        <v>31038.166736586136</v>
      </c>
      <c r="V156" s="111">
        <f>SUM(U$156,'Statistics NZ'!V$156-'Statistics NZ'!U$156,$K$14/5*(V$9-V$10)*1000)</f>
        <v>31857.403752383037</v>
      </c>
      <c r="W156" s="111">
        <f>SUM(V$156,'Statistics NZ'!W$156-'Statistics NZ'!V$156,$K$14/5*(W$9-W$10)*1000)</f>
        <v>32589.236141205325</v>
      </c>
      <c r="X156" s="111">
        <f>SUM(W$156,'Statistics NZ'!X$156-'Statistics NZ'!W$156,$K$14/5*(X$9-X$10)*1000)</f>
        <v>33443.663903053006</v>
      </c>
      <c r="Y156" s="111">
        <f>SUM(X$156,'Statistics NZ'!Y$156-'Statistics NZ'!X$156,$K$14/5*(Y$9-Y$10)*1000)</f>
        <v>34440.687037926065</v>
      </c>
      <c r="Z156" s="111">
        <f>SUM(Y$156,'Statistics NZ'!Z$156-'Statistics NZ'!Y$156,$K$14/5*(Z$9-Z$10)*1000)</f>
        <v>35000.305545824514</v>
      </c>
      <c r="AA156" s="111">
        <f>SUM(Z$156,'Statistics NZ'!AA$156-'Statistics NZ'!Z$156,$K$14/5*(AA$9-AA$10)*1000)</f>
        <v>35412.519426748353</v>
      </c>
      <c r="AB156" s="111">
        <f>SUM(AA$156,'Statistics NZ'!AB$156-'Statistics NZ'!AA$156,$K$14/5*(AB$9-AB$10)*1000)</f>
        <v>36387.328680697581</v>
      </c>
      <c r="AC156" s="111">
        <f>SUM(AB$156,'Statistics NZ'!AC$156-'Statistics NZ'!AB$156,$K$14/5*(AC$9-AC$10)*1000)</f>
        <v>38164.733307672192</v>
      </c>
      <c r="AD156" s="111">
        <f>SUM(AC$156,'Statistics NZ'!AD$156-'Statistics NZ'!AC$156,$K$14/5*(AD$9-AD$10)*1000)</f>
        <v>39504.733307672192</v>
      </c>
      <c r="AE156" s="111">
        <f>SUM(AD$156,'Statistics NZ'!AE$156-'Statistics NZ'!AD$156,$K$14/5*(AE$9-AE$10)*1000)</f>
        <v>40514.733307672192</v>
      </c>
      <c r="AF156" s="111">
        <f>SUM(AE$156,'Statistics NZ'!AF$156-'Statistics NZ'!AE$156,$K$14/5*(AF$9-AF$10)*1000)</f>
        <v>42424.733307672192</v>
      </c>
      <c r="AG156" s="111">
        <f>SUM(AF$156,'Statistics NZ'!AG$156-'Statistics NZ'!AF$156,$K$14/5*(AG$9-AG$10)*1000)</f>
        <v>43224.733307672192</v>
      </c>
      <c r="AH156" s="111">
        <f>SUM(AG$156,'Statistics NZ'!AH$156-'Statistics NZ'!AG$156,$K$14/5*(AH$9-AH$10)*1000)</f>
        <v>43374.733307672192</v>
      </c>
      <c r="AI156" s="111">
        <f>SUM(AH$156,'Statistics NZ'!AI$156-'Statistics NZ'!AH$156,$K$14/5*(AI$9-AI$10)*1000)</f>
        <v>42984.733307672192</v>
      </c>
      <c r="AJ156" s="111">
        <f>SUM(AI$156,'Statistics NZ'!AJ$156-'Statistics NZ'!AI$156,$K$14/5*(AJ$9-AJ$10)*1000)</f>
        <v>41734.733307672192</v>
      </c>
      <c r="AK156" s="111">
        <f>SUM(AJ$156,'Statistics NZ'!AK$156-'Statistics NZ'!AJ$156,$K$14/5*(AK$9-AK$10)*1000)</f>
        <v>41664.733307672192</v>
      </c>
      <c r="AL156" s="111">
        <f>SUM(AK$156,'Statistics NZ'!AL$156-'Statistics NZ'!AK$156,$K$14/5*(AL$9-AL$10)*1000)</f>
        <v>41464.733307672192</v>
      </c>
      <c r="AM156" s="111">
        <f>SUM(AL$156,'Statistics NZ'!AM$156-'Statistics NZ'!AL$156,$K$14/5*(AM$9-AM$10)*1000)</f>
        <v>40174.733307672192</v>
      </c>
      <c r="AN156" s="111">
        <f>SUM(AM$156,'Statistics NZ'!AN$156-'Statistics NZ'!AM$156,$K$14/5*(AN$9-AN$10)*1000)</f>
        <v>40054.733307672192</v>
      </c>
      <c r="AO156" s="111">
        <f>SUM(AN$156,'Statistics NZ'!AO$156-'Statistics NZ'!AN$156,$K$14/5*(AO$9-AO$10)*1000)</f>
        <v>39154.733307672192</v>
      </c>
      <c r="AP156" s="111">
        <f>SUM(AO$156,'Statistics NZ'!AP$156-'Statistics NZ'!AO$156,$K$14/5*(AP$9-AP$10)*1000)</f>
        <v>39884.733307672192</v>
      </c>
      <c r="AQ156" s="111">
        <f>SUM(AP$156,'Statistics NZ'!AQ$156-'Statistics NZ'!AP$156,$K$14/5*(AQ$9-AQ$10)*1000)</f>
        <v>39434.733307672192</v>
      </c>
      <c r="AR156" s="111">
        <f>SUM(AQ$156,'Statistics NZ'!AR$156-'Statistics NZ'!AQ$156,$K$14/5*(AR$9-AR$10)*1000)</f>
        <v>38124.733307672192</v>
      </c>
      <c r="AS156" s="111">
        <f>SUM(AR$156,'Statistics NZ'!AS$156-'Statistics NZ'!AR$156,$K$14/5*(AS$9-AS$10)*1000)</f>
        <v>38684.733307672192</v>
      </c>
      <c r="AT156" s="111">
        <f>SUM(AS$156,'Statistics NZ'!AT$156-'Statistics NZ'!AS$156,$K$14/5*(AT$9-AT$10)*1000)</f>
        <v>38944.733307672192</v>
      </c>
      <c r="AU156" s="111">
        <f>SUM(AT$156,'Statistics NZ'!AU$156-'Statistics NZ'!AT$156,$K$14/5*(AU$9-AU$10)*1000)</f>
        <v>39354.733307672192</v>
      </c>
      <c r="AV156" s="111">
        <f>SUM(AU$156,'Statistics NZ'!AV$156-'Statistics NZ'!AU$156,$K$14/5*(AV$9-AV$10)*1000)</f>
        <v>40374.733307672192</v>
      </c>
      <c r="AW156" s="111">
        <f>SUM(AV$156,'Statistics NZ'!AW$156-'Statistics NZ'!AV$156,$K$14/5*(AW$9-AW$10)*1000)</f>
        <v>42344.733307672192</v>
      </c>
      <c r="AX156" s="111">
        <f>SUM(AW$156,'Statistics NZ'!AX$156-'Statistics NZ'!AW$156,$K$14/5*(AX$9-AX$10)*1000)</f>
        <v>43414.733307672192</v>
      </c>
      <c r="AY156" s="111">
        <f>SUM(AX$156,'Statistics NZ'!AY$156-'Statistics NZ'!AX$156,$K$14/5*(AY$9-AY$10)*1000)</f>
        <v>43984.733307672192</v>
      </c>
      <c r="AZ156" s="111">
        <f>SUM(AY$156,'Statistics NZ'!AZ$156-'Statistics NZ'!AY$156,$K$14/5*(AZ$9-AZ$10)*1000)</f>
        <v>44474.733307672192</v>
      </c>
      <c r="BA156" s="111">
        <f>SUM(AZ$156,'Statistics NZ'!BA$156-'Statistics NZ'!AZ$156,$K$14/5*(BA$9-BA$10)*1000)</f>
        <v>44194.733307672192</v>
      </c>
      <c r="BB156" s="111">
        <f>SUM(BA$156,'Statistics NZ'!BB$156-'Statistics NZ'!BA$156,$K$14/5*(BB$9-BB$10)*1000)</f>
        <v>44044.733307672192</v>
      </c>
      <c r="BC156" s="111">
        <f>SUM(BB$156,'Statistics NZ'!BC$156-'Statistics NZ'!BB$156,$K$14/5*(BC$9-BC$10)*1000)</f>
        <v>43774.733307672192</v>
      </c>
      <c r="BD156" s="111">
        <f>SUM(BC$156,'Statistics NZ'!BD$156-'Statistics NZ'!BC$156,$K$14/5*(BD$9-BD$10)*1000)</f>
        <v>43434.733307672192</v>
      </c>
      <c r="BE156" s="111">
        <f>SUM(BD$156,'Statistics NZ'!BE$156-'Statistics NZ'!BD$156,$K$14/5*(BE$9-BE$10)*1000)</f>
        <v>43374.733307672192</v>
      </c>
      <c r="BF156" s="111">
        <f>SUM(BE$156,'Statistics NZ'!BF$156-'Statistics NZ'!BE$156,$K$14/5*(BF$9-BF$10)*1000)</f>
        <v>43084.733307672192</v>
      </c>
      <c r="BG156" s="111">
        <f>SUM(BF$156,'Statistics NZ'!BG$156-'Statistics NZ'!BF$156,$K$14/5*(BG$9-BG$10)*1000)</f>
        <v>42854.733307672192</v>
      </c>
      <c r="BH156" s="111">
        <f>SUM(BG$156,'Statistics NZ'!BH$156-'Statistics NZ'!BG$156,$K$14/5*(BH$9-BH$10)*1000)</f>
        <v>42174.733307672192</v>
      </c>
      <c r="BI156" s="111">
        <f>SUM(BH$156,'Statistics NZ'!BI$156-'Statistics NZ'!BH$156,$K$14/5*(BI$9-BI$10)*1000)</f>
        <v>42154.733307672192</v>
      </c>
      <c r="BJ156" s="111">
        <f>SUM(BI$156,'Statistics NZ'!BJ$156-'Statistics NZ'!BI$156,$K$14/5*(BJ$9-BJ$10)*1000)</f>
        <v>41534.733307672192</v>
      </c>
      <c r="BK156" s="111">
        <f>SUM(BJ$156,'Statistics NZ'!BK$156-'Statistics NZ'!BJ$156,$K$14/5*(BK$9-BK$10)*1000)</f>
        <v>41364.733307672192</v>
      </c>
      <c r="BL156" s="111">
        <f>SUM(BK$156,'Statistics NZ'!BL$156-'Statistics NZ'!BK$156,$K$14/5*(BL$9-BL$10)*1000)</f>
        <v>41334.733307672192</v>
      </c>
      <c r="BM156" s="195">
        <f>SUM(BL$156,'Statistics NZ'!BM$156-'Statistics NZ'!BL$156,$K$14/5*(BM$9-BM$10)*1000)</f>
        <v>41284.733307672192</v>
      </c>
      <c r="BN156" s="195">
        <f>SUM(BM$156,'Statistics NZ'!BN$156-'Statistics NZ'!BM$156,$K$14/5*(BN$9-BN$10)*1000)</f>
        <v>41204.733307672192</v>
      </c>
      <c r="BO156" s="195">
        <f>SUM(BN$156,'Statistics NZ'!BO$156-'Statistics NZ'!BN$156,$K$14/5*(BO$9-BO$10)*1000)</f>
        <v>41334.733307672192</v>
      </c>
      <c r="BP156" s="195">
        <f>SUM(BO$156,'Statistics NZ'!BP$156-'Statistics NZ'!BO$156,$K$14/5*(BP$9-BP$10)*1000)</f>
        <v>41424.733307672192</v>
      </c>
      <c r="BQ156" s="195">
        <f>SUM(BP$156,'Statistics NZ'!BQ$156-'Statistics NZ'!BP$156,$K$14/5*(BQ$9-BQ$10)*1000)</f>
        <v>41494.733307672192</v>
      </c>
    </row>
    <row r="157" spans="1:69">
      <c r="A157" s="105">
        <f>$A$64</f>
        <v>47</v>
      </c>
      <c r="B157" s="118">
        <f>'Statistics NZ'!B$157*'Economic Forecasts'!D$9*1000000/SUM('Statistics NZ'!B$32:B$107,'Statistics NZ'!B$125:B$200)</f>
        <v>29631.581399864088</v>
      </c>
      <c r="C157" s="118">
        <f>'Statistics NZ'!C$157*'Economic Forecasts'!E$9*1000000/SUM('Statistics NZ'!C$32:C$107,'Statistics NZ'!C$125:C$200)</f>
        <v>30038.536110377609</v>
      </c>
      <c r="D157" s="118">
        <f>'Statistics NZ'!D$157*'Economic Forecasts'!F$9*1000000/SUM('Statistics NZ'!D$32:D$107,'Statistics NZ'!D$125:D$200)</f>
        <v>30820.037839155353</v>
      </c>
      <c r="E157" s="118">
        <f>'Statistics NZ'!E$157*'Economic Forecasts'!G$9*1000000/SUM('Statistics NZ'!E$32:E$107,'Statistics NZ'!E$125:E$200)</f>
        <v>31475.821639722111</v>
      </c>
      <c r="F157" s="118">
        <f>'Statistics NZ'!F$157*'Economic Forecasts'!H$9*1000000/SUM('Statistics NZ'!F$32:F$107,'Statistics NZ'!F$125:F$200)</f>
        <v>31249.341036969901</v>
      </c>
      <c r="G157" s="118">
        <f>'Statistics NZ'!G$157*'Economic Forecasts'!I$9*1000000/SUM('Statistics NZ'!G$32:G$107,'Statistics NZ'!G$125:G$200)</f>
        <v>30839.501793703897</v>
      </c>
      <c r="H157" s="118">
        <f>'Statistics NZ'!H$157*'Economic Forecasts'!J$9*1000000/SUM('Statistics NZ'!H$32:H$107,'Statistics NZ'!H$125:H$200)</f>
        <v>29696.737722866532</v>
      </c>
      <c r="I157" s="118">
        <f>'Statistics NZ'!I$157*'Economic Forecasts'!K$9*1000000/SUM('Statistics NZ'!I$32:I$107,'Statistics NZ'!I$125:I$200)</f>
        <v>29208.000883024695</v>
      </c>
      <c r="J157" s="203">
        <f>'Statistics NZ'!J$157*'Economic Forecasts'!L$9*1000000/SUM('Statistics NZ'!J$32:J$107,'Statistics NZ'!J$125:J$200)</f>
        <v>29259.250317662008</v>
      </c>
      <c r="K157" s="203">
        <f>'Statistics NZ'!K$157*'Economic Forecasts'!M$9*1000000/SUM('Statistics NZ'!K$32:K$107,'Statistics NZ'!K$125:K$200)</f>
        <v>30045.807050846357</v>
      </c>
      <c r="L157" s="203">
        <f>'Statistics NZ'!L$157*'Economic Forecasts'!N$9*1000000/SUM('Statistics NZ'!L$32:L$107,'Statistics NZ'!L$125:L$200)</f>
        <v>31004.102823964105</v>
      </c>
      <c r="M157" s="203">
        <f>'Statistics NZ'!M$157*'Economic Forecasts'!O$9*1000000/SUM('Statistics NZ'!M$32:M$107,'Statistics NZ'!M$125:M$200)</f>
        <v>31432.55431557984</v>
      </c>
      <c r="N157" s="203">
        <f>'Statistics NZ'!N$157*'Economic Forecasts'!P$9*1000000/SUM('Statistics NZ'!N$32:N$107,'Statistics NZ'!N$125:N$200)</f>
        <v>32566.022275499985</v>
      </c>
      <c r="O157" s="203">
        <f>'Statistics NZ'!O$157*'Economic Forecasts'!Q$9*1000000/SUM('Statistics NZ'!O$32:O$107,'Statistics NZ'!O$125:O$200)</f>
        <v>32891.590165116082</v>
      </c>
      <c r="P157" s="203">
        <f>'Statistics NZ'!P$157*'Economic Forecasts'!R$9*1000000/SUM('Statistics NZ'!P$32:P$107,'Statistics NZ'!P$125:P$200)</f>
        <v>32403.799881256735</v>
      </c>
      <c r="Q157" s="121">
        <f>SUM('Statistics NZ'!Q$157,$K$14/5*(Q$9-Q$10)*1000)*'Economic Forecasts'!S$9*1000000/SUM('Statistics NZ'!Q$32:Q$107,'Statistics NZ'!Q$125:Q$200,SUM($E$13:$Q$14)*(Q$9-Q$10)*1000)</f>
        <v>31283.574687861219</v>
      </c>
      <c r="R157" s="205">
        <f>SUM('Statistics NZ'!R$157,$K$14/5*(R$9-R$10)*1000)*'Economic Forecasts'!T$9*1000000/SUM('Statistics NZ'!R$32:R$107,'Statistics NZ'!R$125:R$200,SUM($E$13:$Q$14)*(R$9-R$10)*1000)</f>
        <v>30437.202136218777</v>
      </c>
      <c r="S157" s="205">
        <f>SUM('Statistics NZ'!S$157,$K$14/5*(S$9-S$10)*1000)*'Economic Forecasts'!U$9*1000000/SUM('Statistics NZ'!S$32:S$107,'Statistics NZ'!S$125:S$200,SUM($E$13:$Q$14)*(S$9-S$10)*1000)</f>
        <v>30012.55987420792</v>
      </c>
      <c r="T157" s="205">
        <f>SUM('Statistics NZ'!T$157,$K$14/5*(T$9-T$10)*1000)*'Economic Forecasts'!V$9*1000000/SUM('Statistics NZ'!T$32:T$107,'Statistics NZ'!T$125:T$200,SUM($E$13:$Q$14)*(T$9-T$10)*1000)</f>
        <v>30207.910428682604</v>
      </c>
      <c r="U157" s="205">
        <f>SUM('Statistics NZ'!U$157,$K$14/5*(U$9-U$10)*1000)*'Economic Forecasts'!W$9*1000000/SUM('Statistics NZ'!U$32:U$107,'Statistics NZ'!U$125:U$200,SUM($E$13:$Q$14)*(U$9-U$10)*1000)</f>
        <v>29950.032965006721</v>
      </c>
      <c r="V157" s="111">
        <f>SUM(U$157,'Statistics NZ'!V$157-'Statistics NZ'!U$157,$K$14/5*(V$9-V$10)*1000)</f>
        <v>31089.269980803623</v>
      </c>
      <c r="W157" s="111">
        <f>SUM(V$157,'Statistics NZ'!W$157-'Statistics NZ'!V$157,$K$14/5*(W$9-W$10)*1000)</f>
        <v>31901.102369625911</v>
      </c>
      <c r="X157" s="111">
        <f>SUM(W$157,'Statistics NZ'!X$157-'Statistics NZ'!W$157,$K$14/5*(X$9-X$10)*1000)</f>
        <v>32625.530131473584</v>
      </c>
      <c r="Y157" s="111">
        <f>SUM(X$157,'Statistics NZ'!Y$157-'Statistics NZ'!X$157,$K$14/5*(Y$9-Y$10)*1000)</f>
        <v>33482.553266346644</v>
      </c>
      <c r="Z157" s="111">
        <f>SUM(Y$157,'Statistics NZ'!Z$157-'Statistics NZ'!Y$157,$K$14/5*(Z$9-Z$10)*1000)</f>
        <v>34472.171774245093</v>
      </c>
      <c r="AA157" s="111">
        <f>SUM(Z$157,'Statistics NZ'!AA$157-'Statistics NZ'!Z$157,$K$14/5*(AA$9-AA$10)*1000)</f>
        <v>35024.385655168931</v>
      </c>
      <c r="AB157" s="111">
        <f>SUM(AA$157,'Statistics NZ'!AB$157-'Statistics NZ'!AA$157,$K$14/5*(AB$9-AB$10)*1000)</f>
        <v>35419.19490911816</v>
      </c>
      <c r="AC157" s="111">
        <f>SUM(AB$157,'Statistics NZ'!AC$157-'Statistics NZ'!AB$157,$K$14/5*(AC$9-AC$10)*1000)</f>
        <v>36386.59953609277</v>
      </c>
      <c r="AD157" s="111">
        <f>SUM(AC$157,'Statistics NZ'!AD$157-'Statistics NZ'!AC$157,$K$14/5*(AD$9-AD$10)*1000)</f>
        <v>38156.59953609277</v>
      </c>
      <c r="AE157" s="111">
        <f>SUM(AD$157,'Statistics NZ'!AE$157-'Statistics NZ'!AD$157,$K$14/5*(AE$9-AE$10)*1000)</f>
        <v>39496.59953609277</v>
      </c>
      <c r="AF157" s="111">
        <f>SUM(AE$157,'Statistics NZ'!AF$157-'Statistics NZ'!AE$157,$K$14/5*(AF$9-AF$10)*1000)</f>
        <v>40506.59953609277</v>
      </c>
      <c r="AG157" s="111">
        <f>SUM(AF$157,'Statistics NZ'!AG$157-'Statistics NZ'!AF$157,$K$14/5*(AG$9-AG$10)*1000)</f>
        <v>42416.59953609277</v>
      </c>
      <c r="AH157" s="111">
        <f>SUM(AG$157,'Statistics NZ'!AH$157-'Statistics NZ'!AG$157,$K$14/5*(AH$9-AH$10)*1000)</f>
        <v>43216.59953609277</v>
      </c>
      <c r="AI157" s="111">
        <f>SUM(AH$157,'Statistics NZ'!AI$157-'Statistics NZ'!AH$157,$K$14/5*(AI$9-AI$10)*1000)</f>
        <v>43366.59953609277</v>
      </c>
      <c r="AJ157" s="111">
        <f>SUM(AI$157,'Statistics NZ'!AJ$157-'Statistics NZ'!AI$157,$K$14/5*(AJ$9-AJ$10)*1000)</f>
        <v>42976.59953609277</v>
      </c>
      <c r="AK157" s="111">
        <f>SUM(AJ$157,'Statistics NZ'!AK$157-'Statistics NZ'!AJ$157,$K$14/5*(AK$9-AK$10)*1000)</f>
        <v>41736.59953609277</v>
      </c>
      <c r="AL157" s="111">
        <f>SUM(AK$157,'Statistics NZ'!AL$157-'Statistics NZ'!AK$157,$K$14/5*(AL$9-AL$10)*1000)</f>
        <v>41666.59953609277</v>
      </c>
      <c r="AM157" s="111">
        <f>SUM(AL$157,'Statistics NZ'!AM$157-'Statistics NZ'!AL$157,$K$14/5*(AM$9-AM$10)*1000)</f>
        <v>41456.59953609277</v>
      </c>
      <c r="AN157" s="111">
        <f>SUM(AM$157,'Statistics NZ'!AN$157-'Statistics NZ'!AM$157,$K$14/5*(AN$9-AN$10)*1000)</f>
        <v>40176.59953609277</v>
      </c>
      <c r="AO157" s="111">
        <f>SUM(AN$157,'Statistics NZ'!AO$157-'Statistics NZ'!AN$157,$K$14/5*(AO$9-AO$10)*1000)</f>
        <v>40056.59953609277</v>
      </c>
      <c r="AP157" s="111">
        <f>SUM(AO$157,'Statistics NZ'!AP$157-'Statistics NZ'!AO$157,$K$14/5*(AP$9-AP$10)*1000)</f>
        <v>39156.59953609277</v>
      </c>
      <c r="AQ157" s="111">
        <f>SUM(AP$157,'Statistics NZ'!AQ$157-'Statistics NZ'!AP$157,$K$14/5*(AQ$9-AQ$10)*1000)</f>
        <v>39886.59953609277</v>
      </c>
      <c r="AR157" s="111">
        <f>SUM(AQ$157,'Statistics NZ'!AR$157-'Statistics NZ'!AQ$157,$K$14/5*(AR$9-AR$10)*1000)</f>
        <v>39436.59953609277</v>
      </c>
      <c r="AS157" s="111">
        <f>SUM(AR$157,'Statistics NZ'!AS$157-'Statistics NZ'!AR$157,$K$14/5*(AS$9-AS$10)*1000)</f>
        <v>38136.59953609277</v>
      </c>
      <c r="AT157" s="111">
        <f>SUM(AS$157,'Statistics NZ'!AT$157-'Statistics NZ'!AS$157,$K$14/5*(AT$9-AT$10)*1000)</f>
        <v>38686.59953609277</v>
      </c>
      <c r="AU157" s="111">
        <f>SUM(AT$157,'Statistics NZ'!AU$157-'Statistics NZ'!AT$157,$K$14/5*(AU$9-AU$10)*1000)</f>
        <v>38956.59953609277</v>
      </c>
      <c r="AV157" s="111">
        <f>SUM(AU$157,'Statistics NZ'!AV$157-'Statistics NZ'!AU$157,$K$14/5*(AV$9-AV$10)*1000)</f>
        <v>39366.59953609277</v>
      </c>
      <c r="AW157" s="111">
        <f>SUM(AV$157,'Statistics NZ'!AW$157-'Statistics NZ'!AV$157,$K$14/5*(AW$9-AW$10)*1000)</f>
        <v>40386.59953609277</v>
      </c>
      <c r="AX157" s="111">
        <f>SUM(AW$157,'Statistics NZ'!AX$157-'Statistics NZ'!AW$157,$K$14/5*(AX$9-AX$10)*1000)</f>
        <v>42346.59953609277</v>
      </c>
      <c r="AY157" s="111">
        <f>SUM(AX$157,'Statistics NZ'!AY$157-'Statistics NZ'!AX$157,$K$14/5*(AY$9-AY$10)*1000)</f>
        <v>43416.59953609277</v>
      </c>
      <c r="AZ157" s="111">
        <f>SUM(AY$157,'Statistics NZ'!AZ$157-'Statistics NZ'!AY$157,$K$14/5*(AZ$9-AZ$10)*1000)</f>
        <v>43996.59953609277</v>
      </c>
      <c r="BA157" s="111">
        <f>SUM(AZ$157,'Statistics NZ'!BA$157-'Statistics NZ'!AZ$157,$K$14/5*(BA$9-BA$10)*1000)</f>
        <v>44476.59953609277</v>
      </c>
      <c r="BB157" s="111">
        <f>SUM(BA$157,'Statistics NZ'!BB$157-'Statistics NZ'!BA$157,$K$14/5*(BB$9-BB$10)*1000)</f>
        <v>44206.59953609277</v>
      </c>
      <c r="BC157" s="111">
        <f>SUM(BB$157,'Statistics NZ'!BC$157-'Statistics NZ'!BB$157,$K$14/5*(BC$9-BC$10)*1000)</f>
        <v>44056.59953609277</v>
      </c>
      <c r="BD157" s="111">
        <f>SUM(BC$157,'Statistics NZ'!BD$157-'Statistics NZ'!BC$157,$K$14/5*(BD$9-BD$10)*1000)</f>
        <v>43786.59953609277</v>
      </c>
      <c r="BE157" s="111">
        <f>SUM(BD$157,'Statistics NZ'!BE$157-'Statistics NZ'!BD$157,$K$14/5*(BE$9-BE$10)*1000)</f>
        <v>43446.59953609277</v>
      </c>
      <c r="BF157" s="111">
        <f>SUM(BE$157,'Statistics NZ'!BF$157-'Statistics NZ'!BE$157,$K$14/5*(BF$9-BF$10)*1000)</f>
        <v>43386.59953609277</v>
      </c>
      <c r="BG157" s="111">
        <f>SUM(BF$157,'Statistics NZ'!BG$157-'Statistics NZ'!BF$157,$K$14/5*(BG$9-BG$10)*1000)</f>
        <v>43096.59953609277</v>
      </c>
      <c r="BH157" s="111">
        <f>SUM(BG$157,'Statistics NZ'!BH$157-'Statistics NZ'!BG$157,$K$14/5*(BH$9-BH$10)*1000)</f>
        <v>42866.59953609277</v>
      </c>
      <c r="BI157" s="111">
        <f>SUM(BH$157,'Statistics NZ'!BI$157-'Statistics NZ'!BH$157,$K$14/5*(BI$9-BI$10)*1000)</f>
        <v>42186.59953609277</v>
      </c>
      <c r="BJ157" s="111">
        <f>SUM(BI$157,'Statistics NZ'!BJ$157-'Statistics NZ'!BI$157,$K$14/5*(BJ$9-BJ$10)*1000)</f>
        <v>42176.59953609277</v>
      </c>
      <c r="BK157" s="111">
        <f>SUM(BJ$157,'Statistics NZ'!BK$157-'Statistics NZ'!BJ$157,$K$14/5*(BK$9-BK$10)*1000)</f>
        <v>41556.59953609277</v>
      </c>
      <c r="BL157" s="111">
        <f>SUM(BK$157,'Statistics NZ'!BL$157-'Statistics NZ'!BK$157,$K$14/5*(BL$9-BL$10)*1000)</f>
        <v>41386.59953609277</v>
      </c>
      <c r="BM157" s="195">
        <f>SUM(BL$157,'Statistics NZ'!BM$157-'Statistics NZ'!BL$157,$K$14/5*(BM$9-BM$10)*1000)</f>
        <v>41356.59953609277</v>
      </c>
      <c r="BN157" s="195">
        <f>SUM(BM$157,'Statistics NZ'!BN$157-'Statistics NZ'!BM$157,$K$14/5*(BN$9-BN$10)*1000)</f>
        <v>41306.59953609277</v>
      </c>
      <c r="BO157" s="195">
        <f>SUM(BN$157,'Statistics NZ'!BO$157-'Statistics NZ'!BN$157,$K$14/5*(BO$9-BO$10)*1000)</f>
        <v>41226.59953609277</v>
      </c>
      <c r="BP157" s="195">
        <f>SUM(BO$157,'Statistics NZ'!BP$157-'Statistics NZ'!BO$157,$K$14/5*(BP$9-BP$10)*1000)</f>
        <v>41356.59953609277</v>
      </c>
      <c r="BQ157" s="195">
        <f>SUM(BP$157,'Statistics NZ'!BQ$157-'Statistics NZ'!BP$157,$K$14/5*(BQ$9-BQ$10)*1000)</f>
        <v>41446.59953609277</v>
      </c>
    </row>
    <row r="158" spans="1:69">
      <c r="A158" s="105">
        <f>$A$65</f>
        <v>48</v>
      </c>
      <c r="B158" s="118">
        <f>'Statistics NZ'!B$158*'Economic Forecasts'!D$9*1000000/SUM('Statistics NZ'!B$32:B$107,'Statistics NZ'!B$125:B$200)</f>
        <v>28183.495473740415</v>
      </c>
      <c r="C158" s="118">
        <f>'Statistics NZ'!C$158*'Economic Forecasts'!E$9*1000000/SUM('Statistics NZ'!C$32:C$107,'Statistics NZ'!C$125:C$200)</f>
        <v>29585.049841563243</v>
      </c>
      <c r="D158" s="118">
        <f>'Statistics NZ'!D$158*'Economic Forecasts'!F$9*1000000/SUM('Statistics NZ'!D$32:D$107,'Statistics NZ'!D$125:D$200)</f>
        <v>29903.420148384183</v>
      </c>
      <c r="E158" s="118">
        <f>'Statistics NZ'!E$158*'Economic Forecasts'!G$9*1000000/SUM('Statistics NZ'!E$32:E$107,'Statistics NZ'!E$125:E$200)</f>
        <v>30766.729287387949</v>
      </c>
      <c r="F158" s="118">
        <f>'Statistics NZ'!F$158*'Economic Forecasts'!H$9*1000000/SUM('Statistics NZ'!F$32:F$107,'Statistics NZ'!F$125:F$200)</f>
        <v>31416.818589816205</v>
      </c>
      <c r="G158" s="118">
        <f>'Statistics NZ'!G$158*'Economic Forecasts'!I$9*1000000/SUM('Statistics NZ'!G$32:G$107,'Statistics NZ'!G$125:G$200)</f>
        <v>31066.11794106977</v>
      </c>
      <c r="H158" s="118">
        <f>'Statistics NZ'!H$158*'Economic Forecasts'!J$9*1000000/SUM('Statistics NZ'!H$32:H$107,'Statistics NZ'!H$125:H$200)</f>
        <v>30642.305491156803</v>
      </c>
      <c r="I158" s="118">
        <f>'Statistics NZ'!I$158*'Economic Forecasts'!K$9*1000000/SUM('Statistics NZ'!I$32:I$107,'Statistics NZ'!I$125:I$200)</f>
        <v>29522.911943758114</v>
      </c>
      <c r="J158" s="203">
        <f>'Statistics NZ'!J$158*'Economic Forecasts'!L$9*1000000/SUM('Statistics NZ'!J$32:J$107,'Statistics NZ'!J$125:J$200)</f>
        <v>29377.191534931724</v>
      </c>
      <c r="K158" s="203">
        <f>'Statistics NZ'!K$158*'Economic Forecasts'!M$9*1000000/SUM('Statistics NZ'!K$32:K$107,'Statistics NZ'!K$125:K$200)</f>
        <v>29544.716089566708</v>
      </c>
      <c r="L158" s="203">
        <f>'Statistics NZ'!L$158*'Economic Forecasts'!N$9*1000000/SUM('Statistics NZ'!L$32:L$107,'Statistics NZ'!L$125:L$200)</f>
        <v>30551.056848772758</v>
      </c>
      <c r="M158" s="203">
        <f>'Statistics NZ'!M$158*'Economic Forecasts'!O$9*1000000/SUM('Statistics NZ'!M$32:M$107,'Statistics NZ'!M$125:M$200)</f>
        <v>31412.853560759675</v>
      </c>
      <c r="N158" s="203">
        <f>'Statistics NZ'!N$158*'Economic Forecasts'!P$9*1000000/SUM('Statistics NZ'!N$32:N$107,'Statistics NZ'!N$125:N$200)</f>
        <v>31865.359371996805</v>
      </c>
      <c r="O158" s="203">
        <f>'Statistics NZ'!O$158*'Economic Forecasts'!Q$9*1000000/SUM('Statistics NZ'!O$32:O$107,'Statistics NZ'!O$125:O$200)</f>
        <v>32822.510917844622</v>
      </c>
      <c r="P158" s="203">
        <f>'Statistics NZ'!P$158*'Economic Forecasts'!R$9*1000000/SUM('Statistics NZ'!P$32:P$107,'Statistics NZ'!P$125:P$200)</f>
        <v>33262.767154160247</v>
      </c>
      <c r="Q158" s="121">
        <f>SUM('Statistics NZ'!Q$158,$K$14/5*(Q$9-Q$10)*1000)*'Economic Forecasts'!S$9*1000000/SUM('Statistics NZ'!Q$32:Q$107,'Statistics NZ'!Q$125:Q$200,SUM($E$13:$Q$14)*(Q$9-Q$10)*1000)</f>
        <v>32460.059039675849</v>
      </c>
      <c r="R158" s="205">
        <f>SUM('Statistics NZ'!R$158,$K$14/5*(R$9-R$10)*1000)*'Economic Forecasts'!T$9*1000000/SUM('Statistics NZ'!R$32:R$107,'Statistics NZ'!R$125:R$200,SUM($E$13:$Q$14)*(R$9-R$10)*1000)</f>
        <v>31336.753434797425</v>
      </c>
      <c r="S158" s="205">
        <f>SUM('Statistics NZ'!S$158,$K$14/5*(S$9-S$10)*1000)*'Economic Forecasts'!U$9*1000000/SUM('Statistics NZ'!S$32:S$107,'Statistics NZ'!S$125:S$200,SUM($E$13:$Q$14)*(S$9-S$10)*1000)</f>
        <v>30516.434570674064</v>
      </c>
      <c r="T158" s="205">
        <f>SUM('Statistics NZ'!T$158,$K$14/5*(T$9-T$10)*1000)*'Economic Forecasts'!V$9*1000000/SUM('Statistics NZ'!T$32:T$107,'Statistics NZ'!T$125:T$200,SUM($E$13:$Q$14)*(T$9-T$10)*1000)</f>
        <v>29990.566174305841</v>
      </c>
      <c r="U158" s="205">
        <f>SUM('Statistics NZ'!U$158,$K$14/5*(U$9-U$10)*1000)*'Economic Forecasts'!W$9*1000000/SUM('Statistics NZ'!U$32:U$107,'Statistics NZ'!U$125:U$200,SUM($E$13:$Q$14)*(U$9-U$10)*1000)</f>
        <v>30236.904595695843</v>
      </c>
      <c r="V158" s="111">
        <f>SUM(U$158,'Statistics NZ'!V$158-'Statistics NZ'!U$158,$K$14/5*(V$9-V$10)*1000)</f>
        <v>29966.141611492745</v>
      </c>
      <c r="W158" s="111">
        <f>SUM(V$158,'Statistics NZ'!W$158-'Statistics NZ'!V$158,$K$14/5*(W$9-W$10)*1000)</f>
        <v>31097.974000315033</v>
      </c>
      <c r="X158" s="111">
        <f>SUM(W$158,'Statistics NZ'!X$158-'Statistics NZ'!W$158,$K$14/5*(X$9-X$10)*1000)</f>
        <v>31902.401762162706</v>
      </c>
      <c r="Y158" s="111">
        <f>SUM(X$158,'Statistics NZ'!Y$158-'Statistics NZ'!X$158,$K$14/5*(Y$9-Y$10)*1000)</f>
        <v>32619.424897035769</v>
      </c>
      <c r="Z158" s="111">
        <f>SUM(Y$158,'Statistics NZ'!Z$158-'Statistics NZ'!Y$158,$K$14/5*(Z$9-Z$10)*1000)</f>
        <v>33459.043404934222</v>
      </c>
      <c r="AA158" s="111">
        <f>SUM(Z$158,'Statistics NZ'!AA$158-'Statistics NZ'!Z$158,$K$14/5*(AA$9-AA$10)*1000)</f>
        <v>34451.257285858061</v>
      </c>
      <c r="AB158" s="111">
        <f>SUM(AA$158,'Statistics NZ'!AB$158-'Statistics NZ'!AA$158,$K$14/5*(AB$9-AB$10)*1000)</f>
        <v>34996.066539807289</v>
      </c>
      <c r="AC158" s="111">
        <f>SUM(AB$158,'Statistics NZ'!AC$158-'Statistics NZ'!AB$158,$K$14/5*(AC$9-AC$10)*1000)</f>
        <v>35383.471166781899</v>
      </c>
      <c r="AD158" s="111">
        <f>SUM(AC$158,'Statistics NZ'!AD$158-'Statistics NZ'!AC$158,$K$14/5*(AD$9-AD$10)*1000)</f>
        <v>36343.471166781899</v>
      </c>
      <c r="AE158" s="111">
        <f>SUM(AD$158,'Statistics NZ'!AE$158-'Statistics NZ'!AD$158,$K$14/5*(AE$9-AE$10)*1000)</f>
        <v>38113.471166781899</v>
      </c>
      <c r="AF158" s="111">
        <f>SUM(AE$158,'Statistics NZ'!AF$158-'Statistics NZ'!AE$158,$K$14/5*(AF$9-AF$10)*1000)</f>
        <v>39453.471166781899</v>
      </c>
      <c r="AG158" s="111">
        <f>SUM(AF$158,'Statistics NZ'!AG$158-'Statistics NZ'!AF$158,$K$14/5*(AG$9-AG$10)*1000)</f>
        <v>40463.471166781899</v>
      </c>
      <c r="AH158" s="111">
        <f>SUM(AG$158,'Statistics NZ'!AH$158-'Statistics NZ'!AG$158,$K$14/5*(AH$9-AH$10)*1000)</f>
        <v>42363.471166781899</v>
      </c>
      <c r="AI158" s="111">
        <f>SUM(AH$158,'Statistics NZ'!AI$158-'Statistics NZ'!AH$158,$K$14/5*(AI$9-AI$10)*1000)</f>
        <v>43163.471166781899</v>
      </c>
      <c r="AJ158" s="111">
        <f>SUM(AI$158,'Statistics NZ'!AJ$158-'Statistics NZ'!AI$158,$K$14/5*(AJ$9-AJ$10)*1000)</f>
        <v>43313.471166781899</v>
      </c>
      <c r="AK158" s="111">
        <f>SUM(AJ$158,'Statistics NZ'!AK$158-'Statistics NZ'!AJ$158,$K$14/5*(AK$9-AK$10)*1000)</f>
        <v>42923.471166781899</v>
      </c>
      <c r="AL158" s="111">
        <f>SUM(AK$158,'Statistics NZ'!AL$158-'Statistics NZ'!AK$158,$K$14/5*(AL$9-AL$10)*1000)</f>
        <v>41693.471166781899</v>
      </c>
      <c r="AM158" s="111">
        <f>SUM(AL$158,'Statistics NZ'!AM$158-'Statistics NZ'!AL$158,$K$14/5*(AM$9-AM$10)*1000)</f>
        <v>41613.471166781899</v>
      </c>
      <c r="AN158" s="111">
        <f>SUM(AM$158,'Statistics NZ'!AN$158-'Statistics NZ'!AM$158,$K$14/5*(AN$9-AN$10)*1000)</f>
        <v>41413.471166781899</v>
      </c>
      <c r="AO158" s="111">
        <f>SUM(AN$158,'Statistics NZ'!AO$158-'Statistics NZ'!AN$158,$K$14/5*(AO$9-AO$10)*1000)</f>
        <v>40133.471166781899</v>
      </c>
      <c r="AP158" s="111">
        <f>SUM(AO$158,'Statistics NZ'!AP$158-'Statistics NZ'!AO$158,$K$14/5*(AP$9-AP$10)*1000)</f>
        <v>40013.471166781899</v>
      </c>
      <c r="AQ158" s="111">
        <f>SUM(AP$158,'Statistics NZ'!AQ$158-'Statistics NZ'!AP$158,$K$14/5*(AQ$9-AQ$10)*1000)</f>
        <v>39123.471166781899</v>
      </c>
      <c r="AR158" s="111">
        <f>SUM(AQ$158,'Statistics NZ'!AR$158-'Statistics NZ'!AQ$158,$K$14/5*(AR$9-AR$10)*1000)</f>
        <v>39853.471166781899</v>
      </c>
      <c r="AS158" s="111">
        <f>SUM(AR$158,'Statistics NZ'!AS$158-'Statistics NZ'!AR$158,$K$14/5*(AS$9-AS$10)*1000)</f>
        <v>39403.471166781899</v>
      </c>
      <c r="AT158" s="111">
        <f>SUM(AS$158,'Statistics NZ'!AT$158-'Statistics NZ'!AS$158,$K$14/5*(AT$9-AT$10)*1000)</f>
        <v>38103.471166781899</v>
      </c>
      <c r="AU158" s="111">
        <f>SUM(AT$158,'Statistics NZ'!AU$158-'Statistics NZ'!AT$158,$K$14/5*(AU$9-AU$10)*1000)</f>
        <v>38653.471166781899</v>
      </c>
      <c r="AV158" s="111">
        <f>SUM(AU$158,'Statistics NZ'!AV$158-'Statistics NZ'!AU$158,$K$14/5*(AV$9-AV$10)*1000)</f>
        <v>38923.471166781899</v>
      </c>
      <c r="AW158" s="111">
        <f>SUM(AV$158,'Statistics NZ'!AW$158-'Statistics NZ'!AV$158,$K$14/5*(AW$9-AW$10)*1000)</f>
        <v>39333.471166781899</v>
      </c>
      <c r="AX158" s="111">
        <f>SUM(AW$158,'Statistics NZ'!AX$158-'Statistics NZ'!AW$158,$K$14/5*(AX$9-AX$10)*1000)</f>
        <v>40343.471166781899</v>
      </c>
      <c r="AY158" s="111">
        <f>SUM(AX$158,'Statistics NZ'!AY$158-'Statistics NZ'!AX$158,$K$14/5*(AY$9-AY$10)*1000)</f>
        <v>42313.471166781899</v>
      </c>
      <c r="AZ158" s="111">
        <f>SUM(AY$158,'Statistics NZ'!AZ$158-'Statistics NZ'!AY$158,$K$14/5*(AZ$9-AZ$10)*1000)</f>
        <v>43383.471166781899</v>
      </c>
      <c r="BA158" s="111">
        <f>SUM(AZ$158,'Statistics NZ'!BA$158-'Statistics NZ'!AZ$158,$K$14/5*(BA$9-BA$10)*1000)</f>
        <v>43953.471166781899</v>
      </c>
      <c r="BB158" s="111">
        <f>SUM(BA$158,'Statistics NZ'!BB$158-'Statistics NZ'!BA$158,$K$14/5*(BB$9-BB$10)*1000)</f>
        <v>44443.471166781899</v>
      </c>
      <c r="BC158" s="111">
        <f>SUM(BB$158,'Statistics NZ'!BC$158-'Statistics NZ'!BB$158,$K$14/5*(BC$9-BC$10)*1000)</f>
        <v>44173.471166781899</v>
      </c>
      <c r="BD158" s="111">
        <f>SUM(BC$158,'Statistics NZ'!BD$158-'Statistics NZ'!BC$158,$K$14/5*(BD$9-BD$10)*1000)</f>
        <v>44023.471166781899</v>
      </c>
      <c r="BE158" s="111">
        <f>SUM(BD$158,'Statistics NZ'!BE$158-'Statistics NZ'!BD$158,$K$14/5*(BE$9-BE$10)*1000)</f>
        <v>43753.471166781899</v>
      </c>
      <c r="BF158" s="111">
        <f>SUM(BE$158,'Statistics NZ'!BF$158-'Statistics NZ'!BE$158,$K$14/5*(BF$9-BF$10)*1000)</f>
        <v>43413.471166781899</v>
      </c>
      <c r="BG158" s="111">
        <f>SUM(BF$158,'Statistics NZ'!BG$158-'Statistics NZ'!BF$158,$K$14/5*(BG$9-BG$10)*1000)</f>
        <v>43353.471166781899</v>
      </c>
      <c r="BH158" s="111">
        <f>SUM(BG$158,'Statistics NZ'!BH$158-'Statistics NZ'!BG$158,$K$14/5*(BH$9-BH$10)*1000)</f>
        <v>43063.471166781899</v>
      </c>
      <c r="BI158" s="111">
        <f>SUM(BH$158,'Statistics NZ'!BI$158-'Statistics NZ'!BH$158,$K$14/5*(BI$9-BI$10)*1000)</f>
        <v>42843.471166781899</v>
      </c>
      <c r="BJ158" s="111">
        <f>SUM(BI$158,'Statistics NZ'!BJ$158-'Statistics NZ'!BI$158,$K$14/5*(BJ$9-BJ$10)*1000)</f>
        <v>42163.471166781899</v>
      </c>
      <c r="BK158" s="111">
        <f>SUM(BJ$158,'Statistics NZ'!BK$158-'Statistics NZ'!BJ$158,$K$14/5*(BK$9-BK$10)*1000)</f>
        <v>42143.471166781899</v>
      </c>
      <c r="BL158" s="111">
        <f>SUM(BK$158,'Statistics NZ'!BL$158-'Statistics NZ'!BK$158,$K$14/5*(BL$9-BL$10)*1000)</f>
        <v>41533.471166781899</v>
      </c>
      <c r="BM158" s="195">
        <f>SUM(BL$158,'Statistics NZ'!BM$158-'Statistics NZ'!BL$158,$K$14/5*(BM$9-BM$10)*1000)</f>
        <v>41363.471166781899</v>
      </c>
      <c r="BN158" s="195">
        <f>SUM(BM$158,'Statistics NZ'!BN$158-'Statistics NZ'!BM$158,$K$14/5*(BN$9-BN$10)*1000)</f>
        <v>41333.471166781899</v>
      </c>
      <c r="BO158" s="195">
        <f>SUM(BN$158,'Statistics NZ'!BO$158-'Statistics NZ'!BN$158,$K$14/5*(BO$9-BO$10)*1000)</f>
        <v>41283.471166781899</v>
      </c>
      <c r="BP158" s="195">
        <f>SUM(BO$158,'Statistics NZ'!BP$158-'Statistics NZ'!BO$158,$K$14/5*(BP$9-BP$10)*1000)</f>
        <v>41203.471166781899</v>
      </c>
      <c r="BQ158" s="195">
        <f>SUM(BP$158,'Statistics NZ'!BQ$158-'Statistics NZ'!BP$158,$K$14/5*(BQ$9-BQ$10)*1000)</f>
        <v>41333.471166781899</v>
      </c>
    </row>
    <row r="159" spans="1:69">
      <c r="A159" s="105">
        <f>$A$66</f>
        <v>49</v>
      </c>
      <c r="B159" s="118">
        <f>'Statistics NZ'!B$159*'Economic Forecasts'!D$9*1000000/SUM('Statistics NZ'!B$32:B$107,'Statistics NZ'!B$125:B$200)</f>
        <v>27976.626055722747</v>
      </c>
      <c r="C159" s="118">
        <f>'Statistics NZ'!C$159*'Economic Forecasts'!E$9*1000000/SUM('Statistics NZ'!C$32:C$107,'Statistics NZ'!C$125:C$200)</f>
        <v>28086.573475046207</v>
      </c>
      <c r="D159" s="118">
        <f>'Statistics NZ'!D$159*'Economic Forecasts'!F$9*1000000/SUM('Statistics NZ'!D$32:D$107,'Statistics NZ'!D$125:D$200)</f>
        <v>29430.327146695836</v>
      </c>
      <c r="E159" s="118">
        <f>'Statistics NZ'!E$159*'Economic Forecasts'!G$9*1000000/SUM('Statistics NZ'!E$32:E$107,'Statistics NZ'!E$125:E$200)</f>
        <v>29762.181788247883</v>
      </c>
      <c r="F159" s="118">
        <f>'Statistics NZ'!F$159*'Economic Forecasts'!H$9*1000000/SUM('Statistics NZ'!F$32:F$107,'Statistics NZ'!F$125:F$200)</f>
        <v>30668.095412385657</v>
      </c>
      <c r="G159" s="118">
        <f>'Statistics NZ'!G$159*'Economic Forecasts'!I$9*1000000/SUM('Statistics NZ'!G$32:G$107,'Statistics NZ'!G$125:G$200)</f>
        <v>31292.734088435645</v>
      </c>
      <c r="H159" s="118">
        <f>'Statistics NZ'!H$159*'Economic Forecasts'!J$9*1000000/SUM('Statistics NZ'!H$32:H$107,'Statistics NZ'!H$125:H$200)</f>
        <v>30858.998104723327</v>
      </c>
      <c r="I159" s="118">
        <f>'Statistics NZ'!I$159*'Economic Forecasts'!K$9*1000000/SUM('Statistics NZ'!I$32:I$107,'Statistics NZ'!I$125:I$200)</f>
        <v>30467.645125958374</v>
      </c>
      <c r="J159" s="203">
        <f>'Statistics NZ'!J$159*'Economic Forecasts'!L$9*1000000/SUM('Statistics NZ'!J$32:J$107,'Statistics NZ'!J$125:J$200)</f>
        <v>29681.873012878488</v>
      </c>
      <c r="K159" s="203">
        <f>'Statistics NZ'!K$159*'Economic Forecasts'!M$9*1000000/SUM('Statistics NZ'!K$32:K$107,'Statistics NZ'!K$125:K$200)</f>
        <v>29593.842654398046</v>
      </c>
      <c r="L159" s="203">
        <f>'Statistics NZ'!L$159*'Economic Forecasts'!N$9*1000000/SUM('Statistics NZ'!L$32:L$107,'Statistics NZ'!L$125:L$200)</f>
        <v>29881.336711533382</v>
      </c>
      <c r="M159" s="203">
        <f>'Statistics NZ'!M$159*'Economic Forecasts'!O$9*1000000/SUM('Statistics NZ'!M$32:M$107,'Statistics NZ'!M$125:M$200)</f>
        <v>30890.783558025189</v>
      </c>
      <c r="N159" s="203">
        <f>'Statistics NZ'!N$159*'Economic Forecasts'!P$9*1000000/SUM('Statistics NZ'!N$32:N$107,'Statistics NZ'!N$125:N$200)</f>
        <v>31865.359371996805</v>
      </c>
      <c r="O159" s="203">
        <f>'Statistics NZ'!O$159*'Economic Forecasts'!Q$9*1000000/SUM('Statistics NZ'!O$32:O$107,'Statistics NZ'!O$125:O$200)</f>
        <v>32092.244589546212</v>
      </c>
      <c r="P159" s="203">
        <f>'Statistics NZ'!P$159*'Economic Forecasts'!R$9*1000000/SUM('Statistics NZ'!P$32:P$107,'Statistics NZ'!P$125:P$200)</f>
        <v>33164.035283711572</v>
      </c>
      <c r="Q159" s="121">
        <f>SUM('Statistics NZ'!Q$159,$K$14/5*(Q$9-Q$10)*1000)*'Economic Forecasts'!S$9*1000000/SUM('Statistics NZ'!Q$32:Q$107,'Statistics NZ'!Q$125:Q$200,SUM($E$13:$Q$14)*(Q$9-Q$10)*1000)</f>
        <v>33310.291428382232</v>
      </c>
      <c r="R159" s="205">
        <f>SUM('Statistics NZ'!R$159,$K$14/5*(R$9-R$10)*1000)*'Economic Forecasts'!T$9*1000000/SUM('Statistics NZ'!R$32:R$107,'Statistics NZ'!R$125:R$200,SUM($E$13:$Q$14)*(R$9-R$10)*1000)</f>
        <v>32493.319390112818</v>
      </c>
      <c r="S159" s="205">
        <f>SUM('Statistics NZ'!S$159,$K$14/5*(S$9-S$10)*1000)*'Economic Forecasts'!U$9*1000000/SUM('Statistics NZ'!S$32:S$107,'Statistics NZ'!S$125:S$200,SUM($E$13:$Q$14)*(S$9-S$10)*1000)</f>
        <v>31385.865419478389</v>
      </c>
      <c r="T159" s="205">
        <f>SUM('Statistics NZ'!T$159,$K$14/5*(T$9-T$10)*1000)*'Economic Forecasts'!V$9*1000000/SUM('Statistics NZ'!T$32:T$107,'Statistics NZ'!T$125:T$200,SUM($E$13:$Q$14)*(T$9-T$10)*1000)</f>
        <v>30464.771820218786</v>
      </c>
      <c r="U159" s="205">
        <f>SUM('Statistics NZ'!U$159,$K$14/5*(U$9-U$10)*1000)*'Economic Forecasts'!W$9*1000000/SUM('Statistics NZ'!U$32:U$107,'Statistics NZ'!U$125:U$200,SUM($E$13:$Q$14)*(U$9-U$10)*1000)</f>
        <v>29989.601465791427</v>
      </c>
      <c r="V159" s="111">
        <f>SUM(U$159,'Statistics NZ'!V$159-'Statistics NZ'!U$159,$K$14/5*(V$9-V$10)*1000)</f>
        <v>30218.838481588329</v>
      </c>
      <c r="W159" s="111">
        <f>SUM(V$159,'Statistics NZ'!W$159-'Statistics NZ'!V$159,$K$14/5*(W$9-W$10)*1000)</f>
        <v>29950.670870410617</v>
      </c>
      <c r="X159" s="111">
        <f>SUM(W$159,'Statistics NZ'!X$159-'Statistics NZ'!W$159,$K$14/5*(X$9-X$10)*1000)</f>
        <v>31075.09863225829</v>
      </c>
      <c r="Y159" s="111">
        <f>SUM(X$159,'Statistics NZ'!Y$159-'Statistics NZ'!X$159,$K$14/5*(Y$9-Y$10)*1000)</f>
        <v>31872.121767131353</v>
      </c>
      <c r="Z159" s="111">
        <f>SUM(Y$159,'Statistics NZ'!Z$159-'Statistics NZ'!Y$159,$K$14/5*(Z$9-Z$10)*1000)</f>
        <v>32581.740275029802</v>
      </c>
      <c r="AA159" s="111">
        <f>SUM(Z$159,'Statistics NZ'!AA$159-'Statistics NZ'!Z$159,$K$14/5*(AA$9-AA$10)*1000)</f>
        <v>33413.954155953645</v>
      </c>
      <c r="AB159" s="111">
        <f>SUM(AA$159,'Statistics NZ'!AB$159-'Statistics NZ'!AA$159,$K$14/5*(AB$9-AB$10)*1000)</f>
        <v>34388.763409902873</v>
      </c>
      <c r="AC159" s="111">
        <f>SUM(AB$159,'Statistics NZ'!AC$159-'Statistics NZ'!AB$159,$K$14/5*(AC$9-AC$10)*1000)</f>
        <v>34926.168036877483</v>
      </c>
      <c r="AD159" s="111">
        <f>SUM(AC$159,'Statistics NZ'!AD$159-'Statistics NZ'!AC$159,$K$14/5*(AD$9-AD$10)*1000)</f>
        <v>35306.168036877483</v>
      </c>
      <c r="AE159" s="111">
        <f>SUM(AD$159,'Statistics NZ'!AE$159-'Statistics NZ'!AD$159,$K$14/5*(AE$9-AE$10)*1000)</f>
        <v>36266.168036877483</v>
      </c>
      <c r="AF159" s="111">
        <f>SUM(AE$159,'Statistics NZ'!AF$159-'Statistics NZ'!AE$159,$K$14/5*(AF$9-AF$10)*1000)</f>
        <v>38036.168036877483</v>
      </c>
      <c r="AG159" s="111">
        <f>SUM(AF$159,'Statistics NZ'!AG$159-'Statistics NZ'!AF$159,$K$14/5*(AG$9-AG$10)*1000)</f>
        <v>39376.168036877483</v>
      </c>
      <c r="AH159" s="111">
        <f>SUM(AG$159,'Statistics NZ'!AH$159-'Statistics NZ'!AG$159,$K$14/5*(AH$9-AH$10)*1000)</f>
        <v>40386.168036877483</v>
      </c>
      <c r="AI159" s="111">
        <f>SUM(AH$159,'Statistics NZ'!AI$159-'Statistics NZ'!AH$159,$K$14/5*(AI$9-AI$10)*1000)</f>
        <v>42286.168036877483</v>
      </c>
      <c r="AJ159" s="111">
        <f>SUM(AI$159,'Statistics NZ'!AJ$159-'Statistics NZ'!AI$159,$K$14/5*(AJ$9-AJ$10)*1000)</f>
        <v>43086.168036877483</v>
      </c>
      <c r="AK159" s="111">
        <f>SUM(AJ$159,'Statistics NZ'!AK$159-'Statistics NZ'!AJ$159,$K$14/5*(AK$9-AK$10)*1000)</f>
        <v>43236.168036877483</v>
      </c>
      <c r="AL159" s="111">
        <f>SUM(AK$159,'Statistics NZ'!AL$159-'Statistics NZ'!AK$159,$K$14/5*(AL$9-AL$10)*1000)</f>
        <v>42856.168036877483</v>
      </c>
      <c r="AM159" s="111">
        <f>SUM(AL$159,'Statistics NZ'!AM$159-'Statistics NZ'!AL$159,$K$14/5*(AM$9-AM$10)*1000)</f>
        <v>41616.168036877483</v>
      </c>
      <c r="AN159" s="111">
        <f>SUM(AM$159,'Statistics NZ'!AN$159-'Statistics NZ'!AM$159,$K$14/5*(AN$9-AN$10)*1000)</f>
        <v>41546.168036877483</v>
      </c>
      <c r="AO159" s="111">
        <f>SUM(AN$159,'Statistics NZ'!AO$159-'Statistics NZ'!AN$159,$K$14/5*(AO$9-AO$10)*1000)</f>
        <v>41346.168036877483</v>
      </c>
      <c r="AP159" s="111">
        <f>SUM(AO$159,'Statistics NZ'!AP$159-'Statistics NZ'!AO$159,$K$14/5*(AP$9-AP$10)*1000)</f>
        <v>40066.168036877483</v>
      </c>
      <c r="AQ159" s="111">
        <f>SUM(AP$159,'Statistics NZ'!AQ$159-'Statistics NZ'!AP$159,$K$14/5*(AQ$9-AQ$10)*1000)</f>
        <v>39946.168036877483</v>
      </c>
      <c r="AR159" s="111">
        <f>SUM(AQ$159,'Statistics NZ'!AR$159-'Statistics NZ'!AQ$159,$K$14/5*(AR$9-AR$10)*1000)</f>
        <v>39056.168036877483</v>
      </c>
      <c r="AS159" s="111">
        <f>SUM(AR$159,'Statistics NZ'!AS$159-'Statistics NZ'!AR$159,$K$14/5*(AS$9-AS$10)*1000)</f>
        <v>39786.168036877483</v>
      </c>
      <c r="AT159" s="111">
        <f>SUM(AS$159,'Statistics NZ'!AT$159-'Statistics NZ'!AS$159,$K$14/5*(AT$9-AT$10)*1000)</f>
        <v>39336.168036877483</v>
      </c>
      <c r="AU159" s="111">
        <f>SUM(AT$159,'Statistics NZ'!AU$159-'Statistics NZ'!AT$159,$K$14/5*(AU$9-AU$10)*1000)</f>
        <v>38036.168036877483</v>
      </c>
      <c r="AV159" s="111">
        <f>SUM(AU$159,'Statistics NZ'!AV$159-'Statistics NZ'!AU$159,$K$14/5*(AV$9-AV$10)*1000)</f>
        <v>38596.168036877483</v>
      </c>
      <c r="AW159" s="111">
        <f>SUM(AV$159,'Statistics NZ'!AW$159-'Statistics NZ'!AV$159,$K$14/5*(AW$9-AW$10)*1000)</f>
        <v>38856.168036877483</v>
      </c>
      <c r="AX159" s="111">
        <f>SUM(AW$159,'Statistics NZ'!AX$159-'Statistics NZ'!AW$159,$K$14/5*(AX$9-AX$10)*1000)</f>
        <v>39276.168036877483</v>
      </c>
      <c r="AY159" s="111">
        <f>SUM(AX$159,'Statistics NZ'!AY$159-'Statistics NZ'!AX$159,$K$14/5*(AY$9-AY$10)*1000)</f>
        <v>40286.168036877483</v>
      </c>
      <c r="AZ159" s="111">
        <f>SUM(AY$159,'Statistics NZ'!AZ$159-'Statistics NZ'!AY$159,$K$14/5*(AZ$9-AZ$10)*1000)</f>
        <v>42256.168036877483</v>
      </c>
      <c r="BA159" s="111">
        <f>SUM(AZ$159,'Statistics NZ'!BA$159-'Statistics NZ'!AZ$159,$K$14/5*(BA$9-BA$10)*1000)</f>
        <v>43326.168036877483</v>
      </c>
      <c r="BB159" s="111">
        <f>SUM(BA$159,'Statistics NZ'!BB$159-'Statistics NZ'!BA$159,$K$14/5*(BB$9-BB$10)*1000)</f>
        <v>43896.168036877483</v>
      </c>
      <c r="BC159" s="111">
        <f>SUM(BB$159,'Statistics NZ'!BC$159-'Statistics NZ'!BB$159,$K$14/5*(BC$9-BC$10)*1000)</f>
        <v>44386.168036877483</v>
      </c>
      <c r="BD159" s="111">
        <f>SUM(BC$159,'Statistics NZ'!BD$159-'Statistics NZ'!BC$159,$K$14/5*(BD$9-BD$10)*1000)</f>
        <v>44106.168036877483</v>
      </c>
      <c r="BE159" s="111">
        <f>SUM(BD$159,'Statistics NZ'!BE$159-'Statistics NZ'!BD$159,$K$14/5*(BE$9-BE$10)*1000)</f>
        <v>43966.168036877483</v>
      </c>
      <c r="BF159" s="111">
        <f>SUM(BE$159,'Statistics NZ'!BF$159-'Statistics NZ'!BE$159,$K$14/5*(BF$9-BF$10)*1000)</f>
        <v>43696.168036877483</v>
      </c>
      <c r="BG159" s="111">
        <f>SUM(BF$159,'Statistics NZ'!BG$159-'Statistics NZ'!BF$159,$K$14/5*(BG$9-BG$10)*1000)</f>
        <v>43356.168036877483</v>
      </c>
      <c r="BH159" s="111">
        <f>SUM(BG$159,'Statistics NZ'!BH$159-'Statistics NZ'!BG$159,$K$14/5*(BH$9-BH$10)*1000)</f>
        <v>43296.168036877483</v>
      </c>
      <c r="BI159" s="111">
        <f>SUM(BH$159,'Statistics NZ'!BI$159-'Statistics NZ'!BH$159,$K$14/5*(BI$9-BI$10)*1000)</f>
        <v>43006.168036877483</v>
      </c>
      <c r="BJ159" s="111">
        <f>SUM(BI$159,'Statistics NZ'!BJ$159-'Statistics NZ'!BI$159,$K$14/5*(BJ$9-BJ$10)*1000)</f>
        <v>42786.168036877483</v>
      </c>
      <c r="BK159" s="111">
        <f>SUM(BJ$159,'Statistics NZ'!BK$159-'Statistics NZ'!BJ$159,$K$14/5*(BK$9-BK$10)*1000)</f>
        <v>42116.168036877483</v>
      </c>
      <c r="BL159" s="111">
        <f>SUM(BK$159,'Statistics NZ'!BL$159-'Statistics NZ'!BK$159,$K$14/5*(BL$9-BL$10)*1000)</f>
        <v>42096.168036877483</v>
      </c>
      <c r="BM159" s="195">
        <f>SUM(BL$159,'Statistics NZ'!BM$159-'Statistics NZ'!BL$159,$K$14/5*(BM$9-BM$10)*1000)</f>
        <v>41476.168036877483</v>
      </c>
      <c r="BN159" s="195">
        <f>SUM(BM$159,'Statistics NZ'!BN$159-'Statistics NZ'!BM$159,$K$14/5*(BN$9-BN$10)*1000)</f>
        <v>41306.168036877483</v>
      </c>
      <c r="BO159" s="195">
        <f>SUM(BN$159,'Statistics NZ'!BO$159-'Statistics NZ'!BN$159,$K$14/5*(BO$9-BO$10)*1000)</f>
        <v>41286.168036877483</v>
      </c>
      <c r="BP159" s="195">
        <f>SUM(BO$159,'Statistics NZ'!BP$159-'Statistics NZ'!BO$159,$K$14/5*(BP$9-BP$10)*1000)</f>
        <v>41236.168036877483</v>
      </c>
      <c r="BQ159" s="195">
        <f>SUM(BP$159,'Statistics NZ'!BQ$159-'Statistics NZ'!BP$159,$K$14/5*(BQ$9-BQ$10)*1000)</f>
        <v>41156.168036877483</v>
      </c>
    </row>
    <row r="160" spans="1:69">
      <c r="A160" s="105">
        <f>$A$67</f>
        <v>50</v>
      </c>
      <c r="B160" s="118">
        <f>'Statistics NZ'!B$160*'Economic Forecasts'!D$9*1000000/SUM('Statistics NZ'!B$32:B$107,'Statistics NZ'!B$125:B$200)</f>
        <v>27336.315952334724</v>
      </c>
      <c r="C160" s="118">
        <f>'Statistics NZ'!C$160*'Economic Forecasts'!E$9*1000000/SUM('Statistics NZ'!C$32:C$107,'Statistics NZ'!C$125:C$200)</f>
        <v>27899.263929231576</v>
      </c>
      <c r="D160" s="118">
        <f>'Statistics NZ'!D$160*'Economic Forecasts'!F$9*1000000/SUM('Statistics NZ'!D$32:D$107,'Statistics NZ'!D$125:D$200)</f>
        <v>27922.343203814235</v>
      </c>
      <c r="E160" s="118">
        <f>'Statistics NZ'!E$160*'Economic Forecasts'!G$9*1000000/SUM('Statistics NZ'!E$32:E$107,'Statistics NZ'!E$125:E$200)</f>
        <v>29279.605048464909</v>
      </c>
      <c r="F160" s="118">
        <f>'Statistics NZ'!F$160*'Economic Forecasts'!H$9*1000000/SUM('Statistics NZ'!F$32:F$107,'Statistics NZ'!F$125:F$200)</f>
        <v>29633.675233040813</v>
      </c>
      <c r="G160" s="118">
        <f>'Statistics NZ'!G$160*'Economic Forecasts'!I$9*1000000/SUM('Statistics NZ'!G$32:G$107,'Statistics NZ'!G$125:G$200)</f>
        <v>30484.798258696439</v>
      </c>
      <c r="H160" s="118">
        <f>'Statistics NZ'!H$160*'Economic Forecasts'!J$9*1000000/SUM('Statistics NZ'!H$32:H$107,'Statistics NZ'!H$125:H$200)</f>
        <v>31046.141725530779</v>
      </c>
      <c r="I160" s="118">
        <f>'Statistics NZ'!I$160*'Economic Forecasts'!K$9*1000000/SUM('Statistics NZ'!I$32:I$107,'Statistics NZ'!I$125:I$200)</f>
        <v>30703.828421508439</v>
      </c>
      <c r="J160" s="203">
        <f>'Statistics NZ'!J$160*'Economic Forecasts'!L$9*1000000/SUM('Statistics NZ'!J$32:J$107,'Statistics NZ'!J$125:J$200)</f>
        <v>30605.745881491264</v>
      </c>
      <c r="K160" s="203">
        <f>'Statistics NZ'!K$160*'Economic Forecasts'!M$9*1000000/SUM('Statistics NZ'!K$32:K$107,'Statistics NZ'!K$125:K$200)</f>
        <v>29937.728608217414</v>
      </c>
      <c r="L160" s="203">
        <f>'Statistics NZ'!L$160*'Economic Forecasts'!N$9*1000000/SUM('Statistics NZ'!L$32:L$107,'Statistics NZ'!L$125:L$200)</f>
        <v>29969.976141462124</v>
      </c>
      <c r="M160" s="203">
        <f>'Statistics NZ'!M$160*'Economic Forecasts'!O$9*1000000/SUM('Statistics NZ'!M$32:M$107,'Statistics NZ'!M$125:M$200)</f>
        <v>30181.556384499101</v>
      </c>
      <c r="N160" s="203">
        <f>'Statistics NZ'!N$160*'Economic Forecasts'!P$9*1000000/SUM('Statistics NZ'!N$32:N$107,'Statistics NZ'!N$125:N$200)</f>
        <v>31243.644401282712</v>
      </c>
      <c r="O160" s="203">
        <f>'Statistics NZ'!O$160*'Economic Forecasts'!Q$9*1000000/SUM('Statistics NZ'!O$32:O$107,'Statistics NZ'!O$125:O$200)</f>
        <v>31993.559950586965</v>
      </c>
      <c r="P160" s="203">
        <f>'Statistics NZ'!P$160*'Economic Forecasts'!R$9*1000000/SUM('Statistics NZ'!P$32:P$107,'Statistics NZ'!P$125:P$200)</f>
        <v>32423.546255346468</v>
      </c>
      <c r="Q160" s="121">
        <f>SUM('Statistics NZ'!Q$160,$L$14/5*(Q$9-Q$10)*1000)*'Economic Forecasts'!S$9*1000000/SUM('Statistics NZ'!Q$32:Q$107,'Statistics NZ'!Q$125:Q$200,SUM($E$13:$Q$14)*(Q$9-Q$10)*1000)</f>
        <v>33207.014668047173</v>
      </c>
      <c r="R160" s="205">
        <f>SUM('Statistics NZ'!R$160,$L$14/5*(R$9-R$10)*1000)*'Economic Forecasts'!T$9*1000000/SUM('Statistics NZ'!R$32:R$107,'Statistics NZ'!R$125:R$200,SUM($E$13:$Q$14)*(R$9-R$10)*1000)</f>
        <v>33340.761199913068</v>
      </c>
      <c r="S160" s="205">
        <f>SUM('Statistics NZ'!S$160,$L$14/5*(S$9-S$10)*1000)*'Economic Forecasts'!U$9*1000000/SUM('Statistics NZ'!S$32:S$107,'Statistics NZ'!S$125:S$200,SUM($E$13:$Q$14)*(S$9-S$10)*1000)</f>
        <v>32526.175166944086</v>
      </c>
      <c r="T160" s="205">
        <f>SUM('Statistics NZ'!T$160,$L$14/5*(T$9-T$10)*1000)*'Economic Forecasts'!V$9*1000000/SUM('Statistics NZ'!T$32:T$107,'Statistics NZ'!T$125:T$200,SUM($E$13:$Q$14)*(T$9-T$10)*1000)</f>
        <v>31285.601103781071</v>
      </c>
      <c r="U160" s="205">
        <f>SUM('Statistics NZ'!U$160,$L$14/5*(U$9-U$10)*1000)*'Economic Forecasts'!W$9*1000000/SUM('Statistics NZ'!U$32:U$107,'Statistics NZ'!U$125:U$200,SUM($E$13:$Q$14)*(U$9-U$10)*1000)</f>
        <v>30382.85924666233</v>
      </c>
      <c r="V160" s="111">
        <f>SUM(U$160,'Statistics NZ'!V$160-'Statistics NZ'!U$160,$L$14/5*(V$9-V$10)*1000)</f>
        <v>29845.470754747665</v>
      </c>
      <c r="W160" s="111">
        <f>SUM(V$160,'Statistics NZ'!W$160-'Statistics NZ'!V$160,$L$14/5*(W$9-W$10)*1000)</f>
        <v>30026.505824322332</v>
      </c>
      <c r="X160" s="111">
        <f>SUM(W$160,'Statistics NZ'!X$160-'Statistics NZ'!W$160,$L$14/5*(X$9-X$10)*1000)</f>
        <v>29715.964455386333</v>
      </c>
      <c r="Y160" s="111">
        <f>SUM(X$160,'Statistics NZ'!Y$160-'Statistics NZ'!X$160,$L$14/5*(Y$9-Y$10)*1000)</f>
        <v>30803.846647939667</v>
      </c>
      <c r="Z160" s="111">
        <f>SUM(Y$160,'Statistics NZ'!Z$160-'Statistics NZ'!Y$160,$L$14/5*(Z$9-Z$10)*1000)</f>
        <v>31570.152401982334</v>
      </c>
      <c r="AA160" s="111">
        <f>SUM(Z$160,'Statistics NZ'!AA$160-'Statistics NZ'!Z$160,$L$14/5*(AA$9-AA$10)*1000)</f>
        <v>32254.881717514334</v>
      </c>
      <c r="AB160" s="111">
        <f>SUM(AA$160,'Statistics NZ'!AB$160-'Statistics NZ'!AA$160,$L$14/5*(AB$9-AB$10)*1000)</f>
        <v>33068.034594535668</v>
      </c>
      <c r="AC160" s="111">
        <f>SUM(AB$160,'Statistics NZ'!AC$160-'Statistics NZ'!AB$160,$L$14/5*(AC$9-AC$10)*1000)</f>
        <v>34029.611033046334</v>
      </c>
      <c r="AD160" s="111">
        <f>SUM(AC$160,'Statistics NZ'!AD$160-'Statistics NZ'!AC$160,$L$14/5*(AD$9-AD$10)*1000)</f>
        <v>34559.611033046334</v>
      </c>
      <c r="AE160" s="111">
        <f>SUM(AD$160,'Statistics NZ'!AE$160-'Statistics NZ'!AD$160,$L$14/5*(AE$9-AE$10)*1000)</f>
        <v>34939.611033046334</v>
      </c>
      <c r="AF160" s="111">
        <f>SUM(AE$160,'Statistics NZ'!AF$160-'Statistics NZ'!AE$160,$L$14/5*(AF$9-AF$10)*1000)</f>
        <v>35899.611033046334</v>
      </c>
      <c r="AG160" s="111">
        <f>SUM(AF$160,'Statistics NZ'!AG$160-'Statistics NZ'!AF$160,$L$14/5*(AG$9-AG$10)*1000)</f>
        <v>37669.611033046334</v>
      </c>
      <c r="AH160" s="111">
        <f>SUM(AG$160,'Statistics NZ'!AH$160-'Statistics NZ'!AG$160,$L$14/5*(AH$9-AH$10)*1000)</f>
        <v>38999.611033046334</v>
      </c>
      <c r="AI160" s="111">
        <f>SUM(AH$160,'Statistics NZ'!AI$160-'Statistics NZ'!AH$160,$L$14/5*(AI$9-AI$10)*1000)</f>
        <v>40009.611033046334</v>
      </c>
      <c r="AJ160" s="111">
        <f>SUM(AI$160,'Statistics NZ'!AJ$160-'Statistics NZ'!AI$160,$L$14/5*(AJ$9-AJ$10)*1000)</f>
        <v>41909.611033046334</v>
      </c>
      <c r="AK160" s="111">
        <f>SUM(AJ$160,'Statistics NZ'!AK$160-'Statistics NZ'!AJ$160,$L$14/5*(AK$9-AK$10)*1000)</f>
        <v>42719.611033046334</v>
      </c>
      <c r="AL160" s="111">
        <f>SUM(AK$160,'Statistics NZ'!AL$160-'Statistics NZ'!AK$160,$L$14/5*(AL$9-AL$10)*1000)</f>
        <v>42859.611033046334</v>
      </c>
      <c r="AM160" s="111">
        <f>SUM(AL$160,'Statistics NZ'!AM$160-'Statistics NZ'!AL$160,$L$14/5*(AM$9-AM$10)*1000)</f>
        <v>42479.611033046334</v>
      </c>
      <c r="AN160" s="111">
        <f>SUM(AM$160,'Statistics NZ'!AN$160-'Statistics NZ'!AM$160,$L$14/5*(AN$9-AN$10)*1000)</f>
        <v>41249.611033046334</v>
      </c>
      <c r="AO160" s="111">
        <f>SUM(AN$160,'Statistics NZ'!AO$160-'Statistics NZ'!AN$160,$L$14/5*(AO$9-AO$10)*1000)</f>
        <v>41179.611033046334</v>
      </c>
      <c r="AP160" s="111">
        <f>SUM(AO$160,'Statistics NZ'!AP$160-'Statistics NZ'!AO$160,$L$14/5*(AP$9-AP$10)*1000)</f>
        <v>40979.611033046334</v>
      </c>
      <c r="AQ160" s="111">
        <f>SUM(AP$160,'Statistics NZ'!AQ$160-'Statistics NZ'!AP$160,$L$14/5*(AQ$9-AQ$10)*1000)</f>
        <v>39709.611033046334</v>
      </c>
      <c r="AR160" s="111">
        <f>SUM(AQ$160,'Statistics NZ'!AR$160-'Statistics NZ'!AQ$160,$L$14/5*(AR$9-AR$10)*1000)</f>
        <v>39589.611033046334</v>
      </c>
      <c r="AS160" s="111">
        <f>SUM(AR$160,'Statistics NZ'!AS$160-'Statistics NZ'!AR$160,$L$14/5*(AS$9-AS$10)*1000)</f>
        <v>38699.611033046334</v>
      </c>
      <c r="AT160" s="111">
        <f>SUM(AS$160,'Statistics NZ'!AT$160-'Statistics NZ'!AS$160,$L$14/5*(AT$9-AT$10)*1000)</f>
        <v>39429.611033046334</v>
      </c>
      <c r="AU160" s="111">
        <f>SUM(AT$160,'Statistics NZ'!AU$160-'Statistics NZ'!AT$160,$L$14/5*(AU$9-AU$10)*1000)</f>
        <v>38989.611033046334</v>
      </c>
      <c r="AV160" s="111">
        <f>SUM(AU$160,'Statistics NZ'!AV$160-'Statistics NZ'!AU$160,$L$14/5*(AV$9-AV$10)*1000)</f>
        <v>37689.611033046334</v>
      </c>
      <c r="AW160" s="111">
        <f>SUM(AV$160,'Statistics NZ'!AW$160-'Statistics NZ'!AV$160,$L$14/5*(AW$9-AW$10)*1000)</f>
        <v>38239.611033046334</v>
      </c>
      <c r="AX160" s="111">
        <f>SUM(AW$160,'Statistics NZ'!AX$160-'Statistics NZ'!AW$160,$L$14/5*(AX$9-AX$10)*1000)</f>
        <v>38509.611033046334</v>
      </c>
      <c r="AY160" s="111">
        <f>SUM(AX$160,'Statistics NZ'!AY$160-'Statistics NZ'!AX$160,$L$14/5*(AY$9-AY$10)*1000)</f>
        <v>38919.611033046334</v>
      </c>
      <c r="AZ160" s="111">
        <f>SUM(AY$160,'Statistics NZ'!AZ$160-'Statistics NZ'!AY$160,$L$14/5*(AZ$9-AZ$10)*1000)</f>
        <v>39939.611033046334</v>
      </c>
      <c r="BA160" s="111">
        <f>SUM(AZ$160,'Statistics NZ'!BA$160-'Statistics NZ'!AZ$160,$L$14/5*(BA$9-BA$10)*1000)</f>
        <v>41899.611033046334</v>
      </c>
      <c r="BB160" s="111">
        <f>SUM(BA$160,'Statistics NZ'!BB$160-'Statistics NZ'!BA$160,$L$14/5*(BB$9-BB$10)*1000)</f>
        <v>42969.611033046334</v>
      </c>
      <c r="BC160" s="111">
        <f>SUM(BB$160,'Statistics NZ'!BC$160-'Statistics NZ'!BB$160,$L$14/5*(BC$9-BC$10)*1000)</f>
        <v>43539.611033046334</v>
      </c>
      <c r="BD160" s="111">
        <f>SUM(BC$160,'Statistics NZ'!BD$160-'Statistics NZ'!BC$160,$L$14/5*(BD$9-BD$10)*1000)</f>
        <v>44029.611033046334</v>
      </c>
      <c r="BE160" s="111">
        <f>SUM(BD$160,'Statistics NZ'!BE$160-'Statistics NZ'!BD$160,$L$14/5*(BE$9-BE$10)*1000)</f>
        <v>43759.611033046334</v>
      </c>
      <c r="BF160" s="111">
        <f>SUM(BE$160,'Statistics NZ'!BF$160-'Statistics NZ'!BE$160,$L$14/5*(BF$9-BF$10)*1000)</f>
        <v>43619.611033046334</v>
      </c>
      <c r="BG160" s="111">
        <f>SUM(BF$160,'Statistics NZ'!BG$160-'Statistics NZ'!BF$160,$L$14/5*(BG$9-BG$10)*1000)</f>
        <v>43349.611033046334</v>
      </c>
      <c r="BH160" s="111">
        <f>SUM(BG$160,'Statistics NZ'!BH$160-'Statistics NZ'!BG$160,$L$14/5*(BH$9-BH$10)*1000)</f>
        <v>43009.611033046334</v>
      </c>
      <c r="BI160" s="111">
        <f>SUM(BH$160,'Statistics NZ'!BI$160-'Statistics NZ'!BH$160,$L$14/5*(BI$9-BI$10)*1000)</f>
        <v>42949.611033046334</v>
      </c>
      <c r="BJ160" s="111">
        <f>SUM(BI$160,'Statistics NZ'!BJ$160-'Statistics NZ'!BI$160,$L$14/5*(BJ$9-BJ$10)*1000)</f>
        <v>42659.611033046334</v>
      </c>
      <c r="BK160" s="111">
        <f>SUM(BJ$160,'Statistics NZ'!BK$160-'Statistics NZ'!BJ$160,$L$14/5*(BK$9-BK$10)*1000)</f>
        <v>42439.611033046334</v>
      </c>
      <c r="BL160" s="111">
        <f>SUM(BK$160,'Statistics NZ'!BL$160-'Statistics NZ'!BK$160,$L$14/5*(BL$9-BL$10)*1000)</f>
        <v>41769.611033046334</v>
      </c>
      <c r="BM160" s="195">
        <f>SUM(BL$160,'Statistics NZ'!BM$160-'Statistics NZ'!BL$160,$L$14/5*(BM$9-BM$10)*1000)</f>
        <v>41749.611033046334</v>
      </c>
      <c r="BN160" s="195">
        <f>SUM(BM$160,'Statistics NZ'!BN$160-'Statistics NZ'!BM$160,$L$14/5*(BN$9-BN$10)*1000)</f>
        <v>41139.611033046334</v>
      </c>
      <c r="BO160" s="195">
        <f>SUM(BN$160,'Statistics NZ'!BO$160-'Statistics NZ'!BN$160,$L$14/5*(BO$9-BO$10)*1000)</f>
        <v>40969.611033046334</v>
      </c>
      <c r="BP160" s="195">
        <f>SUM(BO$160,'Statistics NZ'!BP$160-'Statistics NZ'!BO$160,$L$14/5*(BP$9-BP$10)*1000)</f>
        <v>40949.611033046334</v>
      </c>
      <c r="BQ160" s="195">
        <f>SUM(BP$160,'Statistics NZ'!BQ$160-'Statistics NZ'!BP$160,$L$14/5*(BQ$9-BQ$10)*1000)</f>
        <v>40899.611033046334</v>
      </c>
    </row>
    <row r="161" spans="1:69">
      <c r="A161" s="105">
        <f>$A$68</f>
        <v>51</v>
      </c>
      <c r="B161" s="118">
        <f>'Statistics NZ'!B$161*'Economic Forecasts'!D$9*1000000/SUM('Statistics NZ'!B$32:B$107,'Statistics NZ'!B$125:B$200)</f>
        <v>26154.204992233757</v>
      </c>
      <c r="C161" s="118">
        <f>'Statistics NZ'!C$161*'Economic Forecasts'!E$9*1000000/SUM('Statistics NZ'!C$32:C$107,'Statistics NZ'!C$125:C$200)</f>
        <v>27238.751320306306</v>
      </c>
      <c r="D161" s="118">
        <f>'Statistics NZ'!D$161*'Economic Forecasts'!F$9*1000000/SUM('Statistics NZ'!D$32:D$107,'Statistics NZ'!D$125:D$200)</f>
        <v>27754.789432382946</v>
      </c>
      <c r="E161" s="118">
        <f>'Statistics NZ'!E$161*'Economic Forecasts'!G$9*1000000/SUM('Statistics NZ'!E$32:E$107,'Statistics NZ'!E$125:E$200)</f>
        <v>27762.93529486128</v>
      </c>
      <c r="F161" s="118">
        <f>'Statistics NZ'!F$161*'Economic Forecasts'!H$9*1000000/SUM('Statistics NZ'!F$32:F$107,'Statistics NZ'!F$125:F$200)</f>
        <v>29190.352299035883</v>
      </c>
      <c r="G161" s="118">
        <f>'Statistics NZ'!G$161*'Economic Forecasts'!I$9*1000000/SUM('Statistics NZ'!G$32:G$107,'Statistics NZ'!G$125:G$200)</f>
        <v>29440.393405618928</v>
      </c>
      <c r="H161" s="118">
        <f>'Statistics NZ'!H$161*'Economic Forecasts'!J$9*1000000/SUM('Statistics NZ'!H$32:H$107,'Statistics NZ'!H$125:H$200)</f>
        <v>30277.867913794926</v>
      </c>
      <c r="I161" s="118">
        <f>'Statistics NZ'!I$161*'Economic Forecasts'!K$9*1000000/SUM('Statistics NZ'!I$32:I$107,'Statistics NZ'!I$125:I$200)</f>
        <v>30871.124922523068</v>
      </c>
      <c r="J161" s="203">
        <f>'Statistics NZ'!J$161*'Economic Forecasts'!L$9*1000000/SUM('Statistics NZ'!J$32:J$107,'Statistics NZ'!J$125:J$200)</f>
        <v>30821.971446485739</v>
      </c>
      <c r="K161" s="203">
        <f>'Statistics NZ'!K$161*'Economic Forecasts'!M$9*1000000/SUM('Statistics NZ'!K$32:K$107,'Statistics NZ'!K$125:K$200)</f>
        <v>30733.57895848509</v>
      </c>
      <c r="L161" s="203">
        <f>'Statistics NZ'!L$161*'Economic Forecasts'!N$9*1000000/SUM('Statistics NZ'!L$32:L$107,'Statistics NZ'!L$125:L$200)</f>
        <v>30235.894431248347</v>
      </c>
      <c r="M161" s="203">
        <f>'Statistics NZ'!M$161*'Economic Forecasts'!O$9*1000000/SUM('Statistics NZ'!M$32:M$107,'Statistics NZ'!M$125:M$200)</f>
        <v>30191.406761909184</v>
      </c>
      <c r="N161" s="203">
        <f>'Statistics NZ'!N$161*'Economic Forecasts'!P$9*1000000/SUM('Statistics NZ'!N$32:N$107,'Statistics NZ'!N$125:N$200)</f>
        <v>30493.639039786351</v>
      </c>
      <c r="O161" s="203">
        <f>'Statistics NZ'!O$161*'Economic Forecasts'!Q$9*1000000/SUM('Statistics NZ'!O$32:O$107,'Statistics NZ'!O$125:O$200)</f>
        <v>31273.162086184482</v>
      </c>
      <c r="P161" s="203">
        <f>'Statistics NZ'!P$161*'Economic Forecasts'!R$9*1000000/SUM('Statistics NZ'!P$32:P$107,'Statistics NZ'!P$125:P$200)</f>
        <v>32245.828888538843</v>
      </c>
      <c r="Q161" s="121">
        <f>SUM('Statistics NZ'!Q$161,$L$14/5*(Q$9-Q$10)*1000)*'Economic Forecasts'!S$9*1000000/SUM('Statistics NZ'!Q$32:Q$107,'Statistics NZ'!Q$125:Q$200,SUM($E$13:$Q$14)*(Q$9-Q$10)*1000)</f>
        <v>32455.646510585728</v>
      </c>
      <c r="R161" s="205">
        <f>SUM('Statistics NZ'!R$161,$L$14/5*(R$9-R$10)*1000)*'Economic Forecasts'!T$9*1000000/SUM('Statistics NZ'!R$32:R$107,'Statistics NZ'!R$125:R$200,SUM($E$13:$Q$14)*(R$9-R$10)*1000)</f>
        <v>33202.368692439428</v>
      </c>
      <c r="S161" s="205">
        <f>SUM('Statistics NZ'!S$161,$L$14/5*(S$9-S$10)*1000)*'Economic Forecasts'!U$9*1000000/SUM('Statistics NZ'!S$32:S$107,'Statistics NZ'!S$125:S$200,SUM($E$13:$Q$14)*(S$9-S$10)*1000)</f>
        <v>33336.32663969358</v>
      </c>
      <c r="T161" s="205">
        <f>SUM('Statistics NZ'!T$161,$L$14/5*(T$9-T$10)*1000)*'Economic Forecasts'!V$9*1000000/SUM('Statistics NZ'!T$32:T$107,'Statistics NZ'!T$125:T$200,SUM($E$13:$Q$14)*(T$9-T$10)*1000)</f>
        <v>32401.960228534466</v>
      </c>
      <c r="U161" s="205">
        <f>SUM('Statistics NZ'!U$161,$L$14/5*(U$9-U$10)*1000)*'Economic Forecasts'!W$9*1000000/SUM('Statistics NZ'!U$32:U$107,'Statistics NZ'!U$125:U$200,SUM($E$13:$Q$14)*(U$9-U$10)*1000)</f>
        <v>31213.797763141163</v>
      </c>
      <c r="V161" s="111">
        <f>SUM(U$161,'Statistics NZ'!V$161-'Statistics NZ'!U$161,$L$14/5*(V$9-V$10)*1000)</f>
        <v>30266.409271226497</v>
      </c>
      <c r="W161" s="111">
        <f>SUM(V$161,'Statistics NZ'!W$161-'Statistics NZ'!V$161,$L$14/5*(W$9-W$10)*1000)</f>
        <v>29727.444340801165</v>
      </c>
      <c r="X161" s="111">
        <f>SUM(W$161,'Statistics NZ'!X$161-'Statistics NZ'!W$161,$L$14/5*(X$9-X$10)*1000)</f>
        <v>29916.902971865165</v>
      </c>
      <c r="Y161" s="111">
        <f>SUM(X$161,'Statistics NZ'!Y$161-'Statistics NZ'!X$161,$L$14/5*(Y$9-Y$10)*1000)</f>
        <v>29604.785164418499</v>
      </c>
      <c r="Z161" s="111">
        <f>SUM(Y$161,'Statistics NZ'!Z$161-'Statistics NZ'!Y$161,$L$14/5*(Z$9-Z$10)*1000)</f>
        <v>30691.090918461166</v>
      </c>
      <c r="AA161" s="111">
        <f>SUM(Z$161,'Statistics NZ'!AA$161-'Statistics NZ'!Z$161,$L$14/5*(AA$9-AA$10)*1000)</f>
        <v>31445.820233993167</v>
      </c>
      <c r="AB161" s="111">
        <f>SUM(AA$161,'Statistics NZ'!AB$161-'Statistics NZ'!AA$161,$L$14/5*(AB$9-AB$10)*1000)</f>
        <v>32128.9731110145</v>
      </c>
      <c r="AC161" s="111">
        <f>SUM(AB$161,'Statistics NZ'!AC$161-'Statistics NZ'!AB$161,$L$14/5*(AC$9-AC$10)*1000)</f>
        <v>32950.549549525167</v>
      </c>
      <c r="AD161" s="111">
        <f>SUM(AC$161,'Statistics NZ'!AD$161-'Statistics NZ'!AC$161,$L$14/5*(AD$9-AD$10)*1000)</f>
        <v>33900.549549525167</v>
      </c>
      <c r="AE161" s="111">
        <f>SUM(AD$161,'Statistics NZ'!AE$161-'Statistics NZ'!AD$161,$L$14/5*(AE$9-AE$10)*1000)</f>
        <v>34440.549549525167</v>
      </c>
      <c r="AF161" s="111">
        <f>SUM(AE$161,'Statistics NZ'!AF$161-'Statistics NZ'!AE$161,$L$14/5*(AF$9-AF$10)*1000)</f>
        <v>34820.549549525167</v>
      </c>
      <c r="AG161" s="111">
        <f>SUM(AF$161,'Statistics NZ'!AG$161-'Statistics NZ'!AF$161,$L$14/5*(AG$9-AG$10)*1000)</f>
        <v>35780.549549525167</v>
      </c>
      <c r="AH161" s="111">
        <f>SUM(AG$161,'Statistics NZ'!AH$161-'Statistics NZ'!AG$161,$L$14/5*(AH$9-AH$10)*1000)</f>
        <v>37540.549549525167</v>
      </c>
      <c r="AI161" s="111">
        <f>SUM(AH$161,'Statistics NZ'!AI$161-'Statistics NZ'!AH$161,$L$14/5*(AI$9-AI$10)*1000)</f>
        <v>38870.549549525167</v>
      </c>
      <c r="AJ161" s="111">
        <f>SUM(AI$161,'Statistics NZ'!AJ$161-'Statistics NZ'!AI$161,$L$14/5*(AJ$9-AJ$10)*1000)</f>
        <v>39880.549549525167</v>
      </c>
      <c r="AK161" s="111">
        <f>SUM(AJ$161,'Statistics NZ'!AK$161-'Statistics NZ'!AJ$161,$L$14/5*(AK$9-AK$10)*1000)</f>
        <v>41780.549549525167</v>
      </c>
      <c r="AL161" s="111">
        <f>SUM(AK$161,'Statistics NZ'!AL$161-'Statistics NZ'!AK$161,$L$14/5*(AL$9-AL$10)*1000)</f>
        <v>42580.549549525167</v>
      </c>
      <c r="AM161" s="111">
        <f>SUM(AL$161,'Statistics NZ'!AM$161-'Statistics NZ'!AL$161,$L$14/5*(AM$9-AM$10)*1000)</f>
        <v>42730.549549525167</v>
      </c>
      <c r="AN161" s="111">
        <f>SUM(AM$161,'Statistics NZ'!AN$161-'Statistics NZ'!AM$161,$L$14/5*(AN$9-AN$10)*1000)</f>
        <v>42350.549549525167</v>
      </c>
      <c r="AO161" s="111">
        <f>SUM(AN$161,'Statistics NZ'!AO$161-'Statistics NZ'!AN$161,$L$14/5*(AO$9-AO$10)*1000)</f>
        <v>41130.549549525167</v>
      </c>
      <c r="AP161" s="111">
        <f>SUM(AO$161,'Statistics NZ'!AP$161-'Statistics NZ'!AO$161,$L$14/5*(AP$9-AP$10)*1000)</f>
        <v>41060.549549525167</v>
      </c>
      <c r="AQ161" s="111">
        <f>SUM(AP$161,'Statistics NZ'!AQ$161-'Statistics NZ'!AP$161,$L$14/5*(AQ$9-AQ$10)*1000)</f>
        <v>40860.549549525167</v>
      </c>
      <c r="AR161" s="111">
        <f>SUM(AQ$161,'Statistics NZ'!AR$161-'Statistics NZ'!AQ$161,$L$14/5*(AR$9-AR$10)*1000)</f>
        <v>39590.549549525167</v>
      </c>
      <c r="AS161" s="111">
        <f>SUM(AR$161,'Statistics NZ'!AS$161-'Statistics NZ'!AR$161,$L$14/5*(AS$9-AS$10)*1000)</f>
        <v>39470.549549525167</v>
      </c>
      <c r="AT161" s="111">
        <f>SUM(AS$161,'Statistics NZ'!AT$161-'Statistics NZ'!AS$161,$L$14/5*(AT$9-AT$10)*1000)</f>
        <v>38590.549549525167</v>
      </c>
      <c r="AU161" s="111">
        <f>SUM(AT$161,'Statistics NZ'!AU$161-'Statistics NZ'!AT$161,$L$14/5*(AU$9-AU$10)*1000)</f>
        <v>39310.549549525167</v>
      </c>
      <c r="AV161" s="111">
        <f>SUM(AU$161,'Statistics NZ'!AV$161-'Statistics NZ'!AU$161,$L$14/5*(AV$9-AV$10)*1000)</f>
        <v>38870.549549525167</v>
      </c>
      <c r="AW161" s="111">
        <f>SUM(AV$161,'Statistics NZ'!AW$161-'Statistics NZ'!AV$161,$L$14/5*(AW$9-AW$10)*1000)</f>
        <v>37580.549549525167</v>
      </c>
      <c r="AX161" s="111">
        <f>SUM(AW$161,'Statistics NZ'!AX$161-'Statistics NZ'!AW$161,$L$14/5*(AX$9-AX$10)*1000)</f>
        <v>38130.549549525167</v>
      </c>
      <c r="AY161" s="111">
        <f>SUM(AX$161,'Statistics NZ'!AY$161-'Statistics NZ'!AX$161,$L$14/5*(AY$9-AY$10)*1000)</f>
        <v>38400.549549525167</v>
      </c>
      <c r="AZ161" s="111">
        <f>SUM(AY$161,'Statistics NZ'!AZ$161-'Statistics NZ'!AY$161,$L$14/5*(AZ$9-AZ$10)*1000)</f>
        <v>38810.549549525167</v>
      </c>
      <c r="BA161" s="111">
        <f>SUM(AZ$161,'Statistics NZ'!BA$161-'Statistics NZ'!AZ$161,$L$14/5*(BA$9-BA$10)*1000)</f>
        <v>39830.549549525167</v>
      </c>
      <c r="BB161" s="111">
        <f>SUM(BA$161,'Statistics NZ'!BB$161-'Statistics NZ'!BA$161,$L$14/5*(BB$9-BB$10)*1000)</f>
        <v>41790.549549525167</v>
      </c>
      <c r="BC161" s="111">
        <f>SUM(BB$161,'Statistics NZ'!BC$161-'Statistics NZ'!BB$161,$L$14/5*(BC$9-BC$10)*1000)</f>
        <v>42860.549549525167</v>
      </c>
      <c r="BD161" s="111">
        <f>SUM(BC$161,'Statistics NZ'!BD$161-'Statistics NZ'!BC$161,$L$14/5*(BD$9-BD$10)*1000)</f>
        <v>43430.549549525167</v>
      </c>
      <c r="BE161" s="111">
        <f>SUM(BD$161,'Statistics NZ'!BE$161-'Statistics NZ'!BD$161,$L$14/5*(BE$9-BE$10)*1000)</f>
        <v>43920.549549525167</v>
      </c>
      <c r="BF161" s="111">
        <f>SUM(BE$161,'Statistics NZ'!BF$161-'Statistics NZ'!BE$161,$L$14/5*(BF$9-BF$10)*1000)</f>
        <v>43650.549549525167</v>
      </c>
      <c r="BG161" s="111">
        <f>SUM(BF$161,'Statistics NZ'!BG$161-'Statistics NZ'!BF$161,$L$14/5*(BG$9-BG$10)*1000)</f>
        <v>43510.549549525167</v>
      </c>
      <c r="BH161" s="111">
        <f>SUM(BG$161,'Statistics NZ'!BH$161-'Statistics NZ'!BG$161,$L$14/5*(BH$9-BH$10)*1000)</f>
        <v>43240.549549525167</v>
      </c>
      <c r="BI161" s="111">
        <f>SUM(BH$161,'Statistics NZ'!BI$161-'Statistics NZ'!BH$161,$L$14/5*(BI$9-BI$10)*1000)</f>
        <v>42900.549549525167</v>
      </c>
      <c r="BJ161" s="111">
        <f>SUM(BI$161,'Statistics NZ'!BJ$161-'Statistics NZ'!BI$161,$L$14/5*(BJ$9-BJ$10)*1000)</f>
        <v>42850.549549525167</v>
      </c>
      <c r="BK161" s="111">
        <f>SUM(BJ$161,'Statistics NZ'!BK$161-'Statistics NZ'!BJ$161,$L$14/5*(BK$9-BK$10)*1000)</f>
        <v>42560.549549525167</v>
      </c>
      <c r="BL161" s="111">
        <f>SUM(BK$161,'Statistics NZ'!BL$161-'Statistics NZ'!BK$161,$L$14/5*(BL$9-BL$10)*1000)</f>
        <v>42340.549549525167</v>
      </c>
      <c r="BM161" s="195">
        <f>SUM(BL$161,'Statistics NZ'!BM$161-'Statistics NZ'!BL$161,$L$14/5*(BM$9-BM$10)*1000)</f>
        <v>41670.549549525167</v>
      </c>
      <c r="BN161" s="195">
        <f>SUM(BM$161,'Statistics NZ'!BN$161-'Statistics NZ'!BM$161,$L$14/5*(BN$9-BN$10)*1000)</f>
        <v>41650.549549525167</v>
      </c>
      <c r="BO161" s="195">
        <f>SUM(BN$161,'Statistics NZ'!BO$161-'Statistics NZ'!BN$161,$L$14/5*(BO$9-BO$10)*1000)</f>
        <v>41040.549549525167</v>
      </c>
      <c r="BP161" s="195">
        <f>SUM(BO$161,'Statistics NZ'!BP$161-'Statistics NZ'!BO$161,$L$14/5*(BP$9-BP$10)*1000)</f>
        <v>40870.549549525167</v>
      </c>
      <c r="BQ161" s="195">
        <f>SUM(BP$161,'Statistics NZ'!BQ$161-'Statistics NZ'!BP$161,$L$14/5*(BQ$9-BQ$10)*1000)</f>
        <v>40850.549549525167</v>
      </c>
    </row>
    <row r="162" spans="1:69">
      <c r="A162" s="105">
        <f>$A$69</f>
        <v>52</v>
      </c>
      <c r="B162" s="118">
        <f>'Statistics NZ'!B$162*'Economic Forecasts'!D$9*1000000/SUM('Statistics NZ'!B$32:B$107,'Statistics NZ'!B$125:B$200)</f>
        <v>25425.236566838168</v>
      </c>
      <c r="C162" s="118">
        <f>'Statistics NZ'!C$162*'Economic Forecasts'!E$9*1000000/SUM('Statistics NZ'!C$32:C$107,'Statistics NZ'!C$125:C$200)</f>
        <v>26075.460456825982</v>
      </c>
      <c r="D162" s="118">
        <f>'Statistics NZ'!D$162*'Economic Forecasts'!F$9*1000000/SUM('Statistics NZ'!D$32:D$107,'Statistics NZ'!D$125:D$200)</f>
        <v>27025.437721446746</v>
      </c>
      <c r="E162" s="118">
        <f>'Statistics NZ'!E$162*'Economic Forecasts'!G$9*1000000/SUM('Statistics NZ'!E$32:E$107,'Statistics NZ'!E$125:E$200)</f>
        <v>27556.116692097145</v>
      </c>
      <c r="F162" s="118">
        <f>'Statistics NZ'!F$162*'Economic Forecasts'!H$9*1000000/SUM('Statistics NZ'!F$32:F$107,'Statistics NZ'!F$125:F$200)</f>
        <v>27633.796219640786</v>
      </c>
      <c r="G162" s="118">
        <f>'Statistics NZ'!G$162*'Economic Forecasts'!I$9*1000000/SUM('Statistics NZ'!G$32:G$107,'Statistics NZ'!G$125:G$200)</f>
        <v>28997.013986859609</v>
      </c>
      <c r="H162" s="118">
        <f>'Statistics NZ'!H$162*'Economic Forecasts'!J$9*1000000/SUM('Statistics NZ'!H$32:H$107,'Statistics NZ'!H$125:H$200)</f>
        <v>29184.555181709296</v>
      </c>
      <c r="I162" s="118">
        <f>'Statistics NZ'!I$162*'Economic Forecasts'!K$9*1000000/SUM('Statistics NZ'!I$32:I$107,'Statistics NZ'!I$125:I$200)</f>
        <v>30083.847270689523</v>
      </c>
      <c r="J162" s="203">
        <f>'Statistics NZ'!J$162*'Economic Forecasts'!L$9*1000000/SUM('Statistics NZ'!J$32:J$107,'Statistics NZ'!J$125:J$200)</f>
        <v>30900.598924665552</v>
      </c>
      <c r="K162" s="203">
        <f>'Statistics NZ'!K$162*'Economic Forecasts'!M$9*1000000/SUM('Statistics NZ'!K$32:K$107,'Statistics NZ'!K$125:K$200)</f>
        <v>31047.988973405652</v>
      </c>
      <c r="L162" s="203">
        <f>'Statistics NZ'!L$162*'Economic Forecasts'!N$9*1000000/SUM('Statistics NZ'!L$32:L$107,'Statistics NZ'!L$125:L$200)</f>
        <v>31063.19577724993</v>
      </c>
      <c r="M162" s="203">
        <f>'Statistics NZ'!M$162*'Economic Forecasts'!O$9*1000000/SUM('Statistics NZ'!M$32:M$107,'Statistics NZ'!M$125:M$200)</f>
        <v>30486.91808421172</v>
      </c>
      <c r="N162" s="203">
        <f>'Statistics NZ'!N$162*'Economic Forecasts'!P$9*1000000/SUM('Statistics NZ'!N$32:N$107,'Statistics NZ'!N$125:N$200)</f>
        <v>30394.954123799987</v>
      </c>
      <c r="O162" s="203">
        <f>'Statistics NZ'!O$162*'Economic Forecasts'!Q$9*1000000/SUM('Statistics NZ'!O$32:O$107,'Statistics NZ'!O$125:O$200)</f>
        <v>30493.553438406456</v>
      </c>
      <c r="P162" s="203">
        <f>'Statistics NZ'!P$162*'Economic Forecasts'!R$9*1000000/SUM('Statistics NZ'!P$32:P$107,'Statistics NZ'!P$125:P$200)</f>
        <v>31465.847111994277</v>
      </c>
      <c r="Q162" s="121">
        <f>SUM('Statistics NZ'!Q$162,$L$14/5*(Q$9-Q$10)*1000)*'Economic Forecasts'!S$9*1000000/SUM('Statistics NZ'!Q$32:Q$107,'Statistics NZ'!Q$125:Q$200,SUM($E$13:$Q$14)*(Q$9-Q$10)*1000)</f>
        <v>32267.804471220363</v>
      </c>
      <c r="R162" s="205">
        <f>SUM('Statistics NZ'!R$162,$L$14/5*(R$9-R$10)*1000)*'Economic Forecasts'!T$9*1000000/SUM('Statistics NZ'!R$32:R$107,'Statistics NZ'!R$125:R$200,SUM($E$13:$Q$14)*(R$9-R$10)*1000)</f>
        <v>32431.324722229165</v>
      </c>
      <c r="S162" s="205">
        <f>SUM('Statistics NZ'!S$162,$L$14/5*(S$9-S$10)*1000)*'Economic Forecasts'!U$9*1000000/SUM('Statistics NZ'!S$32:S$107,'Statistics NZ'!S$125:S$200,SUM($E$13:$Q$14)*(S$9-S$10)*1000)</f>
        <v>33188.128199556471</v>
      </c>
      <c r="T162" s="205">
        <f>SUM('Statistics NZ'!T$162,$L$14/5*(T$9-T$10)*1000)*'Economic Forecasts'!V$9*1000000/SUM('Statistics NZ'!T$32:T$107,'Statistics NZ'!T$125:T$200,SUM($E$13:$Q$14)*(T$9-T$10)*1000)</f>
        <v>33202.182256012566</v>
      </c>
      <c r="U162" s="205">
        <f>SUM('Statistics NZ'!U$162,$L$14/5*(U$9-U$10)*1000)*'Economic Forecasts'!W$9*1000000/SUM('Statistics NZ'!U$32:U$107,'Statistics NZ'!U$125:U$200,SUM($E$13:$Q$14)*(U$9-U$10)*1000)</f>
        <v>32311.82365991675</v>
      </c>
      <c r="V162" s="111">
        <f>SUM(U$162,'Statistics NZ'!V$162-'Statistics NZ'!U$162,$L$14/5*(V$9-V$10)*1000)</f>
        <v>31074.435168002085</v>
      </c>
      <c r="W162" s="111">
        <f>SUM(V$162,'Statistics NZ'!W$162-'Statistics NZ'!V$162,$L$14/5*(W$9-W$10)*1000)</f>
        <v>30135.470237576752</v>
      </c>
      <c r="X162" s="111">
        <f>SUM(W$162,'Statistics NZ'!X$162-'Statistics NZ'!W$162,$L$14/5*(X$9-X$10)*1000)</f>
        <v>29604.928868640753</v>
      </c>
      <c r="Y162" s="111">
        <f>SUM(X$162,'Statistics NZ'!Y$162-'Statistics NZ'!X$162,$L$14/5*(Y$9-Y$10)*1000)</f>
        <v>29792.811061194087</v>
      </c>
      <c r="Z162" s="111">
        <f>SUM(Y$162,'Statistics NZ'!Z$162-'Statistics NZ'!Y$162,$L$14/5*(Z$9-Z$10)*1000)</f>
        <v>29469.116815236754</v>
      </c>
      <c r="AA162" s="111">
        <f>SUM(Z$162,'Statistics NZ'!AA$162-'Statistics NZ'!Z$162,$L$14/5*(AA$9-AA$10)*1000)</f>
        <v>30553.846130768754</v>
      </c>
      <c r="AB162" s="111">
        <f>SUM(AA$162,'Statistics NZ'!AB$162-'Statistics NZ'!AA$162,$L$14/5*(AB$9-AB$10)*1000)</f>
        <v>31316.999007790087</v>
      </c>
      <c r="AC162" s="111">
        <f>SUM(AB$162,'Statistics NZ'!AC$162-'Statistics NZ'!AB$162,$L$14/5*(AC$9-AC$10)*1000)</f>
        <v>31998.575446300754</v>
      </c>
      <c r="AD162" s="111">
        <f>SUM(AC$162,'Statistics NZ'!AD$162-'Statistics NZ'!AC$162,$L$14/5*(AD$9-AD$10)*1000)</f>
        <v>32808.575446300754</v>
      </c>
      <c r="AE162" s="111">
        <f>SUM(AD$162,'Statistics NZ'!AE$162-'Statistics NZ'!AD$162,$L$14/5*(AE$9-AE$10)*1000)</f>
        <v>33768.575446300754</v>
      </c>
      <c r="AF162" s="111">
        <f>SUM(AE$162,'Statistics NZ'!AF$162-'Statistics NZ'!AE$162,$L$14/5*(AF$9-AF$10)*1000)</f>
        <v>34298.575446300754</v>
      </c>
      <c r="AG162" s="111">
        <f>SUM(AF$162,'Statistics NZ'!AG$162-'Statistics NZ'!AF$162,$L$14/5*(AG$9-AG$10)*1000)</f>
        <v>34678.575446300754</v>
      </c>
      <c r="AH162" s="111">
        <f>SUM(AG$162,'Statistics NZ'!AH$162-'Statistics NZ'!AG$162,$L$14/5*(AH$9-AH$10)*1000)</f>
        <v>35638.575446300754</v>
      </c>
      <c r="AI162" s="111">
        <f>SUM(AH$162,'Statistics NZ'!AI$162-'Statistics NZ'!AH$162,$L$14/5*(AI$9-AI$10)*1000)</f>
        <v>37398.575446300754</v>
      </c>
      <c r="AJ162" s="111">
        <f>SUM(AI$162,'Statistics NZ'!AJ$162-'Statistics NZ'!AI$162,$L$14/5*(AJ$9-AJ$10)*1000)</f>
        <v>38738.575446300754</v>
      </c>
      <c r="AK162" s="111">
        <f>SUM(AJ$162,'Statistics NZ'!AK$162-'Statistics NZ'!AJ$162,$L$14/5*(AK$9-AK$10)*1000)</f>
        <v>39738.575446300754</v>
      </c>
      <c r="AL162" s="111">
        <f>SUM(AK$162,'Statistics NZ'!AL$162-'Statistics NZ'!AK$162,$L$14/5*(AL$9-AL$10)*1000)</f>
        <v>41638.575446300754</v>
      </c>
      <c r="AM162" s="111">
        <f>SUM(AL$162,'Statistics NZ'!AM$162-'Statistics NZ'!AL$162,$L$14/5*(AM$9-AM$10)*1000)</f>
        <v>42438.575446300754</v>
      </c>
      <c r="AN162" s="111">
        <f>SUM(AM$162,'Statistics NZ'!AN$162-'Statistics NZ'!AM$162,$L$14/5*(AN$9-AN$10)*1000)</f>
        <v>42588.575446300754</v>
      </c>
      <c r="AO162" s="111">
        <f>SUM(AN$162,'Statistics NZ'!AO$162-'Statistics NZ'!AN$162,$L$14/5*(AO$9-AO$10)*1000)</f>
        <v>42218.575446300754</v>
      </c>
      <c r="AP162" s="111">
        <f>SUM(AO$162,'Statistics NZ'!AP$162-'Statistics NZ'!AO$162,$L$14/5*(AP$9-AP$10)*1000)</f>
        <v>40988.575446300754</v>
      </c>
      <c r="AQ162" s="111">
        <f>SUM(AP$162,'Statistics NZ'!AQ$162-'Statistics NZ'!AP$162,$L$14/5*(AQ$9-AQ$10)*1000)</f>
        <v>40928.575446300754</v>
      </c>
      <c r="AR162" s="111">
        <f>SUM(AQ$162,'Statistics NZ'!AR$162-'Statistics NZ'!AQ$162,$L$14/5*(AR$9-AR$10)*1000)</f>
        <v>40728.575446300754</v>
      </c>
      <c r="AS162" s="111">
        <f>SUM(AR$162,'Statistics NZ'!AS$162-'Statistics NZ'!AR$162,$L$14/5*(AS$9-AS$10)*1000)</f>
        <v>39458.575446300754</v>
      </c>
      <c r="AT162" s="111">
        <f>SUM(AS$162,'Statistics NZ'!AT$162-'Statistics NZ'!AS$162,$L$14/5*(AT$9-AT$10)*1000)</f>
        <v>39338.575446300754</v>
      </c>
      <c r="AU162" s="111">
        <f>SUM(AT$162,'Statistics NZ'!AU$162-'Statistics NZ'!AT$162,$L$14/5*(AU$9-AU$10)*1000)</f>
        <v>38458.575446300754</v>
      </c>
      <c r="AV162" s="111">
        <f>SUM(AU$162,'Statistics NZ'!AV$162-'Statistics NZ'!AU$162,$L$14/5*(AV$9-AV$10)*1000)</f>
        <v>39188.575446300754</v>
      </c>
      <c r="AW162" s="111">
        <f>SUM(AV$162,'Statistics NZ'!AW$162-'Statistics NZ'!AV$162,$L$14/5*(AW$9-AW$10)*1000)</f>
        <v>38748.575446300754</v>
      </c>
      <c r="AX162" s="111">
        <f>SUM(AW$162,'Statistics NZ'!AX$162-'Statistics NZ'!AW$162,$L$14/5*(AX$9-AX$10)*1000)</f>
        <v>37458.575446300754</v>
      </c>
      <c r="AY162" s="111">
        <f>SUM(AX$162,'Statistics NZ'!AY$162-'Statistics NZ'!AX$162,$L$14/5*(AY$9-AY$10)*1000)</f>
        <v>38018.575446300754</v>
      </c>
      <c r="AZ162" s="111">
        <f>SUM(AY$162,'Statistics NZ'!AZ$162-'Statistics NZ'!AY$162,$L$14/5*(AZ$9-AZ$10)*1000)</f>
        <v>38278.575446300754</v>
      </c>
      <c r="BA162" s="111">
        <f>SUM(AZ$162,'Statistics NZ'!BA$162-'Statistics NZ'!AZ$162,$L$14/5*(BA$9-BA$10)*1000)</f>
        <v>38698.575446300754</v>
      </c>
      <c r="BB162" s="111">
        <f>SUM(BA$162,'Statistics NZ'!BB$162-'Statistics NZ'!BA$162,$L$14/5*(BB$9-BB$10)*1000)</f>
        <v>39708.575446300754</v>
      </c>
      <c r="BC162" s="111">
        <f>SUM(BB$162,'Statistics NZ'!BC$162-'Statistics NZ'!BB$162,$L$14/5*(BC$9-BC$10)*1000)</f>
        <v>41668.575446300754</v>
      </c>
      <c r="BD162" s="111">
        <f>SUM(BC$162,'Statistics NZ'!BD$162-'Statistics NZ'!BC$162,$L$14/5*(BD$9-BD$10)*1000)</f>
        <v>42738.575446300754</v>
      </c>
      <c r="BE162" s="111">
        <f>SUM(BD$162,'Statistics NZ'!BE$162-'Statistics NZ'!BD$162,$L$14/5*(BE$9-BE$10)*1000)</f>
        <v>43308.575446300754</v>
      </c>
      <c r="BF162" s="111">
        <f>SUM(BE$162,'Statistics NZ'!BF$162-'Statistics NZ'!BE$162,$L$14/5*(BF$9-BF$10)*1000)</f>
        <v>43798.575446300754</v>
      </c>
      <c r="BG162" s="111">
        <f>SUM(BF$162,'Statistics NZ'!BG$162-'Statistics NZ'!BF$162,$L$14/5*(BG$9-BG$10)*1000)</f>
        <v>43528.575446300754</v>
      </c>
      <c r="BH162" s="111">
        <f>SUM(BG$162,'Statistics NZ'!BH$162-'Statistics NZ'!BG$162,$L$14/5*(BH$9-BH$10)*1000)</f>
        <v>43388.575446300754</v>
      </c>
      <c r="BI162" s="111">
        <f>SUM(BH$162,'Statistics NZ'!BI$162-'Statistics NZ'!BH$162,$L$14/5*(BI$9-BI$10)*1000)</f>
        <v>43118.575446300754</v>
      </c>
      <c r="BJ162" s="111">
        <f>SUM(BI$162,'Statistics NZ'!BJ$162-'Statistics NZ'!BI$162,$L$14/5*(BJ$9-BJ$10)*1000)</f>
        <v>42788.575446300754</v>
      </c>
      <c r="BK162" s="111">
        <f>SUM(BJ$162,'Statistics NZ'!BK$162-'Statistics NZ'!BJ$162,$L$14/5*(BK$9-BK$10)*1000)</f>
        <v>42738.575446300754</v>
      </c>
      <c r="BL162" s="111">
        <f>SUM(BK$162,'Statistics NZ'!BL$162-'Statistics NZ'!BK$162,$L$14/5*(BL$9-BL$10)*1000)</f>
        <v>42448.575446300754</v>
      </c>
      <c r="BM162" s="195">
        <f>SUM(BL$162,'Statistics NZ'!BM$162-'Statistics NZ'!BL$162,$L$14/5*(BM$9-BM$10)*1000)</f>
        <v>42228.575446300754</v>
      </c>
      <c r="BN162" s="195">
        <f>SUM(BM$162,'Statistics NZ'!BN$162-'Statistics NZ'!BM$162,$L$14/5*(BN$9-BN$10)*1000)</f>
        <v>41558.575446300754</v>
      </c>
      <c r="BO162" s="195">
        <f>SUM(BN$162,'Statistics NZ'!BO$162-'Statistics NZ'!BN$162,$L$14/5*(BO$9-BO$10)*1000)</f>
        <v>41548.575446300754</v>
      </c>
      <c r="BP162" s="195">
        <f>SUM(BO$162,'Statistics NZ'!BP$162-'Statistics NZ'!BO$162,$L$14/5*(BP$9-BP$10)*1000)</f>
        <v>40928.575446300754</v>
      </c>
      <c r="BQ162" s="195">
        <f>SUM(BP$162,'Statistics NZ'!BQ$162-'Statistics NZ'!BP$162,$L$14/5*(BQ$9-BQ$10)*1000)</f>
        <v>40768.575446300754</v>
      </c>
    </row>
    <row r="163" spans="1:69">
      <c r="A163" s="105">
        <f>$A$70</f>
        <v>53</v>
      </c>
      <c r="B163" s="118">
        <f>'Statistics NZ'!B$163*'Economic Forecasts'!D$9*1000000/SUM('Statistics NZ'!B$32:B$107,'Statistics NZ'!B$125:B$200)</f>
        <v>24696.268141442579</v>
      </c>
      <c r="C163" s="118">
        <f>'Statistics NZ'!C$163*'Economic Forecasts'!E$9*1000000/SUM('Statistics NZ'!C$32:C$107,'Statistics NZ'!C$125:C$200)</f>
        <v>25316.363876419324</v>
      </c>
      <c r="D163" s="118">
        <f>'Statistics NZ'!D$163*'Economic Forecasts'!F$9*1000000/SUM('Statistics NZ'!D$32:D$107,'Statistics NZ'!D$125:D$200)</f>
        <v>25891.985738235086</v>
      </c>
      <c r="E163" s="118">
        <f>'Statistics NZ'!E$163*'Economic Forecasts'!G$9*1000000/SUM('Statistics NZ'!E$32:E$107,'Statistics NZ'!E$125:E$200)</f>
        <v>26876.569854443573</v>
      </c>
      <c r="F163" s="118">
        <f>'Statistics NZ'!F$163*'Economic Forecasts'!H$9*1000000/SUM('Statistics NZ'!F$32:F$107,'Statistics NZ'!F$125:F$200)</f>
        <v>27456.467046038812</v>
      </c>
      <c r="G163" s="118">
        <f>'Statistics NZ'!G$163*'Economic Forecasts'!I$9*1000000/SUM('Statistics NZ'!G$32:G$107,'Statistics NZ'!G$125:G$200)</f>
        <v>27430.406707243339</v>
      </c>
      <c r="H163" s="118">
        <f>'Statistics NZ'!H$163*'Economic Forecasts'!J$9*1000000/SUM('Statistics NZ'!H$32:H$107,'Statistics NZ'!H$125:H$200)</f>
        <v>28751.169954576249</v>
      </c>
      <c r="I163" s="118">
        <f>'Statistics NZ'!I$163*'Economic Forecasts'!K$9*1000000/SUM('Statistics NZ'!I$32:I$107,'Statistics NZ'!I$125:I$200)</f>
        <v>29030.863411362152</v>
      </c>
      <c r="J163" s="203">
        <f>'Statistics NZ'!J$163*'Economic Forecasts'!L$9*1000000/SUM('Statistics NZ'!J$32:J$107,'Statistics NZ'!J$125:J$200)</f>
        <v>30065.181969005062</v>
      </c>
      <c r="K163" s="203">
        <f>'Statistics NZ'!K$163*'Economic Forecasts'!M$9*1000000/SUM('Statistics NZ'!K$32:K$107,'Statistics NZ'!K$125:K$200)</f>
        <v>30989.037095608044</v>
      </c>
      <c r="L163" s="203">
        <f>'Statistics NZ'!L$163*'Economic Forecasts'!N$9*1000000/SUM('Statistics NZ'!L$32:L$107,'Statistics NZ'!L$125:L$200)</f>
        <v>31309.416415940879</v>
      </c>
      <c r="M163" s="203">
        <f>'Statistics NZ'!M$163*'Economic Forecasts'!O$9*1000000/SUM('Statistics NZ'!M$32:M$107,'Statistics NZ'!M$125:M$200)</f>
        <v>31255.247522198319</v>
      </c>
      <c r="N163" s="203">
        <f>'Statistics NZ'!N$163*'Economic Forecasts'!P$9*1000000/SUM('Statistics NZ'!N$32:N$107,'Statistics NZ'!N$125:N$200)</f>
        <v>30740.351329752259</v>
      </c>
      <c r="O163" s="203">
        <f>'Statistics NZ'!O$163*'Economic Forecasts'!Q$9*1000000/SUM('Statistics NZ'!O$32:O$107,'Statistics NZ'!O$125:O$200)</f>
        <v>30404.737263343133</v>
      </c>
      <c r="P163" s="203">
        <f>'Statistics NZ'!P$163*'Economic Forecasts'!R$9*1000000/SUM('Statistics NZ'!P$32:P$107,'Statistics NZ'!P$125:P$200)</f>
        <v>30764.85083180865</v>
      </c>
      <c r="Q163" s="121">
        <f>SUM('Statistics NZ'!Q$163,$L$14/5*(Q$9-Q$10)*1000)*'Economic Forecasts'!S$9*1000000/SUM('Statistics NZ'!Q$32:Q$107,'Statistics NZ'!Q$125:Q$200,SUM($E$13:$Q$14)*(Q$9-Q$10)*1000)</f>
        <v>31476.890621260944</v>
      </c>
      <c r="R163" s="205">
        <f>SUM('Statistics NZ'!R$163,$L$14/5*(R$9-R$10)*1000)*'Economic Forecasts'!T$9*1000000/SUM('Statistics NZ'!R$32:R$107,'Statistics NZ'!R$125:R$200,SUM($E$13:$Q$14)*(R$9-R$10)*1000)</f>
        <v>32243.506319229229</v>
      </c>
      <c r="S163" s="205">
        <f>SUM('Statistics NZ'!S$163,$L$14/5*(S$9-S$10)*1000)*'Economic Forecasts'!U$9*1000000/SUM('Statistics NZ'!S$32:S$107,'Statistics NZ'!S$125:S$200,SUM($E$13:$Q$14)*(S$9-S$10)*1000)</f>
        <v>32407.616414834411</v>
      </c>
      <c r="T163" s="205">
        <f>SUM('Statistics NZ'!T$163,$L$14/5*(T$9-T$10)*1000)*'Economic Forecasts'!V$9*1000000/SUM('Statistics NZ'!T$32:T$107,'Statistics NZ'!T$125:T$200,SUM($E$13:$Q$14)*(T$9-T$10)*1000)</f>
        <v>33053.992991664782</v>
      </c>
      <c r="U163" s="205">
        <f>SUM('Statistics NZ'!U$163,$L$14/5*(U$9-U$10)*1000)*'Economic Forecasts'!W$9*1000000/SUM('Statistics NZ'!U$32:U$107,'Statistics NZ'!U$125:U$200,SUM($E$13:$Q$14)*(U$9-U$10)*1000)</f>
        <v>33113.08580080705</v>
      </c>
      <c r="V163" s="111">
        <f>SUM(U$163,'Statistics NZ'!V$163-'Statistics NZ'!U$163,$L$14/5*(V$9-V$10)*1000)</f>
        <v>32185.697308892384</v>
      </c>
      <c r="W163" s="111">
        <f>SUM(V$163,'Statistics NZ'!W$163-'Statistics NZ'!V$163,$L$14/5*(W$9-W$10)*1000)</f>
        <v>30946.732378467052</v>
      </c>
      <c r="X163" s="111">
        <f>SUM(W$163,'Statistics NZ'!X$163-'Statistics NZ'!W$163,$L$14/5*(X$9-X$10)*1000)</f>
        <v>30016.191009531052</v>
      </c>
      <c r="Y163" s="111">
        <f>SUM(X$163,'Statistics NZ'!Y$163-'Statistics NZ'!X$163,$L$14/5*(Y$9-Y$10)*1000)</f>
        <v>29484.073202084386</v>
      </c>
      <c r="Z163" s="111">
        <f>SUM(Y$163,'Statistics NZ'!Z$163-'Statistics NZ'!Y$163,$L$14/5*(Z$9-Z$10)*1000)</f>
        <v>29660.378956127053</v>
      </c>
      <c r="AA163" s="111">
        <f>SUM(Z$163,'Statistics NZ'!AA$163-'Statistics NZ'!Z$163,$L$14/5*(AA$9-AA$10)*1000)</f>
        <v>29355.108271659054</v>
      </c>
      <c r="AB163" s="111">
        <f>SUM(AA$163,'Statistics NZ'!AB$163-'Statistics NZ'!AA$163,$L$14/5*(AB$9-AB$10)*1000)</f>
        <v>30428.261148680387</v>
      </c>
      <c r="AC163" s="111">
        <f>SUM(AB$163,'Statistics NZ'!AC$163-'Statistics NZ'!AB$163,$L$14/5*(AC$9-AC$10)*1000)</f>
        <v>31189.837587191054</v>
      </c>
      <c r="AD163" s="111">
        <f>SUM(AC$163,'Statistics NZ'!AD$163-'Statistics NZ'!AC$163,$L$14/5*(AD$9-AD$10)*1000)</f>
        <v>31869.837587191054</v>
      </c>
      <c r="AE163" s="111">
        <f>SUM(AD$163,'Statistics NZ'!AE$163-'Statistics NZ'!AD$163,$L$14/5*(AE$9-AE$10)*1000)</f>
        <v>32679.837587191054</v>
      </c>
      <c r="AF163" s="111">
        <f>SUM(AE$163,'Statistics NZ'!AF$163-'Statistics NZ'!AE$163,$L$14/5*(AF$9-AF$10)*1000)</f>
        <v>33639.837587191054</v>
      </c>
      <c r="AG163" s="111">
        <f>SUM(AF$163,'Statistics NZ'!AG$163-'Statistics NZ'!AF$163,$L$14/5*(AG$9-AG$10)*1000)</f>
        <v>34169.837587191054</v>
      </c>
      <c r="AH163" s="111">
        <f>SUM(AG$163,'Statistics NZ'!AH$163-'Statistics NZ'!AG$163,$L$14/5*(AH$9-AH$10)*1000)</f>
        <v>34549.837587191054</v>
      </c>
      <c r="AI163" s="111">
        <f>SUM(AH$163,'Statistics NZ'!AI$163-'Statistics NZ'!AH$163,$L$14/5*(AI$9-AI$10)*1000)</f>
        <v>35509.837587191054</v>
      </c>
      <c r="AJ163" s="111">
        <f>SUM(AI$163,'Statistics NZ'!AJ$163-'Statistics NZ'!AI$163,$L$14/5*(AJ$9-AJ$10)*1000)</f>
        <v>37269.837587191054</v>
      </c>
      <c r="AK163" s="111">
        <f>SUM(AJ$163,'Statistics NZ'!AK$163-'Statistics NZ'!AJ$163,$L$14/5*(AK$9-AK$10)*1000)</f>
        <v>38599.837587191054</v>
      </c>
      <c r="AL163" s="111">
        <f>SUM(AK$163,'Statistics NZ'!AL$163-'Statistics NZ'!AK$163,$L$14/5*(AL$9-AL$10)*1000)</f>
        <v>39609.837587191054</v>
      </c>
      <c r="AM163" s="111">
        <f>SUM(AL$163,'Statistics NZ'!AM$163-'Statistics NZ'!AL$163,$L$14/5*(AM$9-AM$10)*1000)</f>
        <v>41499.837587191054</v>
      </c>
      <c r="AN163" s="111">
        <f>SUM(AM$163,'Statistics NZ'!AN$163-'Statistics NZ'!AM$163,$L$14/5*(AN$9-AN$10)*1000)</f>
        <v>42299.837587191054</v>
      </c>
      <c r="AO163" s="111">
        <f>SUM(AN$163,'Statistics NZ'!AO$163-'Statistics NZ'!AN$163,$L$14/5*(AO$9-AO$10)*1000)</f>
        <v>42449.837587191054</v>
      </c>
      <c r="AP163" s="111">
        <f>SUM(AO$163,'Statistics NZ'!AP$163-'Statistics NZ'!AO$163,$L$14/5*(AP$9-AP$10)*1000)</f>
        <v>42079.837587191054</v>
      </c>
      <c r="AQ163" s="111">
        <f>SUM(AP$163,'Statistics NZ'!AQ$163-'Statistics NZ'!AP$163,$L$14/5*(AQ$9-AQ$10)*1000)</f>
        <v>40859.837587191054</v>
      </c>
      <c r="AR163" s="111">
        <f>SUM(AQ$163,'Statistics NZ'!AR$163-'Statistics NZ'!AQ$163,$L$14/5*(AR$9-AR$10)*1000)</f>
        <v>40799.837587191054</v>
      </c>
      <c r="AS163" s="111">
        <f>SUM(AR$163,'Statistics NZ'!AS$163-'Statistics NZ'!AR$163,$L$14/5*(AS$9-AS$10)*1000)</f>
        <v>40599.837587191054</v>
      </c>
      <c r="AT163" s="111">
        <f>SUM(AS$163,'Statistics NZ'!AT$163-'Statistics NZ'!AS$163,$L$14/5*(AT$9-AT$10)*1000)</f>
        <v>39329.837587191054</v>
      </c>
      <c r="AU163" s="111">
        <f>SUM(AT$163,'Statistics NZ'!AU$163-'Statistics NZ'!AT$163,$L$14/5*(AU$9-AU$10)*1000)</f>
        <v>39219.837587191054</v>
      </c>
      <c r="AV163" s="111">
        <f>SUM(AU$163,'Statistics NZ'!AV$163-'Statistics NZ'!AU$163,$L$14/5*(AV$9-AV$10)*1000)</f>
        <v>38339.837587191054</v>
      </c>
      <c r="AW163" s="111">
        <f>SUM(AV$163,'Statistics NZ'!AW$163-'Statistics NZ'!AV$163,$L$14/5*(AW$9-AW$10)*1000)</f>
        <v>39069.837587191054</v>
      </c>
      <c r="AX163" s="111">
        <f>SUM(AW$163,'Statistics NZ'!AX$163-'Statistics NZ'!AW$163,$L$14/5*(AX$9-AX$10)*1000)</f>
        <v>38629.837587191054</v>
      </c>
      <c r="AY163" s="111">
        <f>SUM(AX$163,'Statistics NZ'!AY$163-'Statistics NZ'!AX$163,$L$14/5*(AY$9-AY$10)*1000)</f>
        <v>37349.837587191054</v>
      </c>
      <c r="AZ163" s="111">
        <f>SUM(AY$163,'Statistics NZ'!AZ$163-'Statistics NZ'!AY$163,$L$14/5*(AZ$9-AZ$10)*1000)</f>
        <v>37899.837587191054</v>
      </c>
      <c r="BA163" s="111">
        <f>SUM(AZ$163,'Statistics NZ'!BA$163-'Statistics NZ'!AZ$163,$L$14/5*(BA$9-BA$10)*1000)</f>
        <v>38169.837587191054</v>
      </c>
      <c r="BB163" s="111">
        <f>SUM(BA$163,'Statistics NZ'!BB$163-'Statistics NZ'!BA$163,$L$14/5*(BB$9-BB$10)*1000)</f>
        <v>38579.837587191054</v>
      </c>
      <c r="BC163" s="111">
        <f>SUM(BB$163,'Statistics NZ'!BC$163-'Statistics NZ'!BB$163,$L$14/5*(BC$9-BC$10)*1000)</f>
        <v>39599.837587191054</v>
      </c>
      <c r="BD163" s="111">
        <f>SUM(BC$163,'Statistics NZ'!BD$163-'Statistics NZ'!BC$163,$L$14/5*(BD$9-BD$10)*1000)</f>
        <v>41549.837587191054</v>
      </c>
      <c r="BE163" s="111">
        <f>SUM(BD$163,'Statistics NZ'!BE$163-'Statistics NZ'!BD$163,$L$14/5*(BE$9-BE$10)*1000)</f>
        <v>42619.837587191054</v>
      </c>
      <c r="BF163" s="111">
        <f>SUM(BE$163,'Statistics NZ'!BF$163-'Statistics NZ'!BE$163,$L$14/5*(BF$9-BF$10)*1000)</f>
        <v>43199.837587191054</v>
      </c>
      <c r="BG163" s="111">
        <f>SUM(BF$163,'Statistics NZ'!BG$163-'Statistics NZ'!BF$163,$L$14/5*(BG$9-BG$10)*1000)</f>
        <v>43689.837587191054</v>
      </c>
      <c r="BH163" s="111">
        <f>SUM(BG$163,'Statistics NZ'!BH$163-'Statistics NZ'!BG$163,$L$14/5*(BH$9-BH$10)*1000)</f>
        <v>43419.837587191054</v>
      </c>
      <c r="BI163" s="111">
        <f>SUM(BH$163,'Statistics NZ'!BI$163-'Statistics NZ'!BH$163,$L$14/5*(BI$9-BI$10)*1000)</f>
        <v>43279.837587191054</v>
      </c>
      <c r="BJ163" s="111">
        <f>SUM(BI$163,'Statistics NZ'!BJ$163-'Statistics NZ'!BI$163,$L$14/5*(BJ$9-BJ$10)*1000)</f>
        <v>43009.837587191054</v>
      </c>
      <c r="BK163" s="111">
        <f>SUM(BJ$163,'Statistics NZ'!BK$163-'Statistics NZ'!BJ$163,$L$14/5*(BK$9-BK$10)*1000)</f>
        <v>42679.837587191054</v>
      </c>
      <c r="BL163" s="111">
        <f>SUM(BK$163,'Statistics NZ'!BL$163-'Statistics NZ'!BK$163,$L$14/5*(BL$9-BL$10)*1000)</f>
        <v>42629.837587191054</v>
      </c>
      <c r="BM163" s="195">
        <f>SUM(BL$163,'Statistics NZ'!BM$163-'Statistics NZ'!BL$163,$L$14/5*(BM$9-BM$10)*1000)</f>
        <v>42339.837587191054</v>
      </c>
      <c r="BN163" s="195">
        <f>SUM(BM$163,'Statistics NZ'!BN$163-'Statistics NZ'!BM$163,$L$14/5*(BN$9-BN$10)*1000)</f>
        <v>42119.837587191054</v>
      </c>
      <c r="BO163" s="195">
        <f>SUM(BN$163,'Statistics NZ'!BO$163-'Statistics NZ'!BN$163,$L$14/5*(BO$9-BO$10)*1000)</f>
        <v>41459.837587191054</v>
      </c>
      <c r="BP163" s="195">
        <f>SUM(BO$163,'Statistics NZ'!BP$163-'Statistics NZ'!BO$163,$L$14/5*(BP$9-BP$10)*1000)</f>
        <v>41439.837587191054</v>
      </c>
      <c r="BQ163" s="195">
        <f>SUM(BP$163,'Statistics NZ'!BQ$163-'Statistics NZ'!BP$163,$L$14/5*(BQ$9-BQ$10)*1000)</f>
        <v>40829.837587191054</v>
      </c>
    </row>
    <row r="164" spans="1:69">
      <c r="A164" s="105">
        <f>$A$71</f>
        <v>54</v>
      </c>
      <c r="B164" s="118">
        <f>'Statistics NZ'!B$164*'Economic Forecasts'!D$9*1000000/SUM('Statistics NZ'!B$32:B$107,'Statistics NZ'!B$125:B$200)</f>
        <v>24381.038552082318</v>
      </c>
      <c r="C164" s="118">
        <f>'Statistics NZ'!C$164*'Economic Forecasts'!E$9*1000000/SUM('Statistics NZ'!C$32:C$107,'Statistics NZ'!C$125:C$200)</f>
        <v>24557.267296012677</v>
      </c>
      <c r="D164" s="118">
        <f>'Statistics NZ'!D$164*'Economic Forecasts'!F$9*1000000/SUM('Statistics NZ'!D$32:D$107,'Statistics NZ'!D$125:D$200)</f>
        <v>25241.482860913609</v>
      </c>
      <c r="E164" s="118">
        <f>'Statistics NZ'!E$164*'Economic Forecasts'!G$9*1000000/SUM('Statistics NZ'!E$32:E$107,'Statistics NZ'!E$125:E$200)</f>
        <v>25773.537306368205</v>
      </c>
      <c r="F164" s="118">
        <f>'Statistics NZ'!F$164*'Economic Forecasts'!H$9*1000000/SUM('Statistics NZ'!F$32:F$107,'Statistics NZ'!F$125:F$200)</f>
        <v>26766.853593142248</v>
      </c>
      <c r="G164" s="118">
        <f>'Statistics NZ'!G$164*'Economic Forecasts'!I$9*1000000/SUM('Statistics NZ'!G$32:G$107,'Statistics NZ'!G$125:G$200)</f>
        <v>27292.466443629328</v>
      </c>
      <c r="H164" s="118">
        <f>'Statistics NZ'!H$164*'Economic Forecasts'!J$9*1000000/SUM('Statistics NZ'!H$32:H$107,'Statistics NZ'!H$125:H$200)</f>
        <v>27254.020988116645</v>
      </c>
      <c r="I164" s="118">
        <f>'Statistics NZ'!I$164*'Economic Forecasts'!K$9*1000000/SUM('Statistics NZ'!I$32:I$107,'Statistics NZ'!I$125:I$200)</f>
        <v>28568.337790909936</v>
      </c>
      <c r="J164" s="203">
        <f>'Statistics NZ'!J$164*'Economic Forecasts'!L$9*1000000/SUM('Statistics NZ'!J$32:J$107,'Statistics NZ'!J$125:J$200)</f>
        <v>28993.882578805147</v>
      </c>
      <c r="K164" s="203">
        <f>'Statistics NZ'!K$164*'Economic Forecasts'!M$9*1000000/SUM('Statistics NZ'!K$32:K$107,'Statistics NZ'!K$125:K$200)</f>
        <v>30114.584241610228</v>
      </c>
      <c r="L164" s="203">
        <f>'Statistics NZ'!L$164*'Economic Forecasts'!N$9*1000000/SUM('Statistics NZ'!L$32:L$107,'Statistics NZ'!L$125:L$200)</f>
        <v>31210.9281604645</v>
      </c>
      <c r="M164" s="203">
        <f>'Statistics NZ'!M$164*'Economic Forecasts'!O$9*1000000/SUM('Statistics NZ'!M$32:M$107,'Statistics NZ'!M$125:M$200)</f>
        <v>31491.656580040348</v>
      </c>
      <c r="N164" s="203">
        <f>'Statistics NZ'!N$164*'Economic Forecasts'!P$9*1000000/SUM('Statistics NZ'!N$32:N$107,'Statistics NZ'!N$125:N$200)</f>
        <v>31421.277250058167</v>
      </c>
      <c r="O164" s="203">
        <f>'Statistics NZ'!O$164*'Economic Forecasts'!Q$9*1000000/SUM('Statistics NZ'!O$32:O$107,'Statistics NZ'!O$125:O$200)</f>
        <v>30740.265035804565</v>
      </c>
      <c r="P164" s="203">
        <f>'Statistics NZ'!P$164*'Economic Forecasts'!R$9*1000000/SUM('Statistics NZ'!P$32:P$107,'Statistics NZ'!P$125:P$200)</f>
        <v>30636.499400225366</v>
      </c>
      <c r="Q164" s="121">
        <f>SUM('Statistics NZ'!Q$164,$L$14/5*(Q$9-Q$10)*1000)*'Economic Forecasts'!S$9*1000000/SUM('Statistics NZ'!Q$32:Q$107,'Statistics NZ'!Q$125:Q$200,SUM($E$13:$Q$14)*(Q$9-Q$10)*1000)</f>
        <v>30755.181733172976</v>
      </c>
      <c r="R164" s="205">
        <f>SUM('Statistics NZ'!R$164,$L$14/5*(R$9-R$10)*1000)*'Economic Forecasts'!T$9*1000000/SUM('Statistics NZ'!R$32:R$107,'Statistics NZ'!R$125:R$200,SUM($E$13:$Q$14)*(R$9-R$10)*1000)</f>
        <v>31442.806811703187</v>
      </c>
      <c r="S164" s="205">
        <f>SUM('Statistics NZ'!S$164,$L$14/5*(S$9-S$10)*1000)*'Economic Forecasts'!U$9*1000000/SUM('Statistics NZ'!S$32:S$107,'Statistics NZ'!S$125:S$200,SUM($E$13:$Q$14)*(S$9-S$10)*1000)</f>
        <v>32200.138598642465</v>
      </c>
      <c r="T164" s="205">
        <f>SUM('Statistics NZ'!T$164,$L$14/5*(T$9-T$10)*1000)*'Economic Forecasts'!V$9*1000000/SUM('Statistics NZ'!T$32:T$107,'Statistics NZ'!T$125:T$200,SUM($E$13:$Q$14)*(T$9-T$10)*1000)</f>
        <v>32283.408817056232</v>
      </c>
      <c r="U164" s="205">
        <f>SUM('Statistics NZ'!U$164,$L$14/5*(U$9-U$10)*1000)*'Economic Forecasts'!W$9*1000000/SUM('Statistics NZ'!U$32:U$107,'Statistics NZ'!U$125:U$200,SUM($E$13:$Q$14)*(U$9-U$10)*1000)</f>
        <v>32974.596048060579</v>
      </c>
      <c r="V164" s="111">
        <f>SUM(U$164,'Statistics NZ'!V$164-'Statistics NZ'!U$164,$L$14/5*(V$9-V$10)*1000)</f>
        <v>32997.207556145913</v>
      </c>
      <c r="W164" s="111">
        <f>SUM(V$164,'Statistics NZ'!W$164-'Statistics NZ'!V$164,$L$14/5*(W$9-W$10)*1000)</f>
        <v>32068.242625720581</v>
      </c>
      <c r="X164" s="111">
        <f>SUM(W$164,'Statistics NZ'!X$164-'Statistics NZ'!W$164,$L$14/5*(X$9-X$10)*1000)</f>
        <v>30837.701256784581</v>
      </c>
      <c r="Y164" s="111">
        <f>SUM(X$164,'Statistics NZ'!Y$164-'Statistics NZ'!X$164,$L$14/5*(Y$9-Y$10)*1000)</f>
        <v>29905.583449337915</v>
      </c>
      <c r="Z164" s="111">
        <f>SUM(Y$164,'Statistics NZ'!Z$164-'Statistics NZ'!Y$164,$L$14/5*(Z$9-Z$10)*1000)</f>
        <v>29371.889203380582</v>
      </c>
      <c r="AA164" s="111">
        <f>SUM(Z$164,'Statistics NZ'!AA$164-'Statistics NZ'!Z$164,$L$14/5*(AA$9-AA$10)*1000)</f>
        <v>29556.618518912583</v>
      </c>
      <c r="AB164" s="111">
        <f>SUM(AA$164,'Statistics NZ'!AB$164-'Statistics NZ'!AA$164,$L$14/5*(AB$9-AB$10)*1000)</f>
        <v>29249.771395933916</v>
      </c>
      <c r="AC164" s="111">
        <f>SUM(AB$164,'Statistics NZ'!AC$164-'Statistics NZ'!AB$164,$L$14/5*(AC$9-AC$10)*1000)</f>
        <v>30321.347834444583</v>
      </c>
      <c r="AD164" s="111">
        <f>SUM(AC$164,'Statistics NZ'!AD$164-'Statistics NZ'!AC$164,$L$14/5*(AD$9-AD$10)*1000)</f>
        <v>31081.347834444583</v>
      </c>
      <c r="AE164" s="111">
        <f>SUM(AD$164,'Statistics NZ'!AE$164-'Statistics NZ'!AD$164,$L$14/5*(AE$9-AE$10)*1000)</f>
        <v>31761.347834444583</v>
      </c>
      <c r="AF164" s="111">
        <f>SUM(AE$164,'Statistics NZ'!AF$164-'Statistics NZ'!AE$164,$L$14/5*(AF$9-AF$10)*1000)</f>
        <v>32571.347834444583</v>
      </c>
      <c r="AG164" s="111">
        <f>SUM(AF$164,'Statistics NZ'!AG$164-'Statistics NZ'!AF$164,$L$14/5*(AG$9-AG$10)*1000)</f>
        <v>33521.347834444583</v>
      </c>
      <c r="AH164" s="111">
        <f>SUM(AG$164,'Statistics NZ'!AH$164-'Statistics NZ'!AG$164,$L$14/5*(AH$9-AH$10)*1000)</f>
        <v>34061.347834444583</v>
      </c>
      <c r="AI164" s="111">
        <f>SUM(AH$164,'Statistics NZ'!AI$164-'Statistics NZ'!AH$164,$L$14/5*(AI$9-AI$10)*1000)</f>
        <v>34441.347834444583</v>
      </c>
      <c r="AJ164" s="111">
        <f>SUM(AI$164,'Statistics NZ'!AJ$164-'Statistics NZ'!AI$164,$L$14/5*(AJ$9-AJ$10)*1000)</f>
        <v>35401.347834444583</v>
      </c>
      <c r="AK164" s="111">
        <f>SUM(AJ$164,'Statistics NZ'!AK$164-'Statistics NZ'!AJ$164,$L$14/5*(AK$9-AK$10)*1000)</f>
        <v>37151.347834444583</v>
      </c>
      <c r="AL164" s="111">
        <f>SUM(AK$164,'Statistics NZ'!AL$164-'Statistics NZ'!AK$164,$L$14/5*(AL$9-AL$10)*1000)</f>
        <v>38481.347834444583</v>
      </c>
      <c r="AM164" s="111">
        <f>SUM(AL$164,'Statistics NZ'!AM$164-'Statistics NZ'!AL$164,$L$14/5*(AM$9-AM$10)*1000)</f>
        <v>39491.347834444583</v>
      </c>
      <c r="AN164" s="111">
        <f>SUM(AM$164,'Statistics NZ'!AN$164-'Statistics NZ'!AM$164,$L$14/5*(AN$9-AN$10)*1000)</f>
        <v>41381.347834444583</v>
      </c>
      <c r="AO164" s="111">
        <f>SUM(AN$164,'Statistics NZ'!AO$164-'Statistics NZ'!AN$164,$L$14/5*(AO$9-AO$10)*1000)</f>
        <v>42181.347834444583</v>
      </c>
      <c r="AP164" s="111">
        <f>SUM(AO$164,'Statistics NZ'!AP$164-'Statistics NZ'!AO$164,$L$14/5*(AP$9-AP$10)*1000)</f>
        <v>42341.347834444583</v>
      </c>
      <c r="AQ164" s="111">
        <f>SUM(AP$164,'Statistics NZ'!AQ$164-'Statistics NZ'!AP$164,$L$14/5*(AQ$9-AQ$10)*1000)</f>
        <v>41971.347834444583</v>
      </c>
      <c r="AR164" s="111">
        <f>SUM(AQ$164,'Statistics NZ'!AR$164-'Statistics NZ'!AQ$164,$L$14/5*(AR$9-AR$10)*1000)</f>
        <v>40751.347834444583</v>
      </c>
      <c r="AS164" s="111">
        <f>SUM(AR$164,'Statistics NZ'!AS$164-'Statistics NZ'!AR$164,$L$14/5*(AS$9-AS$10)*1000)</f>
        <v>40691.347834444583</v>
      </c>
      <c r="AT164" s="111">
        <f>SUM(AS$164,'Statistics NZ'!AT$164-'Statistics NZ'!AS$164,$L$14/5*(AT$9-AT$10)*1000)</f>
        <v>40491.347834444583</v>
      </c>
      <c r="AU164" s="111">
        <f>SUM(AT$164,'Statistics NZ'!AU$164-'Statistics NZ'!AT$164,$L$14/5*(AU$9-AU$10)*1000)</f>
        <v>39231.347834444583</v>
      </c>
      <c r="AV164" s="111">
        <f>SUM(AU$164,'Statistics NZ'!AV$164-'Statistics NZ'!AU$164,$L$14/5*(AV$9-AV$10)*1000)</f>
        <v>39121.347834444583</v>
      </c>
      <c r="AW164" s="111">
        <f>SUM(AV$164,'Statistics NZ'!AW$164-'Statistics NZ'!AV$164,$L$14/5*(AW$9-AW$10)*1000)</f>
        <v>38241.347834444583</v>
      </c>
      <c r="AX164" s="111">
        <f>SUM(AW$164,'Statistics NZ'!AX$164-'Statistics NZ'!AW$164,$L$14/5*(AX$9-AX$10)*1000)</f>
        <v>38971.347834444583</v>
      </c>
      <c r="AY164" s="111">
        <f>SUM(AX$164,'Statistics NZ'!AY$164-'Statistics NZ'!AX$164,$L$14/5*(AY$9-AY$10)*1000)</f>
        <v>38531.347834444583</v>
      </c>
      <c r="AZ164" s="111">
        <f>SUM(AY$164,'Statistics NZ'!AZ$164-'Statistics NZ'!AY$164,$L$14/5*(AZ$9-AZ$10)*1000)</f>
        <v>37251.347834444583</v>
      </c>
      <c r="BA164" s="111">
        <f>SUM(AZ$164,'Statistics NZ'!BA$164-'Statistics NZ'!AZ$164,$L$14/5*(BA$9-BA$10)*1000)</f>
        <v>37811.347834444583</v>
      </c>
      <c r="BB164" s="111">
        <f>SUM(BA$164,'Statistics NZ'!BB$164-'Statistics NZ'!BA$164,$L$14/5*(BB$9-BB$10)*1000)</f>
        <v>38081.347834444583</v>
      </c>
      <c r="BC164" s="111">
        <f>SUM(BB$164,'Statistics NZ'!BC$164-'Statistics NZ'!BB$164,$L$14/5*(BC$9-BC$10)*1000)</f>
        <v>38491.347834444583</v>
      </c>
      <c r="BD164" s="111">
        <f>SUM(BC$164,'Statistics NZ'!BD$164-'Statistics NZ'!BC$164,$L$14/5*(BD$9-BD$10)*1000)</f>
        <v>39501.347834444583</v>
      </c>
      <c r="BE164" s="111">
        <f>SUM(BD$164,'Statistics NZ'!BE$164-'Statistics NZ'!BD$164,$L$14/5*(BE$9-BE$10)*1000)</f>
        <v>41461.347834444583</v>
      </c>
      <c r="BF164" s="111">
        <f>SUM(BE$164,'Statistics NZ'!BF$164-'Statistics NZ'!BE$164,$L$14/5*(BF$9-BF$10)*1000)</f>
        <v>42531.347834444583</v>
      </c>
      <c r="BG164" s="111">
        <f>SUM(BF$164,'Statistics NZ'!BG$164-'Statistics NZ'!BF$164,$L$14/5*(BG$9-BG$10)*1000)</f>
        <v>43101.347834444583</v>
      </c>
      <c r="BH164" s="111">
        <f>SUM(BG$164,'Statistics NZ'!BH$164-'Statistics NZ'!BG$164,$L$14/5*(BH$9-BH$10)*1000)</f>
        <v>43591.347834444583</v>
      </c>
      <c r="BI164" s="111">
        <f>SUM(BH$164,'Statistics NZ'!BI$164-'Statistics NZ'!BH$164,$L$14/5*(BI$9-BI$10)*1000)</f>
        <v>43331.347834444583</v>
      </c>
      <c r="BJ164" s="111">
        <f>SUM(BI$164,'Statistics NZ'!BJ$164-'Statistics NZ'!BI$164,$L$14/5*(BJ$9-BJ$10)*1000)</f>
        <v>43191.347834444583</v>
      </c>
      <c r="BK164" s="111">
        <f>SUM(BJ$164,'Statistics NZ'!BK$164-'Statistics NZ'!BJ$164,$L$14/5*(BK$9-BK$10)*1000)</f>
        <v>42921.347834444583</v>
      </c>
      <c r="BL164" s="111">
        <f>SUM(BK$164,'Statistics NZ'!BL$164-'Statistics NZ'!BK$164,$L$14/5*(BL$9-BL$10)*1000)</f>
        <v>42591.347834444583</v>
      </c>
      <c r="BM164" s="195">
        <f>SUM(BL$164,'Statistics NZ'!BM$164-'Statistics NZ'!BL$164,$L$14/5*(BM$9-BM$10)*1000)</f>
        <v>42541.347834444583</v>
      </c>
      <c r="BN164" s="195">
        <f>SUM(BM$164,'Statistics NZ'!BN$164-'Statistics NZ'!BM$164,$L$14/5*(BN$9-BN$10)*1000)</f>
        <v>42261.347834444583</v>
      </c>
      <c r="BO164" s="195">
        <f>SUM(BN$164,'Statistics NZ'!BO$164-'Statistics NZ'!BN$164,$L$14/5*(BO$9-BO$10)*1000)</f>
        <v>42041.347834444583</v>
      </c>
      <c r="BP164" s="195">
        <f>SUM(BO$164,'Statistics NZ'!BP$164-'Statistics NZ'!BO$164,$L$14/5*(BP$9-BP$10)*1000)</f>
        <v>41371.347834444583</v>
      </c>
      <c r="BQ164" s="195">
        <f>SUM(BP$164,'Statistics NZ'!BQ$164-'Statistics NZ'!BP$164,$L$14/5*(BQ$9-BQ$10)*1000)</f>
        <v>41361.347834444583</v>
      </c>
    </row>
    <row r="165" spans="1:69">
      <c r="A165" s="105">
        <f>$A$72</f>
        <v>55</v>
      </c>
      <c r="B165" s="118">
        <f>'Statistics NZ'!B$165*'Economic Forecasts'!D$9*1000000/SUM('Statistics NZ'!B$32:B$107,'Statistics NZ'!B$125:B$200)</f>
        <v>23799.833996699348</v>
      </c>
      <c r="C165" s="118">
        <f>'Statistics NZ'!C$165*'Economic Forecasts'!E$9*1000000/SUM('Statistics NZ'!C$32:C$107,'Statistics NZ'!C$125:C$200)</f>
        <v>24241.798587272242</v>
      </c>
      <c r="D165" s="118">
        <f>'Statistics NZ'!D$165*'Economic Forecasts'!F$9*1000000/SUM('Statistics NZ'!D$32:D$107,'Statistics NZ'!D$125:D$200)</f>
        <v>24354.433482747962</v>
      </c>
      <c r="E165" s="118">
        <f>'Statistics NZ'!E$165*'Economic Forecasts'!G$9*1000000/SUM('Statistics NZ'!E$32:E$107,'Statistics NZ'!E$125:E$200)</f>
        <v>25143.232993182279</v>
      </c>
      <c r="F165" s="118">
        <f>'Statistics NZ'!F$165*'Economic Forecasts'!H$9*1000000/SUM('Statistics NZ'!F$32:F$107,'Statistics NZ'!F$125:F$200)</f>
        <v>25643.768826996424</v>
      </c>
      <c r="G165" s="118">
        <f>'Statistics NZ'!G$165*'Economic Forecasts'!I$9*1000000/SUM('Statistics NZ'!G$32:G$107,'Statistics NZ'!G$125:G$200)</f>
        <v>26563.35362166955</v>
      </c>
      <c r="H165" s="118">
        <f>'Statistics NZ'!H$165*'Economic Forecasts'!J$9*1000000/SUM('Statistics NZ'!H$32:H$107,'Statistics NZ'!H$125:H$200)</f>
        <v>27106.276024321287</v>
      </c>
      <c r="I165" s="118">
        <f>'Statistics NZ'!I$165*'Economic Forecasts'!K$9*1000000/SUM('Statistics NZ'!I$32:I$107,'Statistics NZ'!I$125:I$200)</f>
        <v>27092.192193722032</v>
      </c>
      <c r="J165" s="203">
        <f>'Statistics NZ'!J$165*'Economic Forecasts'!L$9*1000000/SUM('Statistics NZ'!J$32:J$107,'Statistics NZ'!J$125:J$200)</f>
        <v>28551.603014043707</v>
      </c>
      <c r="K165" s="203">
        <f>'Statistics NZ'!K$165*'Economic Forecasts'!M$9*1000000/SUM('Statistics NZ'!K$32:K$107,'Statistics NZ'!K$125:K$200)</f>
        <v>29102.577006084666</v>
      </c>
      <c r="L165" s="203">
        <f>'Statistics NZ'!L$165*'Economic Forecasts'!N$9*1000000/SUM('Statistics NZ'!L$32:L$107,'Statistics NZ'!L$125:L$200)</f>
        <v>30235.894431248347</v>
      </c>
      <c r="M165" s="203">
        <f>'Statistics NZ'!M$165*'Economic Forecasts'!O$9*1000000/SUM('Statistics NZ'!M$32:M$107,'Statistics NZ'!M$125:M$200)</f>
        <v>31284.798654428574</v>
      </c>
      <c r="N165" s="203">
        <f>'Statistics NZ'!N$165*'Economic Forecasts'!P$9*1000000/SUM('Statistics NZ'!N$32:N$107,'Statistics NZ'!N$125:N$200)</f>
        <v>31687.72652322135</v>
      </c>
      <c r="O165" s="203">
        <f>'Statistics NZ'!O$165*'Economic Forecasts'!Q$9*1000000/SUM('Statistics NZ'!O$32:O$107,'Statistics NZ'!O$125:O$200)</f>
        <v>31371.846725143729</v>
      </c>
      <c r="P165" s="203">
        <f>'Statistics NZ'!P$165*'Economic Forecasts'!R$9*1000000/SUM('Statistics NZ'!P$32:P$107,'Statistics NZ'!P$125:P$200)</f>
        <v>30962.314572706011</v>
      </c>
      <c r="Q165" s="121">
        <f>SUM('Statistics NZ'!Q$165,$M$14/5*(Q$9-Q$10)*1000)*'Economic Forecasts'!S$9*1000000/SUM('Statistics NZ'!Q$32:Q$107,'Statistics NZ'!Q$125:Q$200,SUM($E$13:$Q$14)*(Q$9-Q$10)*1000)</f>
        <v>30616.393907841048</v>
      </c>
      <c r="R165" s="205">
        <f>SUM('Statistics NZ'!R$165,$M$14/5*(R$9-R$10)*1000)*'Economic Forecasts'!T$9*1000000/SUM('Statistics NZ'!R$32:R$107,'Statistics NZ'!R$125:R$200,SUM($E$13:$Q$14)*(R$9-R$10)*1000)</f>
        <v>30710.80638154913</v>
      </c>
      <c r="S165" s="205">
        <f>SUM('Statistics NZ'!S$165,$M$14/5*(S$9-S$10)*1000)*'Economic Forecasts'!U$9*1000000/SUM('Statistics NZ'!S$32:S$107,'Statistics NZ'!S$125:S$200,SUM($E$13:$Q$14)*(S$9-S$10)*1000)</f>
        <v>31390.384654413643</v>
      </c>
      <c r="T165" s="205">
        <f>SUM('Statistics NZ'!T$165,$M$14/5*(T$9-T$10)*1000)*'Economic Forecasts'!V$9*1000000/SUM('Statistics NZ'!T$32:T$107,'Statistics NZ'!T$125:T$200,SUM($E$13:$Q$14)*(T$9-T$10)*1000)</f>
        <v>32087.810650796466</v>
      </c>
      <c r="U165" s="205">
        <f>SUM('Statistics NZ'!U$165,$M$14/5*(U$9-U$10)*1000)*'Economic Forecasts'!W$9*1000000/SUM('Statistics NZ'!U$32:U$107,'Statistics NZ'!U$125:U$200,SUM($E$13:$Q$14)*(U$9-U$10)*1000)</f>
        <v>32216.484593134464</v>
      </c>
      <c r="V165" s="111">
        <f>SUM(U$165,'Statistics NZ'!V$165-'Statistics NZ'!U$165,$M$14/5*(V$9-V$10)*1000)</f>
        <v>32872.314989518141</v>
      </c>
      <c r="W165" s="111">
        <f>SUM(V$165,'Statistics NZ'!W$165-'Statistics NZ'!V$165,$M$14/5*(W$9-W$10)*1000)</f>
        <v>32906.166586353866</v>
      </c>
      <c r="X165" s="111">
        <f>SUM(W$165,'Statistics NZ'!X$165-'Statistics NZ'!W$165,$M$14/5*(X$9-X$10)*1000)</f>
        <v>31988.039383641626</v>
      </c>
      <c r="Y165" s="111">
        <f>SUM(X$165,'Statistics NZ'!Y$165-'Statistics NZ'!X$165,$M$14/5*(Y$9-Y$10)*1000)</f>
        <v>30767.933381381426</v>
      </c>
      <c r="Z165" s="111">
        <f>SUM(Y$165,'Statistics NZ'!Z$165-'Statistics NZ'!Y$165,$M$14/5*(Z$9-Z$10)*1000)</f>
        <v>29835.848579573267</v>
      </c>
      <c r="AA165" s="111">
        <f>SUM(Z$165,'Statistics NZ'!AA$165-'Statistics NZ'!Z$165,$M$14/5*(AA$9-AA$10)*1000)</f>
        <v>29301.784978217147</v>
      </c>
      <c r="AB165" s="111">
        <f>SUM(AA$165,'Statistics NZ'!AB$165-'Statistics NZ'!AA$165,$M$14/5*(AB$9-AB$10)*1000)</f>
        <v>29485.742577313067</v>
      </c>
      <c r="AC165" s="111">
        <f>SUM(AB$165,'Statistics NZ'!AC$165-'Statistics NZ'!AB$165,$M$14/5*(AC$9-AC$10)*1000)</f>
        <v>29177.721376861027</v>
      </c>
      <c r="AD165" s="111">
        <f>SUM(AC$165,'Statistics NZ'!AD$165-'Statistics NZ'!AC$165,$M$14/5*(AD$9-AD$10)*1000)</f>
        <v>30247.721376861027</v>
      </c>
      <c r="AE165" s="111">
        <f>SUM(AD$165,'Statistics NZ'!AE$165-'Statistics NZ'!AD$165,$M$14/5*(AE$9-AE$10)*1000)</f>
        <v>31007.721376861027</v>
      </c>
      <c r="AF165" s="111">
        <f>SUM(AE$165,'Statistics NZ'!AF$165-'Statistics NZ'!AE$165,$M$14/5*(AF$9-AF$10)*1000)</f>
        <v>31687.721376861027</v>
      </c>
      <c r="AG165" s="111">
        <f>SUM(AF$165,'Statistics NZ'!AG$165-'Statistics NZ'!AF$165,$M$14/5*(AG$9-AG$10)*1000)</f>
        <v>32497.721376861027</v>
      </c>
      <c r="AH165" s="111">
        <f>SUM(AG$165,'Statistics NZ'!AH$165-'Statistics NZ'!AG$165,$M$14/5*(AH$9-AH$10)*1000)</f>
        <v>33447.721376861024</v>
      </c>
      <c r="AI165" s="111">
        <f>SUM(AH$165,'Statistics NZ'!AI$165-'Statistics NZ'!AH$165,$M$14/5*(AI$9-AI$10)*1000)</f>
        <v>33987.721376861024</v>
      </c>
      <c r="AJ165" s="111">
        <f>SUM(AI$165,'Statistics NZ'!AJ$165-'Statistics NZ'!AI$165,$M$14/5*(AJ$9-AJ$10)*1000)</f>
        <v>34367.721376861024</v>
      </c>
      <c r="AK165" s="111">
        <f>SUM(AJ$165,'Statistics NZ'!AK$165-'Statistics NZ'!AJ$165,$M$14/5*(AK$9-AK$10)*1000)</f>
        <v>35327.721376861024</v>
      </c>
      <c r="AL165" s="111">
        <f>SUM(AK$165,'Statistics NZ'!AL$165-'Statistics NZ'!AK$165,$M$14/5*(AL$9-AL$10)*1000)</f>
        <v>37077.721376861024</v>
      </c>
      <c r="AM165" s="111">
        <f>SUM(AL$165,'Statistics NZ'!AM$165-'Statistics NZ'!AL$165,$M$14/5*(AM$9-AM$10)*1000)</f>
        <v>38407.721376861024</v>
      </c>
      <c r="AN165" s="111">
        <f>SUM(AM$165,'Statistics NZ'!AN$165-'Statistics NZ'!AM$165,$M$14/5*(AN$9-AN$10)*1000)</f>
        <v>39417.721376861024</v>
      </c>
      <c r="AO165" s="111">
        <f>SUM(AN$165,'Statistics NZ'!AO$165-'Statistics NZ'!AN$165,$M$14/5*(AO$9-AO$10)*1000)</f>
        <v>41297.721376861024</v>
      </c>
      <c r="AP165" s="111">
        <f>SUM(AO$165,'Statistics NZ'!AP$165-'Statistics NZ'!AO$165,$M$14/5*(AP$9-AP$10)*1000)</f>
        <v>42107.721376861024</v>
      </c>
      <c r="AQ165" s="111">
        <f>SUM(AP$165,'Statistics NZ'!AQ$165-'Statistics NZ'!AP$165,$M$14/5*(AQ$9-AQ$10)*1000)</f>
        <v>42257.721376861024</v>
      </c>
      <c r="AR165" s="111">
        <f>SUM(AQ$165,'Statistics NZ'!AR$165-'Statistics NZ'!AQ$165,$M$14/5*(AR$9-AR$10)*1000)</f>
        <v>41887.721376861024</v>
      </c>
      <c r="AS165" s="111">
        <f>SUM(AR$165,'Statistics NZ'!AS$165-'Statistics NZ'!AR$165,$M$14/5*(AS$9-AS$10)*1000)</f>
        <v>40677.721376861024</v>
      </c>
      <c r="AT165" s="111">
        <f>SUM(AS$165,'Statistics NZ'!AT$165-'Statistics NZ'!AS$165,$M$14/5*(AT$9-AT$10)*1000)</f>
        <v>40617.721376861024</v>
      </c>
      <c r="AU165" s="111">
        <f>SUM(AT$165,'Statistics NZ'!AU$165-'Statistics NZ'!AT$165,$M$14/5*(AU$9-AU$10)*1000)</f>
        <v>40427.721376861024</v>
      </c>
      <c r="AV165" s="111">
        <f>SUM(AU$165,'Statistics NZ'!AV$165-'Statistics NZ'!AU$165,$M$14/5*(AV$9-AV$10)*1000)</f>
        <v>39167.721376861024</v>
      </c>
      <c r="AW165" s="111">
        <f>SUM(AV$165,'Statistics NZ'!AW$165-'Statistics NZ'!AV$165,$M$14/5*(AW$9-AW$10)*1000)</f>
        <v>39057.721376861024</v>
      </c>
      <c r="AX165" s="111">
        <f>SUM(AW$165,'Statistics NZ'!AX$165-'Statistics NZ'!AW$165,$M$14/5*(AX$9-AX$10)*1000)</f>
        <v>38187.721376861024</v>
      </c>
      <c r="AY165" s="111">
        <f>SUM(AX$165,'Statistics NZ'!AY$165-'Statistics NZ'!AX$165,$M$14/5*(AY$9-AY$10)*1000)</f>
        <v>38917.721376861024</v>
      </c>
      <c r="AZ165" s="111">
        <f>SUM(AY$165,'Statistics NZ'!AZ$165-'Statistics NZ'!AY$165,$M$14/5*(AZ$9-AZ$10)*1000)</f>
        <v>38477.721376861024</v>
      </c>
      <c r="BA165" s="111">
        <f>SUM(AZ$165,'Statistics NZ'!BA$165-'Statistics NZ'!AZ$165,$M$14/5*(BA$9-BA$10)*1000)</f>
        <v>37197.721376861024</v>
      </c>
      <c r="BB165" s="111">
        <f>SUM(BA$165,'Statistics NZ'!BB$165-'Statistics NZ'!BA$165,$M$14/5*(BB$9-BB$10)*1000)</f>
        <v>37757.721376861024</v>
      </c>
      <c r="BC165" s="111">
        <f>SUM(BB$165,'Statistics NZ'!BC$165-'Statistics NZ'!BB$165,$M$14/5*(BC$9-BC$10)*1000)</f>
        <v>38027.721376861024</v>
      </c>
      <c r="BD165" s="111">
        <f>SUM(BC$165,'Statistics NZ'!BD$165-'Statistics NZ'!BC$165,$M$14/5*(BD$9-BD$10)*1000)</f>
        <v>38437.721376861024</v>
      </c>
      <c r="BE165" s="111">
        <f>SUM(BD$165,'Statistics NZ'!BE$165-'Statistics NZ'!BD$165,$M$14/5*(BE$9-BE$10)*1000)</f>
        <v>39447.721376861024</v>
      </c>
      <c r="BF165" s="111">
        <f>SUM(BE$165,'Statistics NZ'!BF$165-'Statistics NZ'!BE$165,$M$14/5*(BF$9-BF$10)*1000)</f>
        <v>41407.721376861024</v>
      </c>
      <c r="BG165" s="111">
        <f>SUM(BF$165,'Statistics NZ'!BG$165-'Statistics NZ'!BF$165,$M$14/5*(BG$9-BG$10)*1000)</f>
        <v>42467.721376861024</v>
      </c>
      <c r="BH165" s="111">
        <f>SUM(BG$165,'Statistics NZ'!BH$165-'Statistics NZ'!BG$165,$M$14/5*(BH$9-BH$10)*1000)</f>
        <v>43047.721376861024</v>
      </c>
      <c r="BI165" s="111">
        <f>SUM(BH$165,'Statistics NZ'!BI$165-'Statistics NZ'!BH$165,$M$14/5*(BI$9-BI$10)*1000)</f>
        <v>43537.721376861024</v>
      </c>
      <c r="BJ165" s="111">
        <f>SUM(BI$165,'Statistics NZ'!BJ$165-'Statistics NZ'!BI$165,$M$14/5*(BJ$9-BJ$10)*1000)</f>
        <v>43277.721376861024</v>
      </c>
      <c r="BK165" s="111">
        <f>SUM(BJ$165,'Statistics NZ'!BK$165-'Statistics NZ'!BJ$165,$M$14/5*(BK$9-BK$10)*1000)</f>
        <v>43137.721376861024</v>
      </c>
      <c r="BL165" s="111">
        <f>SUM(BK$165,'Statistics NZ'!BL$165-'Statistics NZ'!BK$165,$M$14/5*(BL$9-BL$10)*1000)</f>
        <v>42877.721376861024</v>
      </c>
      <c r="BM165" s="195">
        <f>SUM(BL$165,'Statistics NZ'!BM$165-'Statistics NZ'!BL$165,$M$14/5*(BM$9-BM$10)*1000)</f>
        <v>42547.721376861024</v>
      </c>
      <c r="BN165" s="195">
        <f>SUM(BM$165,'Statistics NZ'!BN$165-'Statistics NZ'!BM$165,$M$14/5*(BN$9-BN$10)*1000)</f>
        <v>42497.721376861024</v>
      </c>
      <c r="BO165" s="195">
        <f>SUM(BN$165,'Statistics NZ'!BO$165-'Statistics NZ'!BN$165,$M$14/5*(BO$9-BO$10)*1000)</f>
        <v>42217.721376861024</v>
      </c>
      <c r="BP165" s="195">
        <f>SUM(BO$165,'Statistics NZ'!BP$165-'Statistics NZ'!BO$165,$M$14/5*(BP$9-BP$10)*1000)</f>
        <v>41997.721376861024</v>
      </c>
      <c r="BQ165" s="195">
        <f>SUM(BP$165,'Statistics NZ'!BQ$165-'Statistics NZ'!BP$165,$M$14/5*(BQ$9-BQ$10)*1000)</f>
        <v>41337.721376861024</v>
      </c>
    </row>
    <row r="166" spans="1:69">
      <c r="A166" s="105">
        <f>$A$73</f>
        <v>56</v>
      </c>
      <c r="B166" s="118">
        <f>'Statistics NZ'!B$166*'Economic Forecasts'!D$9*1000000/SUM('Statistics NZ'!B$32:B$107,'Statistics NZ'!B$125:B$200)</f>
        <v>23819.535846034367</v>
      </c>
      <c r="C166" s="118">
        <f>'Statistics NZ'!C$166*'Economic Forecasts'!E$9*1000000/SUM('Statistics NZ'!C$32:C$107,'Statistics NZ'!C$125:C$200)</f>
        <v>23758.737127013468</v>
      </c>
      <c r="D166" s="118">
        <f>'Statistics NZ'!D$166*'Economic Forecasts'!F$9*1000000/SUM('Statistics NZ'!D$32:D$107,'Statistics NZ'!D$125:D$200)</f>
        <v>24098.174773500108</v>
      </c>
      <c r="E166" s="118">
        <f>'Statistics NZ'!E$166*'Economic Forecasts'!G$9*1000000/SUM('Statistics NZ'!E$32:E$107,'Statistics NZ'!E$125:E$200)</f>
        <v>24197.776523403387</v>
      </c>
      <c r="F166" s="118">
        <f>'Statistics NZ'!F$166*'Economic Forecasts'!H$9*1000000/SUM('Statistics NZ'!F$32:F$107,'Statistics NZ'!F$125:F$200)</f>
        <v>25032.968340145184</v>
      </c>
      <c r="G166" s="118">
        <f>'Statistics NZ'!G$166*'Economic Forecasts'!I$9*1000000/SUM('Statistics NZ'!G$32:G$107,'Statistics NZ'!G$125:G$200)</f>
        <v>25489.39014067475</v>
      </c>
      <c r="H166" s="118">
        <f>'Statistics NZ'!H$166*'Economic Forecasts'!J$9*1000000/SUM('Statistics NZ'!H$32:H$107,'Statistics NZ'!H$125:H$200)</f>
        <v>26357.701541091486</v>
      </c>
      <c r="I166" s="118">
        <f>'Statistics NZ'!I$166*'Economic Forecasts'!K$9*1000000/SUM('Statistics NZ'!I$32:I$107,'Statistics NZ'!I$125:I$200)</f>
        <v>26944.577634003243</v>
      </c>
      <c r="J166" s="203">
        <f>'Statistics NZ'!J$166*'Economic Forecasts'!L$9*1000000/SUM('Statistics NZ'!J$32:J$107,'Statistics NZ'!J$125:J$200)</f>
        <v>27116.651537262169</v>
      </c>
      <c r="K166" s="203">
        <f>'Statistics NZ'!K$166*'Economic Forecasts'!M$9*1000000/SUM('Statistics NZ'!K$32:K$107,'Statistics NZ'!K$125:K$200)</f>
        <v>28611.311357771287</v>
      </c>
      <c r="L166" s="203">
        <f>'Statistics NZ'!L$166*'Economic Forecasts'!N$9*1000000/SUM('Statistics NZ'!L$32:L$107,'Statistics NZ'!L$125:L$200)</f>
        <v>29270.709527579835</v>
      </c>
      <c r="M166" s="203">
        <f>'Statistics NZ'!M$166*'Economic Forecasts'!O$9*1000000/SUM('Statistics NZ'!M$32:M$107,'Statistics NZ'!M$125:M$200)</f>
        <v>30260.359403779777</v>
      </c>
      <c r="N166" s="203">
        <f>'Statistics NZ'!N$166*'Economic Forecasts'!P$9*1000000/SUM('Statistics NZ'!N$32:N$107,'Statistics NZ'!N$125:N$200)</f>
        <v>31391.671775262257</v>
      </c>
      <c r="O166" s="203">
        <f>'Statistics NZ'!O$166*'Economic Forecasts'!Q$9*1000000/SUM('Statistics NZ'!O$32:O$107,'Statistics NZ'!O$125:O$200)</f>
        <v>31608.689858645914</v>
      </c>
      <c r="P166" s="203">
        <f>'Statistics NZ'!P$166*'Economic Forecasts'!R$9*1000000/SUM('Statistics NZ'!P$32:P$107,'Statistics NZ'!P$125:P$200)</f>
        <v>31564.578982442956</v>
      </c>
      <c r="Q166" s="121">
        <f>SUM('Statistics NZ'!Q$166,$M$14/5*(Q$9-Q$10)*1000)*'Economic Forecasts'!S$9*1000000/SUM('Statistics NZ'!Q$32:Q$107,'Statistics NZ'!Q$125:Q$200,SUM($E$13:$Q$14)*(Q$9-Q$10)*1000)</f>
        <v>30932.75944782481</v>
      </c>
      <c r="R166" s="205">
        <f>SUM('Statistics NZ'!R$166,$M$14/5*(R$9-R$10)*1000)*'Economic Forecasts'!T$9*1000000/SUM('Statistics NZ'!R$32:R$107,'Statistics NZ'!R$125:R$200,SUM($E$13:$Q$14)*(R$9-R$10)*1000)</f>
        <v>30562.528694970231</v>
      </c>
      <c r="S166" s="205">
        <f>SUM('Statistics NZ'!S$166,$M$14/5*(S$9-S$10)*1000)*'Economic Forecasts'!U$9*1000000/SUM('Statistics NZ'!S$32:S$107,'Statistics NZ'!S$125:S$200,SUM($E$13:$Q$14)*(S$9-S$10)*1000)</f>
        <v>30659.272349737279</v>
      </c>
      <c r="T166" s="205">
        <f>SUM('Statistics NZ'!T$166,$M$14/5*(T$9-T$10)*1000)*'Economic Forecasts'!V$9*1000000/SUM('Statistics NZ'!T$32:T$107,'Statistics NZ'!T$125:T$200,SUM($E$13:$Q$14)*(T$9-T$10)*1000)</f>
        <v>31287.588623318359</v>
      </c>
      <c r="U166" s="205">
        <f>SUM('Statistics NZ'!U$166,$M$14/5*(U$9-U$10)*1000)*'Economic Forecasts'!W$9*1000000/SUM('Statistics NZ'!U$32:U$107,'Statistics NZ'!U$125:U$200,SUM($E$13:$Q$14)*(U$9-U$10)*1000)</f>
        <v>32018.642089210927</v>
      </c>
      <c r="V166" s="111">
        <f>SUM(U$166,'Statistics NZ'!V$166-'Statistics NZ'!U$166,$M$14/5*(V$9-V$10)*1000)</f>
        <v>32114.472485594608</v>
      </c>
      <c r="W166" s="111">
        <f>SUM(V$166,'Statistics NZ'!W$166-'Statistics NZ'!V$166,$M$14/5*(W$9-W$10)*1000)</f>
        <v>32778.324082430328</v>
      </c>
      <c r="X166" s="111">
        <f>SUM(W$166,'Statistics NZ'!X$166-'Statistics NZ'!W$166,$M$14/5*(X$9-X$10)*1000)</f>
        <v>32810.196879718089</v>
      </c>
      <c r="Y166" s="111">
        <f>SUM(X$166,'Statistics NZ'!Y$166-'Statistics NZ'!X$166,$M$14/5*(Y$9-Y$10)*1000)</f>
        <v>31890.090877457889</v>
      </c>
      <c r="Z166" s="111">
        <f>SUM(Y$166,'Statistics NZ'!Z$166-'Statistics NZ'!Y$166,$M$14/5*(Z$9-Z$10)*1000)</f>
        <v>30678.00607564973</v>
      </c>
      <c r="AA166" s="111">
        <f>SUM(Z$166,'Statistics NZ'!AA$166-'Statistics NZ'!Z$166,$M$14/5*(AA$9-AA$10)*1000)</f>
        <v>29743.94247429361</v>
      </c>
      <c r="AB166" s="111">
        <f>SUM(AA$166,'Statistics NZ'!AB$166-'Statistics NZ'!AA$166,$M$14/5*(AB$9-AB$10)*1000)</f>
        <v>29217.90007338953</v>
      </c>
      <c r="AC166" s="111">
        <f>SUM(AB$166,'Statistics NZ'!AC$166-'Statistics NZ'!AB$166,$M$14/5*(AC$9-AC$10)*1000)</f>
        <v>29399.87887293749</v>
      </c>
      <c r="AD166" s="111">
        <f>SUM(AC$166,'Statistics NZ'!AD$166-'Statistics NZ'!AC$166,$M$14/5*(AD$9-AD$10)*1000)</f>
        <v>29089.87887293749</v>
      </c>
      <c r="AE166" s="111">
        <f>SUM(AD$166,'Statistics NZ'!AE$166-'Statistics NZ'!AD$166,$M$14/5*(AE$9-AE$10)*1000)</f>
        <v>30169.87887293749</v>
      </c>
      <c r="AF166" s="111">
        <f>SUM(AE$166,'Statistics NZ'!AF$166-'Statistics NZ'!AE$166,$M$14/5*(AF$9-AF$10)*1000)</f>
        <v>30919.87887293749</v>
      </c>
      <c r="AG166" s="111">
        <f>SUM(AF$166,'Statistics NZ'!AG$166-'Statistics NZ'!AF$166,$M$14/5*(AG$9-AG$10)*1000)</f>
        <v>31599.87887293749</v>
      </c>
      <c r="AH166" s="111">
        <f>SUM(AG$166,'Statistics NZ'!AH$166-'Statistics NZ'!AG$166,$M$14/5*(AH$9-AH$10)*1000)</f>
        <v>32409.87887293749</v>
      </c>
      <c r="AI166" s="111">
        <f>SUM(AH$166,'Statistics NZ'!AI$166-'Statistics NZ'!AH$166,$M$14/5*(AI$9-AI$10)*1000)</f>
        <v>33359.878872937494</v>
      </c>
      <c r="AJ166" s="111">
        <f>SUM(AI$166,'Statistics NZ'!AJ$166-'Statistics NZ'!AI$166,$M$14/5*(AJ$9-AJ$10)*1000)</f>
        <v>33899.878872937494</v>
      </c>
      <c r="AK166" s="111">
        <f>SUM(AJ$166,'Statistics NZ'!AK$166-'Statistics NZ'!AJ$166,$M$14/5*(AK$9-AK$10)*1000)</f>
        <v>34279.878872937494</v>
      </c>
      <c r="AL166" s="111">
        <f>SUM(AK$166,'Statistics NZ'!AL$166-'Statistics NZ'!AK$166,$M$14/5*(AL$9-AL$10)*1000)</f>
        <v>35239.878872937494</v>
      </c>
      <c r="AM166" s="111">
        <f>SUM(AL$166,'Statistics NZ'!AM$166-'Statistics NZ'!AL$166,$M$14/5*(AM$9-AM$10)*1000)</f>
        <v>36989.878872937494</v>
      </c>
      <c r="AN166" s="111">
        <f>SUM(AM$166,'Statistics NZ'!AN$166-'Statistics NZ'!AM$166,$M$14/5*(AN$9-AN$10)*1000)</f>
        <v>38319.878872937494</v>
      </c>
      <c r="AO166" s="111">
        <f>SUM(AN$166,'Statistics NZ'!AO$166-'Statistics NZ'!AN$166,$M$14/5*(AO$9-AO$10)*1000)</f>
        <v>39319.878872937494</v>
      </c>
      <c r="AP166" s="111">
        <f>SUM(AO$166,'Statistics NZ'!AP$166-'Statistics NZ'!AO$166,$M$14/5*(AP$9-AP$10)*1000)</f>
        <v>41209.878872937494</v>
      </c>
      <c r="AQ166" s="111">
        <f>SUM(AP$166,'Statistics NZ'!AQ$166-'Statistics NZ'!AP$166,$M$14/5*(AQ$9-AQ$10)*1000)</f>
        <v>42009.878872937494</v>
      </c>
      <c r="AR166" s="111">
        <f>SUM(AQ$166,'Statistics NZ'!AR$166-'Statistics NZ'!AQ$166,$M$14/5*(AR$9-AR$10)*1000)</f>
        <v>42159.878872937494</v>
      </c>
      <c r="AS166" s="111">
        <f>SUM(AR$166,'Statistics NZ'!AS$166-'Statistics NZ'!AR$166,$M$14/5*(AS$9-AS$10)*1000)</f>
        <v>41799.878872937494</v>
      </c>
      <c r="AT166" s="111">
        <f>SUM(AS$166,'Statistics NZ'!AT$166-'Statistics NZ'!AS$166,$M$14/5*(AT$9-AT$10)*1000)</f>
        <v>40589.878872937494</v>
      </c>
      <c r="AU166" s="111">
        <f>SUM(AT$166,'Statistics NZ'!AU$166-'Statistics NZ'!AT$166,$M$14/5*(AU$9-AU$10)*1000)</f>
        <v>40529.878872937494</v>
      </c>
      <c r="AV166" s="111">
        <f>SUM(AU$166,'Statistics NZ'!AV$166-'Statistics NZ'!AU$166,$M$14/5*(AV$9-AV$10)*1000)</f>
        <v>40339.878872937494</v>
      </c>
      <c r="AW166" s="111">
        <f>SUM(AV$166,'Statistics NZ'!AW$166-'Statistics NZ'!AV$166,$M$14/5*(AW$9-AW$10)*1000)</f>
        <v>39089.878872937494</v>
      </c>
      <c r="AX166" s="111">
        <f>SUM(AW$166,'Statistics NZ'!AX$166-'Statistics NZ'!AW$166,$M$14/5*(AX$9-AX$10)*1000)</f>
        <v>38979.878872937494</v>
      </c>
      <c r="AY166" s="111">
        <f>SUM(AX$166,'Statistics NZ'!AY$166-'Statistics NZ'!AX$166,$M$14/5*(AY$9-AY$10)*1000)</f>
        <v>38109.878872937494</v>
      </c>
      <c r="AZ166" s="111">
        <f>SUM(AY$166,'Statistics NZ'!AZ$166-'Statistics NZ'!AY$166,$M$14/5*(AZ$9-AZ$10)*1000)</f>
        <v>38839.878872937494</v>
      </c>
      <c r="BA166" s="111">
        <f>SUM(AZ$166,'Statistics NZ'!BA$166-'Statistics NZ'!AZ$166,$M$14/5*(BA$9-BA$10)*1000)</f>
        <v>38409.878872937494</v>
      </c>
      <c r="BB166" s="111">
        <f>SUM(BA$166,'Statistics NZ'!BB$166-'Statistics NZ'!BA$166,$M$14/5*(BB$9-BB$10)*1000)</f>
        <v>37129.878872937494</v>
      </c>
      <c r="BC166" s="111">
        <f>SUM(BB$166,'Statistics NZ'!BC$166-'Statistics NZ'!BB$166,$M$14/5*(BC$9-BC$10)*1000)</f>
        <v>37689.878872937494</v>
      </c>
      <c r="BD166" s="111">
        <f>SUM(BC$166,'Statistics NZ'!BD$166-'Statistics NZ'!BC$166,$M$14/5*(BD$9-BD$10)*1000)</f>
        <v>37959.878872937494</v>
      </c>
      <c r="BE166" s="111">
        <f>SUM(BD$166,'Statistics NZ'!BE$166-'Statistics NZ'!BD$166,$M$14/5*(BE$9-BE$10)*1000)</f>
        <v>38379.878872937494</v>
      </c>
      <c r="BF166" s="111">
        <f>SUM(BE$166,'Statistics NZ'!BF$166-'Statistics NZ'!BE$166,$M$14/5*(BF$9-BF$10)*1000)</f>
        <v>39389.878872937494</v>
      </c>
      <c r="BG166" s="111">
        <f>SUM(BF$166,'Statistics NZ'!BG$166-'Statistics NZ'!BF$166,$M$14/5*(BG$9-BG$10)*1000)</f>
        <v>41339.878872937494</v>
      </c>
      <c r="BH166" s="111">
        <f>SUM(BG$166,'Statistics NZ'!BH$166-'Statistics NZ'!BG$166,$M$14/5*(BH$9-BH$10)*1000)</f>
        <v>42399.878872937494</v>
      </c>
      <c r="BI166" s="111">
        <f>SUM(BH$166,'Statistics NZ'!BI$166-'Statistics NZ'!BH$166,$M$14/5*(BI$9-BI$10)*1000)</f>
        <v>42979.878872937494</v>
      </c>
      <c r="BJ166" s="111">
        <f>SUM(BI$166,'Statistics NZ'!BJ$166-'Statistics NZ'!BI$166,$M$14/5*(BJ$9-BJ$10)*1000)</f>
        <v>43469.878872937494</v>
      </c>
      <c r="BK166" s="111">
        <f>SUM(BJ$166,'Statistics NZ'!BK$166-'Statistics NZ'!BJ$166,$M$14/5*(BK$9-BK$10)*1000)</f>
        <v>43209.878872937494</v>
      </c>
      <c r="BL166" s="111">
        <f>SUM(BK$166,'Statistics NZ'!BL$166-'Statistics NZ'!BK$166,$M$14/5*(BL$9-BL$10)*1000)</f>
        <v>43079.878872937494</v>
      </c>
      <c r="BM166" s="195">
        <f>SUM(BL$166,'Statistics NZ'!BM$166-'Statistics NZ'!BL$166,$M$14/5*(BM$9-BM$10)*1000)</f>
        <v>42819.878872937494</v>
      </c>
      <c r="BN166" s="195">
        <f>SUM(BM$166,'Statistics NZ'!BN$166-'Statistics NZ'!BM$166,$M$14/5*(BN$9-BN$10)*1000)</f>
        <v>42489.878872937494</v>
      </c>
      <c r="BO166" s="195">
        <f>SUM(BN$166,'Statistics NZ'!BO$166-'Statistics NZ'!BN$166,$M$14/5*(BO$9-BO$10)*1000)</f>
        <v>42439.878872937494</v>
      </c>
      <c r="BP166" s="195">
        <f>SUM(BO$166,'Statistics NZ'!BP$166-'Statistics NZ'!BO$166,$M$14/5*(BP$9-BP$10)*1000)</f>
        <v>42159.878872937494</v>
      </c>
      <c r="BQ166" s="195">
        <f>SUM(BP$166,'Statistics NZ'!BQ$166-'Statistics NZ'!BP$166,$M$14/5*(BQ$9-BQ$10)*1000)</f>
        <v>41939.878872937494</v>
      </c>
    </row>
    <row r="167" spans="1:69">
      <c r="A167" s="105">
        <f>$A$74</f>
        <v>57</v>
      </c>
      <c r="B167" s="118">
        <f>'Statistics NZ'!B$167*'Economic Forecasts'!D$9*1000000/SUM('Statistics NZ'!B$32:B$107,'Statistics NZ'!B$125:B$200)</f>
        <v>23474.753482671582</v>
      </c>
      <c r="C167" s="118">
        <f>'Statistics NZ'!C$167*'Economic Forecasts'!E$9*1000000/SUM('Statistics NZ'!C$32:C$107,'Statistics NZ'!C$125:C$200)</f>
        <v>23689.728346976499</v>
      </c>
      <c r="D167" s="118">
        <f>'Statistics NZ'!D$167*'Economic Forecasts'!F$9*1000000/SUM('Statistics NZ'!D$32:D$107,'Statistics NZ'!D$125:D$200)</f>
        <v>23625.081771811761</v>
      </c>
      <c r="E167" s="118">
        <f>'Statistics NZ'!E$167*'Economic Forecasts'!G$9*1000000/SUM('Statistics NZ'!E$32:E$107,'Statistics NZ'!E$125:E$200)</f>
        <v>23941.71539617161</v>
      </c>
      <c r="F167" s="118">
        <f>'Statistics NZ'!F$167*'Economic Forecasts'!H$9*1000000/SUM('Statistics NZ'!F$32:F$107,'Statistics NZ'!F$125:F$200)</f>
        <v>24116.767609868322</v>
      </c>
      <c r="G167" s="118">
        <f>'Statistics NZ'!G$167*'Economic Forecasts'!I$9*1000000/SUM('Statistics NZ'!G$32:G$107,'Statistics NZ'!G$125:G$200)</f>
        <v>24917.923334273852</v>
      </c>
      <c r="H167" s="118">
        <f>'Statistics NZ'!H$167*'Economic Forecasts'!J$9*1000000/SUM('Statistics NZ'!H$32:H$107,'Statistics NZ'!H$125:H$200)</f>
        <v>25343.186123030042</v>
      </c>
      <c r="I167" s="118">
        <f>'Statistics NZ'!I$167*'Economic Forecasts'!K$9*1000000/SUM('Statistics NZ'!I$32:I$107,'Statistics NZ'!I$125:I$200)</f>
        <v>26196.663864761373</v>
      </c>
      <c r="J167" s="203">
        <f>'Statistics NZ'!J$167*'Economic Forecasts'!L$9*1000000/SUM('Statistics NZ'!J$32:J$107,'Statistics NZ'!J$125:J$200)</f>
        <v>26861.112233177784</v>
      </c>
      <c r="K167" s="203">
        <f>'Statistics NZ'!K$167*'Economic Forecasts'!M$9*1000000/SUM('Statistics NZ'!K$32:K$107,'Statistics NZ'!K$125:K$200)</f>
        <v>27186.640977662482</v>
      </c>
      <c r="L167" s="203">
        <f>'Statistics NZ'!L$167*'Economic Forecasts'!N$9*1000000/SUM('Statistics NZ'!L$32:L$107,'Statistics NZ'!L$125:L$200)</f>
        <v>28788.117075745577</v>
      </c>
      <c r="M167" s="203">
        <f>'Statistics NZ'!M$167*'Economic Forecasts'!O$9*1000000/SUM('Statistics NZ'!M$32:M$107,'Statistics NZ'!M$125:M$200)</f>
        <v>29393.526191692337</v>
      </c>
      <c r="N167" s="203">
        <f>'Statistics NZ'!N$167*'Economic Forecasts'!P$9*1000000/SUM('Statistics NZ'!N$32:N$107,'Statistics NZ'!N$125:N$200)</f>
        <v>30365.348649004081</v>
      </c>
      <c r="O167" s="203">
        <f>'Statistics NZ'!O$167*'Economic Forecasts'!Q$9*1000000/SUM('Statistics NZ'!O$32:O$107,'Statistics NZ'!O$125:O$200)</f>
        <v>31273.162086184482</v>
      </c>
      <c r="P167" s="203">
        <f>'Statistics NZ'!P$167*'Economic Forecasts'!R$9*1000000/SUM('Statistics NZ'!P$32:P$107,'Statistics NZ'!P$125:P$200)</f>
        <v>31841.028219699256</v>
      </c>
      <c r="Q167" s="121">
        <f>SUM('Statistics NZ'!Q$167,$M$14/5*(Q$9-Q$10)*1000)*'Economic Forecasts'!S$9*1000000/SUM('Statistics NZ'!Q$32:Q$107,'Statistics NZ'!Q$125:Q$200,SUM($E$13:$Q$14)*(Q$9-Q$10)*1000)</f>
        <v>31516.058412169881</v>
      </c>
      <c r="R167" s="205">
        <f>SUM('Statistics NZ'!R$167,$M$14/5*(R$9-R$10)*1000)*'Economic Forecasts'!T$9*1000000/SUM('Statistics NZ'!R$32:R$107,'Statistics NZ'!R$125:R$200,SUM($E$13:$Q$14)*(R$9-R$10)*1000)</f>
        <v>30868.969247233286</v>
      </c>
      <c r="S167" s="205">
        <f>SUM('Statistics NZ'!S$167,$M$14/5*(S$9-S$10)*1000)*'Economic Forecasts'!U$9*1000000/SUM('Statistics NZ'!S$32:S$107,'Statistics NZ'!S$125:S$200,SUM($E$13:$Q$14)*(S$9-S$10)*1000)</f>
        <v>30501.194013591037</v>
      </c>
      <c r="T167" s="205">
        <f>SUM('Statistics NZ'!T$167,$M$14/5*(T$9-T$10)*1000)*'Economic Forecasts'!V$9*1000000/SUM('Statistics NZ'!T$32:T$107,'Statistics NZ'!T$125:T$200,SUM($E$13:$Q$14)*(T$9-T$10)*1000)</f>
        <v>30556.521585869232</v>
      </c>
      <c r="U167" s="205">
        <f>SUM('Statistics NZ'!U$167,$M$14/5*(U$9-U$10)*1000)*'Economic Forecasts'!W$9*1000000/SUM('Statistics NZ'!U$32:U$107,'Statistics NZ'!U$125:U$200,SUM($E$13:$Q$14)*(U$9-U$10)*1000)</f>
        <v>31227.272073516815</v>
      </c>
      <c r="V167" s="111">
        <f>SUM(U$167,'Statistics NZ'!V$167-'Statistics NZ'!U$167,$M$14/5*(V$9-V$10)*1000)</f>
        <v>31943.102469900496</v>
      </c>
      <c r="W167" s="111">
        <f>SUM(V$167,'Statistics NZ'!W$167-'Statistics NZ'!V$167,$M$14/5*(W$9-W$10)*1000)</f>
        <v>32036.954066736216</v>
      </c>
      <c r="X167" s="111">
        <f>SUM(W$167,'Statistics NZ'!X$167-'Statistics NZ'!W$167,$M$14/5*(X$9-X$10)*1000)</f>
        <v>32698.826864023977</v>
      </c>
      <c r="Y167" s="111">
        <f>SUM(X$167,'Statistics NZ'!Y$167-'Statistics NZ'!X$167,$M$14/5*(Y$9-Y$10)*1000)</f>
        <v>32728.720861763777</v>
      </c>
      <c r="Z167" s="111">
        <f>SUM(Y$167,'Statistics NZ'!Z$167-'Statistics NZ'!Y$167,$M$14/5*(Z$9-Z$10)*1000)</f>
        <v>31816.636059955617</v>
      </c>
      <c r="AA167" s="111">
        <f>SUM(Z$167,'Statistics NZ'!AA$167-'Statistics NZ'!Z$167,$M$14/5*(AA$9-AA$10)*1000)</f>
        <v>30602.572458599498</v>
      </c>
      <c r="AB167" s="111">
        <f>SUM(AA$167,'Statistics NZ'!AB$167-'Statistics NZ'!AA$167,$M$14/5*(AB$9-AB$10)*1000)</f>
        <v>29676.530057695418</v>
      </c>
      <c r="AC167" s="111">
        <f>SUM(AB$167,'Statistics NZ'!AC$167-'Statistics NZ'!AB$167,$M$14/5*(AC$9-AC$10)*1000)</f>
        <v>29148.508857243378</v>
      </c>
      <c r="AD167" s="111">
        <f>SUM(AC$167,'Statistics NZ'!AD$167-'Statistics NZ'!AC$167,$M$14/5*(AD$9-AD$10)*1000)</f>
        <v>29338.508857243378</v>
      </c>
      <c r="AE167" s="111">
        <f>SUM(AD$167,'Statistics NZ'!AE$167-'Statistics NZ'!AD$167,$M$14/5*(AE$9-AE$10)*1000)</f>
        <v>29028.508857243378</v>
      </c>
      <c r="AF167" s="111">
        <f>SUM(AE$167,'Statistics NZ'!AF$167-'Statistics NZ'!AE$167,$M$14/5*(AF$9-AF$10)*1000)</f>
        <v>30098.508857243378</v>
      </c>
      <c r="AG167" s="111">
        <f>SUM(AF$167,'Statistics NZ'!AG$167-'Statistics NZ'!AF$167,$M$14/5*(AG$9-AG$10)*1000)</f>
        <v>30848.508857243378</v>
      </c>
      <c r="AH167" s="111">
        <f>SUM(AG$167,'Statistics NZ'!AH$167-'Statistics NZ'!AG$167,$M$14/5*(AH$9-AH$10)*1000)</f>
        <v>31528.508857243378</v>
      </c>
      <c r="AI167" s="111">
        <f>SUM(AH$167,'Statistics NZ'!AI$167-'Statistics NZ'!AH$167,$M$14/5*(AI$9-AI$10)*1000)</f>
        <v>32338.508857243378</v>
      </c>
      <c r="AJ167" s="111">
        <f>SUM(AI$167,'Statistics NZ'!AJ$167-'Statistics NZ'!AI$167,$M$14/5*(AJ$9-AJ$10)*1000)</f>
        <v>33288.508857243374</v>
      </c>
      <c r="AK167" s="111">
        <f>SUM(AJ$167,'Statistics NZ'!AK$167-'Statistics NZ'!AJ$167,$M$14/5*(AK$9-AK$10)*1000)</f>
        <v>33828.508857243374</v>
      </c>
      <c r="AL167" s="111">
        <f>SUM(AK$167,'Statistics NZ'!AL$167-'Statistics NZ'!AK$167,$M$14/5*(AL$9-AL$10)*1000)</f>
        <v>34218.508857243374</v>
      </c>
      <c r="AM167" s="111">
        <f>SUM(AL$167,'Statistics NZ'!AM$167-'Statistics NZ'!AL$167,$M$14/5*(AM$9-AM$10)*1000)</f>
        <v>35168.508857243374</v>
      </c>
      <c r="AN167" s="111">
        <f>SUM(AM$167,'Statistics NZ'!AN$167-'Statistics NZ'!AM$167,$M$14/5*(AN$9-AN$10)*1000)</f>
        <v>36918.508857243374</v>
      </c>
      <c r="AO167" s="111">
        <f>SUM(AN$167,'Statistics NZ'!AO$167-'Statistics NZ'!AN$167,$M$14/5*(AO$9-AO$10)*1000)</f>
        <v>38238.508857243374</v>
      </c>
      <c r="AP167" s="111">
        <f>SUM(AO$167,'Statistics NZ'!AP$167-'Statistics NZ'!AO$167,$M$14/5*(AP$9-AP$10)*1000)</f>
        <v>39248.508857243374</v>
      </c>
      <c r="AQ167" s="111">
        <f>SUM(AP$167,'Statistics NZ'!AQ$167-'Statistics NZ'!AP$167,$M$14/5*(AQ$9-AQ$10)*1000)</f>
        <v>41128.508857243374</v>
      </c>
      <c r="AR167" s="111">
        <f>SUM(AQ$167,'Statistics NZ'!AR$167-'Statistics NZ'!AQ$167,$M$14/5*(AR$9-AR$10)*1000)</f>
        <v>41928.508857243374</v>
      </c>
      <c r="AS167" s="111">
        <f>SUM(AR$167,'Statistics NZ'!AS$167-'Statistics NZ'!AR$167,$M$14/5*(AS$9-AS$10)*1000)</f>
        <v>42088.508857243374</v>
      </c>
      <c r="AT167" s="111">
        <f>SUM(AS$167,'Statistics NZ'!AT$167-'Statistics NZ'!AS$167,$M$14/5*(AT$9-AT$10)*1000)</f>
        <v>41728.508857243374</v>
      </c>
      <c r="AU167" s="111">
        <f>SUM(AT$167,'Statistics NZ'!AU$167-'Statistics NZ'!AT$167,$M$14/5*(AU$9-AU$10)*1000)</f>
        <v>40518.508857243374</v>
      </c>
      <c r="AV167" s="111">
        <f>SUM(AU$167,'Statistics NZ'!AV$167-'Statistics NZ'!AU$167,$M$14/5*(AV$9-AV$10)*1000)</f>
        <v>40468.508857243374</v>
      </c>
      <c r="AW167" s="111">
        <f>SUM(AV$167,'Statistics NZ'!AW$167-'Statistics NZ'!AV$167,$M$14/5*(AW$9-AW$10)*1000)</f>
        <v>40278.508857243374</v>
      </c>
      <c r="AX167" s="111">
        <f>SUM(AW$167,'Statistics NZ'!AX$167-'Statistics NZ'!AW$167,$M$14/5*(AX$9-AX$10)*1000)</f>
        <v>39028.508857243374</v>
      </c>
      <c r="AY167" s="111">
        <f>SUM(AX$167,'Statistics NZ'!AY$167-'Statistics NZ'!AX$167,$M$14/5*(AY$9-AY$10)*1000)</f>
        <v>38928.508857243374</v>
      </c>
      <c r="AZ167" s="111">
        <f>SUM(AY$167,'Statistics NZ'!AZ$167-'Statistics NZ'!AY$167,$M$14/5*(AZ$9-AZ$10)*1000)</f>
        <v>38058.508857243374</v>
      </c>
      <c r="BA167" s="111">
        <f>SUM(AZ$167,'Statistics NZ'!BA$167-'Statistics NZ'!AZ$167,$M$14/5*(BA$9-BA$10)*1000)</f>
        <v>38788.508857243374</v>
      </c>
      <c r="BB167" s="111">
        <f>SUM(BA$167,'Statistics NZ'!BB$167-'Statistics NZ'!BA$167,$M$14/5*(BB$9-BB$10)*1000)</f>
        <v>38358.508857243374</v>
      </c>
      <c r="BC167" s="111">
        <f>SUM(BB$167,'Statistics NZ'!BC$167-'Statistics NZ'!BB$167,$M$14/5*(BC$9-BC$10)*1000)</f>
        <v>37088.508857243374</v>
      </c>
      <c r="BD167" s="111">
        <f>SUM(BC$167,'Statistics NZ'!BD$167-'Statistics NZ'!BC$167,$M$14/5*(BD$9-BD$10)*1000)</f>
        <v>37638.508857243374</v>
      </c>
      <c r="BE167" s="111">
        <f>SUM(BD$167,'Statistics NZ'!BE$167-'Statistics NZ'!BD$167,$M$14/5*(BE$9-BE$10)*1000)</f>
        <v>37918.508857243374</v>
      </c>
      <c r="BF167" s="111">
        <f>SUM(BE$167,'Statistics NZ'!BF$167-'Statistics NZ'!BE$167,$M$14/5*(BF$9-BF$10)*1000)</f>
        <v>38328.508857243374</v>
      </c>
      <c r="BG167" s="111">
        <f>SUM(BF$167,'Statistics NZ'!BG$167-'Statistics NZ'!BF$167,$M$14/5*(BG$9-BG$10)*1000)</f>
        <v>39338.508857243374</v>
      </c>
      <c r="BH167" s="111">
        <f>SUM(BG$167,'Statistics NZ'!BH$167-'Statistics NZ'!BG$167,$M$14/5*(BH$9-BH$10)*1000)</f>
        <v>41288.508857243374</v>
      </c>
      <c r="BI167" s="111">
        <f>SUM(BH$167,'Statistics NZ'!BI$167-'Statistics NZ'!BH$167,$M$14/5*(BI$9-BI$10)*1000)</f>
        <v>42358.508857243374</v>
      </c>
      <c r="BJ167" s="111">
        <f>SUM(BI$167,'Statistics NZ'!BJ$167-'Statistics NZ'!BI$167,$M$14/5*(BJ$9-BJ$10)*1000)</f>
        <v>42938.508857243374</v>
      </c>
      <c r="BK167" s="111">
        <f>SUM(BJ$167,'Statistics NZ'!BK$167-'Statistics NZ'!BJ$167,$M$14/5*(BK$9-BK$10)*1000)</f>
        <v>43428.508857243374</v>
      </c>
      <c r="BL167" s="111">
        <f>SUM(BK$167,'Statistics NZ'!BL$167-'Statistics NZ'!BK$167,$M$14/5*(BL$9-BL$10)*1000)</f>
        <v>43168.508857243374</v>
      </c>
      <c r="BM167" s="195">
        <f>SUM(BL$167,'Statistics NZ'!BM$167-'Statistics NZ'!BL$167,$M$14/5*(BM$9-BM$10)*1000)</f>
        <v>43028.508857243374</v>
      </c>
      <c r="BN167" s="195">
        <f>SUM(BM$167,'Statistics NZ'!BN$167-'Statistics NZ'!BM$167,$M$14/5*(BN$9-BN$10)*1000)</f>
        <v>42768.508857243374</v>
      </c>
      <c r="BO167" s="195">
        <f>SUM(BN$167,'Statistics NZ'!BO$167-'Statistics NZ'!BN$167,$M$14/5*(BO$9-BO$10)*1000)</f>
        <v>42448.508857243374</v>
      </c>
      <c r="BP167" s="195">
        <f>SUM(BO$167,'Statistics NZ'!BP$167-'Statistics NZ'!BO$167,$M$14/5*(BP$9-BP$10)*1000)</f>
        <v>42398.508857243374</v>
      </c>
      <c r="BQ167" s="195">
        <f>SUM(BP$167,'Statistics NZ'!BQ$167-'Statistics NZ'!BP$167,$M$14/5*(BQ$9-BQ$10)*1000)</f>
        <v>42118.508857243374</v>
      </c>
    </row>
    <row r="168" spans="1:69">
      <c r="A168" s="105">
        <f>$A$75</f>
        <v>58</v>
      </c>
      <c r="B168" s="118">
        <f>'Statistics NZ'!B$168*'Economic Forecasts'!D$9*1000000/SUM('Statistics NZ'!B$32:B$107,'Statistics NZ'!B$125:B$200)</f>
        <v>23533.859030676635</v>
      </c>
      <c r="C168" s="118">
        <f>'Statistics NZ'!C$168*'Economic Forecasts'!E$9*1000000/SUM('Statistics NZ'!C$32:C$107,'Statistics NZ'!C$125:C$200)</f>
        <v>23374.259638236072</v>
      </c>
      <c r="D168" s="118">
        <f>'Statistics NZ'!D$168*'Economic Forecasts'!F$9*1000000/SUM('Statistics NZ'!D$32:D$107,'Statistics NZ'!D$125:D$200)</f>
        <v>23556.089042398879</v>
      </c>
      <c r="E168" s="118">
        <f>'Statistics NZ'!E$168*'Economic Forecasts'!G$9*1000000/SUM('Statistics NZ'!E$32:E$107,'Statistics NZ'!E$125:E$200)</f>
        <v>23508.381180856286</v>
      </c>
      <c r="F168" s="118">
        <f>'Statistics NZ'!F$168*'Economic Forecasts'!H$9*1000000/SUM('Statistics NZ'!F$32:F$107,'Statistics NZ'!F$125:F$200)</f>
        <v>23880.328711732356</v>
      </c>
      <c r="G168" s="118">
        <f>'Statistics NZ'!G$168*'Economic Forecasts'!I$9*1000000/SUM('Statistics NZ'!G$32:G$107,'Statistics NZ'!G$125:G$200)</f>
        <v>23991.752992865488</v>
      </c>
      <c r="H168" s="118">
        <f>'Statistics NZ'!H$168*'Economic Forecasts'!J$9*1000000/SUM('Statistics NZ'!H$32:H$107,'Statistics NZ'!H$125:H$200)</f>
        <v>24781.75526060769</v>
      </c>
      <c r="I168" s="118">
        <f>'Statistics NZ'!I$168*'Economic Forecasts'!K$9*1000000/SUM('Statistics NZ'!I$32:I$107,'Statistics NZ'!I$125:I$200)</f>
        <v>25202.725829321513</v>
      </c>
      <c r="J168" s="203">
        <f>'Statistics NZ'!J$168*'Economic Forecasts'!L$9*1000000/SUM('Statistics NZ'!J$32:J$107,'Statistics NZ'!J$125:J$200)</f>
        <v>26133.808060014537</v>
      </c>
      <c r="K168" s="203">
        <f>'Statistics NZ'!K$168*'Economic Forecasts'!M$9*1000000/SUM('Statistics NZ'!K$32:K$107,'Statistics NZ'!K$125:K$200)</f>
        <v>26754.327207146707</v>
      </c>
      <c r="L168" s="203">
        <f>'Statistics NZ'!L$168*'Economic Forecasts'!N$9*1000000/SUM('Statistics NZ'!L$32:L$107,'Statistics NZ'!L$125:L$200)</f>
        <v>27320.642069147529</v>
      </c>
      <c r="M168" s="203">
        <f>'Statistics NZ'!M$168*'Economic Forecasts'!O$9*1000000/SUM('Statistics NZ'!M$32:M$107,'Statistics NZ'!M$125:M$200)</f>
        <v>28832.05467931752</v>
      </c>
      <c r="N168" s="203">
        <f>'Statistics NZ'!N$168*'Economic Forecasts'!P$9*1000000/SUM('Statistics NZ'!N$32:N$107,'Statistics NZ'!N$125:N$200)</f>
        <v>29487.052896725439</v>
      </c>
      <c r="O168" s="203">
        <f>'Statistics NZ'!O$168*'Economic Forecasts'!Q$9*1000000/SUM('Statistics NZ'!O$32:O$107,'Statistics NZ'!O$125:O$200)</f>
        <v>30276.447232696119</v>
      </c>
      <c r="P168" s="203">
        <f>'Statistics NZ'!P$168*'Economic Forecasts'!R$9*1000000/SUM('Statistics NZ'!P$32:P$107,'Statistics NZ'!P$125:P$200)</f>
        <v>31465.847111994277</v>
      </c>
      <c r="Q168" s="121">
        <f>SUM('Statistics NZ'!Q$168,$M$14/5*(Q$9-Q$10)*1000)*'Economic Forecasts'!S$9*1000000/SUM('Statistics NZ'!Q$32:Q$107,'Statistics NZ'!Q$125:Q$200,SUM($E$13:$Q$14)*(Q$9-Q$10)*1000)</f>
        <v>31782.99183653119</v>
      </c>
      <c r="R168" s="205">
        <f>SUM('Statistics NZ'!R$168,$M$14/5*(R$9-R$10)*1000)*'Economic Forecasts'!T$9*1000000/SUM('Statistics NZ'!R$32:R$107,'Statistics NZ'!R$125:R$200,SUM($E$13:$Q$14)*(R$9-R$10)*1000)</f>
        <v>31432.424456233093</v>
      </c>
      <c r="S168" s="205">
        <f>SUM('Statistics NZ'!S$168,$M$14/5*(S$9-S$10)*1000)*'Economic Forecasts'!U$9*1000000/SUM('Statistics NZ'!S$32:S$107,'Statistics NZ'!S$125:S$200,SUM($E$13:$Q$14)*(S$9-S$10)*1000)</f>
        <v>30787.710997856098</v>
      </c>
      <c r="T168" s="205">
        <f>SUM('Statistics NZ'!T$168,$M$14/5*(T$9-T$10)*1000)*'Economic Forecasts'!V$9*1000000/SUM('Statistics NZ'!T$32:T$107,'Statistics NZ'!T$125:T$200,SUM($E$13:$Q$14)*(T$9-T$10)*1000)</f>
        <v>30408.332321521437</v>
      </c>
      <c r="U168" s="205">
        <f>SUM('Statistics NZ'!U$168,$M$14/5*(U$9-U$10)*1000)*'Economic Forecasts'!W$9*1000000/SUM('Statistics NZ'!U$32:U$107,'Statistics NZ'!U$125:U$200,SUM($E$13:$Q$14)*(U$9-U$10)*1000)</f>
        <v>30515.0390593921</v>
      </c>
      <c r="V168" s="111">
        <f>SUM(U$168,'Statistics NZ'!V$168-'Statistics NZ'!U$168,$M$14/5*(V$9-V$10)*1000)</f>
        <v>31160.869455775781</v>
      </c>
      <c r="W168" s="111">
        <f>SUM(V$168,'Statistics NZ'!W$168-'Statistics NZ'!V$168,$M$14/5*(W$9-W$10)*1000)</f>
        <v>31864.721052611501</v>
      </c>
      <c r="X168" s="111">
        <f>SUM(W$168,'Statistics NZ'!X$168-'Statistics NZ'!W$168,$M$14/5*(X$9-X$10)*1000)</f>
        <v>31966.593849899262</v>
      </c>
      <c r="Y168" s="111">
        <f>SUM(X$168,'Statistics NZ'!Y$168-'Statistics NZ'!X$168,$M$14/5*(Y$9-Y$10)*1000)</f>
        <v>32616.487847639062</v>
      </c>
      <c r="Z168" s="111">
        <f>SUM(Y$168,'Statistics NZ'!Z$168-'Statistics NZ'!Y$168,$M$14/5*(Z$9-Z$10)*1000)</f>
        <v>32654.403045830903</v>
      </c>
      <c r="AA168" s="111">
        <f>SUM(Z$168,'Statistics NZ'!AA$168-'Statistics NZ'!Z$168,$M$14/5*(AA$9-AA$10)*1000)</f>
        <v>31740.339444474783</v>
      </c>
      <c r="AB168" s="111">
        <f>SUM(AA$168,'Statistics NZ'!AB$168-'Statistics NZ'!AA$168,$M$14/5*(AB$9-AB$10)*1000)</f>
        <v>30534.297043570703</v>
      </c>
      <c r="AC168" s="111">
        <f>SUM(AB$168,'Statistics NZ'!AC$168-'Statistics NZ'!AB$168,$M$14/5*(AC$9-AC$10)*1000)</f>
        <v>29616.275843118663</v>
      </c>
      <c r="AD168" s="111">
        <f>SUM(AC$168,'Statistics NZ'!AD$168-'Statistics NZ'!AC$168,$M$14/5*(AD$9-AD$10)*1000)</f>
        <v>29096.275843118663</v>
      </c>
      <c r="AE168" s="111">
        <f>SUM(AD$168,'Statistics NZ'!AE$168-'Statistics NZ'!AD$168,$M$14/5*(AE$9-AE$10)*1000)</f>
        <v>29276.275843118663</v>
      </c>
      <c r="AF168" s="111">
        <f>SUM(AE$168,'Statistics NZ'!AF$168-'Statistics NZ'!AE$168,$M$14/5*(AF$9-AF$10)*1000)</f>
        <v>28976.275843118663</v>
      </c>
      <c r="AG168" s="111">
        <f>SUM(AF$168,'Statistics NZ'!AG$168-'Statistics NZ'!AF$168,$M$14/5*(AG$9-AG$10)*1000)</f>
        <v>30046.275843118663</v>
      </c>
      <c r="AH168" s="111">
        <f>SUM(AG$168,'Statistics NZ'!AH$168-'Statistics NZ'!AG$168,$M$14/5*(AH$9-AH$10)*1000)</f>
        <v>30796.275843118663</v>
      </c>
      <c r="AI168" s="111">
        <f>SUM(AH$168,'Statistics NZ'!AI$168-'Statistics NZ'!AH$168,$M$14/5*(AI$9-AI$10)*1000)</f>
        <v>31476.275843118663</v>
      </c>
      <c r="AJ168" s="111">
        <f>SUM(AI$168,'Statistics NZ'!AJ$168-'Statistics NZ'!AI$168,$M$14/5*(AJ$9-AJ$10)*1000)</f>
        <v>32286.275843118663</v>
      </c>
      <c r="AK168" s="111">
        <f>SUM(AJ$168,'Statistics NZ'!AK$168-'Statistics NZ'!AJ$168,$M$14/5*(AK$9-AK$10)*1000)</f>
        <v>33236.275843118667</v>
      </c>
      <c r="AL168" s="111">
        <f>SUM(AK$168,'Statistics NZ'!AL$168-'Statistics NZ'!AK$168,$M$14/5*(AL$9-AL$10)*1000)</f>
        <v>33766.275843118667</v>
      </c>
      <c r="AM168" s="111">
        <f>SUM(AL$168,'Statistics NZ'!AM$168-'Statistics NZ'!AL$168,$M$14/5*(AM$9-AM$10)*1000)</f>
        <v>34156.275843118667</v>
      </c>
      <c r="AN168" s="111">
        <f>SUM(AM$168,'Statistics NZ'!AN$168-'Statistics NZ'!AM$168,$M$14/5*(AN$9-AN$10)*1000)</f>
        <v>35116.275843118667</v>
      </c>
      <c r="AO168" s="111">
        <f>SUM(AN$168,'Statistics NZ'!AO$168-'Statistics NZ'!AN$168,$M$14/5*(AO$9-AO$10)*1000)</f>
        <v>36856.275843118667</v>
      </c>
      <c r="AP168" s="111">
        <f>SUM(AO$168,'Statistics NZ'!AP$168-'Statistics NZ'!AO$168,$M$14/5*(AP$9-AP$10)*1000)</f>
        <v>38176.275843118667</v>
      </c>
      <c r="AQ168" s="111">
        <f>SUM(AP$168,'Statistics NZ'!AQ$168-'Statistics NZ'!AP$168,$M$14/5*(AQ$9-AQ$10)*1000)</f>
        <v>39186.275843118667</v>
      </c>
      <c r="AR168" s="111">
        <f>SUM(AQ$168,'Statistics NZ'!AR$168-'Statistics NZ'!AQ$168,$M$14/5*(AR$9-AR$10)*1000)</f>
        <v>41066.275843118667</v>
      </c>
      <c r="AS168" s="111">
        <f>SUM(AR$168,'Statistics NZ'!AS$168-'Statistics NZ'!AR$168,$M$14/5*(AS$9-AS$10)*1000)</f>
        <v>41866.275843118667</v>
      </c>
      <c r="AT168" s="111">
        <f>SUM(AS$168,'Statistics NZ'!AT$168-'Statistics NZ'!AS$168,$M$14/5*(AT$9-AT$10)*1000)</f>
        <v>42026.275843118667</v>
      </c>
      <c r="AU168" s="111">
        <f>SUM(AT$168,'Statistics NZ'!AU$168-'Statistics NZ'!AT$168,$M$14/5*(AU$9-AU$10)*1000)</f>
        <v>41666.275843118667</v>
      </c>
      <c r="AV168" s="111">
        <f>SUM(AU$168,'Statistics NZ'!AV$168-'Statistics NZ'!AU$168,$M$14/5*(AV$9-AV$10)*1000)</f>
        <v>40466.275843118667</v>
      </c>
      <c r="AW168" s="111">
        <f>SUM(AV$168,'Statistics NZ'!AW$168-'Statistics NZ'!AV$168,$M$14/5*(AW$9-AW$10)*1000)</f>
        <v>40406.275843118667</v>
      </c>
      <c r="AX168" s="111">
        <f>SUM(AW$168,'Statistics NZ'!AX$168-'Statistics NZ'!AW$168,$M$14/5*(AX$9-AX$10)*1000)</f>
        <v>40226.275843118667</v>
      </c>
      <c r="AY168" s="111">
        <f>SUM(AX$168,'Statistics NZ'!AY$168-'Statistics NZ'!AX$168,$M$14/5*(AY$9-AY$10)*1000)</f>
        <v>38986.275843118667</v>
      </c>
      <c r="AZ168" s="111">
        <f>SUM(AY$168,'Statistics NZ'!AZ$168-'Statistics NZ'!AY$168,$M$14/5*(AZ$9-AZ$10)*1000)</f>
        <v>38876.275843118667</v>
      </c>
      <c r="BA168" s="111">
        <f>SUM(AZ$168,'Statistics NZ'!BA$168-'Statistics NZ'!AZ$168,$M$14/5*(BA$9-BA$10)*1000)</f>
        <v>38016.275843118667</v>
      </c>
      <c r="BB168" s="111">
        <f>SUM(BA$168,'Statistics NZ'!BB$168-'Statistics NZ'!BA$168,$M$14/5*(BB$9-BB$10)*1000)</f>
        <v>38746.275843118667</v>
      </c>
      <c r="BC168" s="111">
        <f>SUM(BB$168,'Statistics NZ'!BC$168-'Statistics NZ'!BB$168,$M$14/5*(BC$9-BC$10)*1000)</f>
        <v>38316.275843118667</v>
      </c>
      <c r="BD168" s="111">
        <f>SUM(BC$168,'Statistics NZ'!BD$168-'Statistics NZ'!BC$168,$M$14/5*(BD$9-BD$10)*1000)</f>
        <v>37056.275843118667</v>
      </c>
      <c r="BE168" s="111">
        <f>SUM(BD$168,'Statistics NZ'!BE$168-'Statistics NZ'!BD$168,$M$14/5*(BE$9-BE$10)*1000)</f>
        <v>37606.275843118667</v>
      </c>
      <c r="BF168" s="111">
        <f>SUM(BE$168,'Statistics NZ'!BF$168-'Statistics NZ'!BE$168,$M$14/5*(BF$9-BF$10)*1000)</f>
        <v>37886.275843118667</v>
      </c>
      <c r="BG168" s="111">
        <f>SUM(BF$168,'Statistics NZ'!BG$168-'Statistics NZ'!BF$168,$M$14/5*(BG$9-BG$10)*1000)</f>
        <v>38296.275843118667</v>
      </c>
      <c r="BH168" s="111">
        <f>SUM(BG$168,'Statistics NZ'!BH$168-'Statistics NZ'!BG$168,$M$14/5*(BH$9-BH$10)*1000)</f>
        <v>39306.275843118667</v>
      </c>
      <c r="BI168" s="111">
        <f>SUM(BH$168,'Statistics NZ'!BI$168-'Statistics NZ'!BH$168,$M$14/5*(BI$9-BI$10)*1000)</f>
        <v>41256.275843118667</v>
      </c>
      <c r="BJ168" s="111">
        <f>SUM(BI$168,'Statistics NZ'!BJ$168-'Statistics NZ'!BI$168,$M$14/5*(BJ$9-BJ$10)*1000)</f>
        <v>42326.275843118667</v>
      </c>
      <c r="BK168" s="111">
        <f>SUM(BJ$168,'Statistics NZ'!BK$168-'Statistics NZ'!BJ$168,$M$14/5*(BK$9-BK$10)*1000)</f>
        <v>42906.275843118667</v>
      </c>
      <c r="BL168" s="111">
        <f>SUM(BK$168,'Statistics NZ'!BL$168-'Statistics NZ'!BK$168,$M$14/5*(BL$9-BL$10)*1000)</f>
        <v>43396.275843118667</v>
      </c>
      <c r="BM168" s="195">
        <f>SUM(BL$168,'Statistics NZ'!BM$168-'Statistics NZ'!BL$168,$M$14/5*(BM$9-BM$10)*1000)</f>
        <v>43136.275843118667</v>
      </c>
      <c r="BN168" s="195">
        <f>SUM(BM$168,'Statistics NZ'!BN$168-'Statistics NZ'!BM$168,$M$14/5*(BN$9-BN$10)*1000)</f>
        <v>43006.275843118667</v>
      </c>
      <c r="BO168" s="195">
        <f>SUM(BN$168,'Statistics NZ'!BO$168-'Statistics NZ'!BN$168,$M$14/5*(BO$9-BO$10)*1000)</f>
        <v>42746.275843118667</v>
      </c>
      <c r="BP168" s="195">
        <f>SUM(BO$168,'Statistics NZ'!BP$168-'Statistics NZ'!BO$168,$M$14/5*(BP$9-BP$10)*1000)</f>
        <v>42426.275843118667</v>
      </c>
      <c r="BQ168" s="195">
        <f>SUM(BP$168,'Statistics NZ'!BQ$168-'Statistics NZ'!BP$168,$M$14/5*(BQ$9-BQ$10)*1000)</f>
        <v>42376.275843118667</v>
      </c>
    </row>
    <row r="169" spans="1:69">
      <c r="A169" s="105">
        <f>$A$76</f>
        <v>59</v>
      </c>
      <c r="B169" s="118">
        <f>'Statistics NZ'!B$169*'Economic Forecasts'!D$9*1000000/SUM('Statistics NZ'!B$32:B$107,'Statistics NZ'!B$125:B$200)</f>
        <v>23661.921051354231</v>
      </c>
      <c r="C169" s="118">
        <f>'Statistics NZ'!C$169*'Economic Forecasts'!E$9*1000000/SUM('Statistics NZ'!C$32:C$107,'Statistics NZ'!C$125:C$200)</f>
        <v>23472.843609717453</v>
      </c>
      <c r="D169" s="118">
        <f>'Statistics NZ'!D$169*'Economic Forecasts'!F$9*1000000/SUM('Statistics NZ'!D$32:D$107,'Statistics NZ'!D$125:D$200)</f>
        <v>23270.262020545502</v>
      </c>
      <c r="E169" s="118">
        <f>'Statistics NZ'!E$169*'Economic Forecasts'!G$9*1000000/SUM('Statistics NZ'!E$32:E$107,'Statistics NZ'!E$125:E$200)</f>
        <v>23380.350617240398</v>
      </c>
      <c r="F169" s="118">
        <f>'Statistics NZ'!F$169*'Economic Forecasts'!H$9*1000000/SUM('Statistics NZ'!F$32:F$107,'Statistics NZ'!F$125:F$200)</f>
        <v>23427.154156971763</v>
      </c>
      <c r="G169" s="118">
        <f>'Statistics NZ'!G$169*'Economic Forecasts'!I$9*1000000/SUM('Statistics NZ'!G$32:G$107,'Statistics NZ'!G$125:G$200)</f>
        <v>23706.01958966504</v>
      </c>
      <c r="H169" s="118">
        <f>'Statistics NZ'!H$169*'Economic Forecasts'!J$9*1000000/SUM('Statistics NZ'!H$32:H$107,'Statistics NZ'!H$125:H$200)</f>
        <v>23846.037156570434</v>
      </c>
      <c r="I169" s="118">
        <f>'Statistics NZ'!I$169*'Economic Forecasts'!K$9*1000000/SUM('Statistics NZ'!I$32:I$107,'Statistics NZ'!I$125:I$200)</f>
        <v>24631.94953174219</v>
      </c>
      <c r="J169" s="203">
        <f>'Statistics NZ'!J$169*'Economic Forecasts'!L$9*1000000/SUM('Statistics NZ'!J$32:J$107,'Statistics NZ'!J$125:J$200)</f>
        <v>25121.479278449475</v>
      </c>
      <c r="K169" s="203">
        <f>'Statistics NZ'!K$169*'Economic Forecasts'!M$9*1000000/SUM('Statistics NZ'!K$32:K$107,'Statistics NZ'!K$125:K$200)</f>
        <v>26066.555299507971</v>
      </c>
      <c r="L169" s="203">
        <f>'Statistics NZ'!L$169*'Economic Forecasts'!N$9*1000000/SUM('Statistics NZ'!L$32:L$107,'Statistics NZ'!L$125:L$200)</f>
        <v>26828.200791765634</v>
      </c>
      <c r="M169" s="203">
        <f>'Statistics NZ'!M$169*'Economic Forecasts'!O$9*1000000/SUM('Statistics NZ'!M$32:M$107,'Statistics NZ'!M$125:M$200)</f>
        <v>27374.198822625</v>
      </c>
      <c r="N169" s="203">
        <f>'Statistics NZ'!N$169*'Economic Forecasts'!P$9*1000000/SUM('Statistics NZ'!N$32:N$107,'Statistics NZ'!N$125:N$200)</f>
        <v>28875.206417609985</v>
      </c>
      <c r="O169" s="203">
        <f>'Statistics NZ'!O$169*'Economic Forecasts'!Q$9*1000000/SUM('Statistics NZ'!O$32:O$107,'Statistics NZ'!O$125:O$200)</f>
        <v>29398.153945958846</v>
      </c>
      <c r="P169" s="203">
        <f>'Statistics NZ'!P$169*'Economic Forecasts'!R$9*1000000/SUM('Statistics NZ'!P$32:P$107,'Statistics NZ'!P$125:P$200)</f>
        <v>30429.162472283137</v>
      </c>
      <c r="Q169" s="121">
        <f>SUM('Statistics NZ'!Q$169,$M$14/5*(Q$9-Q$10)*1000)*'Economic Forecasts'!S$9*1000000/SUM('Statistics NZ'!Q$32:Q$107,'Statistics NZ'!Q$125:Q$200,SUM($E$13:$Q$14)*(Q$9-Q$10)*1000)</f>
        <v>31397.421334675972</v>
      </c>
      <c r="R169" s="205">
        <f>SUM('Statistics NZ'!R$169,$M$14/5*(R$9-R$10)*1000)*'Economic Forecasts'!T$9*1000000/SUM('Statistics NZ'!R$32:R$107,'Statistics NZ'!R$125:R$200,SUM($E$13:$Q$14)*(R$9-R$10)*1000)</f>
        <v>31689.439112969849</v>
      </c>
      <c r="S169" s="205">
        <f>SUM('Statistics NZ'!S$169,$M$14/5*(S$9-S$10)*1000)*'Economic Forecasts'!U$9*1000000/SUM('Statistics NZ'!S$32:S$107,'Statistics NZ'!S$125:S$200,SUM($E$13:$Q$14)*(S$9-S$10)*1000)</f>
        <v>31350.865070377084</v>
      </c>
      <c r="T169" s="205">
        <f>SUM('Statistics NZ'!T$169,$M$14/5*(T$9-T$10)*1000)*'Economic Forecasts'!V$9*1000000/SUM('Statistics NZ'!T$32:T$107,'Statistics NZ'!T$125:T$200,SUM($E$13:$Q$14)*(T$9-T$10)*1000)</f>
        <v>30704.710850217027</v>
      </c>
      <c r="U169" s="205">
        <f>SUM('Statistics NZ'!U$169,$M$14/5*(U$9-U$10)*1000)*'Economic Forecasts'!W$9*1000000/SUM('Statistics NZ'!U$32:U$107,'Statistics NZ'!U$125:U$200,SUM($E$13:$Q$14)*(U$9-U$10)*1000)</f>
        <v>30366.657181449453</v>
      </c>
      <c r="V169" s="111">
        <f>SUM(U$169,'Statistics NZ'!V$169-'Statistics NZ'!U$169,$M$14/5*(V$9-V$10)*1000)</f>
        <v>30452.487577833133</v>
      </c>
      <c r="W169" s="111">
        <f>SUM(V$169,'Statistics NZ'!W$169-'Statistics NZ'!V$169,$M$14/5*(W$9-W$10)*1000)</f>
        <v>31086.339174668854</v>
      </c>
      <c r="X169" s="111">
        <f>SUM(W$169,'Statistics NZ'!X$169-'Statistics NZ'!W$169,$M$14/5*(X$9-X$10)*1000)</f>
        <v>31798.211971956614</v>
      </c>
      <c r="Y169" s="111">
        <f>SUM(X$169,'Statistics NZ'!Y$169-'Statistics NZ'!X$169,$M$14/5*(Y$9-Y$10)*1000)</f>
        <v>31898.105969696415</v>
      </c>
      <c r="Z169" s="111">
        <f>SUM(Y$169,'Statistics NZ'!Z$169-'Statistics NZ'!Y$169,$M$14/5*(Z$9-Z$10)*1000)</f>
        <v>32546.021167888255</v>
      </c>
      <c r="AA169" s="111">
        <f>SUM(Z$169,'Statistics NZ'!AA$169-'Statistics NZ'!Z$169,$M$14/5*(AA$9-AA$10)*1000)</f>
        <v>32581.957566532135</v>
      </c>
      <c r="AB169" s="111">
        <f>SUM(AA$169,'Statistics NZ'!AB$169-'Statistics NZ'!AA$169,$M$14/5*(AB$9-AB$10)*1000)</f>
        <v>31675.915165628056</v>
      </c>
      <c r="AC169" s="111">
        <f>SUM(AB$169,'Statistics NZ'!AC$169-'Statistics NZ'!AB$169,$M$14/5*(AC$9-AC$10)*1000)</f>
        <v>30477.893965176016</v>
      </c>
      <c r="AD169" s="111">
        <f>SUM(AC$169,'Statistics NZ'!AD$169-'Statistics NZ'!AC$169,$M$14/5*(AD$9-AD$10)*1000)</f>
        <v>29557.893965176016</v>
      </c>
      <c r="AE169" s="111">
        <f>SUM(AD$169,'Statistics NZ'!AE$169-'Statistics NZ'!AD$169,$M$14/5*(AE$9-AE$10)*1000)</f>
        <v>29037.893965176016</v>
      </c>
      <c r="AF169" s="111">
        <f>SUM(AE$169,'Statistics NZ'!AF$169-'Statistics NZ'!AE$169,$M$14/5*(AF$9-AF$10)*1000)</f>
        <v>29227.893965176016</v>
      </c>
      <c r="AG169" s="111">
        <f>SUM(AF$169,'Statistics NZ'!AG$169-'Statistics NZ'!AF$169,$M$14/5*(AG$9-AG$10)*1000)</f>
        <v>28927.893965176016</v>
      </c>
      <c r="AH169" s="111">
        <f>SUM(AG$169,'Statistics NZ'!AH$169-'Statistics NZ'!AG$169,$M$14/5*(AH$9-AH$10)*1000)</f>
        <v>29997.893965176016</v>
      </c>
      <c r="AI169" s="111">
        <f>SUM(AH$169,'Statistics NZ'!AI$169-'Statistics NZ'!AH$169,$M$14/5*(AI$9-AI$10)*1000)</f>
        <v>30747.893965176016</v>
      </c>
      <c r="AJ169" s="111">
        <f>SUM(AI$169,'Statistics NZ'!AJ$169-'Statistics NZ'!AI$169,$M$14/5*(AJ$9-AJ$10)*1000)</f>
        <v>31427.893965176016</v>
      </c>
      <c r="AK169" s="111">
        <f>SUM(AJ$169,'Statistics NZ'!AK$169-'Statistics NZ'!AJ$169,$M$14/5*(AK$9-AK$10)*1000)</f>
        <v>32237.893965176016</v>
      </c>
      <c r="AL169" s="111">
        <f>SUM(AK$169,'Statistics NZ'!AL$169-'Statistics NZ'!AK$169,$M$14/5*(AL$9-AL$10)*1000)</f>
        <v>33187.893965176016</v>
      </c>
      <c r="AM169" s="111">
        <f>SUM(AL$169,'Statistics NZ'!AM$169-'Statistics NZ'!AL$169,$M$14/5*(AM$9-AM$10)*1000)</f>
        <v>33717.893965176016</v>
      </c>
      <c r="AN169" s="111">
        <f>SUM(AM$169,'Statistics NZ'!AN$169-'Statistics NZ'!AM$169,$M$14/5*(AN$9-AN$10)*1000)</f>
        <v>34107.893965176016</v>
      </c>
      <c r="AO169" s="111">
        <f>SUM(AN$169,'Statistics NZ'!AO$169-'Statistics NZ'!AN$169,$M$14/5*(AO$9-AO$10)*1000)</f>
        <v>35057.893965176016</v>
      </c>
      <c r="AP169" s="111">
        <f>SUM(AO$169,'Statistics NZ'!AP$169-'Statistics NZ'!AO$169,$M$14/5*(AP$9-AP$10)*1000)</f>
        <v>36797.893965176016</v>
      </c>
      <c r="AQ169" s="111">
        <f>SUM(AP$169,'Statistics NZ'!AQ$169-'Statistics NZ'!AP$169,$M$14/5*(AQ$9-AQ$10)*1000)</f>
        <v>38117.893965176016</v>
      </c>
      <c r="AR169" s="111">
        <f>SUM(AQ$169,'Statistics NZ'!AR$169-'Statistics NZ'!AQ$169,$M$14/5*(AR$9-AR$10)*1000)</f>
        <v>39127.893965176016</v>
      </c>
      <c r="AS169" s="111">
        <f>SUM(AR$169,'Statistics NZ'!AS$169-'Statistics NZ'!AR$169,$M$14/5*(AS$9-AS$10)*1000)</f>
        <v>40997.893965176016</v>
      </c>
      <c r="AT169" s="111">
        <f>SUM(AS$169,'Statistics NZ'!AT$169-'Statistics NZ'!AS$169,$M$14/5*(AT$9-AT$10)*1000)</f>
        <v>41807.893965176016</v>
      </c>
      <c r="AU169" s="111">
        <f>SUM(AT$169,'Statistics NZ'!AU$169-'Statistics NZ'!AT$169,$M$14/5*(AU$9-AU$10)*1000)</f>
        <v>41967.893965176016</v>
      </c>
      <c r="AV169" s="111">
        <f>SUM(AU$169,'Statistics NZ'!AV$169-'Statistics NZ'!AU$169,$M$14/5*(AV$9-AV$10)*1000)</f>
        <v>41607.893965176016</v>
      </c>
      <c r="AW169" s="111">
        <f>SUM(AV$169,'Statistics NZ'!AW$169-'Statistics NZ'!AV$169,$M$14/5*(AW$9-AW$10)*1000)</f>
        <v>40417.893965176016</v>
      </c>
      <c r="AX169" s="111">
        <f>SUM(AW$169,'Statistics NZ'!AX$169-'Statistics NZ'!AW$169,$M$14/5*(AX$9-AX$10)*1000)</f>
        <v>40367.893965176016</v>
      </c>
      <c r="AY169" s="111">
        <f>SUM(AX$169,'Statistics NZ'!AY$169-'Statistics NZ'!AX$169,$M$14/5*(AY$9-AY$10)*1000)</f>
        <v>40187.893965176016</v>
      </c>
      <c r="AZ169" s="111">
        <f>SUM(AY$169,'Statistics NZ'!AZ$169-'Statistics NZ'!AY$169,$M$14/5*(AZ$9-AZ$10)*1000)</f>
        <v>38947.893965176016</v>
      </c>
      <c r="BA169" s="111">
        <f>SUM(AZ$169,'Statistics NZ'!BA$169-'Statistics NZ'!AZ$169,$M$14/5*(BA$9-BA$10)*1000)</f>
        <v>38847.893965176016</v>
      </c>
      <c r="BB169" s="111">
        <f>SUM(BA$169,'Statistics NZ'!BB$169-'Statistics NZ'!BA$169,$M$14/5*(BB$9-BB$10)*1000)</f>
        <v>37987.893965176016</v>
      </c>
      <c r="BC169" s="111">
        <f>SUM(BB$169,'Statistics NZ'!BC$169-'Statistics NZ'!BB$169,$M$14/5*(BC$9-BC$10)*1000)</f>
        <v>38717.893965176016</v>
      </c>
      <c r="BD169" s="111">
        <f>SUM(BC$169,'Statistics NZ'!BD$169-'Statistics NZ'!BC$169,$M$14/5*(BD$9-BD$10)*1000)</f>
        <v>38287.893965176016</v>
      </c>
      <c r="BE169" s="111">
        <f>SUM(BD$169,'Statistics NZ'!BE$169-'Statistics NZ'!BD$169,$M$14/5*(BE$9-BE$10)*1000)</f>
        <v>37027.893965176016</v>
      </c>
      <c r="BF169" s="111">
        <f>SUM(BE$169,'Statistics NZ'!BF$169-'Statistics NZ'!BE$169,$M$14/5*(BF$9-BF$10)*1000)</f>
        <v>37587.893965176016</v>
      </c>
      <c r="BG169" s="111">
        <f>SUM(BF$169,'Statistics NZ'!BG$169-'Statistics NZ'!BF$169,$M$14/5*(BG$9-BG$10)*1000)</f>
        <v>37857.893965176016</v>
      </c>
      <c r="BH169" s="111">
        <f>SUM(BG$169,'Statistics NZ'!BH$169-'Statistics NZ'!BG$169,$M$14/5*(BH$9-BH$10)*1000)</f>
        <v>38277.893965176016</v>
      </c>
      <c r="BI169" s="111">
        <f>SUM(BH$169,'Statistics NZ'!BI$169-'Statistics NZ'!BH$169,$M$14/5*(BI$9-BI$10)*1000)</f>
        <v>39287.893965176016</v>
      </c>
      <c r="BJ169" s="111">
        <f>SUM(BI$169,'Statistics NZ'!BJ$169-'Statistics NZ'!BI$169,$M$14/5*(BJ$9-BJ$10)*1000)</f>
        <v>41227.893965176016</v>
      </c>
      <c r="BK169" s="111">
        <f>SUM(BJ$169,'Statistics NZ'!BK$169-'Statistics NZ'!BJ$169,$M$14/5*(BK$9-BK$10)*1000)</f>
        <v>42297.893965176016</v>
      </c>
      <c r="BL169" s="111">
        <f>SUM(BK$169,'Statistics NZ'!BL$169-'Statistics NZ'!BK$169,$M$14/5*(BL$9-BL$10)*1000)</f>
        <v>42877.893965176016</v>
      </c>
      <c r="BM169" s="195">
        <f>SUM(BL$169,'Statistics NZ'!BM$169-'Statistics NZ'!BL$169,$M$14/5*(BM$9-BM$10)*1000)</f>
        <v>43367.893965176016</v>
      </c>
      <c r="BN169" s="195">
        <f>SUM(BM$169,'Statistics NZ'!BN$169-'Statistics NZ'!BM$169,$M$14/5*(BN$9-BN$10)*1000)</f>
        <v>43107.893965176016</v>
      </c>
      <c r="BO169" s="195">
        <f>SUM(BN$169,'Statistics NZ'!BO$169-'Statistics NZ'!BN$169,$M$14/5*(BO$9-BO$10)*1000)</f>
        <v>42977.893965176016</v>
      </c>
      <c r="BP169" s="195">
        <f>SUM(BO$169,'Statistics NZ'!BP$169-'Statistics NZ'!BO$169,$M$14/5*(BP$9-BP$10)*1000)</f>
        <v>42727.893965176016</v>
      </c>
      <c r="BQ169" s="195">
        <f>SUM(BP$169,'Statistics NZ'!BQ$169-'Statistics NZ'!BP$169,$M$14/5*(BQ$9-BQ$10)*1000)</f>
        <v>42407.893965176016</v>
      </c>
    </row>
    <row r="170" spans="1:69">
      <c r="A170" s="105">
        <f>$A$77</f>
        <v>60</v>
      </c>
      <c r="B170" s="118">
        <f>'Statistics NZ'!B$170*'Economic Forecasts'!D$9*1000000/SUM('Statistics NZ'!B$32:B$107,'Statistics NZ'!B$125:B$200)</f>
        <v>19859.464129696145</v>
      </c>
      <c r="C170" s="118">
        <f>'Statistics NZ'!C$170*'Economic Forecasts'!E$9*1000000/SUM('Statistics NZ'!C$32:C$107,'Statistics NZ'!C$125:C$200)</f>
        <v>23522.135595458145</v>
      </c>
      <c r="D170" s="118">
        <f>'Statistics NZ'!D$170*'Economic Forecasts'!F$9*1000000/SUM('Statistics NZ'!D$32:D$107,'Statistics NZ'!D$125:D$200)</f>
        <v>23349.110854160226</v>
      </c>
      <c r="E170" s="118">
        <f>'Statistics NZ'!E$170*'Economic Forecasts'!G$9*1000000/SUM('Statistics NZ'!E$32:E$107,'Statistics NZ'!E$125:E$200)</f>
        <v>23153.835004689201</v>
      </c>
      <c r="F170" s="118">
        <f>'Statistics NZ'!F$170*'Economic Forecasts'!H$9*1000000/SUM('Statistics NZ'!F$32:F$107,'Statistics NZ'!F$125:F$200)</f>
        <v>23328.637949415112</v>
      </c>
      <c r="G170" s="118">
        <f>'Statistics NZ'!G$170*'Economic Forecasts'!I$9*1000000/SUM('Statistics NZ'!G$32:G$107,'Statistics NZ'!G$125:G$200)</f>
        <v>23351.316054657585</v>
      </c>
      <c r="H170" s="118">
        <f>'Statistics NZ'!H$170*'Economic Forecasts'!J$9*1000000/SUM('Statistics NZ'!H$32:H$107,'Statistics NZ'!H$125:H$200)</f>
        <v>23589.94588599182</v>
      </c>
      <c r="I170" s="118">
        <f>'Statistics NZ'!I$170*'Economic Forecasts'!K$9*1000000/SUM('Statistics NZ'!I$32:I$107,'Statistics NZ'!I$125:I$200)</f>
        <v>23736.421202781527</v>
      </c>
      <c r="J170" s="203">
        <f>'Statistics NZ'!J$170*'Economic Forecasts'!L$9*1000000/SUM('Statistics NZ'!J$32:J$107,'Statistics NZ'!J$125:J$200)</f>
        <v>24541.601626873373</v>
      </c>
      <c r="K170" s="203">
        <f>'Statistics NZ'!K$170*'Economic Forecasts'!M$9*1000000/SUM('Statistics NZ'!K$32:K$107,'Statistics NZ'!K$125:K$200)</f>
        <v>25152.801193645082</v>
      </c>
      <c r="L170" s="203">
        <f>'Statistics NZ'!L$170*'Economic Forecasts'!N$9*1000000/SUM('Statistics NZ'!L$32:L$107,'Statistics NZ'!L$125:L$200)</f>
        <v>26119.085352335707</v>
      </c>
      <c r="M170" s="203">
        <f>'Statistics NZ'!M$170*'Economic Forecasts'!O$9*1000000/SUM('Statistics NZ'!M$32:M$107,'Statistics NZ'!M$125:M$200)</f>
        <v>26802.876932840099</v>
      </c>
      <c r="N170" s="203">
        <f>'Statistics NZ'!N$170*'Economic Forecasts'!P$9*1000000/SUM('Statistics NZ'!N$32:N$107,'Statistics NZ'!N$125:N$200)</f>
        <v>27473.880610603625</v>
      </c>
      <c r="O170" s="203">
        <f>'Statistics NZ'!O$170*'Economic Forecasts'!Q$9*1000000/SUM('Statistics NZ'!O$32:O$107,'Statistics NZ'!O$125:O$200)</f>
        <v>28815.914576099301</v>
      </c>
      <c r="P170" s="203">
        <f>'Statistics NZ'!P$170*'Economic Forecasts'!R$9*1000000/SUM('Statistics NZ'!P$32:P$107,'Statistics NZ'!P$125:P$200)</f>
        <v>29570.195199379625</v>
      </c>
      <c r="Q170" s="121">
        <f>SUM('Statistics NZ'!Q$170,$N$14/5*(Q$9-Q$10)*1000)*'Economic Forecasts'!S$9*1000000/SUM('Statistics NZ'!Q$32:Q$107,'Statistics NZ'!Q$125:Q$200,SUM($E$13:$Q$14)*(Q$9-Q$10)*1000)</f>
        <v>30347.13405750108</v>
      </c>
      <c r="R170" s="205">
        <f>SUM('Statistics NZ'!R$170,$N$14/5*(R$9-R$10)*1000)*'Economic Forecasts'!T$9*1000000/SUM('Statistics NZ'!R$32:R$107,'Statistics NZ'!R$125:R$200,SUM($E$13:$Q$14)*(R$9-R$10)*1000)</f>
        <v>31290.971247125264</v>
      </c>
      <c r="S170" s="205">
        <f>SUM('Statistics NZ'!S$170,$N$14/5*(S$9-S$10)*1000)*'Economic Forecasts'!U$9*1000000/SUM('Statistics NZ'!S$32:S$107,'Statistics NZ'!S$125:S$200,SUM($E$13:$Q$14)*(S$9-S$10)*1000)</f>
        <v>31590.429827279582</v>
      </c>
      <c r="T170" s="205">
        <f>SUM('Statistics NZ'!T$170,$N$14/5*(T$9-T$10)*1000)*'Economic Forecasts'!V$9*1000000/SUM('Statistics NZ'!T$32:T$107,'Statistics NZ'!T$125:T$200,SUM($E$13:$Q$14)*(T$9-T$10)*1000)</f>
        <v>31270.186276249406</v>
      </c>
      <c r="U170" s="205">
        <f>SUM('Statistics NZ'!U$170,$N$14/5*(U$9-U$10)*1000)*'Economic Forecasts'!W$9*1000000/SUM('Statistics NZ'!U$32:U$107,'Statistics NZ'!U$125:U$200,SUM($E$13:$Q$14)*(U$9-U$10)*1000)</f>
        <v>30685.473474036855</v>
      </c>
      <c r="V170" s="111">
        <f>SUM(U$170,'Statistics NZ'!V$170-'Statistics NZ'!U$170,$N$14/5*(V$9-V$10)*1000)</f>
        <v>30341.119890191396</v>
      </c>
      <c r="W170" s="111">
        <f>SUM(V$170,'Statistics NZ'!W$170-'Statistics NZ'!V$170,$N$14/5*(W$9-W$10)*1000)</f>
        <v>30432.310504326619</v>
      </c>
      <c r="X170" s="111">
        <f>SUM(W$170,'Statistics NZ'!X$170-'Statistics NZ'!W$170,$N$14/5*(X$9-X$10)*1000)</f>
        <v>31089.045316442523</v>
      </c>
      <c r="Y170" s="111">
        <f>SUM(X$170,'Statistics NZ'!Y$170-'Statistics NZ'!X$170,$N$14/5*(Y$9-Y$10)*1000)</f>
        <v>31811.32432653911</v>
      </c>
      <c r="Z170" s="111">
        <f>SUM(Y$170,'Statistics NZ'!Z$170-'Statistics NZ'!Y$170,$N$14/5*(Z$9-Z$10)*1000)</f>
        <v>31919.147534616379</v>
      </c>
      <c r="AA170" s="111">
        <f>SUM(Z$170,'Statistics NZ'!AA$170-'Statistics NZ'!Z$170,$N$14/5*(AA$9-AA$10)*1000)</f>
        <v>32572.514940674329</v>
      </c>
      <c r="AB170" s="111">
        <f>SUM(AA$170,'Statistics NZ'!AB$170-'Statistics NZ'!AA$170,$N$14/5*(AB$9-AB$10)*1000)</f>
        <v>32611.426544712966</v>
      </c>
      <c r="AC170" s="111">
        <f>SUM(AB$170,'Statistics NZ'!AC$170-'Statistics NZ'!AB$170,$N$14/5*(AC$9-AC$10)*1000)</f>
        <v>31715.882346732284</v>
      </c>
      <c r="AD170" s="111">
        <f>SUM(AC$170,'Statistics NZ'!AD$170-'Statistics NZ'!AC$170,$N$14/5*(AD$9-AD$10)*1000)</f>
        <v>30525.882346732284</v>
      </c>
      <c r="AE170" s="111">
        <f>SUM(AD$170,'Statistics NZ'!AE$170-'Statistics NZ'!AD$170,$N$14/5*(AE$9-AE$10)*1000)</f>
        <v>29615.882346732284</v>
      </c>
      <c r="AF170" s="111">
        <f>SUM(AE$170,'Statistics NZ'!AF$170-'Statistics NZ'!AE$170,$N$14/5*(AF$9-AF$10)*1000)</f>
        <v>29095.882346732284</v>
      </c>
      <c r="AG170" s="111">
        <f>SUM(AF$170,'Statistics NZ'!AG$170-'Statistics NZ'!AF$170,$N$14/5*(AG$9-AG$10)*1000)</f>
        <v>29285.882346732284</v>
      </c>
      <c r="AH170" s="111">
        <f>SUM(AG$170,'Statistics NZ'!AH$170-'Statistics NZ'!AG$170,$N$14/5*(AH$9-AH$10)*1000)</f>
        <v>28985.882346732284</v>
      </c>
      <c r="AI170" s="111">
        <f>SUM(AH$170,'Statistics NZ'!AI$170-'Statistics NZ'!AH$170,$N$14/5*(AI$9-AI$10)*1000)</f>
        <v>30055.882346732284</v>
      </c>
      <c r="AJ170" s="111">
        <f>SUM(AI$170,'Statistics NZ'!AJ$170-'Statistics NZ'!AI$170,$N$14/5*(AJ$9-AJ$10)*1000)</f>
        <v>30805.882346732284</v>
      </c>
      <c r="AK170" s="111">
        <f>SUM(AJ$170,'Statistics NZ'!AK$170-'Statistics NZ'!AJ$170,$N$14/5*(AK$9-AK$10)*1000)</f>
        <v>31485.882346732284</v>
      </c>
      <c r="AL170" s="111">
        <f>SUM(AK$170,'Statistics NZ'!AL$170-'Statistics NZ'!AK$170,$N$14/5*(AL$9-AL$10)*1000)</f>
        <v>32295.882346732284</v>
      </c>
      <c r="AM170" s="111">
        <f>SUM(AL$170,'Statistics NZ'!AM$170-'Statistics NZ'!AL$170,$N$14/5*(AM$9-AM$10)*1000)</f>
        <v>33245.88234673228</v>
      </c>
      <c r="AN170" s="111">
        <f>SUM(AM$170,'Statistics NZ'!AN$170-'Statistics NZ'!AM$170,$N$14/5*(AN$9-AN$10)*1000)</f>
        <v>33775.88234673228</v>
      </c>
      <c r="AO170" s="111">
        <f>SUM(AN$170,'Statistics NZ'!AO$170-'Statistics NZ'!AN$170,$N$14/5*(AO$9-AO$10)*1000)</f>
        <v>34165.88234673228</v>
      </c>
      <c r="AP170" s="111">
        <f>SUM(AO$170,'Statistics NZ'!AP$170-'Statistics NZ'!AO$170,$N$14/5*(AP$9-AP$10)*1000)</f>
        <v>35115.88234673228</v>
      </c>
      <c r="AQ170" s="111">
        <f>SUM(AP$170,'Statistics NZ'!AQ$170-'Statistics NZ'!AP$170,$N$14/5*(AQ$9-AQ$10)*1000)</f>
        <v>36855.88234673228</v>
      </c>
      <c r="AR170" s="111">
        <f>SUM(AQ$170,'Statistics NZ'!AR$170-'Statistics NZ'!AQ$170,$N$14/5*(AR$9-AR$10)*1000)</f>
        <v>38175.88234673228</v>
      </c>
      <c r="AS170" s="111">
        <f>SUM(AR$170,'Statistics NZ'!AS$170-'Statistics NZ'!AR$170,$N$14/5*(AS$9-AS$10)*1000)</f>
        <v>39175.88234673228</v>
      </c>
      <c r="AT170" s="111">
        <f>SUM(AS$170,'Statistics NZ'!AT$170-'Statistics NZ'!AS$170,$N$14/5*(AT$9-AT$10)*1000)</f>
        <v>41055.88234673228</v>
      </c>
      <c r="AU170" s="111">
        <f>SUM(AT$170,'Statistics NZ'!AU$170-'Statistics NZ'!AT$170,$N$14/5*(AU$9-AU$10)*1000)</f>
        <v>41855.88234673228</v>
      </c>
      <c r="AV170" s="111">
        <f>SUM(AU$170,'Statistics NZ'!AV$170-'Statistics NZ'!AU$170,$N$14/5*(AV$9-AV$10)*1000)</f>
        <v>42015.88234673228</v>
      </c>
      <c r="AW170" s="111">
        <f>SUM(AV$170,'Statistics NZ'!AW$170-'Statistics NZ'!AV$170,$N$14/5*(AW$9-AW$10)*1000)</f>
        <v>41665.88234673228</v>
      </c>
      <c r="AX170" s="111">
        <f>SUM(AW$170,'Statistics NZ'!AX$170-'Statistics NZ'!AW$170,$N$14/5*(AX$9-AX$10)*1000)</f>
        <v>40475.88234673228</v>
      </c>
      <c r="AY170" s="111">
        <f>SUM(AX$170,'Statistics NZ'!AY$170-'Statistics NZ'!AX$170,$N$14/5*(AY$9-AY$10)*1000)</f>
        <v>40425.88234673228</v>
      </c>
      <c r="AZ170" s="111">
        <f>SUM(AY$170,'Statistics NZ'!AZ$170-'Statistics NZ'!AY$170,$N$14/5*(AZ$9-AZ$10)*1000)</f>
        <v>40255.88234673228</v>
      </c>
      <c r="BA170" s="111">
        <f>SUM(AZ$170,'Statistics NZ'!BA$170-'Statistics NZ'!AZ$170,$N$14/5*(BA$9-BA$10)*1000)</f>
        <v>39015.88234673228</v>
      </c>
      <c r="BB170" s="111">
        <f>SUM(BA$170,'Statistics NZ'!BB$170-'Statistics NZ'!BA$170,$N$14/5*(BB$9-BB$10)*1000)</f>
        <v>38915.88234673228</v>
      </c>
      <c r="BC170" s="111">
        <f>SUM(BB$170,'Statistics NZ'!BC$170-'Statistics NZ'!BB$170,$N$14/5*(BC$9-BC$10)*1000)</f>
        <v>38065.88234673228</v>
      </c>
      <c r="BD170" s="111">
        <f>SUM(BC$170,'Statistics NZ'!BD$170-'Statistics NZ'!BC$170,$N$14/5*(BD$9-BD$10)*1000)</f>
        <v>38795.88234673228</v>
      </c>
      <c r="BE170" s="111">
        <f>SUM(BD$170,'Statistics NZ'!BE$170-'Statistics NZ'!BD$170,$N$14/5*(BE$9-BE$10)*1000)</f>
        <v>38375.88234673228</v>
      </c>
      <c r="BF170" s="111">
        <f>SUM(BE$170,'Statistics NZ'!BF$170-'Statistics NZ'!BE$170,$N$14/5*(BF$9-BF$10)*1000)</f>
        <v>37115.88234673228</v>
      </c>
      <c r="BG170" s="111">
        <f>SUM(BF$170,'Statistics NZ'!BG$170-'Statistics NZ'!BF$170,$N$14/5*(BG$9-BG$10)*1000)</f>
        <v>37675.88234673228</v>
      </c>
      <c r="BH170" s="111">
        <f>SUM(BG$170,'Statistics NZ'!BH$170-'Statistics NZ'!BG$170,$N$14/5*(BH$9-BH$10)*1000)</f>
        <v>37945.88234673228</v>
      </c>
      <c r="BI170" s="111">
        <f>SUM(BH$170,'Statistics NZ'!BI$170-'Statistics NZ'!BH$170,$N$14/5*(BI$9-BI$10)*1000)</f>
        <v>38365.88234673228</v>
      </c>
      <c r="BJ170" s="111">
        <f>SUM(BI$170,'Statistics NZ'!BJ$170-'Statistics NZ'!BI$170,$N$14/5*(BJ$9-BJ$10)*1000)</f>
        <v>39375.88234673228</v>
      </c>
      <c r="BK170" s="111">
        <f>SUM(BJ$170,'Statistics NZ'!BK$170-'Statistics NZ'!BJ$170,$N$14/5*(BK$9-BK$10)*1000)</f>
        <v>41315.88234673228</v>
      </c>
      <c r="BL170" s="111">
        <f>SUM(BK$170,'Statistics NZ'!BL$170-'Statistics NZ'!BK$170,$N$14/5*(BL$9-BL$10)*1000)</f>
        <v>42385.88234673228</v>
      </c>
      <c r="BM170" s="195">
        <f>SUM(BL$170,'Statistics NZ'!BM$170-'Statistics NZ'!BL$170,$N$14/5*(BM$9-BM$10)*1000)</f>
        <v>42965.88234673228</v>
      </c>
      <c r="BN170" s="195">
        <f>SUM(BM$170,'Statistics NZ'!BN$170-'Statistics NZ'!BM$170,$N$14/5*(BN$9-BN$10)*1000)</f>
        <v>43455.88234673228</v>
      </c>
      <c r="BO170" s="195">
        <f>SUM(BN$170,'Statistics NZ'!BO$170-'Statistics NZ'!BN$170,$N$14/5*(BO$9-BO$10)*1000)</f>
        <v>43205.88234673228</v>
      </c>
      <c r="BP170" s="195">
        <f>SUM(BO$170,'Statistics NZ'!BP$170-'Statistics NZ'!BO$170,$N$14/5*(BP$9-BP$10)*1000)</f>
        <v>43075.88234673228</v>
      </c>
      <c r="BQ170" s="195">
        <f>SUM(BP$170,'Statistics NZ'!BQ$170-'Statistics NZ'!BP$170,$N$14/5*(BQ$9-BQ$10)*1000)</f>
        <v>42825.88234673228</v>
      </c>
    </row>
    <row r="171" spans="1:69">
      <c r="A171" s="105">
        <f>$A$78</f>
        <v>61</v>
      </c>
      <c r="B171" s="118">
        <f>'Statistics NZ'!B$171*'Economic Forecasts'!D$9*1000000/SUM('Statistics NZ'!B$32:B$107,'Statistics NZ'!B$125:B$200)</f>
        <v>18854.66981361033</v>
      </c>
      <c r="C171" s="118">
        <f>'Statistics NZ'!C$171*'Economic Forecasts'!E$9*1000000/SUM('Statistics NZ'!C$32:C$107,'Statistics NZ'!C$125:C$200)</f>
        <v>19746.369487721153</v>
      </c>
      <c r="D171" s="118">
        <f>'Statistics NZ'!D$171*'Economic Forecasts'!F$9*1000000/SUM('Statistics NZ'!D$32:D$107,'Statistics NZ'!D$125:D$200)</f>
        <v>23358.966958362067</v>
      </c>
      <c r="E171" s="118">
        <f>'Statistics NZ'!E$171*'Economic Forecasts'!G$9*1000000/SUM('Statistics NZ'!E$32:E$107,'Statistics NZ'!E$125:E$200)</f>
        <v>23193.229024263324</v>
      </c>
      <c r="F171" s="118">
        <f>'Statistics NZ'!F$171*'Economic Forecasts'!H$9*1000000/SUM('Statistics NZ'!F$32:F$107,'Statistics NZ'!F$125:F$200)</f>
        <v>23072.49580976781</v>
      </c>
      <c r="G171" s="118">
        <f>'Statistics NZ'!G$171*'Economic Forecasts'!I$9*1000000/SUM('Statistics NZ'!G$32:G$107,'Statistics NZ'!G$125:G$200)</f>
        <v>23193.670039098713</v>
      </c>
      <c r="H171" s="118">
        <f>'Statistics NZ'!H$171*'Economic Forecasts'!J$9*1000000/SUM('Statistics NZ'!H$32:H$107,'Statistics NZ'!H$125:H$200)</f>
        <v>23225.508308629942</v>
      </c>
      <c r="I171" s="118">
        <f>'Statistics NZ'!I$171*'Economic Forecasts'!K$9*1000000/SUM('Statistics NZ'!I$32:I$107,'Statistics NZ'!I$125:I$200)</f>
        <v>23470.714995287701</v>
      </c>
      <c r="J171" s="203">
        <f>'Statistics NZ'!J$171*'Economic Forecasts'!L$9*1000000/SUM('Statistics NZ'!J$32:J$107,'Statistics NZ'!J$125:J$200)</f>
        <v>23686.527801667933</v>
      </c>
      <c r="K171" s="203">
        <f>'Statistics NZ'!K$171*'Economic Forecasts'!M$9*1000000/SUM('Statistics NZ'!K$32:K$107,'Statistics NZ'!K$125:K$200)</f>
        <v>24523.981163803957</v>
      </c>
      <c r="L171" s="203">
        <f>'Statistics NZ'!L$171*'Economic Forecasts'!N$9*1000000/SUM('Statistics NZ'!L$32:L$107,'Statistics NZ'!L$125:L$200)</f>
        <v>25232.691053048293</v>
      </c>
      <c r="M171" s="203">
        <f>'Statistics NZ'!M$171*'Economic Forecasts'!O$9*1000000/SUM('Statistics NZ'!M$32:M$107,'Statistics NZ'!M$125:M$200)</f>
        <v>26103.500136724091</v>
      </c>
      <c r="N171" s="203">
        <f>'Statistics NZ'!N$171*'Economic Forecasts'!P$9*1000000/SUM('Statistics NZ'!N$32:N$107,'Statistics NZ'!N$125:N$200)</f>
        <v>26753.480723903172</v>
      </c>
      <c r="O171" s="203">
        <f>'Statistics NZ'!O$171*'Economic Forecasts'!Q$9*1000000/SUM('Statistics NZ'!O$32:O$107,'Statistics NZ'!O$125:O$200)</f>
        <v>27414.592702878035</v>
      </c>
      <c r="P171" s="203">
        <f>'Statistics NZ'!P$171*'Economic Forecasts'!R$9*1000000/SUM('Statistics NZ'!P$32:P$107,'Statistics NZ'!P$125:P$200)</f>
        <v>28997.550350777281</v>
      </c>
      <c r="Q171" s="121">
        <f>SUM('Statistics NZ'!Q$171,$N$14/5*(Q$9-Q$10)*1000)*'Economic Forecasts'!S$9*1000000/SUM('Statistics NZ'!Q$32:Q$107,'Statistics NZ'!Q$125:Q$200,SUM($E$13:$Q$14)*(Q$9-Q$10)*1000)</f>
        <v>29477.128822545717</v>
      </c>
      <c r="R171" s="205">
        <f>SUM('Statistics NZ'!R$171,$N$14/5*(R$9-R$10)*1000)*'Economic Forecasts'!T$9*1000000/SUM('Statistics NZ'!R$32:R$107,'Statistics NZ'!R$125:R$200,SUM($E$13:$Q$14)*(R$9-R$10)*1000)</f>
        <v>30233.257082862463</v>
      </c>
      <c r="S171" s="205">
        <f>SUM('Statistics NZ'!S$171,$N$14/5*(S$9-S$10)*1000)*'Economic Forecasts'!U$9*1000000/SUM('Statistics NZ'!S$32:S$107,'Statistics NZ'!S$125:S$200,SUM($E$13:$Q$14)*(S$9-S$10)*1000)</f>
        <v>31185.354090904835</v>
      </c>
      <c r="T171" s="205">
        <f>SUM('Statistics NZ'!T$171,$N$14/5*(T$9-T$10)*1000)*'Economic Forecasts'!V$9*1000000/SUM('Statistics NZ'!T$32:T$107,'Statistics NZ'!T$125:T$200,SUM($E$13:$Q$14)*(T$9-T$10)*1000)</f>
        <v>31507.289099205878</v>
      </c>
      <c r="U171" s="205">
        <f>SUM('Statistics NZ'!U$171,$N$14/5*(U$9-U$10)*1000)*'Economic Forecasts'!W$9*1000000/SUM('Statistics NZ'!U$32:U$107,'Statistics NZ'!U$125:U$200,SUM($E$13:$Q$14)*(U$9-U$10)*1000)</f>
        <v>31239.432485022746</v>
      </c>
      <c r="V171" s="111">
        <f>SUM(U$171,'Statistics NZ'!V$171-'Statistics NZ'!U$171,$N$14/5*(V$9-V$10)*1000)</f>
        <v>30635.078901177287</v>
      </c>
      <c r="W171" s="111">
        <f>SUM(V$171,'Statistics NZ'!W$171-'Statistics NZ'!V$171,$N$14/5*(W$9-W$10)*1000)</f>
        <v>30286.26951531251</v>
      </c>
      <c r="X171" s="111">
        <f>SUM(W$171,'Statistics NZ'!X$171-'Statistics NZ'!W$171,$N$14/5*(X$9-X$10)*1000)</f>
        <v>30383.004327428414</v>
      </c>
      <c r="Y171" s="111">
        <f>SUM(X$171,'Statistics NZ'!Y$171-'Statistics NZ'!X$171,$N$14/5*(Y$9-Y$10)*1000)</f>
        <v>31035.283337525001</v>
      </c>
      <c r="Z171" s="111">
        <f>SUM(Y$171,'Statistics NZ'!Z$171-'Statistics NZ'!Y$171,$N$14/5*(Z$9-Z$10)*1000)</f>
        <v>31743.10654560227</v>
      </c>
      <c r="AA171" s="111">
        <f>SUM(Z$171,'Statistics NZ'!AA$171-'Statistics NZ'!Z$171,$N$14/5*(AA$9-AA$10)*1000)</f>
        <v>31846.47395166022</v>
      </c>
      <c r="AB171" s="111">
        <f>SUM(AA$171,'Statistics NZ'!AB$171-'Statistics NZ'!AA$171,$N$14/5*(AB$9-AB$10)*1000)</f>
        <v>32505.385555698856</v>
      </c>
      <c r="AC171" s="111">
        <f>SUM(AB$171,'Statistics NZ'!AC$171-'Statistics NZ'!AB$171,$N$14/5*(AC$9-AC$10)*1000)</f>
        <v>32539.841357718175</v>
      </c>
      <c r="AD171" s="111">
        <f>SUM(AC$171,'Statistics NZ'!AD$171-'Statistics NZ'!AC$171,$N$14/5*(AD$9-AD$10)*1000)</f>
        <v>31649.841357718175</v>
      </c>
      <c r="AE171" s="111">
        <f>SUM(AD$171,'Statistics NZ'!AE$171-'Statistics NZ'!AD$171,$N$14/5*(AE$9-AE$10)*1000)</f>
        <v>30459.841357718175</v>
      </c>
      <c r="AF171" s="111">
        <f>SUM(AE$171,'Statistics NZ'!AF$171-'Statistics NZ'!AE$171,$N$14/5*(AF$9-AF$10)*1000)</f>
        <v>29559.841357718175</v>
      </c>
      <c r="AG171" s="111">
        <f>SUM(AF$171,'Statistics NZ'!AG$171-'Statistics NZ'!AF$171,$N$14/5*(AG$9-AG$10)*1000)</f>
        <v>29049.841357718175</v>
      </c>
      <c r="AH171" s="111">
        <f>SUM(AG$171,'Statistics NZ'!AH$171-'Statistics NZ'!AG$171,$N$14/5*(AH$9-AH$10)*1000)</f>
        <v>29239.841357718175</v>
      </c>
      <c r="AI171" s="111">
        <f>SUM(AH$171,'Statistics NZ'!AI$171-'Statistics NZ'!AH$171,$N$14/5*(AI$9-AI$10)*1000)</f>
        <v>28949.841357718175</v>
      </c>
      <c r="AJ171" s="111">
        <f>SUM(AI$171,'Statistics NZ'!AJ$171-'Statistics NZ'!AI$171,$N$14/5*(AJ$9-AJ$10)*1000)</f>
        <v>30009.841357718175</v>
      </c>
      <c r="AK171" s="111">
        <f>SUM(AJ$171,'Statistics NZ'!AK$171-'Statistics NZ'!AJ$171,$N$14/5*(AK$9-AK$10)*1000)</f>
        <v>30759.841357718175</v>
      </c>
      <c r="AL171" s="111">
        <f>SUM(AK$171,'Statistics NZ'!AL$171-'Statistics NZ'!AK$171,$N$14/5*(AL$9-AL$10)*1000)</f>
        <v>31439.841357718175</v>
      </c>
      <c r="AM171" s="111">
        <f>SUM(AL$171,'Statistics NZ'!AM$171-'Statistics NZ'!AL$171,$N$14/5*(AM$9-AM$10)*1000)</f>
        <v>32249.841357718175</v>
      </c>
      <c r="AN171" s="111">
        <f>SUM(AM$171,'Statistics NZ'!AN$171-'Statistics NZ'!AM$171,$N$14/5*(AN$9-AN$10)*1000)</f>
        <v>33199.841357718178</v>
      </c>
      <c r="AO171" s="111">
        <f>SUM(AN$171,'Statistics NZ'!AO$171-'Statistics NZ'!AN$171,$N$14/5*(AO$9-AO$10)*1000)</f>
        <v>33729.841357718178</v>
      </c>
      <c r="AP171" s="111">
        <f>SUM(AO$171,'Statistics NZ'!AP$171-'Statistics NZ'!AO$171,$N$14/5*(AP$9-AP$10)*1000)</f>
        <v>34119.841357718178</v>
      </c>
      <c r="AQ171" s="111">
        <f>SUM(AP$171,'Statistics NZ'!AQ$171-'Statistics NZ'!AP$171,$N$14/5*(AQ$9-AQ$10)*1000)</f>
        <v>35069.841357718178</v>
      </c>
      <c r="AR171" s="111">
        <f>SUM(AQ$171,'Statistics NZ'!AR$171-'Statistics NZ'!AQ$171,$N$14/5*(AR$9-AR$10)*1000)</f>
        <v>36809.841357718178</v>
      </c>
      <c r="AS171" s="111">
        <f>SUM(AR$171,'Statistics NZ'!AS$171-'Statistics NZ'!AR$171,$N$14/5*(AS$9-AS$10)*1000)</f>
        <v>38129.841357718178</v>
      </c>
      <c r="AT171" s="111">
        <f>SUM(AS$171,'Statistics NZ'!AT$171-'Statistics NZ'!AS$171,$N$14/5*(AT$9-AT$10)*1000)</f>
        <v>39129.841357718178</v>
      </c>
      <c r="AU171" s="111">
        <f>SUM(AT$171,'Statistics NZ'!AU$171-'Statistics NZ'!AT$171,$N$14/5*(AU$9-AU$10)*1000)</f>
        <v>40999.841357718178</v>
      </c>
      <c r="AV171" s="111">
        <f>SUM(AU$171,'Statistics NZ'!AV$171-'Statistics NZ'!AU$171,$N$14/5*(AV$9-AV$10)*1000)</f>
        <v>41799.841357718178</v>
      </c>
      <c r="AW171" s="111">
        <f>SUM(AV$171,'Statistics NZ'!AW$171-'Statistics NZ'!AV$171,$N$14/5*(AW$9-AW$10)*1000)</f>
        <v>41959.841357718178</v>
      </c>
      <c r="AX171" s="111">
        <f>SUM(AW$171,'Statistics NZ'!AX$171-'Statistics NZ'!AW$171,$N$14/5*(AX$9-AX$10)*1000)</f>
        <v>41619.841357718178</v>
      </c>
      <c r="AY171" s="111">
        <f>SUM(AX$171,'Statistics NZ'!AY$171-'Statistics NZ'!AX$171,$N$14/5*(AY$9-AY$10)*1000)</f>
        <v>40439.841357718178</v>
      </c>
      <c r="AZ171" s="111">
        <f>SUM(AY$171,'Statistics NZ'!AZ$171-'Statistics NZ'!AY$171,$N$14/5*(AZ$9-AZ$10)*1000)</f>
        <v>40389.841357718178</v>
      </c>
      <c r="BA171" s="111">
        <f>SUM(AZ$171,'Statistics NZ'!BA$171-'Statistics NZ'!AZ$171,$N$14/5*(BA$9-BA$10)*1000)</f>
        <v>40209.841357718178</v>
      </c>
      <c r="BB171" s="111">
        <f>SUM(BA$171,'Statistics NZ'!BB$171-'Statistics NZ'!BA$171,$N$14/5*(BB$9-BB$10)*1000)</f>
        <v>38979.841357718178</v>
      </c>
      <c r="BC171" s="111">
        <f>SUM(BB$171,'Statistics NZ'!BC$171-'Statistics NZ'!BB$171,$N$14/5*(BC$9-BC$10)*1000)</f>
        <v>38889.841357718178</v>
      </c>
      <c r="BD171" s="111">
        <f>SUM(BC$171,'Statistics NZ'!BD$171-'Statistics NZ'!BC$171,$N$14/5*(BD$9-BD$10)*1000)</f>
        <v>38039.841357718178</v>
      </c>
      <c r="BE171" s="111">
        <f>SUM(BD$171,'Statistics NZ'!BE$171-'Statistics NZ'!BD$171,$N$14/5*(BE$9-BE$10)*1000)</f>
        <v>38769.841357718178</v>
      </c>
      <c r="BF171" s="111">
        <f>SUM(BE$171,'Statistics NZ'!BF$171-'Statistics NZ'!BE$171,$N$14/5*(BF$9-BF$10)*1000)</f>
        <v>38349.841357718178</v>
      </c>
      <c r="BG171" s="111">
        <f>SUM(BF$171,'Statistics NZ'!BG$171-'Statistics NZ'!BF$171,$N$14/5*(BG$9-BG$10)*1000)</f>
        <v>37099.841357718178</v>
      </c>
      <c r="BH171" s="111">
        <f>SUM(BG$171,'Statistics NZ'!BH$171-'Statistics NZ'!BG$171,$N$14/5*(BH$9-BH$10)*1000)</f>
        <v>37659.841357718178</v>
      </c>
      <c r="BI171" s="111">
        <f>SUM(BH$171,'Statistics NZ'!BI$171-'Statistics NZ'!BH$171,$N$14/5*(BI$9-BI$10)*1000)</f>
        <v>37929.841357718178</v>
      </c>
      <c r="BJ171" s="111">
        <f>SUM(BI$171,'Statistics NZ'!BJ$171-'Statistics NZ'!BI$171,$N$14/5*(BJ$9-BJ$10)*1000)</f>
        <v>38349.841357718178</v>
      </c>
      <c r="BK171" s="111">
        <f>SUM(BJ$171,'Statistics NZ'!BK$171-'Statistics NZ'!BJ$171,$N$14/5*(BK$9-BK$10)*1000)</f>
        <v>39359.841357718178</v>
      </c>
      <c r="BL171" s="111">
        <f>SUM(BK$171,'Statistics NZ'!BL$171-'Statistics NZ'!BK$171,$N$14/5*(BL$9-BL$10)*1000)</f>
        <v>41299.841357718178</v>
      </c>
      <c r="BM171" s="195">
        <f>SUM(BL$171,'Statistics NZ'!BM$171-'Statistics NZ'!BL$171,$N$14/5*(BM$9-BM$10)*1000)</f>
        <v>42369.841357718178</v>
      </c>
      <c r="BN171" s="195">
        <f>SUM(BM$171,'Statistics NZ'!BN$171-'Statistics NZ'!BM$171,$N$14/5*(BN$9-BN$10)*1000)</f>
        <v>42949.841357718178</v>
      </c>
      <c r="BO171" s="195">
        <f>SUM(BN$171,'Statistics NZ'!BO$171-'Statistics NZ'!BN$171,$N$14/5*(BO$9-BO$10)*1000)</f>
        <v>43439.841357718178</v>
      </c>
      <c r="BP171" s="195">
        <f>SUM(BO$171,'Statistics NZ'!BP$171-'Statistics NZ'!BO$171,$N$14/5*(BP$9-BP$10)*1000)</f>
        <v>43189.841357718178</v>
      </c>
      <c r="BQ171" s="195">
        <f>SUM(BP$171,'Statistics NZ'!BQ$171-'Statistics NZ'!BP$171,$N$14/5*(BQ$9-BQ$10)*1000)</f>
        <v>43059.841357718178</v>
      </c>
    </row>
    <row r="172" spans="1:69">
      <c r="A172" s="105">
        <f>$A$79</f>
        <v>62</v>
      </c>
      <c r="B172" s="118">
        <f>'Statistics NZ'!B$172*'Economic Forecasts'!D$9*1000000/SUM('Statistics NZ'!B$32:B$107,'Statistics NZ'!B$125:B$200)</f>
        <v>18125.701388214733</v>
      </c>
      <c r="C172" s="118">
        <f>'Statistics NZ'!C$172*'Economic Forecasts'!E$9*1000000/SUM('Statistics NZ'!C$32:C$107,'Statistics NZ'!C$125:C$200)</f>
        <v>18750.671375759175</v>
      </c>
      <c r="D172" s="118">
        <f>'Statistics NZ'!D$172*'Economic Forecasts'!F$9*1000000/SUM('Statistics NZ'!D$32:D$107,'Statistics NZ'!D$125:D$200)</f>
        <v>19603.791257460824</v>
      </c>
      <c r="E172" s="118">
        <f>'Statistics NZ'!E$172*'Economic Forecasts'!G$9*1000000/SUM('Statistics NZ'!E$32:E$107,'Statistics NZ'!E$125:E$200)</f>
        <v>23203.077529156853</v>
      </c>
      <c r="F172" s="118">
        <f>'Statistics NZ'!F$172*'Economic Forecasts'!H$9*1000000/SUM('Statistics NZ'!F$32:F$107,'Statistics NZ'!F$125:F$200)</f>
        <v>23102.050672034813</v>
      </c>
      <c r="G172" s="118">
        <f>'Statistics NZ'!G$172*'Economic Forecasts'!I$9*1000000/SUM('Statistics NZ'!G$32:G$107,'Statistics NZ'!G$125:G$200)</f>
        <v>22986.759643677698</v>
      </c>
      <c r="H172" s="118">
        <f>'Statistics NZ'!H$172*'Economic Forecasts'!J$9*1000000/SUM('Statistics NZ'!H$32:H$107,'Statistics NZ'!H$125:H$200)</f>
        <v>23058.064016328539</v>
      </c>
      <c r="I172" s="118">
        <f>'Statistics NZ'!I$172*'Economic Forecasts'!K$9*1000000/SUM('Statistics NZ'!I$32:I$107,'Statistics NZ'!I$125:I$200)</f>
        <v>23145.962963906364</v>
      </c>
      <c r="J172" s="203">
        <f>'Statistics NZ'!J$172*'Economic Forecasts'!L$9*1000000/SUM('Statistics NZ'!J$32:J$107,'Statistics NZ'!J$125:J$200)</f>
        <v>23421.160062811068</v>
      </c>
      <c r="K172" s="203">
        <f>'Statistics NZ'!K$172*'Economic Forecasts'!M$9*1000000/SUM('Statistics NZ'!K$32:K$107,'Statistics NZ'!K$125:K$200)</f>
        <v>23688.829561671213</v>
      </c>
      <c r="L172" s="203">
        <f>'Statistics NZ'!L$172*'Economic Forecasts'!N$9*1000000/SUM('Statistics NZ'!L$32:L$107,'Statistics NZ'!L$125:L$200)</f>
        <v>24543.27326471364</v>
      </c>
      <c r="M172" s="203">
        <f>'Statistics NZ'!M$172*'Economic Forecasts'!O$9*1000000/SUM('Statistics NZ'!M$32:M$107,'Statistics NZ'!M$125:M$200)</f>
        <v>25216.966169816485</v>
      </c>
      <c r="N172" s="203">
        <f>'Statistics NZ'!N$172*'Economic Forecasts'!P$9*1000000/SUM('Statistics NZ'!N$32:N$107,'Statistics NZ'!N$125:N$200)</f>
        <v>26052.817820399992</v>
      </c>
      <c r="O172" s="203">
        <f>'Statistics NZ'!O$172*'Economic Forecasts'!Q$9*1000000/SUM('Statistics NZ'!O$32:O$107,'Statistics NZ'!O$125:O$200)</f>
        <v>26684.326374579628</v>
      </c>
      <c r="P172" s="203">
        <f>'Statistics NZ'!P$172*'Economic Forecasts'!R$9*1000000/SUM('Statistics NZ'!P$32:P$107,'Statistics NZ'!P$125:P$200)</f>
        <v>27664.670099720101</v>
      </c>
      <c r="Q172" s="121">
        <f>SUM('Statistics NZ'!Q$172,$N$14/5*(Q$9-Q$10)*1000)*'Economic Forecasts'!S$9*1000000/SUM('Statistics NZ'!Q$32:Q$107,'Statistics NZ'!Q$125:Q$200,SUM($E$13:$Q$14)*(Q$9-Q$10)*1000)</f>
        <v>28893.82985820065</v>
      </c>
      <c r="R172" s="205">
        <f>SUM('Statistics NZ'!R$172,$N$14/5*(R$9-R$10)*1000)*'Economic Forecasts'!T$9*1000000/SUM('Statistics NZ'!R$32:R$107,'Statistics NZ'!R$125:R$200,SUM($E$13:$Q$14)*(R$9-R$10)*1000)</f>
        <v>29353.476142494339</v>
      </c>
      <c r="S172" s="205">
        <f>SUM('Statistics NZ'!S$172,$N$14/5*(S$9-S$10)*1000)*'Economic Forecasts'!U$9*1000000/SUM('Statistics NZ'!S$32:S$107,'Statistics NZ'!S$125:S$200,SUM($E$13:$Q$14)*(S$9-S$10)*1000)</f>
        <v>30118.325321917713</v>
      </c>
      <c r="T172" s="205">
        <f>SUM('Statistics NZ'!T$172,$N$14/5*(T$9-T$10)*1000)*'Economic Forecasts'!V$9*1000000/SUM('Statistics NZ'!T$32:T$107,'Statistics NZ'!T$125:T$200,SUM($E$13:$Q$14)*(T$9-T$10)*1000)</f>
        <v>31102.238443321905</v>
      </c>
      <c r="U172" s="205">
        <f>SUM('Statistics NZ'!U$172,$N$14/5*(U$9-U$10)*1000)*'Economic Forecasts'!W$9*1000000/SUM('Statistics NZ'!U$32:U$107,'Statistics NZ'!U$125:U$200,SUM($E$13:$Q$14)*(U$9-U$10)*1000)</f>
        <v>31466.951364534805</v>
      </c>
      <c r="V172" s="111">
        <f>SUM(U$172,'Statistics NZ'!V$172-'Statistics NZ'!U$172,$N$14/5*(V$9-V$10)*1000)</f>
        <v>31182.597780689346</v>
      </c>
      <c r="W172" s="111">
        <f>SUM(V$172,'Statistics NZ'!W$172-'Statistics NZ'!V$172,$N$14/5*(W$9-W$10)*1000)</f>
        <v>30583.788394824569</v>
      </c>
      <c r="X172" s="111">
        <f>SUM(W$172,'Statistics NZ'!X$172-'Statistics NZ'!W$172,$N$14/5*(X$9-X$10)*1000)</f>
        <v>30240.523206940474</v>
      </c>
      <c r="Y172" s="111">
        <f>SUM(X$172,'Statistics NZ'!Y$172-'Statistics NZ'!X$172,$N$14/5*(Y$9-Y$10)*1000)</f>
        <v>30332.80221703706</v>
      </c>
      <c r="Z172" s="111">
        <f>SUM(Y$172,'Statistics NZ'!Z$172-'Statistics NZ'!Y$172,$N$14/5*(Z$9-Z$10)*1000)</f>
        <v>30970.625425114329</v>
      </c>
      <c r="AA172" s="111">
        <f>SUM(Z$172,'Statistics NZ'!AA$172-'Statistics NZ'!Z$172,$N$14/5*(AA$9-AA$10)*1000)</f>
        <v>31683.99283117228</v>
      </c>
      <c r="AB172" s="111">
        <f>SUM(AA$172,'Statistics NZ'!AB$172-'Statistics NZ'!AA$172,$N$14/5*(AB$9-AB$10)*1000)</f>
        <v>31782.904435210916</v>
      </c>
      <c r="AC172" s="111">
        <f>SUM(AB$172,'Statistics NZ'!AC$172-'Statistics NZ'!AB$172,$N$14/5*(AC$9-AC$10)*1000)</f>
        <v>32437.360237230234</v>
      </c>
      <c r="AD172" s="111">
        <f>SUM(AC$172,'Statistics NZ'!AD$172-'Statistics NZ'!AC$172,$N$14/5*(AD$9-AD$10)*1000)</f>
        <v>32477.360237230234</v>
      </c>
      <c r="AE172" s="111">
        <f>SUM(AD$172,'Statistics NZ'!AE$172-'Statistics NZ'!AD$172,$N$14/5*(AE$9-AE$10)*1000)</f>
        <v>31587.360237230234</v>
      </c>
      <c r="AF172" s="111">
        <f>SUM(AE$172,'Statistics NZ'!AF$172-'Statistics NZ'!AE$172,$N$14/5*(AF$9-AF$10)*1000)</f>
        <v>30407.360237230234</v>
      </c>
      <c r="AG172" s="111">
        <f>SUM(AF$172,'Statistics NZ'!AG$172-'Statistics NZ'!AF$172,$N$14/5*(AG$9-AG$10)*1000)</f>
        <v>29517.360237230234</v>
      </c>
      <c r="AH172" s="111">
        <f>SUM(AG$172,'Statistics NZ'!AH$172-'Statistics NZ'!AG$172,$N$14/5*(AH$9-AH$10)*1000)</f>
        <v>29007.360237230234</v>
      </c>
      <c r="AI172" s="111">
        <f>SUM(AH$172,'Statistics NZ'!AI$172-'Statistics NZ'!AH$172,$N$14/5*(AI$9-AI$10)*1000)</f>
        <v>29197.360237230234</v>
      </c>
      <c r="AJ172" s="111">
        <f>SUM(AI$172,'Statistics NZ'!AJ$172-'Statistics NZ'!AI$172,$N$14/5*(AJ$9-AJ$10)*1000)</f>
        <v>28907.360237230234</v>
      </c>
      <c r="AK172" s="111">
        <f>SUM(AJ$172,'Statistics NZ'!AK$172-'Statistics NZ'!AJ$172,$N$14/5*(AK$9-AK$10)*1000)</f>
        <v>29977.360237230234</v>
      </c>
      <c r="AL172" s="111">
        <f>SUM(AK$172,'Statistics NZ'!AL$172-'Statistics NZ'!AK$172,$N$14/5*(AL$9-AL$10)*1000)</f>
        <v>30727.360237230234</v>
      </c>
      <c r="AM172" s="111">
        <f>SUM(AL$172,'Statistics NZ'!AM$172-'Statistics NZ'!AL$172,$N$14/5*(AM$9-AM$10)*1000)</f>
        <v>31407.360237230234</v>
      </c>
      <c r="AN172" s="111">
        <f>SUM(AM$172,'Statistics NZ'!AN$172-'Statistics NZ'!AM$172,$N$14/5*(AN$9-AN$10)*1000)</f>
        <v>32207.360237230234</v>
      </c>
      <c r="AO172" s="111">
        <f>SUM(AN$172,'Statistics NZ'!AO$172-'Statistics NZ'!AN$172,$N$14/5*(AO$9-AO$10)*1000)</f>
        <v>33157.360237230234</v>
      </c>
      <c r="AP172" s="111">
        <f>SUM(AO$172,'Statistics NZ'!AP$172-'Statistics NZ'!AO$172,$N$14/5*(AP$9-AP$10)*1000)</f>
        <v>33697.360237230234</v>
      </c>
      <c r="AQ172" s="111">
        <f>SUM(AP$172,'Statistics NZ'!AQ$172-'Statistics NZ'!AP$172,$N$14/5*(AQ$9-AQ$10)*1000)</f>
        <v>34087.360237230234</v>
      </c>
      <c r="AR172" s="111">
        <f>SUM(AQ$172,'Statistics NZ'!AR$172-'Statistics NZ'!AQ$172,$N$14/5*(AR$9-AR$10)*1000)</f>
        <v>35037.360237230234</v>
      </c>
      <c r="AS172" s="111">
        <f>SUM(AR$172,'Statistics NZ'!AS$172-'Statistics NZ'!AR$172,$N$14/5*(AS$9-AS$10)*1000)</f>
        <v>36767.360237230234</v>
      </c>
      <c r="AT172" s="111">
        <f>SUM(AS$172,'Statistics NZ'!AT$172-'Statistics NZ'!AS$172,$N$14/5*(AT$9-AT$10)*1000)</f>
        <v>38077.360237230234</v>
      </c>
      <c r="AU172" s="111">
        <f>SUM(AT$172,'Statistics NZ'!AU$172-'Statistics NZ'!AT$172,$N$14/5*(AU$9-AU$10)*1000)</f>
        <v>39087.360237230234</v>
      </c>
      <c r="AV172" s="111">
        <f>SUM(AU$172,'Statistics NZ'!AV$172-'Statistics NZ'!AU$172,$N$14/5*(AV$9-AV$10)*1000)</f>
        <v>40947.360237230234</v>
      </c>
      <c r="AW172" s="111">
        <f>SUM(AV$172,'Statistics NZ'!AW$172-'Statistics NZ'!AV$172,$N$14/5*(AW$9-AW$10)*1000)</f>
        <v>41747.360237230234</v>
      </c>
      <c r="AX172" s="111">
        <f>SUM(AW$172,'Statistics NZ'!AX$172-'Statistics NZ'!AW$172,$N$14/5*(AX$9-AX$10)*1000)</f>
        <v>41917.360237230234</v>
      </c>
      <c r="AY172" s="111">
        <f>SUM(AX$172,'Statistics NZ'!AY$172-'Statistics NZ'!AX$172,$N$14/5*(AY$9-AY$10)*1000)</f>
        <v>41577.360237230234</v>
      </c>
      <c r="AZ172" s="111">
        <f>SUM(AY$172,'Statistics NZ'!AZ$172-'Statistics NZ'!AY$172,$N$14/5*(AZ$9-AZ$10)*1000)</f>
        <v>40397.360237230234</v>
      </c>
      <c r="BA172" s="111">
        <f>SUM(AZ$172,'Statistics NZ'!BA$172-'Statistics NZ'!AZ$172,$N$14/5*(BA$9-BA$10)*1000)</f>
        <v>40357.360237230234</v>
      </c>
      <c r="BB172" s="111">
        <f>SUM(BA$172,'Statistics NZ'!BB$172-'Statistics NZ'!BA$172,$N$14/5*(BB$9-BB$10)*1000)</f>
        <v>40187.360237230234</v>
      </c>
      <c r="BC172" s="111">
        <f>SUM(BB$172,'Statistics NZ'!BC$172-'Statistics NZ'!BB$172,$N$14/5*(BC$9-BC$10)*1000)</f>
        <v>38957.360237230234</v>
      </c>
      <c r="BD172" s="111">
        <f>SUM(BC$172,'Statistics NZ'!BD$172-'Statistics NZ'!BC$172,$N$14/5*(BD$9-BD$10)*1000)</f>
        <v>38867.360237230234</v>
      </c>
      <c r="BE172" s="111">
        <f>SUM(BD$172,'Statistics NZ'!BE$172-'Statistics NZ'!BD$172,$N$14/5*(BE$9-BE$10)*1000)</f>
        <v>38027.360237230234</v>
      </c>
      <c r="BF172" s="111">
        <f>SUM(BE$172,'Statistics NZ'!BF$172-'Statistics NZ'!BE$172,$N$14/5*(BF$9-BF$10)*1000)</f>
        <v>38757.360237230234</v>
      </c>
      <c r="BG172" s="111">
        <f>SUM(BF$172,'Statistics NZ'!BG$172-'Statistics NZ'!BF$172,$N$14/5*(BG$9-BG$10)*1000)</f>
        <v>38337.360237230234</v>
      </c>
      <c r="BH172" s="111">
        <f>SUM(BG$172,'Statistics NZ'!BH$172-'Statistics NZ'!BG$172,$N$14/5*(BH$9-BH$10)*1000)</f>
        <v>37097.360237230234</v>
      </c>
      <c r="BI172" s="111">
        <f>SUM(BH$172,'Statistics NZ'!BI$172-'Statistics NZ'!BH$172,$N$14/5*(BI$9-BI$10)*1000)</f>
        <v>37647.360237230234</v>
      </c>
      <c r="BJ172" s="111">
        <f>SUM(BI$172,'Statistics NZ'!BJ$172-'Statistics NZ'!BI$172,$N$14/5*(BJ$9-BJ$10)*1000)</f>
        <v>37927.360237230234</v>
      </c>
      <c r="BK172" s="111">
        <f>SUM(BJ$172,'Statistics NZ'!BK$172-'Statistics NZ'!BJ$172,$N$14/5*(BK$9-BK$10)*1000)</f>
        <v>38347.360237230234</v>
      </c>
      <c r="BL172" s="111">
        <f>SUM(BK$172,'Statistics NZ'!BL$172-'Statistics NZ'!BK$172,$N$14/5*(BL$9-BL$10)*1000)</f>
        <v>39357.360237230234</v>
      </c>
      <c r="BM172" s="195">
        <f>SUM(BL$172,'Statistics NZ'!BM$172-'Statistics NZ'!BL$172,$N$14/5*(BM$9-BM$10)*1000)</f>
        <v>41297.360237230234</v>
      </c>
      <c r="BN172" s="195">
        <f>SUM(BM$172,'Statistics NZ'!BN$172-'Statistics NZ'!BM$172,$N$14/5*(BN$9-BN$10)*1000)</f>
        <v>42357.360237230234</v>
      </c>
      <c r="BO172" s="195">
        <f>SUM(BN$172,'Statistics NZ'!BO$172-'Statistics NZ'!BN$172,$N$14/5*(BO$9-BO$10)*1000)</f>
        <v>42937.360237230234</v>
      </c>
      <c r="BP172" s="195">
        <f>SUM(BO$172,'Statistics NZ'!BP$172-'Statistics NZ'!BO$172,$N$14/5*(BP$9-BP$10)*1000)</f>
        <v>43437.360237230234</v>
      </c>
      <c r="BQ172" s="195">
        <f>SUM(BP$172,'Statistics NZ'!BQ$172-'Statistics NZ'!BP$172,$N$14/5*(BQ$9-BQ$10)*1000)</f>
        <v>43187.360237230234</v>
      </c>
    </row>
    <row r="173" spans="1:69">
      <c r="A173" s="105">
        <f>$A$80</f>
        <v>63</v>
      </c>
      <c r="B173" s="118">
        <f>'Statistics NZ'!B$173*'Economic Forecasts'!D$9*1000000/SUM('Statistics NZ'!B$32:B$107,'Statistics NZ'!B$125:B$200)</f>
        <v>16027.454434035528</v>
      </c>
      <c r="C173" s="118">
        <f>'Statistics NZ'!C$173*'Economic Forecasts'!E$9*1000000/SUM('Statistics NZ'!C$32:C$107,'Statistics NZ'!C$125:C$200)</f>
        <v>17971.858001056244</v>
      </c>
      <c r="D173" s="118">
        <f>'Statistics NZ'!D$173*'Economic Forecasts'!F$9*1000000/SUM('Statistics NZ'!D$32:D$107,'Statistics NZ'!D$125:D$200)</f>
        <v>18618.18083727677</v>
      </c>
      <c r="E173" s="118">
        <f>'Statistics NZ'!E$173*'Economic Forecasts'!G$9*1000000/SUM('Statistics NZ'!E$32:E$107,'Statistics NZ'!E$125:E$200)</f>
        <v>19460.645669615424</v>
      </c>
      <c r="F173" s="118">
        <f>'Statistics NZ'!F$173*'Economic Forecasts'!H$9*1000000/SUM('Statistics NZ'!F$32:F$107,'Statistics NZ'!F$125:F$200)</f>
        <v>23062.644189012146</v>
      </c>
      <c r="G173" s="118">
        <f>'Statistics NZ'!G$173*'Economic Forecasts'!I$9*1000000/SUM('Statistics NZ'!G$32:G$107,'Statistics NZ'!G$125:G$200)</f>
        <v>22976.90676770527</v>
      </c>
      <c r="H173" s="118">
        <f>'Statistics NZ'!H$173*'Economic Forecasts'!J$9*1000000/SUM('Statistics NZ'!H$32:H$107,'Statistics NZ'!H$125:H$200)</f>
        <v>22890.619724027136</v>
      </c>
      <c r="I173" s="118">
        <f>'Statistics NZ'!I$173*'Economic Forecasts'!K$9*1000000/SUM('Statistics NZ'!I$32:I$107,'Statistics NZ'!I$125:I$200)</f>
        <v>22899.938697708381</v>
      </c>
      <c r="J173" s="203">
        <f>'Statistics NZ'!J$173*'Economic Forecasts'!L$9*1000000/SUM('Statistics NZ'!J$32:J$107,'Statistics NZ'!J$125:J$200)</f>
        <v>23047.679541456971</v>
      </c>
      <c r="K173" s="203">
        <f>'Statistics NZ'!K$173*'Economic Forecasts'!M$9*1000000/SUM('Statistics NZ'!K$32:K$107,'Statistics NZ'!K$125:K$200)</f>
        <v>23374.419546750647</v>
      </c>
      <c r="L173" s="203">
        <f>'Statistics NZ'!L$173*'Economic Forecasts'!N$9*1000000/SUM('Statistics NZ'!L$32:L$107,'Statistics NZ'!L$125:L$200)</f>
        <v>23696.274267616784</v>
      </c>
      <c r="M173" s="203">
        <f>'Statistics NZ'!M$173*'Economic Forecasts'!O$9*1000000/SUM('Statistics NZ'!M$32:M$107,'Statistics NZ'!M$125:M$200)</f>
        <v>24517.589373700477</v>
      </c>
      <c r="N173" s="203">
        <f>'Statistics NZ'!N$173*'Economic Forecasts'!P$9*1000000/SUM('Statistics NZ'!N$32:N$107,'Statistics NZ'!N$125:N$200)</f>
        <v>25095.574135332263</v>
      </c>
      <c r="O173" s="203">
        <f>'Statistics NZ'!O$173*'Economic Forecasts'!Q$9*1000000/SUM('Statistics NZ'!O$32:O$107,'Statistics NZ'!O$125:O$200)</f>
        <v>25983.665437968994</v>
      </c>
      <c r="P173" s="203">
        <f>'Statistics NZ'!P$173*'Economic Forecasts'!R$9*1000000/SUM('Statistics NZ'!P$32:P$107,'Statistics NZ'!P$125:P$200)</f>
        <v>26894.561510220399</v>
      </c>
      <c r="Q173" s="121">
        <f>SUM('Statistics NZ'!Q$173,$N$14/5*(Q$9-Q$10)*1000)*'Economic Forecasts'!S$9*1000000/SUM('Statistics NZ'!Q$32:Q$107,'Statistics NZ'!Q$125:Q$200,SUM($E$13:$Q$14)*(Q$9-Q$10)*1000)</f>
        <v>27549.276313269638</v>
      </c>
      <c r="R173" s="205">
        <f>SUM('Statistics NZ'!R$173,$N$14/5*(R$9-R$10)*1000)*'Economic Forecasts'!T$9*1000000/SUM('Statistics NZ'!R$32:R$107,'Statistics NZ'!R$125:R$200,SUM($E$13:$Q$14)*(R$9-R$10)*1000)</f>
        <v>28750.480217073491</v>
      </c>
      <c r="S173" s="205">
        <f>SUM('Statistics NZ'!S$173,$N$14/5*(S$9-S$10)*1000)*'Economic Forecasts'!U$9*1000000/SUM('Statistics NZ'!S$32:S$107,'Statistics NZ'!S$125:S$200,SUM($E$13:$Q$14)*(S$9-S$10)*1000)</f>
        <v>29219.254785085966</v>
      </c>
      <c r="T173" s="205">
        <f>SUM('Statistics NZ'!T$173,$N$14/5*(T$9-T$10)*1000)*'Economic Forecasts'!V$9*1000000/SUM('Statistics NZ'!T$32:T$107,'Statistics NZ'!T$125:T$200,SUM($E$13:$Q$14)*(T$9-T$10)*1000)</f>
        <v>30025.396455727914</v>
      </c>
      <c r="U173" s="205">
        <f>SUM('Statistics NZ'!U$173,$N$14/5*(U$9-U$10)*1000)*'Economic Forecasts'!W$9*1000000/SUM('Statistics NZ'!U$32:U$107,'Statistics NZ'!U$125:U$200,SUM($E$13:$Q$14)*(U$9-U$10)*1000)</f>
        <v>31051.482106295396</v>
      </c>
      <c r="V173" s="111">
        <f>SUM(U$173,'Statistics NZ'!V$173-'Statistics NZ'!U$173,$N$14/5*(V$9-V$10)*1000)</f>
        <v>31397.128522449937</v>
      </c>
      <c r="W173" s="111">
        <f>SUM(V$173,'Statistics NZ'!W$173-'Statistics NZ'!V$173,$N$14/5*(W$9-W$10)*1000)</f>
        <v>31118.31913658516</v>
      </c>
      <c r="X173" s="111">
        <f>SUM(W$173,'Statistics NZ'!X$173-'Statistics NZ'!W$173,$N$14/5*(X$9-X$10)*1000)</f>
        <v>30515.053948701065</v>
      </c>
      <c r="Y173" s="111">
        <f>SUM(X$173,'Statistics NZ'!Y$173-'Statistics NZ'!X$173,$N$14/5*(Y$9-Y$10)*1000)</f>
        <v>30177.332958797651</v>
      </c>
      <c r="Z173" s="111">
        <f>SUM(Y$173,'Statistics NZ'!Z$173-'Statistics NZ'!Y$173,$N$14/5*(Z$9-Z$10)*1000)</f>
        <v>30265.15616687492</v>
      </c>
      <c r="AA173" s="111">
        <f>SUM(Z$173,'Statistics NZ'!AA$173-'Statistics NZ'!Z$173,$N$14/5*(AA$9-AA$10)*1000)</f>
        <v>30908.523572932871</v>
      </c>
      <c r="AB173" s="111">
        <f>SUM(AA$173,'Statistics NZ'!AB$173-'Statistics NZ'!AA$173,$N$14/5*(AB$9-AB$10)*1000)</f>
        <v>31607.435176971507</v>
      </c>
      <c r="AC173" s="111">
        <f>SUM(AB$173,'Statistics NZ'!AC$173-'Statistics NZ'!AB$173,$N$14/5*(AC$9-AC$10)*1000)</f>
        <v>31711.890978990825</v>
      </c>
      <c r="AD173" s="111">
        <f>SUM(AC$173,'Statistics NZ'!AD$173-'Statistics NZ'!AC$173,$N$14/5*(AD$9-AD$10)*1000)</f>
        <v>32361.890978990825</v>
      </c>
      <c r="AE173" s="111">
        <f>SUM(AD$173,'Statistics NZ'!AE$173-'Statistics NZ'!AD$173,$N$14/5*(AE$9-AE$10)*1000)</f>
        <v>32401.890978990825</v>
      </c>
      <c r="AF173" s="111">
        <f>SUM(AE$173,'Statistics NZ'!AF$173-'Statistics NZ'!AE$173,$N$14/5*(AF$9-AF$10)*1000)</f>
        <v>31521.890978990825</v>
      </c>
      <c r="AG173" s="111">
        <f>SUM(AF$173,'Statistics NZ'!AG$173-'Statistics NZ'!AF$173,$N$14/5*(AG$9-AG$10)*1000)</f>
        <v>30351.890978990825</v>
      </c>
      <c r="AH173" s="111">
        <f>SUM(AG$173,'Statistics NZ'!AH$173-'Statistics NZ'!AG$173,$N$14/5*(AH$9-AH$10)*1000)</f>
        <v>29461.890978990825</v>
      </c>
      <c r="AI173" s="111">
        <f>SUM(AH$173,'Statistics NZ'!AI$173-'Statistics NZ'!AH$173,$N$14/5*(AI$9-AI$10)*1000)</f>
        <v>28971.890978990825</v>
      </c>
      <c r="AJ173" s="111">
        <f>SUM(AI$173,'Statistics NZ'!AJ$173-'Statistics NZ'!AI$173,$N$14/5*(AJ$9-AJ$10)*1000)</f>
        <v>29161.890978990825</v>
      </c>
      <c r="AK173" s="111">
        <f>SUM(AJ$173,'Statistics NZ'!AK$173-'Statistics NZ'!AJ$173,$N$14/5*(AK$9-AK$10)*1000)</f>
        <v>28871.890978990825</v>
      </c>
      <c r="AL173" s="111">
        <f>SUM(AK$173,'Statistics NZ'!AL$173-'Statistics NZ'!AK$173,$N$14/5*(AL$9-AL$10)*1000)</f>
        <v>29931.890978990825</v>
      </c>
      <c r="AM173" s="111">
        <f>SUM(AL$173,'Statistics NZ'!AM$173-'Statistics NZ'!AL$173,$N$14/5*(AM$9-AM$10)*1000)</f>
        <v>30691.890978990825</v>
      </c>
      <c r="AN173" s="111">
        <f>SUM(AM$173,'Statistics NZ'!AN$173-'Statistics NZ'!AM$173,$N$14/5*(AN$9-AN$10)*1000)</f>
        <v>31361.890978990825</v>
      </c>
      <c r="AO173" s="111">
        <f>SUM(AN$173,'Statistics NZ'!AO$173-'Statistics NZ'!AN$173,$N$14/5*(AO$9-AO$10)*1000)</f>
        <v>32171.890978990825</v>
      </c>
      <c r="AP173" s="111">
        <f>SUM(AO$173,'Statistics NZ'!AP$173-'Statistics NZ'!AO$173,$N$14/5*(AP$9-AP$10)*1000)</f>
        <v>33121.890978990821</v>
      </c>
      <c r="AQ173" s="111">
        <f>SUM(AP$173,'Statistics NZ'!AQ$173-'Statistics NZ'!AP$173,$N$14/5*(AQ$9-AQ$10)*1000)</f>
        <v>33651.890978990821</v>
      </c>
      <c r="AR173" s="111">
        <f>SUM(AQ$173,'Statistics NZ'!AR$173-'Statistics NZ'!AQ$173,$N$14/5*(AR$9-AR$10)*1000)</f>
        <v>34051.890978990821</v>
      </c>
      <c r="AS173" s="111">
        <f>SUM(AR$173,'Statistics NZ'!AS$173-'Statistics NZ'!AR$173,$N$14/5*(AS$9-AS$10)*1000)</f>
        <v>35001.890978990821</v>
      </c>
      <c r="AT173" s="111">
        <f>SUM(AS$173,'Statistics NZ'!AT$173-'Statistics NZ'!AS$173,$N$14/5*(AT$9-AT$10)*1000)</f>
        <v>36721.890978990821</v>
      </c>
      <c r="AU173" s="111">
        <f>SUM(AT$173,'Statistics NZ'!AU$173-'Statistics NZ'!AT$173,$N$14/5*(AU$9-AU$10)*1000)</f>
        <v>38031.890978990821</v>
      </c>
      <c r="AV173" s="111">
        <f>SUM(AU$173,'Statistics NZ'!AV$173-'Statistics NZ'!AU$173,$N$14/5*(AV$9-AV$10)*1000)</f>
        <v>39041.890978990821</v>
      </c>
      <c r="AW173" s="111">
        <f>SUM(AV$173,'Statistics NZ'!AW$173-'Statistics NZ'!AV$173,$N$14/5*(AW$9-AW$10)*1000)</f>
        <v>40901.890978990821</v>
      </c>
      <c r="AX173" s="111">
        <f>SUM(AW$173,'Statistics NZ'!AX$173-'Statistics NZ'!AW$173,$N$14/5*(AX$9-AX$10)*1000)</f>
        <v>41701.890978990821</v>
      </c>
      <c r="AY173" s="111">
        <f>SUM(AX$173,'Statistics NZ'!AY$173-'Statistics NZ'!AX$173,$N$14/5*(AY$9-AY$10)*1000)</f>
        <v>41871.890978990821</v>
      </c>
      <c r="AZ173" s="111">
        <f>SUM(AY$173,'Statistics NZ'!AZ$173-'Statistics NZ'!AY$173,$N$14/5*(AZ$9-AZ$10)*1000)</f>
        <v>41531.890978990821</v>
      </c>
      <c r="BA173" s="111">
        <f>SUM(AZ$173,'Statistics NZ'!BA$173-'Statistics NZ'!AZ$173,$N$14/5*(BA$9-BA$10)*1000)</f>
        <v>40361.890978990821</v>
      </c>
      <c r="BB173" s="111">
        <f>SUM(BA$173,'Statistics NZ'!BB$173-'Statistics NZ'!BA$173,$N$14/5*(BB$9-BB$10)*1000)</f>
        <v>40321.890978990821</v>
      </c>
      <c r="BC173" s="111">
        <f>SUM(BB$173,'Statistics NZ'!BC$173-'Statistics NZ'!BB$173,$N$14/5*(BC$9-BC$10)*1000)</f>
        <v>40151.890978990821</v>
      </c>
      <c r="BD173" s="111">
        <f>SUM(BC$173,'Statistics NZ'!BD$173-'Statistics NZ'!BC$173,$N$14/5*(BD$9-BD$10)*1000)</f>
        <v>38941.890978990821</v>
      </c>
      <c r="BE173" s="111">
        <f>SUM(BD$173,'Statistics NZ'!BE$173-'Statistics NZ'!BD$173,$N$14/5*(BE$9-BE$10)*1000)</f>
        <v>38851.890978990821</v>
      </c>
      <c r="BF173" s="111">
        <f>SUM(BE$173,'Statistics NZ'!BF$173-'Statistics NZ'!BE$173,$N$14/5*(BF$9-BF$10)*1000)</f>
        <v>38011.890978990821</v>
      </c>
      <c r="BG173" s="111">
        <f>SUM(BF$173,'Statistics NZ'!BG$173-'Statistics NZ'!BF$173,$N$14/5*(BG$9-BG$10)*1000)</f>
        <v>38741.890978990821</v>
      </c>
      <c r="BH173" s="111">
        <f>SUM(BG$173,'Statistics NZ'!BH$173-'Statistics NZ'!BG$173,$N$14/5*(BH$9-BH$10)*1000)</f>
        <v>38331.890978990821</v>
      </c>
      <c r="BI173" s="111">
        <f>SUM(BH$173,'Statistics NZ'!BI$173-'Statistics NZ'!BH$173,$N$14/5*(BI$9-BI$10)*1000)</f>
        <v>37091.890978990821</v>
      </c>
      <c r="BJ173" s="111">
        <f>SUM(BI$173,'Statistics NZ'!BJ$173-'Statistics NZ'!BI$173,$N$14/5*(BJ$9-BJ$10)*1000)</f>
        <v>37651.890978990821</v>
      </c>
      <c r="BK173" s="111">
        <f>SUM(BJ$173,'Statistics NZ'!BK$173-'Statistics NZ'!BJ$173,$N$14/5*(BK$9-BK$10)*1000)</f>
        <v>37921.890978990821</v>
      </c>
      <c r="BL173" s="111">
        <f>SUM(BK$173,'Statistics NZ'!BL$173-'Statistics NZ'!BK$173,$N$14/5*(BL$9-BL$10)*1000)</f>
        <v>38351.890978990821</v>
      </c>
      <c r="BM173" s="195">
        <f>SUM(BL$173,'Statistics NZ'!BM$173-'Statistics NZ'!BL$173,$N$14/5*(BM$9-BM$10)*1000)</f>
        <v>39351.890978990821</v>
      </c>
      <c r="BN173" s="195">
        <f>SUM(BM$173,'Statistics NZ'!BN$173-'Statistics NZ'!BM$173,$N$14/5*(BN$9-BN$10)*1000)</f>
        <v>41291.890978990821</v>
      </c>
      <c r="BO173" s="195">
        <f>SUM(BN$173,'Statistics NZ'!BO$173-'Statistics NZ'!BN$173,$N$14/5*(BO$9-BO$10)*1000)</f>
        <v>42351.890978990821</v>
      </c>
      <c r="BP173" s="195">
        <f>SUM(BO$173,'Statistics NZ'!BP$173-'Statistics NZ'!BO$173,$N$14/5*(BP$9-BP$10)*1000)</f>
        <v>42931.890978990821</v>
      </c>
      <c r="BQ173" s="195">
        <f>SUM(BP$173,'Statistics NZ'!BQ$173-'Statistics NZ'!BP$173,$N$14/5*(BQ$9-BQ$10)*1000)</f>
        <v>43431.890978990821</v>
      </c>
    </row>
    <row r="174" spans="1:69">
      <c r="A174" s="105">
        <f>$A$81</f>
        <v>64</v>
      </c>
      <c r="B174" s="118">
        <f>'Statistics NZ'!B$174*'Economic Forecasts'!D$9*1000000/SUM('Statistics NZ'!B$32:B$107,'Statistics NZ'!B$125:B$200)</f>
        <v>17662.707928841857</v>
      </c>
      <c r="C174" s="118">
        <f>'Statistics NZ'!C$174*'Economic Forecasts'!E$9*1000000/SUM('Statistics NZ'!C$32:C$107,'Statistics NZ'!C$125:C$200)</f>
        <v>15881.877805650911</v>
      </c>
      <c r="D174" s="118">
        <f>'Statistics NZ'!D$174*'Economic Forecasts'!F$9*1000000/SUM('Statistics NZ'!D$32:D$107,'Statistics NZ'!D$125:D$200)</f>
        <v>17819.836396927687</v>
      </c>
      <c r="E174" s="118">
        <f>'Statistics NZ'!E$174*'Economic Forecasts'!G$9*1000000/SUM('Statistics NZ'!E$32:E$107,'Statistics NZ'!E$125:E$200)</f>
        <v>18456.098170475358</v>
      </c>
      <c r="F174" s="118">
        <f>'Statistics NZ'!F$174*'Economic Forecasts'!H$9*1000000/SUM('Statistics NZ'!F$32:F$107,'Statistics NZ'!F$125:F$200)</f>
        <v>19378.138026393379</v>
      </c>
      <c r="G174" s="118">
        <f>'Statistics NZ'!G$174*'Economic Forecasts'!I$9*1000000/SUM('Statistics NZ'!G$32:G$107,'Statistics NZ'!G$125:G$200)</f>
        <v>22937.495263815552</v>
      </c>
      <c r="H174" s="118">
        <f>'Statistics NZ'!H$174*'Economic Forecasts'!J$9*1000000/SUM('Statistics NZ'!H$32:H$107,'Statistics NZ'!H$125:H$200)</f>
        <v>22841.371402762015</v>
      </c>
      <c r="I174" s="118">
        <f>'Statistics NZ'!I$174*'Economic Forecasts'!K$9*1000000/SUM('Statistics NZ'!I$32:I$107,'Statistics NZ'!I$125:I$200)</f>
        <v>22772.006079285424</v>
      </c>
      <c r="J174" s="203">
        <f>'Statistics NZ'!J$174*'Economic Forecasts'!L$9*1000000/SUM('Statistics NZ'!J$32:J$107,'Statistics NZ'!J$125:J$200)</f>
        <v>22772.483367827637</v>
      </c>
      <c r="K174" s="203">
        <f>'Statistics NZ'!K$174*'Economic Forecasts'!M$9*1000000/SUM('Statistics NZ'!K$32:K$107,'Statistics NZ'!K$125:K$200)</f>
        <v>22942.105776234872</v>
      </c>
      <c r="L174" s="203">
        <f>'Statistics NZ'!L$174*'Economic Forecasts'!N$9*1000000/SUM('Statistics NZ'!L$32:L$107,'Statistics NZ'!L$125:L$200)</f>
        <v>23410.658326735283</v>
      </c>
      <c r="M174" s="203">
        <f>'Statistics NZ'!M$174*'Economic Forecasts'!O$9*1000000/SUM('Statistics NZ'!M$32:M$107,'Statistics NZ'!M$125:M$200)</f>
        <v>23680.307293843289</v>
      </c>
      <c r="N174" s="203">
        <f>'Statistics NZ'!N$174*'Economic Forecasts'!P$9*1000000/SUM('Statistics NZ'!N$32:N$107,'Statistics NZ'!N$125:N$200)</f>
        <v>24483.727656216808</v>
      </c>
      <c r="O174" s="203">
        <f>'Statistics NZ'!O$174*'Economic Forecasts'!Q$9*1000000/SUM('Statistics NZ'!O$32:O$107,'Statistics NZ'!O$125:O$200)</f>
        <v>25105.372151231721</v>
      </c>
      <c r="P174" s="203">
        <f>'Statistics NZ'!P$174*'Economic Forecasts'!R$9*1000000/SUM('Statistics NZ'!P$32:P$107,'Statistics NZ'!P$125:P$200)</f>
        <v>26154.072481855303</v>
      </c>
      <c r="Q174" s="121">
        <f>SUM('Statistics NZ'!Q$174,$N$14/5*(Q$9-Q$10)*1000)*'Economic Forecasts'!S$9*1000000/SUM('Statistics NZ'!Q$32:Q$107,'Statistics NZ'!Q$125:Q$200,SUM($E$13:$Q$14)*(Q$9-Q$10)*1000)</f>
        <v>26758.362463310223</v>
      </c>
      <c r="R174" s="205">
        <f>SUM('Statistics NZ'!R$174,$N$14/5*(R$9-R$10)*1000)*'Economic Forecasts'!T$9*1000000/SUM('Statistics NZ'!R$32:R$107,'Statistics NZ'!R$125:R$200,SUM($E$13:$Q$14)*(R$9-R$10)*1000)</f>
        <v>27396.210679652897</v>
      </c>
      <c r="S174" s="205">
        <f>SUM('Statistics NZ'!S$174,$N$14/5*(S$9-S$10)*1000)*'Economic Forecasts'!U$9*1000000/SUM('Statistics NZ'!S$32:S$107,'Statistics NZ'!S$125:S$200,SUM($E$13:$Q$14)*(S$9-S$10)*1000)</f>
        <v>28606.701232519281</v>
      </c>
      <c r="T174" s="205">
        <f>SUM('Statistics NZ'!T$174,$N$14/5*(T$9-T$10)*1000)*'Economic Forecasts'!V$9*1000000/SUM('Statistics NZ'!T$32:T$107,'Statistics NZ'!T$125:T$200,SUM($E$13:$Q$14)*(T$9-T$10)*1000)</f>
        <v>29116.502301061431</v>
      </c>
      <c r="U174" s="205">
        <f>SUM('Statistics NZ'!U$174,$N$14/5*(U$9-U$10)*1000)*'Economic Forecasts'!W$9*1000000/SUM('Statistics NZ'!U$32:U$107,'Statistics NZ'!U$125:U$200,SUM($E$13:$Q$14)*(U$9-U$10)*1000)</f>
        <v>29953.456209519798</v>
      </c>
      <c r="V174" s="111">
        <f>SUM(U$174,'Statistics NZ'!V$174-'Statistics NZ'!U$174,$N$14/5*(V$9-V$10)*1000)</f>
        <v>30969.102625674339</v>
      </c>
      <c r="W174" s="111">
        <f>SUM(V$174,'Statistics NZ'!W$174-'Statistics NZ'!V$174,$N$14/5*(W$9-W$10)*1000)</f>
        <v>31320.293239809562</v>
      </c>
      <c r="X174" s="111">
        <f>SUM(W$174,'Statistics NZ'!X$174-'Statistics NZ'!W$174,$N$14/5*(X$9-X$10)*1000)</f>
        <v>31037.028051925467</v>
      </c>
      <c r="Y174" s="111">
        <f>SUM(X$174,'Statistics NZ'!Y$174-'Statistics NZ'!X$174,$N$14/5*(Y$9-Y$10)*1000)</f>
        <v>30439.307062022053</v>
      </c>
      <c r="Z174" s="111">
        <f>SUM(Y$174,'Statistics NZ'!Z$174-'Statistics NZ'!Y$174,$N$14/5*(Z$9-Z$10)*1000)</f>
        <v>30097.130270099322</v>
      </c>
      <c r="AA174" s="111">
        <f>SUM(Z$174,'Statistics NZ'!AA$174-'Statistics NZ'!Z$174,$N$14/5*(AA$9-AA$10)*1000)</f>
        <v>30190.497676157273</v>
      </c>
      <c r="AB174" s="111">
        <f>SUM(AA$174,'Statistics NZ'!AB$174-'Statistics NZ'!AA$174,$N$14/5*(AB$9-AB$10)*1000)</f>
        <v>30829.409280195909</v>
      </c>
      <c r="AC174" s="111">
        <f>SUM(AB$174,'Statistics NZ'!AC$174-'Statistics NZ'!AB$174,$N$14/5*(AC$9-AC$10)*1000)</f>
        <v>31523.865082215227</v>
      </c>
      <c r="AD174" s="111">
        <f>SUM(AC$174,'Statistics NZ'!AD$174-'Statistics NZ'!AC$174,$N$14/5*(AD$9-AD$10)*1000)</f>
        <v>31623.865082215227</v>
      </c>
      <c r="AE174" s="111">
        <f>SUM(AD$174,'Statistics NZ'!AE$174-'Statistics NZ'!AD$174,$N$14/5*(AE$9-AE$10)*1000)</f>
        <v>32273.865082215227</v>
      </c>
      <c r="AF174" s="111">
        <f>SUM(AE$174,'Statistics NZ'!AF$174-'Statistics NZ'!AE$174,$N$14/5*(AF$9-AF$10)*1000)</f>
        <v>32313.865082215227</v>
      </c>
      <c r="AG174" s="111">
        <f>SUM(AF$174,'Statistics NZ'!AG$174-'Statistics NZ'!AF$174,$N$14/5*(AG$9-AG$10)*1000)</f>
        <v>31453.865082215227</v>
      </c>
      <c r="AH174" s="111">
        <f>SUM(AG$174,'Statistics NZ'!AH$174-'Statistics NZ'!AG$174,$N$14/5*(AH$9-AH$10)*1000)</f>
        <v>30293.865082215227</v>
      </c>
      <c r="AI174" s="111">
        <f>SUM(AH$174,'Statistics NZ'!AI$174-'Statistics NZ'!AH$174,$N$14/5*(AI$9-AI$10)*1000)</f>
        <v>29413.865082215227</v>
      </c>
      <c r="AJ174" s="111">
        <f>SUM(AI$174,'Statistics NZ'!AJ$174-'Statistics NZ'!AI$174,$N$14/5*(AJ$9-AJ$10)*1000)</f>
        <v>28923.865082215227</v>
      </c>
      <c r="AK174" s="111">
        <f>SUM(AJ$174,'Statistics NZ'!AK$174-'Statistics NZ'!AJ$174,$N$14/5*(AK$9-AK$10)*1000)</f>
        <v>29113.865082215227</v>
      </c>
      <c r="AL174" s="111">
        <f>SUM(AK$174,'Statistics NZ'!AL$174-'Statistics NZ'!AK$174,$N$14/5*(AL$9-AL$10)*1000)</f>
        <v>28833.865082215227</v>
      </c>
      <c r="AM174" s="111">
        <f>SUM(AL$174,'Statistics NZ'!AM$174-'Statistics NZ'!AL$174,$N$14/5*(AM$9-AM$10)*1000)</f>
        <v>29893.865082215227</v>
      </c>
      <c r="AN174" s="111">
        <f>SUM(AM$174,'Statistics NZ'!AN$174-'Statistics NZ'!AM$174,$N$14/5*(AN$9-AN$10)*1000)</f>
        <v>30643.865082215227</v>
      </c>
      <c r="AO174" s="111">
        <f>SUM(AN$174,'Statistics NZ'!AO$174-'Statistics NZ'!AN$174,$N$14/5*(AO$9-AO$10)*1000)</f>
        <v>31323.865082215227</v>
      </c>
      <c r="AP174" s="111">
        <f>SUM(AO$174,'Statistics NZ'!AP$174-'Statistics NZ'!AO$174,$N$14/5*(AP$9-AP$10)*1000)</f>
        <v>32123.865082215227</v>
      </c>
      <c r="AQ174" s="111">
        <f>SUM(AP$174,'Statistics NZ'!AQ$174-'Statistics NZ'!AP$174,$N$14/5*(AQ$9-AQ$10)*1000)</f>
        <v>33073.865082215227</v>
      </c>
      <c r="AR174" s="111">
        <f>SUM(AQ$174,'Statistics NZ'!AR$174-'Statistics NZ'!AQ$174,$N$14/5*(AR$9-AR$10)*1000)</f>
        <v>33603.865082215227</v>
      </c>
      <c r="AS174" s="111">
        <f>SUM(AR$174,'Statistics NZ'!AS$174-'Statistics NZ'!AR$174,$N$14/5*(AS$9-AS$10)*1000)</f>
        <v>34003.865082215227</v>
      </c>
      <c r="AT174" s="111">
        <f>SUM(AS$174,'Statistics NZ'!AT$174-'Statistics NZ'!AS$174,$N$14/5*(AT$9-AT$10)*1000)</f>
        <v>34953.865082215227</v>
      </c>
      <c r="AU174" s="111">
        <f>SUM(AT$174,'Statistics NZ'!AU$174-'Statistics NZ'!AT$174,$N$14/5*(AU$9-AU$10)*1000)</f>
        <v>36673.865082215227</v>
      </c>
      <c r="AV174" s="111">
        <f>SUM(AU$174,'Statistics NZ'!AV$174-'Statistics NZ'!AU$174,$N$14/5*(AV$9-AV$10)*1000)</f>
        <v>37983.865082215227</v>
      </c>
      <c r="AW174" s="111">
        <f>SUM(AV$174,'Statistics NZ'!AW$174-'Statistics NZ'!AV$174,$N$14/5*(AW$9-AW$10)*1000)</f>
        <v>38983.865082215227</v>
      </c>
      <c r="AX174" s="111">
        <f>SUM(AW$174,'Statistics NZ'!AX$174-'Statistics NZ'!AW$174,$N$14/5*(AX$9-AX$10)*1000)</f>
        <v>40843.865082215227</v>
      </c>
      <c r="AY174" s="111">
        <f>SUM(AX$174,'Statistics NZ'!AY$174-'Statistics NZ'!AX$174,$N$14/5*(AY$9-AY$10)*1000)</f>
        <v>41643.865082215227</v>
      </c>
      <c r="AZ174" s="111">
        <f>SUM(AY$174,'Statistics NZ'!AZ$174-'Statistics NZ'!AY$174,$N$14/5*(AZ$9-AZ$10)*1000)</f>
        <v>41813.865082215227</v>
      </c>
      <c r="BA174" s="111">
        <f>SUM(AZ$174,'Statistics NZ'!BA$174-'Statistics NZ'!AZ$174,$N$14/5*(BA$9-BA$10)*1000)</f>
        <v>41483.865082215227</v>
      </c>
      <c r="BB174" s="111">
        <f>SUM(BA$174,'Statistics NZ'!BB$174-'Statistics NZ'!BA$174,$N$14/5*(BB$9-BB$10)*1000)</f>
        <v>40323.865082215227</v>
      </c>
      <c r="BC174" s="111">
        <f>SUM(BB$174,'Statistics NZ'!BC$174-'Statistics NZ'!BB$174,$N$14/5*(BC$9-BC$10)*1000)</f>
        <v>40283.865082215227</v>
      </c>
      <c r="BD174" s="111">
        <f>SUM(BC$174,'Statistics NZ'!BD$174-'Statistics NZ'!BC$174,$N$14/5*(BD$9-BD$10)*1000)</f>
        <v>40113.865082215227</v>
      </c>
      <c r="BE174" s="111">
        <f>SUM(BD$174,'Statistics NZ'!BE$174-'Statistics NZ'!BD$174,$N$14/5*(BE$9-BE$10)*1000)</f>
        <v>38903.865082215227</v>
      </c>
      <c r="BF174" s="111">
        <f>SUM(BE$174,'Statistics NZ'!BF$174-'Statistics NZ'!BE$174,$N$14/5*(BF$9-BF$10)*1000)</f>
        <v>38823.865082215227</v>
      </c>
      <c r="BG174" s="111">
        <f>SUM(BF$174,'Statistics NZ'!BG$174-'Statistics NZ'!BF$174,$N$14/5*(BG$9-BG$10)*1000)</f>
        <v>37983.865082215227</v>
      </c>
      <c r="BH174" s="111">
        <f>SUM(BG$174,'Statistics NZ'!BH$174-'Statistics NZ'!BG$174,$N$14/5*(BH$9-BH$10)*1000)</f>
        <v>38713.865082215227</v>
      </c>
      <c r="BI174" s="111">
        <f>SUM(BH$174,'Statistics NZ'!BI$174-'Statistics NZ'!BH$174,$N$14/5*(BI$9-BI$10)*1000)</f>
        <v>38313.865082215227</v>
      </c>
      <c r="BJ174" s="111">
        <f>SUM(BI$174,'Statistics NZ'!BJ$174-'Statistics NZ'!BI$174,$N$14/5*(BJ$9-BJ$10)*1000)</f>
        <v>37073.865082215227</v>
      </c>
      <c r="BK174" s="111">
        <f>SUM(BJ$174,'Statistics NZ'!BK$174-'Statistics NZ'!BJ$174,$N$14/5*(BK$9-BK$10)*1000)</f>
        <v>37633.865082215227</v>
      </c>
      <c r="BL174" s="111">
        <f>SUM(BK$174,'Statistics NZ'!BL$174-'Statistics NZ'!BK$174,$N$14/5*(BL$9-BL$10)*1000)</f>
        <v>37913.865082215227</v>
      </c>
      <c r="BM174" s="195">
        <f>SUM(BL$174,'Statistics NZ'!BM$174-'Statistics NZ'!BL$174,$N$14/5*(BM$9-BM$10)*1000)</f>
        <v>38343.865082215227</v>
      </c>
      <c r="BN174" s="195">
        <f>SUM(BM$174,'Statistics NZ'!BN$174-'Statistics NZ'!BM$174,$N$14/5*(BN$9-BN$10)*1000)</f>
        <v>39343.865082215227</v>
      </c>
      <c r="BO174" s="195">
        <f>SUM(BN$174,'Statistics NZ'!BO$174-'Statistics NZ'!BN$174,$N$14/5*(BO$9-BO$10)*1000)</f>
        <v>41273.865082215227</v>
      </c>
      <c r="BP174" s="195">
        <f>SUM(BO$174,'Statistics NZ'!BP$174-'Statistics NZ'!BO$174,$N$14/5*(BP$9-BP$10)*1000)</f>
        <v>42343.865082215227</v>
      </c>
      <c r="BQ174" s="195">
        <f>SUM(BP$174,'Statistics NZ'!BQ$174-'Statistics NZ'!BP$174,$N$14/5*(BQ$9-BQ$10)*1000)</f>
        <v>42923.865082215227</v>
      </c>
    </row>
    <row r="175" spans="1:69">
      <c r="A175" s="105">
        <f>$A$82</f>
        <v>65</v>
      </c>
      <c r="B175" s="118">
        <f>'Statistics NZ'!B$175*'Economic Forecasts'!D$9*1000000/SUM('Statistics NZ'!B$32:B$107,'Statistics NZ'!B$125:B$200)</f>
        <v>17396.732962819144</v>
      </c>
      <c r="C175" s="118">
        <f>'Statistics NZ'!C$175*'Economic Forecasts'!E$9*1000000/SUM('Statistics NZ'!C$32:C$107,'Statistics NZ'!C$125:C$200)</f>
        <v>17528.23012939002</v>
      </c>
      <c r="D175" s="118">
        <f>'Statistics NZ'!D$175*'Economic Forecasts'!F$9*1000000/SUM('Statistics NZ'!D$32:D$107,'Statistics NZ'!D$125:D$200)</f>
        <v>15750.054514541174</v>
      </c>
      <c r="E175" s="118">
        <f>'Statistics NZ'!E$175*'Economic Forecasts'!G$9*1000000/SUM('Statistics NZ'!E$32:E$107,'Statistics NZ'!E$125:E$200)</f>
        <v>17658.369274099419</v>
      </c>
      <c r="F175" s="118">
        <f>'Statistics NZ'!F$175*'Economic Forecasts'!H$9*1000000/SUM('Statistics NZ'!F$32:F$107,'Statistics NZ'!F$125:F$200)</f>
        <v>18314.162984781538</v>
      </c>
      <c r="G175" s="118">
        <f>'Statistics NZ'!G$175*'Economic Forecasts'!I$9*1000000/SUM('Statistics NZ'!G$32:G$107,'Statistics NZ'!G$125:G$200)</f>
        <v>19301.784029989114</v>
      </c>
      <c r="H175" s="118">
        <f>'Statistics NZ'!H$175*'Economic Forecasts'!J$9*1000000/SUM('Statistics NZ'!H$32:H$107,'Statistics NZ'!H$125:H$200)</f>
        <v>22851.221067015038</v>
      </c>
      <c r="I175" s="118">
        <f>'Statistics NZ'!I$175*'Economic Forecasts'!K$9*1000000/SUM('Statistics NZ'!I$32:I$107,'Statistics NZ'!I$125:I$200)</f>
        <v>22703.119284749995</v>
      </c>
      <c r="J175" s="203">
        <f>'Statistics NZ'!J$175*'Economic Forecasts'!L$9*1000000/SUM('Statistics NZ'!J$32:J$107,'Statistics NZ'!J$125:J$200)</f>
        <v>22654.542150557922</v>
      </c>
      <c r="K175" s="203">
        <f>'Statistics NZ'!K$175*'Economic Forecasts'!M$9*1000000/SUM('Statistics NZ'!K$32:K$107,'Statistics NZ'!K$125:K$200)</f>
        <v>22686.647639111914</v>
      </c>
      <c r="L175" s="203">
        <f>'Statistics NZ'!L$175*'Economic Forecasts'!N$9*1000000/SUM('Statistics NZ'!L$32:L$107,'Statistics NZ'!L$125:L$200)</f>
        <v>22918.217049353389</v>
      </c>
      <c r="M175" s="203">
        <f>'Statistics NZ'!M$175*'Economic Forecasts'!O$9*1000000/SUM('Statistics NZ'!M$32:M$107,'Statistics NZ'!M$125:M$200)</f>
        <v>23345.394461900414</v>
      </c>
      <c r="N175" s="203">
        <f>'Statistics NZ'!N$175*'Economic Forecasts'!P$9*1000000/SUM('Statistics NZ'!N$32:N$107,'Statistics NZ'!N$125:N$200)</f>
        <v>23704.116819924533</v>
      </c>
      <c r="O175" s="203">
        <f>'Statistics NZ'!O$175*'Economic Forecasts'!Q$9*1000000/SUM('Statistics NZ'!O$32:O$107,'Statistics NZ'!O$125:O$200)</f>
        <v>24384.974286829238</v>
      </c>
      <c r="P175" s="203">
        <f>'Statistics NZ'!P$175*'Economic Forecasts'!R$9*1000000/SUM('Statistics NZ'!P$32:P$107,'Statistics NZ'!P$125:P$200)</f>
        <v>25314.851583041524</v>
      </c>
      <c r="Q175" s="121">
        <f>SUM('Statistics NZ'!Q$175,$O$14/5*(Q$9-Q$10)*1000)*'Economic Forecasts'!S$9*1000000/SUM('Statistics NZ'!Q$32:Q$107,'Statistics NZ'!Q$125:Q$200,SUM($E$13:$Q$14)*(Q$9-Q$10)*1000)</f>
        <v>26008.576856511725</v>
      </c>
      <c r="R175" s="205">
        <f>SUM('Statistics NZ'!R$175,$O$14/5*(R$9-R$10)*1000)*'Economic Forecasts'!T$9*1000000/SUM('Statistics NZ'!R$32:R$107,'Statistics NZ'!R$125:R$200,SUM($E$13:$Q$14)*(R$9-R$10)*1000)</f>
        <v>26587.708034506992</v>
      </c>
      <c r="S175" s="205">
        <f>SUM('Statistics NZ'!S$175,$O$14/5*(S$9-S$10)*1000)*'Economic Forecasts'!U$9*1000000/SUM('Statistics NZ'!S$32:S$107,'Statistics NZ'!S$125:S$200,SUM($E$13:$Q$14)*(S$9-S$10)*1000)</f>
        <v>27231.730944251776</v>
      </c>
      <c r="T175" s="205">
        <f>SUM('Statistics NZ'!T$175,$O$14/5*(T$9-T$10)*1000)*'Economic Forecasts'!V$9*1000000/SUM('Statistics NZ'!T$32:T$107,'Statistics NZ'!T$125:T$200,SUM($E$13:$Q$14)*(T$9-T$10)*1000)</f>
        <v>28466.025622603254</v>
      </c>
      <c r="U175" s="205">
        <f>SUM('Statistics NZ'!U$175,$O$14/5*(U$9-U$10)*1000)*'Economic Forecasts'!W$9*1000000/SUM('Statistics NZ'!U$32:U$107,'Statistics NZ'!U$125:U$200,SUM($E$13:$Q$14)*(U$9-U$10)*1000)</f>
        <v>29008.595208760729</v>
      </c>
      <c r="V175" s="111">
        <f>SUM(U$175,'Statistics NZ'!V$175-'Statistics NZ'!U$175,$O$14/5*(V$9-V$10)*1000)</f>
        <v>29820.761782653775</v>
      </c>
      <c r="W175" s="111">
        <f>SUM(V$175,'Statistics NZ'!W$175-'Statistics NZ'!V$175,$O$14/5*(W$9-W$10)*1000)</f>
        <v>30810.157534810191</v>
      </c>
      <c r="X175" s="111">
        <f>SUM(W$175,'Statistics NZ'!X$175-'Statistics NZ'!W$175,$O$14/5*(X$9-X$10)*1000)</f>
        <v>31156.782465229975</v>
      </c>
      <c r="Y175" s="111">
        <f>SUM(X$175,'Statistics NZ'!Y$175-'Statistics NZ'!X$175,$O$14/5*(Y$9-Y$10)*1000)</f>
        <v>30860.636573913129</v>
      </c>
      <c r="Z175" s="111">
        <f>SUM(Y$175,'Statistics NZ'!Z$175-'Statistics NZ'!Y$175,$O$14/5*(Z$9-Z$10)*1000)</f>
        <v>30271.719860859652</v>
      </c>
      <c r="AA175" s="111">
        <f>SUM(Z$175,'Statistics NZ'!AA$175-'Statistics NZ'!Z$175,$O$14/5*(AA$9-AA$10)*1000)</f>
        <v>29930.032326069544</v>
      </c>
      <c r="AB175" s="111">
        <f>SUM(AA$175,'Statistics NZ'!AB$175-'Statistics NZ'!AA$175,$O$14/5*(AB$9-AB$10)*1000)</f>
        <v>30015.573969542806</v>
      </c>
      <c r="AC175" s="111">
        <f>SUM(AB$175,'Statistics NZ'!AC$175-'Statistics NZ'!AB$175,$O$14/5*(AC$9-AC$10)*1000)</f>
        <v>30648.344791279436</v>
      </c>
      <c r="AD175" s="111">
        <f>SUM(AC$175,'Statistics NZ'!AD$175-'Statistics NZ'!AC$175,$O$14/5*(AD$9-AD$10)*1000)</f>
        <v>31338.344791279436</v>
      </c>
      <c r="AE175" s="111">
        <f>SUM(AD$175,'Statistics NZ'!AE$175-'Statistics NZ'!AD$175,$O$14/5*(AE$9-AE$10)*1000)</f>
        <v>31438.344791279436</v>
      </c>
      <c r="AF175" s="111">
        <f>SUM(AE$175,'Statistics NZ'!AF$175-'Statistics NZ'!AE$175,$O$14/5*(AF$9-AF$10)*1000)</f>
        <v>32088.344791279436</v>
      </c>
      <c r="AG175" s="111">
        <f>SUM(AF$175,'Statistics NZ'!AG$175-'Statistics NZ'!AF$175,$O$14/5*(AG$9-AG$10)*1000)</f>
        <v>32138.344791279436</v>
      </c>
      <c r="AH175" s="111">
        <f>SUM(AG$175,'Statistics NZ'!AH$175-'Statistics NZ'!AG$175,$O$14/5*(AH$9-AH$10)*1000)</f>
        <v>31278.344791279436</v>
      </c>
      <c r="AI175" s="111">
        <f>SUM(AH$175,'Statistics NZ'!AI$175-'Statistics NZ'!AH$175,$O$14/5*(AI$9-AI$10)*1000)</f>
        <v>30128.344791279436</v>
      </c>
      <c r="AJ175" s="111">
        <f>SUM(AI$175,'Statistics NZ'!AJ$175-'Statistics NZ'!AI$175,$O$14/5*(AJ$9-AJ$10)*1000)</f>
        <v>29258.344791279436</v>
      </c>
      <c r="AK175" s="111">
        <f>SUM(AJ$175,'Statistics NZ'!AK$175-'Statistics NZ'!AJ$175,$O$14/5*(AK$9-AK$10)*1000)</f>
        <v>28778.344791279436</v>
      </c>
      <c r="AL175" s="111">
        <f>SUM(AK$175,'Statistics NZ'!AL$175-'Statistics NZ'!AK$175,$O$14/5*(AL$9-AL$10)*1000)</f>
        <v>28968.344791279436</v>
      </c>
      <c r="AM175" s="111">
        <f>SUM(AL$175,'Statistics NZ'!AM$175-'Statistics NZ'!AL$175,$O$14/5*(AM$9-AM$10)*1000)</f>
        <v>28698.344791279436</v>
      </c>
      <c r="AN175" s="111">
        <f>SUM(AM$175,'Statistics NZ'!AN$175-'Statistics NZ'!AM$175,$O$14/5*(AN$9-AN$10)*1000)</f>
        <v>29748.344791279436</v>
      </c>
      <c r="AO175" s="111">
        <f>SUM(AN$175,'Statistics NZ'!AO$175-'Statistics NZ'!AN$175,$O$14/5*(AO$9-AO$10)*1000)</f>
        <v>30498.344791279436</v>
      </c>
      <c r="AP175" s="111">
        <f>SUM(AO$175,'Statistics NZ'!AP$175-'Statistics NZ'!AO$175,$O$14/5*(AP$9-AP$10)*1000)</f>
        <v>31178.344791279436</v>
      </c>
      <c r="AQ175" s="111">
        <f>SUM(AP$175,'Statistics NZ'!AQ$175-'Statistics NZ'!AP$175,$O$14/5*(AQ$9-AQ$10)*1000)</f>
        <v>31978.344791279436</v>
      </c>
      <c r="AR175" s="111">
        <f>SUM(AQ$175,'Statistics NZ'!AR$175-'Statistics NZ'!AQ$175,$O$14/5*(AR$9-AR$10)*1000)</f>
        <v>32928.344791279436</v>
      </c>
      <c r="AS175" s="111">
        <f>SUM(AR$175,'Statistics NZ'!AS$175-'Statistics NZ'!AR$175,$O$14/5*(AS$9-AS$10)*1000)</f>
        <v>33468.344791279436</v>
      </c>
      <c r="AT175" s="111">
        <f>SUM(AS$175,'Statistics NZ'!AT$175-'Statistics NZ'!AS$175,$O$14/5*(AT$9-AT$10)*1000)</f>
        <v>33858.344791279436</v>
      </c>
      <c r="AU175" s="111">
        <f>SUM(AT$175,'Statistics NZ'!AU$175-'Statistics NZ'!AT$175,$O$14/5*(AU$9-AU$10)*1000)</f>
        <v>34808.344791279436</v>
      </c>
      <c r="AV175" s="111">
        <f>SUM(AU$175,'Statistics NZ'!AV$175-'Statistics NZ'!AU$175,$O$14/5*(AV$9-AV$10)*1000)</f>
        <v>36528.344791279436</v>
      </c>
      <c r="AW175" s="111">
        <f>SUM(AV$175,'Statistics NZ'!AW$175-'Statistics NZ'!AV$175,$O$14/5*(AW$9-AW$10)*1000)</f>
        <v>37838.344791279436</v>
      </c>
      <c r="AX175" s="111">
        <f>SUM(AW$175,'Statistics NZ'!AX$175-'Statistics NZ'!AW$175,$O$14/5*(AX$9-AX$10)*1000)</f>
        <v>38828.344791279436</v>
      </c>
      <c r="AY175" s="111">
        <f>SUM(AX$175,'Statistics NZ'!AY$175-'Statistics NZ'!AX$175,$O$14/5*(AY$9-AY$10)*1000)</f>
        <v>40688.344791279436</v>
      </c>
      <c r="AZ175" s="111">
        <f>SUM(AY$175,'Statistics NZ'!AZ$175-'Statistics NZ'!AY$175,$O$14/5*(AZ$9-AZ$10)*1000)</f>
        <v>41488.344791279436</v>
      </c>
      <c r="BA175" s="111">
        <f>SUM(AZ$175,'Statistics NZ'!BA$175-'Statistics NZ'!AZ$175,$O$14/5*(BA$9-BA$10)*1000)</f>
        <v>41668.344791279436</v>
      </c>
      <c r="BB175" s="111">
        <f>SUM(BA$175,'Statistics NZ'!BB$175-'Statistics NZ'!BA$175,$O$14/5*(BB$9-BB$10)*1000)</f>
        <v>41338.344791279436</v>
      </c>
      <c r="BC175" s="111">
        <f>SUM(BB$175,'Statistics NZ'!BC$175-'Statistics NZ'!BB$175,$O$14/5*(BC$9-BC$10)*1000)</f>
        <v>40178.344791279436</v>
      </c>
      <c r="BD175" s="111">
        <f>SUM(BC$175,'Statistics NZ'!BD$175-'Statistics NZ'!BC$175,$O$14/5*(BD$9-BD$10)*1000)</f>
        <v>40148.344791279436</v>
      </c>
      <c r="BE175" s="111">
        <f>SUM(BD$175,'Statistics NZ'!BE$175-'Statistics NZ'!BD$175,$O$14/5*(BE$9-BE$10)*1000)</f>
        <v>39988.344791279436</v>
      </c>
      <c r="BF175" s="111">
        <f>SUM(BE$175,'Statistics NZ'!BF$175-'Statistics NZ'!BE$175,$O$14/5*(BF$9-BF$10)*1000)</f>
        <v>38788.344791279436</v>
      </c>
      <c r="BG175" s="111">
        <f>SUM(BF$175,'Statistics NZ'!BG$175-'Statistics NZ'!BF$175,$O$14/5*(BG$9-BG$10)*1000)</f>
        <v>38698.344791279436</v>
      </c>
      <c r="BH175" s="111">
        <f>SUM(BG$175,'Statistics NZ'!BH$175-'Statistics NZ'!BG$175,$O$14/5*(BH$9-BH$10)*1000)</f>
        <v>37878.344791279436</v>
      </c>
      <c r="BI175" s="111">
        <f>SUM(BH$175,'Statistics NZ'!BI$175-'Statistics NZ'!BH$175,$O$14/5*(BI$9-BI$10)*1000)</f>
        <v>38608.344791279436</v>
      </c>
      <c r="BJ175" s="111">
        <f>SUM(BI$175,'Statistics NZ'!BJ$175-'Statistics NZ'!BI$175,$O$14/5*(BJ$9-BJ$10)*1000)</f>
        <v>38198.344791279436</v>
      </c>
      <c r="BK175" s="111">
        <f>SUM(BJ$175,'Statistics NZ'!BK$175-'Statistics NZ'!BJ$175,$O$14/5*(BK$9-BK$10)*1000)</f>
        <v>36978.344791279436</v>
      </c>
      <c r="BL175" s="111">
        <f>SUM(BK$175,'Statistics NZ'!BL$175-'Statistics NZ'!BK$175,$O$14/5*(BL$9-BL$10)*1000)</f>
        <v>37538.344791279436</v>
      </c>
      <c r="BM175" s="195">
        <f>SUM(BL$175,'Statistics NZ'!BM$175-'Statistics NZ'!BL$175,$O$14/5*(BM$9-BM$10)*1000)</f>
        <v>37818.344791279436</v>
      </c>
      <c r="BN175" s="195">
        <f>SUM(BM$175,'Statistics NZ'!BN$175-'Statistics NZ'!BM$175,$O$14/5*(BN$9-BN$10)*1000)</f>
        <v>38238.344791279436</v>
      </c>
      <c r="BO175" s="195">
        <f>SUM(BN$175,'Statistics NZ'!BO$175-'Statistics NZ'!BN$175,$O$14/5*(BO$9-BO$10)*1000)</f>
        <v>39248.344791279436</v>
      </c>
      <c r="BP175" s="195">
        <f>SUM(BO$175,'Statistics NZ'!BP$175-'Statistics NZ'!BO$175,$O$14/5*(BP$9-BP$10)*1000)</f>
        <v>41178.344791279436</v>
      </c>
      <c r="BQ175" s="195">
        <f>SUM(BP$175,'Statistics NZ'!BQ$175-'Statistics NZ'!BP$175,$O$14/5*(BQ$9-BQ$10)*1000)</f>
        <v>42238.344791279436</v>
      </c>
    </row>
    <row r="176" spans="1:69">
      <c r="A176" s="105">
        <f>$A$83</f>
        <v>66</v>
      </c>
      <c r="B176" s="118">
        <f>'Statistics NZ'!B$176*'Economic Forecasts'!D$9*1000000/SUM('Statistics NZ'!B$32:B$107,'Statistics NZ'!B$125:B$200)</f>
        <v>16037.305358703035</v>
      </c>
      <c r="C176" s="118">
        <f>'Statistics NZ'!C$176*'Economic Forecasts'!E$9*1000000/SUM('Statistics NZ'!C$32:C$107,'Statistics NZ'!C$125:C$200)</f>
        <v>17183.186229205177</v>
      </c>
      <c r="D176" s="118">
        <f>'Statistics NZ'!D$176*'Economic Forecasts'!F$9*1000000/SUM('Statistics NZ'!D$32:D$107,'Statistics NZ'!D$125:D$200)</f>
        <v>17327.031186835658</v>
      </c>
      <c r="E176" s="118">
        <f>'Statistics NZ'!E$176*'Economic Forecasts'!G$9*1000000/SUM('Statistics NZ'!E$32:E$107,'Statistics NZ'!E$125:E$200)</f>
        <v>15590.183246458108</v>
      </c>
      <c r="F176" s="118">
        <f>'Statistics NZ'!F$176*'Economic Forecasts'!H$9*1000000/SUM('Statistics NZ'!F$32:F$107,'Statistics NZ'!F$125:F$200)</f>
        <v>17526.033324328328</v>
      </c>
      <c r="G176" s="118">
        <f>'Statistics NZ'!G$176*'Economic Forecasts'!I$9*1000000/SUM('Statistics NZ'!G$32:G$107,'Statistics NZ'!G$125:G$200)</f>
        <v>18148.997541214881</v>
      </c>
      <c r="H176" s="118">
        <f>'Statistics NZ'!H$176*'Economic Forecasts'!J$9*1000000/SUM('Statistics NZ'!H$32:H$107,'Statistics NZ'!H$125:H$200)</f>
        <v>19098.498986613002</v>
      </c>
      <c r="I176" s="118">
        <f>'Statistics NZ'!I$176*'Economic Forecasts'!K$9*1000000/SUM('Statistics NZ'!I$32:I$107,'Statistics NZ'!I$125:I$200)</f>
        <v>22683.437343454156</v>
      </c>
      <c r="J176" s="203">
        <f>'Statistics NZ'!J$176*'Economic Forecasts'!L$9*1000000/SUM('Statistics NZ'!J$32:J$107,'Statistics NZ'!J$125:J$200)</f>
        <v>22457.973455108393</v>
      </c>
      <c r="K176" s="203">
        <f>'Statistics NZ'!K$176*'Economic Forecasts'!M$9*1000000/SUM('Statistics NZ'!K$32:K$107,'Statistics NZ'!K$125:K$200)</f>
        <v>22421.36418902269</v>
      </c>
      <c r="L176" s="203">
        <f>'Statistics NZ'!L$176*'Economic Forecasts'!N$9*1000000/SUM('Statistics NZ'!L$32:L$107,'Statistics NZ'!L$125:L$200)</f>
        <v>22603.054631828974</v>
      </c>
      <c r="M176" s="203">
        <f>'Statistics NZ'!M$176*'Economic Forecasts'!O$9*1000000/SUM('Statistics NZ'!M$32:M$107,'Statistics NZ'!M$125:M$200)</f>
        <v>22754.371817295345</v>
      </c>
      <c r="N176" s="203">
        <f>'Statistics NZ'!N$176*'Economic Forecasts'!P$9*1000000/SUM('Statistics NZ'!N$32:N$107,'Statistics NZ'!N$125:N$200)</f>
        <v>23210.692239992717</v>
      </c>
      <c r="O176" s="203">
        <f>'Statistics NZ'!O$176*'Economic Forecasts'!Q$9*1000000/SUM('Statistics NZ'!O$32:O$107,'Statistics NZ'!O$125:O$200)</f>
        <v>23565.891783467512</v>
      </c>
      <c r="P176" s="203">
        <f>'Statistics NZ'!P$176*'Economic Forecasts'!R$9*1000000/SUM('Statistics NZ'!P$32:P$107,'Statistics NZ'!P$125:P$200)</f>
        <v>24544.742993541819</v>
      </c>
      <c r="Q176" s="121">
        <f>SUM('Statistics NZ'!Q$176,$O$14/5*(Q$9-Q$10)*1000)*'Economic Forecasts'!S$9*1000000/SUM('Statistics NZ'!Q$32:Q$107,'Statistics NZ'!Q$125:Q$200,SUM($E$13:$Q$14)*(Q$9-Q$10)*1000)</f>
        <v>25138.571621556366</v>
      </c>
      <c r="R176" s="205">
        <f>SUM('Statistics NZ'!R$176,$O$14/5*(R$9-R$10)*1000)*'Economic Forecasts'!T$9*1000000/SUM('Statistics NZ'!R$32:R$107,'Statistics NZ'!R$125:R$200,SUM($E$13:$Q$14)*(R$9-R$10)*1000)</f>
        <v>25816.664064296725</v>
      </c>
      <c r="S176" s="205">
        <f>SUM('Statistics NZ'!S$176,$O$14/5*(S$9-S$10)*1000)*'Economic Forecasts'!U$9*1000000/SUM('Statistics NZ'!S$32:S$107,'Statistics NZ'!S$125:S$200,SUM($E$13:$Q$14)*(S$9-S$10)*1000)</f>
        <v>26391.939783474871</v>
      </c>
      <c r="T176" s="205">
        <f>SUM('Statistics NZ'!T$176,$O$14/5*(T$9-T$10)*1000)*'Economic Forecasts'!V$9*1000000/SUM('Statistics NZ'!T$32:T$107,'Statistics NZ'!T$125:T$200,SUM($E$13:$Q$14)*(T$9-T$10)*1000)</f>
        <v>27082.925822023819</v>
      </c>
      <c r="U176" s="205">
        <f>SUM('Statistics NZ'!U$176,$O$14/5*(U$9-U$10)*1000)*'Economic Forecasts'!W$9*1000000/SUM('Statistics NZ'!U$32:U$107,'Statistics NZ'!U$125:U$200,SUM($E$13:$Q$14)*(U$9-U$10)*1000)</f>
        <v>28345.822820616901</v>
      </c>
      <c r="V176" s="111">
        <f>SUM(U$176,'Statistics NZ'!V$176-'Statistics NZ'!U$176,$O$14/5*(V$9-V$10)*1000)</f>
        <v>28867.989394509947</v>
      </c>
      <c r="W176" s="111">
        <f>SUM(V$176,'Statistics NZ'!W$176-'Statistics NZ'!V$176,$O$14/5*(W$9-W$10)*1000)</f>
        <v>29677.385146666362</v>
      </c>
      <c r="X176" s="111">
        <f>SUM(W$176,'Statistics NZ'!X$176-'Statistics NZ'!W$176,$O$14/5*(X$9-X$10)*1000)</f>
        <v>30664.010077086146</v>
      </c>
      <c r="Y176" s="111">
        <f>SUM(X$176,'Statistics NZ'!Y$176-'Statistics NZ'!X$176,$O$14/5*(Y$9-Y$10)*1000)</f>
        <v>30997.8641857693</v>
      </c>
      <c r="Z176" s="111">
        <f>SUM(Y$176,'Statistics NZ'!Z$176-'Statistics NZ'!Y$176,$O$14/5*(Z$9-Z$10)*1000)</f>
        <v>30718.947472715823</v>
      </c>
      <c r="AA176" s="111">
        <f>SUM(Z$176,'Statistics NZ'!AA$176-'Statistics NZ'!Z$176,$O$14/5*(AA$9-AA$10)*1000)</f>
        <v>30127.259937925715</v>
      </c>
      <c r="AB176" s="111">
        <f>SUM(AA$176,'Statistics NZ'!AB$176-'Statistics NZ'!AA$176,$O$14/5*(AB$9-AB$10)*1000)</f>
        <v>29792.801581398977</v>
      </c>
      <c r="AC176" s="111">
        <f>SUM(AB$176,'Statistics NZ'!AC$176-'Statistics NZ'!AB$176,$O$14/5*(AC$9-AC$10)*1000)</f>
        <v>29875.572403135608</v>
      </c>
      <c r="AD176" s="111">
        <f>SUM(AC$176,'Statistics NZ'!AD$176-'Statistics NZ'!AC$176,$O$14/5*(AD$9-AD$10)*1000)</f>
        <v>30505.572403135608</v>
      </c>
      <c r="AE176" s="111">
        <f>SUM(AD$176,'Statistics NZ'!AE$176-'Statistics NZ'!AD$176,$O$14/5*(AE$9-AE$10)*1000)</f>
        <v>31195.572403135608</v>
      </c>
      <c r="AF176" s="111">
        <f>SUM(AE$176,'Statistics NZ'!AF$176-'Statistics NZ'!AE$176,$O$14/5*(AF$9-AF$10)*1000)</f>
        <v>31305.572403135608</v>
      </c>
      <c r="AG176" s="111">
        <f>SUM(AF$176,'Statistics NZ'!AG$176-'Statistics NZ'!AF$176,$O$14/5*(AG$9-AG$10)*1000)</f>
        <v>31955.572403135608</v>
      </c>
      <c r="AH176" s="111">
        <f>SUM(AG$176,'Statistics NZ'!AH$176-'Statistics NZ'!AG$176,$O$14/5*(AH$9-AH$10)*1000)</f>
        <v>32005.572403135608</v>
      </c>
      <c r="AI176" s="111">
        <f>SUM(AH$176,'Statistics NZ'!AI$176-'Statistics NZ'!AH$176,$O$14/5*(AI$9-AI$10)*1000)</f>
        <v>31155.572403135608</v>
      </c>
      <c r="AJ176" s="111">
        <f>SUM(AI$176,'Statistics NZ'!AJ$176-'Statistics NZ'!AI$176,$O$14/5*(AJ$9-AJ$10)*1000)</f>
        <v>30025.572403135608</v>
      </c>
      <c r="AK176" s="111">
        <f>SUM(AJ$176,'Statistics NZ'!AK$176-'Statistics NZ'!AJ$176,$O$14/5*(AK$9-AK$10)*1000)</f>
        <v>29155.572403135608</v>
      </c>
      <c r="AL176" s="111">
        <f>SUM(AK$176,'Statistics NZ'!AL$176-'Statistics NZ'!AK$176,$O$14/5*(AL$9-AL$10)*1000)</f>
        <v>28685.572403135608</v>
      </c>
      <c r="AM176" s="111">
        <f>SUM(AL$176,'Statistics NZ'!AM$176-'Statistics NZ'!AL$176,$O$14/5*(AM$9-AM$10)*1000)</f>
        <v>28885.572403135608</v>
      </c>
      <c r="AN176" s="111">
        <f>SUM(AM$176,'Statistics NZ'!AN$176-'Statistics NZ'!AM$176,$O$14/5*(AN$9-AN$10)*1000)</f>
        <v>28615.572403135608</v>
      </c>
      <c r="AO176" s="111">
        <f>SUM(AN$176,'Statistics NZ'!AO$176-'Statistics NZ'!AN$176,$O$14/5*(AO$9-AO$10)*1000)</f>
        <v>29665.572403135608</v>
      </c>
      <c r="AP176" s="111">
        <f>SUM(AO$176,'Statistics NZ'!AP$176-'Statistics NZ'!AO$176,$O$14/5*(AP$9-AP$10)*1000)</f>
        <v>30415.572403135608</v>
      </c>
      <c r="AQ176" s="111">
        <f>SUM(AP$176,'Statistics NZ'!AQ$176-'Statistics NZ'!AP$176,$O$14/5*(AQ$9-AQ$10)*1000)</f>
        <v>31095.572403135608</v>
      </c>
      <c r="AR176" s="111">
        <f>SUM(AQ$176,'Statistics NZ'!AR$176-'Statistics NZ'!AQ$176,$O$14/5*(AR$9-AR$10)*1000)</f>
        <v>31895.572403135608</v>
      </c>
      <c r="AS176" s="111">
        <f>SUM(AR$176,'Statistics NZ'!AS$176-'Statistics NZ'!AR$176,$O$14/5*(AS$9-AS$10)*1000)</f>
        <v>32835.572403135608</v>
      </c>
      <c r="AT176" s="111">
        <f>SUM(AS$176,'Statistics NZ'!AT$176-'Statistics NZ'!AS$176,$O$14/5*(AT$9-AT$10)*1000)</f>
        <v>33375.572403135608</v>
      </c>
      <c r="AU176" s="111">
        <f>SUM(AT$176,'Statistics NZ'!AU$176-'Statistics NZ'!AT$176,$O$14/5*(AU$9-AU$10)*1000)</f>
        <v>33775.572403135608</v>
      </c>
      <c r="AV176" s="111">
        <f>SUM(AU$176,'Statistics NZ'!AV$176-'Statistics NZ'!AU$176,$O$14/5*(AV$9-AV$10)*1000)</f>
        <v>34715.572403135608</v>
      </c>
      <c r="AW176" s="111">
        <f>SUM(AV$176,'Statistics NZ'!AW$176-'Statistics NZ'!AV$176,$O$14/5*(AW$9-AW$10)*1000)</f>
        <v>36435.572403135608</v>
      </c>
      <c r="AX176" s="111">
        <f>SUM(AW$176,'Statistics NZ'!AX$176-'Statistics NZ'!AW$176,$O$14/5*(AX$9-AX$10)*1000)</f>
        <v>37735.572403135608</v>
      </c>
      <c r="AY176" s="111">
        <f>SUM(AX$176,'Statistics NZ'!AY$176-'Statistics NZ'!AX$176,$O$14/5*(AY$9-AY$10)*1000)</f>
        <v>38735.572403135608</v>
      </c>
      <c r="AZ176" s="111">
        <f>SUM(AY$176,'Statistics NZ'!AZ$176-'Statistics NZ'!AY$176,$O$14/5*(AZ$9-AZ$10)*1000)</f>
        <v>40585.572403135608</v>
      </c>
      <c r="BA176" s="111">
        <f>SUM(AZ$176,'Statistics NZ'!BA$176-'Statistics NZ'!AZ$176,$O$14/5*(BA$9-BA$10)*1000)</f>
        <v>41385.572403135608</v>
      </c>
      <c r="BB176" s="111">
        <f>SUM(BA$176,'Statistics NZ'!BB$176-'Statistics NZ'!BA$176,$O$14/5*(BB$9-BB$10)*1000)</f>
        <v>41565.572403135608</v>
      </c>
      <c r="BC176" s="111">
        <f>SUM(BB$176,'Statistics NZ'!BC$176-'Statistics NZ'!BB$176,$O$14/5*(BC$9-BC$10)*1000)</f>
        <v>41245.572403135608</v>
      </c>
      <c r="BD176" s="111">
        <f>SUM(BC$176,'Statistics NZ'!BD$176-'Statistics NZ'!BC$176,$O$14/5*(BD$9-BD$10)*1000)</f>
        <v>40095.572403135608</v>
      </c>
      <c r="BE176" s="111">
        <f>SUM(BD$176,'Statistics NZ'!BE$176-'Statistics NZ'!BD$176,$O$14/5*(BE$9-BE$10)*1000)</f>
        <v>40065.572403135608</v>
      </c>
      <c r="BF176" s="111">
        <f>SUM(BE$176,'Statistics NZ'!BF$176-'Statistics NZ'!BE$176,$O$14/5*(BF$9-BF$10)*1000)</f>
        <v>39905.572403135608</v>
      </c>
      <c r="BG176" s="111">
        <f>SUM(BF$176,'Statistics NZ'!BG$176-'Statistics NZ'!BF$176,$O$14/5*(BG$9-BG$10)*1000)</f>
        <v>38715.572403135608</v>
      </c>
      <c r="BH176" s="111">
        <f>SUM(BG$176,'Statistics NZ'!BH$176-'Statistics NZ'!BG$176,$O$14/5*(BH$9-BH$10)*1000)</f>
        <v>38635.572403135608</v>
      </c>
      <c r="BI176" s="111">
        <f>SUM(BH$176,'Statistics NZ'!BI$176-'Statistics NZ'!BH$176,$O$14/5*(BI$9-BI$10)*1000)</f>
        <v>37815.572403135608</v>
      </c>
      <c r="BJ176" s="111">
        <f>SUM(BI$176,'Statistics NZ'!BJ$176-'Statistics NZ'!BI$176,$O$14/5*(BJ$9-BJ$10)*1000)</f>
        <v>38545.572403135608</v>
      </c>
      <c r="BK176" s="111">
        <f>SUM(BJ$176,'Statistics NZ'!BK$176-'Statistics NZ'!BJ$176,$O$14/5*(BK$9-BK$10)*1000)</f>
        <v>38145.572403135608</v>
      </c>
      <c r="BL176" s="111">
        <f>SUM(BK$176,'Statistics NZ'!BL$176-'Statistics NZ'!BK$176,$O$14/5*(BL$9-BL$10)*1000)</f>
        <v>36925.572403135608</v>
      </c>
      <c r="BM176" s="195">
        <f>SUM(BL$176,'Statistics NZ'!BM$176-'Statistics NZ'!BL$176,$O$14/5*(BM$9-BM$10)*1000)</f>
        <v>37485.572403135608</v>
      </c>
      <c r="BN176" s="195">
        <f>SUM(BM$176,'Statistics NZ'!BN$176-'Statistics NZ'!BM$176,$O$14/5*(BN$9-BN$10)*1000)</f>
        <v>37775.572403135608</v>
      </c>
      <c r="BO176" s="195">
        <f>SUM(BN$176,'Statistics NZ'!BO$176-'Statistics NZ'!BN$176,$O$14/5*(BO$9-BO$10)*1000)</f>
        <v>38195.572403135608</v>
      </c>
      <c r="BP176" s="195">
        <f>SUM(BO$176,'Statistics NZ'!BP$176-'Statistics NZ'!BO$176,$O$14/5*(BP$9-BP$10)*1000)</f>
        <v>39205.572403135608</v>
      </c>
      <c r="BQ176" s="195">
        <f>SUM(BP$176,'Statistics NZ'!BQ$176-'Statistics NZ'!BP$176,$O$14/5*(BQ$9-BQ$10)*1000)</f>
        <v>41125.572403135608</v>
      </c>
    </row>
    <row r="177" spans="1:69">
      <c r="A177" s="105">
        <f>$A$84</f>
        <v>67</v>
      </c>
      <c r="B177" s="118">
        <f>'Statistics NZ'!B$177*'Economic Forecasts'!D$9*1000000/SUM('Statistics NZ'!B$32:B$107,'Statistics NZ'!B$125:B$200)</f>
        <v>14273.989843219102</v>
      </c>
      <c r="C177" s="118">
        <f>'Statistics NZ'!C$177*'Economic Forecasts'!E$9*1000000/SUM('Statistics NZ'!C$32:C$107,'Statistics NZ'!C$125:C$200)</f>
        <v>15852.302614206494</v>
      </c>
      <c r="D177" s="118">
        <f>'Statistics NZ'!D$177*'Economic Forecasts'!F$9*1000000/SUM('Statistics NZ'!D$32:D$107,'Statistics NZ'!D$125:D$200)</f>
        <v>16952.499227165721</v>
      </c>
      <c r="E177" s="118">
        <f>'Statistics NZ'!E$177*'Economic Forecasts'!G$9*1000000/SUM('Statistics NZ'!E$32:E$107,'Statistics NZ'!E$125:E$200)</f>
        <v>17106.853000061739</v>
      </c>
      <c r="F177" s="118">
        <f>'Statistics NZ'!F$177*'Economic Forecasts'!H$9*1000000/SUM('Statistics NZ'!F$32:F$107,'Statistics NZ'!F$125:F$200)</f>
        <v>15398.083241104652</v>
      </c>
      <c r="G177" s="118">
        <f>'Statistics NZ'!G$177*'Economic Forecasts'!I$9*1000000/SUM('Statistics NZ'!G$32:G$107,'Statistics NZ'!G$125:G$200)</f>
        <v>17370.620339392961</v>
      </c>
      <c r="H177" s="118">
        <f>'Statistics NZ'!H$177*'Economic Forecasts'!J$9*1000000/SUM('Statistics NZ'!H$32:H$107,'Statistics NZ'!H$125:H$200)</f>
        <v>17916.539276250154</v>
      </c>
      <c r="I177" s="118">
        <f>'Statistics NZ'!I$177*'Economic Forecasts'!K$9*1000000/SUM('Statistics NZ'!I$32:I$107,'Statistics NZ'!I$125:I$200)</f>
        <v>18943.868497244792</v>
      </c>
      <c r="J177" s="203">
        <f>'Statistics NZ'!J$177*'Economic Forecasts'!L$9*1000000/SUM('Statistics NZ'!J$32:J$107,'Statistics NZ'!J$125:J$200)</f>
        <v>22399.002846473537</v>
      </c>
      <c r="K177" s="203">
        <f>'Statistics NZ'!K$177*'Economic Forecasts'!M$9*1000000/SUM('Statistics NZ'!K$32:K$107,'Statistics NZ'!K$125:K$200)</f>
        <v>22224.857929697337</v>
      </c>
      <c r="L177" s="203">
        <f>'Statistics NZ'!L$177*'Economic Forecasts'!N$9*1000000/SUM('Statistics NZ'!L$32:L$107,'Statistics NZ'!L$125:L$200)</f>
        <v>22287.89221430456</v>
      </c>
      <c r="M177" s="203">
        <f>'Statistics NZ'!M$177*'Economic Forecasts'!O$9*1000000/SUM('Statistics NZ'!M$32:M$107,'Statistics NZ'!M$125:M$200)</f>
        <v>22439.159740172632</v>
      </c>
      <c r="N177" s="203">
        <f>'Statistics NZ'!N$177*'Economic Forecasts'!P$9*1000000/SUM('Statistics NZ'!N$32:N$107,'Statistics NZ'!N$125:N$200)</f>
        <v>22569.240286081353</v>
      </c>
      <c r="O177" s="203">
        <f>'Statistics NZ'!O$177*'Economic Forecasts'!Q$9*1000000/SUM('Statistics NZ'!O$32:O$107,'Statistics NZ'!O$125:O$200)</f>
        <v>23052.731660879443</v>
      </c>
      <c r="P177" s="203">
        <f>'Statistics NZ'!P$177*'Economic Forecasts'!R$9*1000000/SUM('Statistics NZ'!P$32:P$107,'Statistics NZ'!P$125:P$200)</f>
        <v>23616.663411324229</v>
      </c>
      <c r="Q177" s="121">
        <f>SUM('Statistics NZ'!Q$177,$O$14/5*(Q$9-Q$10)*1000)*'Economic Forecasts'!S$9*1000000/SUM('Statistics NZ'!Q$32:Q$107,'Statistics NZ'!Q$125:Q$200,SUM($E$13:$Q$14)*(Q$9-Q$10)*1000)</f>
        <v>24347.657771596943</v>
      </c>
      <c r="R177" s="205">
        <f>SUM('Statistics NZ'!R$177,$O$14/5*(R$9-R$10)*1000)*'Economic Forecasts'!T$9*1000000/SUM('Statistics NZ'!R$32:R$107,'Statistics NZ'!R$125:R$200,SUM($E$13:$Q$14)*(R$9-R$10)*1000)</f>
        <v>24917.112765718084</v>
      </c>
      <c r="S177" s="205">
        <f>SUM('Statistics NZ'!S$177,$O$14/5*(S$9-S$10)*1000)*'Economic Forecasts'!U$9*1000000/SUM('Statistics NZ'!S$32:S$107,'Statistics NZ'!S$125:S$200,SUM($E$13:$Q$14)*(S$9-S$10)*1000)</f>
        <v>25591.668206734525</v>
      </c>
      <c r="T177" s="205">
        <f>SUM('Statistics NZ'!T$177,$O$14/5*(T$9-T$10)*1000)*'Economic Forecasts'!V$9*1000000/SUM('Statistics NZ'!T$32:T$107,'Statistics NZ'!T$125:T$200,SUM($E$13:$Q$14)*(T$9-T$10)*1000)</f>
        <v>26203.669520226893</v>
      </c>
      <c r="U177" s="205">
        <f>SUM('Statistics NZ'!U$177,$O$14/5*(U$9-U$10)*1000)*'Economic Forecasts'!W$9*1000000/SUM('Statistics NZ'!U$32:U$107,'Statistics NZ'!U$125:U$200,SUM($E$13:$Q$14)*(U$9-U$10)*1000)</f>
        <v>26921.356792367482</v>
      </c>
      <c r="V177" s="111">
        <f>SUM(U$177,'Statistics NZ'!V$177-'Statistics NZ'!U$177,$O$14/5*(V$9-V$10)*1000)</f>
        <v>28173.523366260528</v>
      </c>
      <c r="W177" s="111">
        <f>SUM(V$177,'Statistics NZ'!W$177-'Statistics NZ'!V$177,$O$14/5*(W$9-W$10)*1000)</f>
        <v>28692.919118416943</v>
      </c>
      <c r="X177" s="111">
        <f>SUM(W$177,'Statistics NZ'!X$177-'Statistics NZ'!W$177,$O$14/5*(X$9-X$10)*1000)</f>
        <v>29499.544048836728</v>
      </c>
      <c r="Y177" s="111">
        <f>SUM(X$177,'Statistics NZ'!Y$177-'Statistics NZ'!X$177,$O$14/5*(Y$9-Y$10)*1000)</f>
        <v>30483.398157519881</v>
      </c>
      <c r="Z177" s="111">
        <f>SUM(Y$177,'Statistics NZ'!Z$177-'Statistics NZ'!Y$177,$O$14/5*(Z$9-Z$10)*1000)</f>
        <v>30814.481444466404</v>
      </c>
      <c r="AA177" s="111">
        <f>SUM(Z$177,'Statistics NZ'!AA$177-'Statistics NZ'!Z$177,$O$14/5*(AA$9-AA$10)*1000)</f>
        <v>30542.793909676297</v>
      </c>
      <c r="AB177" s="111">
        <f>SUM(AA$177,'Statistics NZ'!AB$177-'Statistics NZ'!AA$177,$O$14/5*(AB$9-AB$10)*1000)</f>
        <v>29958.335553149558</v>
      </c>
      <c r="AC177" s="111">
        <f>SUM(AB$177,'Statistics NZ'!AC$177-'Statistics NZ'!AB$177,$O$14/5*(AC$9-AC$10)*1000)</f>
        <v>29621.106374886189</v>
      </c>
      <c r="AD177" s="111">
        <f>SUM(AC$177,'Statistics NZ'!AD$177-'Statistics NZ'!AC$177,$O$14/5*(AD$9-AD$10)*1000)</f>
        <v>29711.106374886189</v>
      </c>
      <c r="AE177" s="111">
        <f>SUM(AD$177,'Statistics NZ'!AE$177-'Statistics NZ'!AD$177,$O$14/5*(AE$9-AE$10)*1000)</f>
        <v>30341.106374886189</v>
      </c>
      <c r="AF177" s="111">
        <f>SUM(AE$177,'Statistics NZ'!AF$177-'Statistics NZ'!AE$177,$O$14/5*(AF$9-AF$10)*1000)</f>
        <v>31031.106374886189</v>
      </c>
      <c r="AG177" s="111">
        <f>SUM(AF$177,'Statistics NZ'!AG$177-'Statistics NZ'!AF$177,$O$14/5*(AG$9-AG$10)*1000)</f>
        <v>31151.106374886189</v>
      </c>
      <c r="AH177" s="111">
        <f>SUM(AG$177,'Statistics NZ'!AH$177-'Statistics NZ'!AG$177,$O$14/5*(AH$9-AH$10)*1000)</f>
        <v>31801.106374886189</v>
      </c>
      <c r="AI177" s="111">
        <f>SUM(AH$177,'Statistics NZ'!AI$177-'Statistics NZ'!AH$177,$O$14/5*(AI$9-AI$10)*1000)</f>
        <v>31851.106374886189</v>
      </c>
      <c r="AJ177" s="111">
        <f>SUM(AI$177,'Statistics NZ'!AJ$177-'Statistics NZ'!AI$177,$O$14/5*(AJ$9-AJ$10)*1000)</f>
        <v>31011.106374886189</v>
      </c>
      <c r="AK177" s="111">
        <f>SUM(AJ$177,'Statistics NZ'!AK$177-'Statistics NZ'!AJ$177,$O$14/5*(AK$9-AK$10)*1000)</f>
        <v>29891.106374886189</v>
      </c>
      <c r="AL177" s="111">
        <f>SUM(AK$177,'Statistics NZ'!AL$177-'Statistics NZ'!AK$177,$O$14/5*(AL$9-AL$10)*1000)</f>
        <v>29041.106374886189</v>
      </c>
      <c r="AM177" s="111">
        <f>SUM(AL$177,'Statistics NZ'!AM$177-'Statistics NZ'!AL$177,$O$14/5*(AM$9-AM$10)*1000)</f>
        <v>28571.106374886189</v>
      </c>
      <c r="AN177" s="111">
        <f>SUM(AM$177,'Statistics NZ'!AN$177-'Statistics NZ'!AM$177,$O$14/5*(AN$9-AN$10)*1000)</f>
        <v>28771.106374886189</v>
      </c>
      <c r="AO177" s="111">
        <f>SUM(AN$177,'Statistics NZ'!AO$177-'Statistics NZ'!AN$177,$O$14/5*(AO$9-AO$10)*1000)</f>
        <v>28501.106374886189</v>
      </c>
      <c r="AP177" s="111">
        <f>SUM(AO$177,'Statistics NZ'!AP$177-'Statistics NZ'!AO$177,$O$14/5*(AP$9-AP$10)*1000)</f>
        <v>29551.106374886189</v>
      </c>
      <c r="AQ177" s="111">
        <f>SUM(AP$177,'Statistics NZ'!AQ$177-'Statistics NZ'!AP$177,$O$14/5*(AQ$9-AQ$10)*1000)</f>
        <v>30301.106374886189</v>
      </c>
      <c r="AR177" s="111">
        <f>SUM(AQ$177,'Statistics NZ'!AR$177-'Statistics NZ'!AQ$177,$O$14/5*(AR$9-AR$10)*1000)</f>
        <v>30981.106374886189</v>
      </c>
      <c r="AS177" s="111">
        <f>SUM(AR$177,'Statistics NZ'!AS$177-'Statistics NZ'!AR$177,$O$14/5*(AS$9-AS$10)*1000)</f>
        <v>31781.106374886189</v>
      </c>
      <c r="AT177" s="111">
        <f>SUM(AS$177,'Statistics NZ'!AT$177-'Statistics NZ'!AS$177,$O$14/5*(AT$9-AT$10)*1000)</f>
        <v>32721.106374886189</v>
      </c>
      <c r="AU177" s="111">
        <f>SUM(AT$177,'Statistics NZ'!AU$177-'Statistics NZ'!AT$177,$O$14/5*(AU$9-AU$10)*1000)</f>
        <v>33261.106374886192</v>
      </c>
      <c r="AV177" s="111">
        <f>SUM(AU$177,'Statistics NZ'!AV$177-'Statistics NZ'!AU$177,$O$14/5*(AV$9-AV$10)*1000)</f>
        <v>33661.106374886192</v>
      </c>
      <c r="AW177" s="111">
        <f>SUM(AV$177,'Statistics NZ'!AW$177-'Statistics NZ'!AV$177,$O$14/5*(AW$9-AW$10)*1000)</f>
        <v>34611.106374886192</v>
      </c>
      <c r="AX177" s="111">
        <f>SUM(AW$177,'Statistics NZ'!AX$177-'Statistics NZ'!AW$177,$O$14/5*(AX$9-AX$10)*1000)</f>
        <v>36311.106374886192</v>
      </c>
      <c r="AY177" s="111">
        <f>SUM(AX$177,'Statistics NZ'!AY$177-'Statistics NZ'!AX$177,$O$14/5*(AY$9-AY$10)*1000)</f>
        <v>37621.106374886192</v>
      </c>
      <c r="AZ177" s="111">
        <f>SUM(AY$177,'Statistics NZ'!AZ$177-'Statistics NZ'!AY$177,$O$14/5*(AZ$9-AZ$10)*1000)</f>
        <v>38611.106374886192</v>
      </c>
      <c r="BA177" s="111">
        <f>SUM(AZ$177,'Statistics NZ'!BA$177-'Statistics NZ'!AZ$177,$O$14/5*(BA$9-BA$10)*1000)</f>
        <v>40461.106374886192</v>
      </c>
      <c r="BB177" s="111">
        <f>SUM(BA$177,'Statistics NZ'!BB$177-'Statistics NZ'!BA$177,$O$14/5*(BB$9-BB$10)*1000)</f>
        <v>41261.106374886192</v>
      </c>
      <c r="BC177" s="111">
        <f>SUM(BB$177,'Statistics NZ'!BC$177-'Statistics NZ'!BB$177,$O$14/5*(BC$9-BC$10)*1000)</f>
        <v>41441.106374886192</v>
      </c>
      <c r="BD177" s="111">
        <f>SUM(BC$177,'Statistics NZ'!BD$177-'Statistics NZ'!BC$177,$O$14/5*(BD$9-BD$10)*1000)</f>
        <v>41121.106374886192</v>
      </c>
      <c r="BE177" s="111">
        <f>SUM(BD$177,'Statistics NZ'!BE$177-'Statistics NZ'!BD$177,$O$14/5*(BE$9-BE$10)*1000)</f>
        <v>39991.106374886192</v>
      </c>
      <c r="BF177" s="111">
        <f>SUM(BE$177,'Statistics NZ'!BF$177-'Statistics NZ'!BE$177,$O$14/5*(BF$9-BF$10)*1000)</f>
        <v>39961.106374886192</v>
      </c>
      <c r="BG177" s="111">
        <f>SUM(BF$177,'Statistics NZ'!BG$177-'Statistics NZ'!BF$177,$O$14/5*(BG$9-BG$10)*1000)</f>
        <v>39811.106374886192</v>
      </c>
      <c r="BH177" s="111">
        <f>SUM(BG$177,'Statistics NZ'!BH$177-'Statistics NZ'!BG$177,$O$14/5*(BH$9-BH$10)*1000)</f>
        <v>38621.106374886192</v>
      </c>
      <c r="BI177" s="111">
        <f>SUM(BH$177,'Statistics NZ'!BI$177-'Statistics NZ'!BH$177,$O$14/5*(BI$9-BI$10)*1000)</f>
        <v>38551.106374886192</v>
      </c>
      <c r="BJ177" s="111">
        <f>SUM(BI$177,'Statistics NZ'!BJ$177-'Statistics NZ'!BI$177,$O$14/5*(BJ$9-BJ$10)*1000)</f>
        <v>37731.106374886192</v>
      </c>
      <c r="BK177" s="111">
        <f>SUM(BJ$177,'Statistics NZ'!BK$177-'Statistics NZ'!BJ$177,$O$14/5*(BK$9-BK$10)*1000)</f>
        <v>38461.106374886192</v>
      </c>
      <c r="BL177" s="111">
        <f>SUM(BK$177,'Statistics NZ'!BL$177-'Statistics NZ'!BK$177,$O$14/5*(BL$9-BL$10)*1000)</f>
        <v>38071.106374886192</v>
      </c>
      <c r="BM177" s="195">
        <f>SUM(BL$177,'Statistics NZ'!BM$177-'Statistics NZ'!BL$177,$O$14/5*(BM$9-BM$10)*1000)</f>
        <v>36861.106374886192</v>
      </c>
      <c r="BN177" s="195">
        <f>SUM(BM$177,'Statistics NZ'!BN$177-'Statistics NZ'!BM$177,$O$14/5*(BN$9-BN$10)*1000)</f>
        <v>37421.106374886192</v>
      </c>
      <c r="BO177" s="195">
        <f>SUM(BN$177,'Statistics NZ'!BO$177-'Statistics NZ'!BN$177,$O$14/5*(BO$9-BO$10)*1000)</f>
        <v>37711.106374886192</v>
      </c>
      <c r="BP177" s="195">
        <f>SUM(BO$177,'Statistics NZ'!BP$177-'Statistics NZ'!BO$177,$O$14/5*(BP$9-BP$10)*1000)</f>
        <v>38131.106374886192</v>
      </c>
      <c r="BQ177" s="195">
        <f>SUM(BP$177,'Statistics NZ'!BQ$177-'Statistics NZ'!BP$177,$O$14/5*(BQ$9-BQ$10)*1000)</f>
        <v>39141.106374886192</v>
      </c>
    </row>
    <row r="178" spans="1:69">
      <c r="A178" s="105">
        <f>$A$85</f>
        <v>68</v>
      </c>
      <c r="B178" s="118">
        <f>'Statistics NZ'!B$178*'Economic Forecasts'!D$9*1000000/SUM('Statistics NZ'!B$32:B$107,'Statistics NZ'!B$125:B$200)</f>
        <v>13781.443609843704</v>
      </c>
      <c r="C178" s="118">
        <f>'Statistics NZ'!C$178*'Economic Forecasts'!E$9*1000000/SUM('Statistics NZ'!C$32:C$107,'Statistics NZ'!C$125:C$200)</f>
        <v>14058.074333245313</v>
      </c>
      <c r="D178" s="118">
        <f>'Statistics NZ'!D$178*'Economic Forecasts'!F$9*1000000/SUM('Statistics NZ'!D$32:D$107,'Statistics NZ'!D$125:D$200)</f>
        <v>15612.069055715407</v>
      </c>
      <c r="E178" s="118">
        <f>'Statistics NZ'!E$178*'Economic Forecasts'!G$9*1000000/SUM('Statistics NZ'!E$32:E$107,'Statistics NZ'!E$125:E$200)</f>
        <v>16722.761309214064</v>
      </c>
      <c r="F178" s="118">
        <f>'Statistics NZ'!F$178*'Economic Forecasts'!H$9*1000000/SUM('Statistics NZ'!F$32:F$107,'Statistics NZ'!F$125:F$200)</f>
        <v>16925.084458232752</v>
      </c>
      <c r="G178" s="118">
        <f>'Statistics NZ'!G$178*'Economic Forecasts'!I$9*1000000/SUM('Statistics NZ'!G$32:G$107,'Statistics NZ'!G$125:G$200)</f>
        <v>15232.546253375791</v>
      </c>
      <c r="H178" s="118">
        <f>'Statistics NZ'!H$178*'Economic Forecasts'!J$9*1000000/SUM('Statistics NZ'!H$32:H$107,'Statistics NZ'!H$125:H$200)</f>
        <v>17158.115128767327</v>
      </c>
      <c r="I178" s="118">
        <f>'Statistics NZ'!I$178*'Economic Forecasts'!K$9*1000000/SUM('Statistics NZ'!I$32:I$107,'Statistics NZ'!I$125:I$200)</f>
        <v>17723.588136902792</v>
      </c>
      <c r="J178" s="203">
        <f>'Statistics NZ'!J$178*'Economic Forecasts'!L$9*1000000/SUM('Statistics NZ'!J$32:J$107,'Statistics NZ'!J$125:J$200)</f>
        <v>18703.51137202244</v>
      </c>
      <c r="K178" s="203">
        <f>'Statistics NZ'!K$178*'Economic Forecasts'!M$9*1000000/SUM('Statistics NZ'!K$32:K$107,'Statistics NZ'!K$125:K$200)</f>
        <v>22057.827609270789</v>
      </c>
      <c r="L178" s="203">
        <f>'Statistics NZ'!L$178*'Economic Forecasts'!N$9*1000000/SUM('Statistics NZ'!L$32:L$107,'Statistics NZ'!L$125:L$200)</f>
        <v>22081.066877804165</v>
      </c>
      <c r="M178" s="203">
        <f>'Statistics NZ'!M$178*'Economic Forecasts'!O$9*1000000/SUM('Statistics NZ'!M$32:M$107,'Statistics NZ'!M$125:M$200)</f>
        <v>22064.845398589419</v>
      </c>
      <c r="N178" s="203">
        <f>'Statistics NZ'!N$178*'Economic Forecasts'!P$9*1000000/SUM('Statistics NZ'!N$32:N$107,'Statistics NZ'!N$125:N$200)</f>
        <v>22243.580063326353</v>
      </c>
      <c r="O178" s="203">
        <f>'Statistics NZ'!O$178*'Economic Forecasts'!Q$9*1000000/SUM('Statistics NZ'!O$32:O$107,'Statistics NZ'!O$125:O$200)</f>
        <v>22371.807652060659</v>
      </c>
      <c r="P178" s="203">
        <f>'Statistics NZ'!P$178*'Economic Forecasts'!R$9*1000000/SUM('Statistics NZ'!P$32:P$107,'Statistics NZ'!P$125:P$200)</f>
        <v>23093.384497946223</v>
      </c>
      <c r="Q178" s="121">
        <f>SUM('Statistics NZ'!Q$178,$O$14/5*(Q$9-Q$10)*1000)*'Economic Forecasts'!S$9*1000000/SUM('Statistics NZ'!Q$32:Q$107,'Statistics NZ'!Q$125:Q$200,SUM($E$13:$Q$14)*(Q$9-Q$10)*1000)</f>
        <v>23398.561151645645</v>
      </c>
      <c r="R178" s="205">
        <f>SUM('Statistics NZ'!R$178,$O$14/5*(R$9-R$10)*1000)*'Economic Forecasts'!T$9*1000000/SUM('Statistics NZ'!R$32:R$107,'Statistics NZ'!R$125:R$200,SUM($E$13:$Q$14)*(R$9-R$10)*1000)</f>
        <v>24096.642899981514</v>
      </c>
      <c r="S178" s="205">
        <f>SUM('Statistics NZ'!S$178,$O$14/5*(S$9-S$10)*1000)*'Economic Forecasts'!U$9*1000000/SUM('Statistics NZ'!S$32:S$107,'Statistics NZ'!S$125:S$200,SUM($E$13:$Q$14)*(S$9-S$10)*1000)</f>
        <v>24672.8378778845</v>
      </c>
      <c r="T178" s="205">
        <f>SUM('Statistics NZ'!T$178,$O$14/5*(T$9-T$10)*1000)*'Economic Forecasts'!V$9*1000000/SUM('Statistics NZ'!T$32:T$107,'Statistics NZ'!T$125:T$200,SUM($E$13:$Q$14)*(T$9-T$10)*1000)</f>
        <v>25373.809639879233</v>
      </c>
      <c r="U178" s="205">
        <f>SUM('Statistics NZ'!U$178,$O$14/5*(U$9-U$10)*1000)*'Economic Forecasts'!W$9*1000000/SUM('Statistics NZ'!U$32:U$107,'Statistics NZ'!U$125:U$200,SUM($E$13:$Q$14)*(U$9-U$10)*1000)</f>
        <v>26021.173399515417</v>
      </c>
      <c r="V178" s="111">
        <f>SUM(U$178,'Statistics NZ'!V$178-'Statistics NZ'!U$178,$O$14/5*(V$9-V$10)*1000)</f>
        <v>26713.339973408463</v>
      </c>
      <c r="W178" s="111">
        <f>SUM(V$178,'Statistics NZ'!W$178-'Statistics NZ'!V$178,$O$14/5*(W$9-W$10)*1000)</f>
        <v>27952.735725564879</v>
      </c>
      <c r="X178" s="111">
        <f>SUM(W$178,'Statistics NZ'!X$178-'Statistics NZ'!W$178,$O$14/5*(X$9-X$10)*1000)</f>
        <v>28479.360655984663</v>
      </c>
      <c r="Y178" s="111">
        <f>SUM(X$178,'Statistics NZ'!Y$178-'Statistics NZ'!X$178,$O$14/5*(Y$9-Y$10)*1000)</f>
        <v>29273.214764667817</v>
      </c>
      <c r="Z178" s="111">
        <f>SUM(Y$178,'Statistics NZ'!Z$178-'Statistics NZ'!Y$178,$O$14/5*(Z$9-Z$10)*1000)</f>
        <v>30254.29805161434</v>
      </c>
      <c r="AA178" s="111">
        <f>SUM(Z$178,'Statistics NZ'!AA$178-'Statistics NZ'!Z$178,$O$14/5*(AA$9-AA$10)*1000)</f>
        <v>30592.610516824232</v>
      </c>
      <c r="AB178" s="111">
        <f>SUM(AA$178,'Statistics NZ'!AB$178-'Statistics NZ'!AA$178,$O$14/5*(AB$9-AB$10)*1000)</f>
        <v>30318.152160297494</v>
      </c>
      <c r="AC178" s="111">
        <f>SUM(AB$178,'Statistics NZ'!AC$178-'Statistics NZ'!AB$178,$O$14/5*(AC$9-AC$10)*1000)</f>
        <v>29740.922982034124</v>
      </c>
      <c r="AD178" s="111">
        <f>SUM(AC$178,'Statistics NZ'!AD$178-'Statistics NZ'!AC$178,$O$14/5*(AD$9-AD$10)*1000)</f>
        <v>29420.922982034124</v>
      </c>
      <c r="AE178" s="111">
        <f>SUM(AD$178,'Statistics NZ'!AE$178-'Statistics NZ'!AD$178,$O$14/5*(AE$9-AE$10)*1000)</f>
        <v>29510.922982034124</v>
      </c>
      <c r="AF178" s="111">
        <f>SUM(AE$178,'Statistics NZ'!AF$178-'Statistics NZ'!AE$178,$O$14/5*(AF$9-AF$10)*1000)</f>
        <v>30140.922982034124</v>
      </c>
      <c r="AG178" s="111">
        <f>SUM(AF$178,'Statistics NZ'!AG$178-'Statistics NZ'!AF$178,$O$14/5*(AG$9-AG$10)*1000)</f>
        <v>30830.922982034124</v>
      </c>
      <c r="AH178" s="111">
        <f>SUM(AG$178,'Statistics NZ'!AH$178-'Statistics NZ'!AG$178,$O$14/5*(AH$9-AH$10)*1000)</f>
        <v>30950.922982034124</v>
      </c>
      <c r="AI178" s="111">
        <f>SUM(AH$178,'Statistics NZ'!AI$178-'Statistics NZ'!AH$178,$O$14/5*(AI$9-AI$10)*1000)</f>
        <v>31600.922982034124</v>
      </c>
      <c r="AJ178" s="111">
        <f>SUM(AI$178,'Statistics NZ'!AJ$178-'Statistics NZ'!AI$178,$O$14/5*(AJ$9-AJ$10)*1000)</f>
        <v>31660.922982034124</v>
      </c>
      <c r="AK178" s="111">
        <f>SUM(AJ$178,'Statistics NZ'!AK$178-'Statistics NZ'!AJ$178,$O$14/5*(AK$9-AK$10)*1000)</f>
        <v>30830.922982034124</v>
      </c>
      <c r="AL178" s="111">
        <f>SUM(AK$178,'Statistics NZ'!AL$178-'Statistics NZ'!AK$178,$O$14/5*(AL$9-AL$10)*1000)</f>
        <v>29720.922982034124</v>
      </c>
      <c r="AM178" s="111">
        <f>SUM(AL$178,'Statistics NZ'!AM$178-'Statistics NZ'!AL$178,$O$14/5*(AM$9-AM$10)*1000)</f>
        <v>28880.922982034124</v>
      </c>
      <c r="AN178" s="111">
        <f>SUM(AM$178,'Statistics NZ'!AN$178-'Statistics NZ'!AM$178,$O$14/5*(AN$9-AN$10)*1000)</f>
        <v>28420.922982034124</v>
      </c>
      <c r="AO178" s="111">
        <f>SUM(AN$178,'Statistics NZ'!AO$178-'Statistics NZ'!AN$178,$O$14/5*(AO$9-AO$10)*1000)</f>
        <v>28620.922982034124</v>
      </c>
      <c r="AP178" s="111">
        <f>SUM(AO$178,'Statistics NZ'!AP$178-'Statistics NZ'!AO$178,$O$14/5*(AP$9-AP$10)*1000)</f>
        <v>28360.922982034124</v>
      </c>
      <c r="AQ178" s="111">
        <f>SUM(AP$178,'Statistics NZ'!AQ$178-'Statistics NZ'!AP$178,$O$14/5*(AQ$9-AQ$10)*1000)</f>
        <v>29410.922982034124</v>
      </c>
      <c r="AR178" s="111">
        <f>SUM(AQ$178,'Statistics NZ'!AR$178-'Statistics NZ'!AQ$178,$O$14/5*(AR$9-AR$10)*1000)</f>
        <v>30160.922982034124</v>
      </c>
      <c r="AS178" s="111">
        <f>SUM(AR$178,'Statistics NZ'!AS$178-'Statistics NZ'!AR$178,$O$14/5*(AS$9-AS$10)*1000)</f>
        <v>30830.922982034124</v>
      </c>
      <c r="AT178" s="111">
        <f>SUM(AS$178,'Statistics NZ'!AT$178-'Statistics NZ'!AS$178,$O$14/5*(AT$9-AT$10)*1000)</f>
        <v>31630.922982034124</v>
      </c>
      <c r="AU178" s="111">
        <f>SUM(AT$178,'Statistics NZ'!AU$178-'Statistics NZ'!AT$178,$O$14/5*(AU$9-AU$10)*1000)</f>
        <v>32570.922982034124</v>
      </c>
      <c r="AV178" s="111">
        <f>SUM(AU$178,'Statistics NZ'!AV$178-'Statistics NZ'!AU$178,$O$14/5*(AV$9-AV$10)*1000)</f>
        <v>33110.922982034128</v>
      </c>
      <c r="AW178" s="111">
        <f>SUM(AV$178,'Statistics NZ'!AW$178-'Statistics NZ'!AV$178,$O$14/5*(AW$9-AW$10)*1000)</f>
        <v>33510.922982034128</v>
      </c>
      <c r="AX178" s="111">
        <f>SUM(AW$178,'Statistics NZ'!AX$178-'Statistics NZ'!AW$178,$O$14/5*(AX$9-AX$10)*1000)</f>
        <v>34460.922982034128</v>
      </c>
      <c r="AY178" s="111">
        <f>SUM(AX$178,'Statistics NZ'!AY$178-'Statistics NZ'!AX$178,$O$14/5*(AY$9-AY$10)*1000)</f>
        <v>36160.922982034128</v>
      </c>
      <c r="AZ178" s="111">
        <f>SUM(AY$178,'Statistics NZ'!AZ$178-'Statistics NZ'!AY$178,$O$14/5*(AZ$9-AZ$10)*1000)</f>
        <v>37460.922982034128</v>
      </c>
      <c r="BA178" s="111">
        <f>SUM(AZ$178,'Statistics NZ'!BA$178-'Statistics NZ'!AZ$178,$O$14/5*(BA$9-BA$10)*1000)</f>
        <v>38450.922982034128</v>
      </c>
      <c r="BB178" s="111">
        <f>SUM(BA$178,'Statistics NZ'!BB$178-'Statistics NZ'!BA$178,$O$14/5*(BB$9-BB$10)*1000)</f>
        <v>40290.922982034128</v>
      </c>
      <c r="BC178" s="111">
        <f>SUM(BB$178,'Statistics NZ'!BC$178-'Statistics NZ'!BB$178,$O$14/5*(BC$9-BC$10)*1000)</f>
        <v>41100.922982034128</v>
      </c>
      <c r="BD178" s="111">
        <f>SUM(BC$178,'Statistics NZ'!BD$178-'Statistics NZ'!BC$178,$O$14/5*(BD$9-BD$10)*1000)</f>
        <v>41280.922982034128</v>
      </c>
      <c r="BE178" s="111">
        <f>SUM(BD$178,'Statistics NZ'!BE$178-'Statistics NZ'!BD$178,$O$14/5*(BE$9-BE$10)*1000)</f>
        <v>40970.922982034128</v>
      </c>
      <c r="BF178" s="111">
        <f>SUM(BE$178,'Statistics NZ'!BF$178-'Statistics NZ'!BE$178,$O$14/5*(BF$9-BF$10)*1000)</f>
        <v>39840.922982034128</v>
      </c>
      <c r="BG178" s="111">
        <f>SUM(BF$178,'Statistics NZ'!BG$178-'Statistics NZ'!BF$178,$O$14/5*(BG$9-BG$10)*1000)</f>
        <v>39820.922982034128</v>
      </c>
      <c r="BH178" s="111">
        <f>SUM(BG$178,'Statistics NZ'!BH$178-'Statistics NZ'!BG$178,$O$14/5*(BH$9-BH$10)*1000)</f>
        <v>39670.922982034128</v>
      </c>
      <c r="BI178" s="111">
        <f>SUM(BH$178,'Statistics NZ'!BI$178-'Statistics NZ'!BH$178,$O$14/5*(BI$9-BI$10)*1000)</f>
        <v>38500.922982034128</v>
      </c>
      <c r="BJ178" s="111">
        <f>SUM(BI$178,'Statistics NZ'!BJ$178-'Statistics NZ'!BI$178,$O$14/5*(BJ$9-BJ$10)*1000)</f>
        <v>38430.922982034128</v>
      </c>
      <c r="BK178" s="111">
        <f>SUM(BJ$178,'Statistics NZ'!BK$178-'Statistics NZ'!BJ$178,$O$14/5*(BK$9-BK$10)*1000)</f>
        <v>37620.922982034128</v>
      </c>
      <c r="BL178" s="111">
        <f>SUM(BK$178,'Statistics NZ'!BL$178-'Statistics NZ'!BK$178,$O$14/5*(BL$9-BL$10)*1000)</f>
        <v>38350.922982034128</v>
      </c>
      <c r="BM178" s="195">
        <f>SUM(BL$178,'Statistics NZ'!BM$178-'Statistics NZ'!BL$178,$O$14/5*(BM$9-BM$10)*1000)</f>
        <v>37960.922982034128</v>
      </c>
      <c r="BN178" s="195">
        <f>SUM(BM$178,'Statistics NZ'!BN$178-'Statistics NZ'!BM$178,$O$14/5*(BN$9-BN$10)*1000)</f>
        <v>36760.922982034128</v>
      </c>
      <c r="BO178" s="195">
        <f>SUM(BN$178,'Statistics NZ'!BO$178-'Statistics NZ'!BN$178,$O$14/5*(BO$9-BO$10)*1000)</f>
        <v>37320.922982034128</v>
      </c>
      <c r="BP178" s="195">
        <f>SUM(BO$178,'Statistics NZ'!BP$178-'Statistics NZ'!BO$178,$O$14/5*(BP$9-BP$10)*1000)</f>
        <v>37610.922982034128</v>
      </c>
      <c r="BQ178" s="195">
        <f>SUM(BP$178,'Statistics NZ'!BQ$178-'Statistics NZ'!BP$178,$O$14/5*(BQ$9-BQ$10)*1000)</f>
        <v>38040.922982034128</v>
      </c>
    </row>
    <row r="179" spans="1:69">
      <c r="A179" s="105">
        <f>$A$86</f>
        <v>69</v>
      </c>
      <c r="B179" s="118">
        <f>'Statistics NZ'!B$179*'Economic Forecasts'!D$9*1000000/SUM('Statistics NZ'!B$32:B$107,'Statistics NZ'!B$125:B$200)</f>
        <v>13003.220561110571</v>
      </c>
      <c r="C179" s="118">
        <f>'Statistics NZ'!C$179*'Economic Forecasts'!E$9*1000000/SUM('Statistics NZ'!C$32:C$107,'Statistics NZ'!C$125:C$200)</f>
        <v>13565.154475838395</v>
      </c>
      <c r="D179" s="118">
        <f>'Statistics NZ'!D$179*'Economic Forecasts'!F$9*1000000/SUM('Statistics NZ'!D$32:D$107,'Statistics NZ'!D$125:D$200)</f>
        <v>13818.258090980429</v>
      </c>
      <c r="E179" s="118">
        <f>'Statistics NZ'!E$179*'Economic Forecasts'!G$9*1000000/SUM('Statistics NZ'!E$32:E$107,'Statistics NZ'!E$125:E$200)</f>
        <v>15353.819129013385</v>
      </c>
      <c r="F179" s="118">
        <f>'Statistics NZ'!F$179*'Economic Forecasts'!H$9*1000000/SUM('Statistics NZ'!F$32:F$107,'Statistics NZ'!F$125:F$200)</f>
        <v>16442.355041205159</v>
      </c>
      <c r="G179" s="118">
        <f>'Statistics NZ'!G$179*'Economic Forecasts'!I$9*1000000/SUM('Statistics NZ'!G$32:G$107,'Statistics NZ'!G$125:G$200)</f>
        <v>16710.477649240194</v>
      </c>
      <c r="H179" s="118">
        <f>'Statistics NZ'!H$179*'Economic Forecasts'!J$9*1000000/SUM('Statistics NZ'!H$32:H$107,'Statistics NZ'!H$125:H$200)</f>
        <v>15010.888321608156</v>
      </c>
      <c r="I179" s="118">
        <f>'Statistics NZ'!I$179*'Economic Forecasts'!K$9*1000000/SUM('Statistics NZ'!I$32:I$107,'Statistics NZ'!I$125:I$200)</f>
        <v>16916.628543773404</v>
      </c>
      <c r="J179" s="203">
        <f>'Statistics NZ'!J$179*'Economic Forecasts'!L$9*1000000/SUM('Statistics NZ'!J$32:J$107,'Statistics NZ'!J$125:J$200)</f>
        <v>17435.64328637299</v>
      </c>
      <c r="K179" s="203">
        <f>'Statistics NZ'!K$179*'Economic Forecasts'!M$9*1000000/SUM('Statistics NZ'!K$32:K$107,'Statistics NZ'!K$125:K$200)</f>
        <v>18432.287124718041</v>
      </c>
      <c r="L179" s="203">
        <f>'Statistics NZ'!L$179*'Economic Forecasts'!N$9*1000000/SUM('Statistics NZ'!L$32:L$107,'Statistics NZ'!L$125:L$200)</f>
        <v>21815.148588017946</v>
      </c>
      <c r="M179" s="203">
        <f>'Statistics NZ'!M$179*'Economic Forecasts'!O$9*1000000/SUM('Statistics NZ'!M$32:M$107,'Statistics NZ'!M$125:M$200)</f>
        <v>21759.4836988768</v>
      </c>
      <c r="N179" s="203">
        <f>'Statistics NZ'!N$179*'Economic Forecasts'!P$9*1000000/SUM('Statistics NZ'!N$32:N$107,'Statistics NZ'!N$125:N$200)</f>
        <v>21848.840399380901</v>
      </c>
      <c r="O179" s="203">
        <f>'Statistics NZ'!O$179*'Economic Forecasts'!Q$9*1000000/SUM('Statistics NZ'!O$32:O$107,'Statistics NZ'!O$125:O$200)</f>
        <v>22006.674487911456</v>
      </c>
      <c r="P179" s="203">
        <f>'Statistics NZ'!P$179*'Economic Forecasts'!R$9*1000000/SUM('Statistics NZ'!P$32:P$107,'Statistics NZ'!P$125:P$200)</f>
        <v>22422.0077788952</v>
      </c>
      <c r="Q179" s="121">
        <f>SUM('Statistics NZ'!Q$179,$O$14/5*(Q$9-Q$10)*1000)*'Economic Forecasts'!S$9*1000000/SUM('Statistics NZ'!Q$32:Q$107,'Statistics NZ'!Q$125:Q$200,SUM($E$13:$Q$14)*(Q$9-Q$10)*1000)</f>
        <v>22844.921456674048</v>
      </c>
      <c r="R179" s="205">
        <f>SUM('Statistics NZ'!R$179,$O$14/5*(R$9-R$10)*1000)*'Economic Forecasts'!T$9*1000000/SUM('Statistics NZ'!R$32:R$107,'Statistics NZ'!R$125:R$200,SUM($E$13:$Q$14)*(R$9-R$10)*1000)</f>
        <v>23118.010168560795</v>
      </c>
      <c r="S179" s="205">
        <f>SUM('Statistics NZ'!S$179,$O$14/5*(S$9-S$10)*1000)*'Economic Forecasts'!U$9*1000000/SUM('Statistics NZ'!S$32:S$107,'Statistics NZ'!S$125:S$200,SUM($E$13:$Q$14)*(S$9-S$10)*1000)</f>
        <v>23823.166821098454</v>
      </c>
      <c r="T179" s="205">
        <f>SUM('Statistics NZ'!T$179,$O$14/5*(T$9-T$10)*1000)*'Economic Forecasts'!V$9*1000000/SUM('Statistics NZ'!T$32:T$107,'Statistics NZ'!T$125:T$200,SUM($E$13:$Q$14)*(T$9-T$10)*1000)</f>
        <v>24415.519063763484</v>
      </c>
      <c r="U179" s="205">
        <f>SUM('Statistics NZ'!U$179,$O$14/5*(U$9-U$10)*1000)*'Economic Forecasts'!W$9*1000000/SUM('Statistics NZ'!U$32:U$107,'Statistics NZ'!U$125:U$200,SUM($E$13:$Q$14)*(U$9-U$10)*1000)</f>
        <v>25150.666382251886</v>
      </c>
      <c r="V179" s="111">
        <f>SUM(U$179,'Statistics NZ'!V$179-'Statistics NZ'!U$179,$O$14/5*(V$9-V$10)*1000)</f>
        <v>25782.832956144932</v>
      </c>
      <c r="W179" s="111">
        <f>SUM(V$179,'Statistics NZ'!W$179-'Statistics NZ'!V$179,$O$14/5*(W$9-W$10)*1000)</f>
        <v>26472.228708301347</v>
      </c>
      <c r="X179" s="111">
        <f>SUM(W$179,'Statistics NZ'!X$179-'Statistics NZ'!W$179,$O$14/5*(X$9-X$10)*1000)</f>
        <v>27698.853638721132</v>
      </c>
      <c r="Y179" s="111">
        <f>SUM(X$179,'Statistics NZ'!Y$179-'Statistics NZ'!X$179,$O$14/5*(Y$9-Y$10)*1000)</f>
        <v>28222.707747404285</v>
      </c>
      <c r="Z179" s="111">
        <f>SUM(Y$179,'Statistics NZ'!Z$179-'Statistics NZ'!Y$179,$O$14/5*(Z$9-Z$10)*1000)</f>
        <v>29013.791034350808</v>
      </c>
      <c r="AA179" s="111">
        <f>SUM(Z$179,'Statistics NZ'!AA$179-'Statistics NZ'!Z$179,$O$14/5*(AA$9-AA$10)*1000)</f>
        <v>29982.103499560701</v>
      </c>
      <c r="AB179" s="111">
        <f>SUM(AA$179,'Statistics NZ'!AB$179-'Statistics NZ'!AA$179,$O$14/5*(AB$9-AB$10)*1000)</f>
        <v>30317.645143033962</v>
      </c>
      <c r="AC179" s="111">
        <f>SUM(AB$179,'Statistics NZ'!AC$179-'Statistics NZ'!AB$179,$O$14/5*(AC$9-AC$10)*1000)</f>
        <v>30060.415964770593</v>
      </c>
      <c r="AD179" s="111">
        <f>SUM(AC$179,'Statistics NZ'!AD$179-'Statistics NZ'!AC$179,$O$14/5*(AD$9-AD$10)*1000)</f>
        <v>29490.415964770593</v>
      </c>
      <c r="AE179" s="111">
        <f>SUM(AD$179,'Statistics NZ'!AE$179-'Statistics NZ'!AD$179,$O$14/5*(AE$9-AE$10)*1000)</f>
        <v>29170.415964770593</v>
      </c>
      <c r="AF179" s="111">
        <f>SUM(AE$179,'Statistics NZ'!AF$179-'Statistics NZ'!AE$179,$O$14/5*(AF$9-AF$10)*1000)</f>
        <v>29270.415964770593</v>
      </c>
      <c r="AG179" s="111">
        <f>SUM(AF$179,'Statistics NZ'!AG$179-'Statistics NZ'!AF$179,$O$14/5*(AG$9-AG$10)*1000)</f>
        <v>29900.415964770593</v>
      </c>
      <c r="AH179" s="111">
        <f>SUM(AG$179,'Statistics NZ'!AH$179-'Statistics NZ'!AG$179,$O$14/5*(AH$9-AH$10)*1000)</f>
        <v>30590.415964770593</v>
      </c>
      <c r="AI179" s="111">
        <f>SUM(AH$179,'Statistics NZ'!AI$179-'Statistics NZ'!AH$179,$O$14/5*(AI$9-AI$10)*1000)</f>
        <v>30720.415964770593</v>
      </c>
      <c r="AJ179" s="111">
        <f>SUM(AI$179,'Statistics NZ'!AJ$179-'Statistics NZ'!AI$179,$O$14/5*(AJ$9-AJ$10)*1000)</f>
        <v>31360.415964770593</v>
      </c>
      <c r="AK179" s="111">
        <f>SUM(AJ$179,'Statistics NZ'!AK$179-'Statistics NZ'!AJ$179,$O$14/5*(AK$9-AK$10)*1000)</f>
        <v>31430.415964770593</v>
      </c>
      <c r="AL179" s="111">
        <f>SUM(AK$179,'Statistics NZ'!AL$179-'Statistics NZ'!AK$179,$O$14/5*(AL$9-AL$10)*1000)</f>
        <v>30610.415964770593</v>
      </c>
      <c r="AM179" s="111">
        <f>SUM(AL$179,'Statistics NZ'!AM$179-'Statistics NZ'!AL$179,$O$14/5*(AM$9-AM$10)*1000)</f>
        <v>29520.415964770593</v>
      </c>
      <c r="AN179" s="111">
        <f>SUM(AM$179,'Statistics NZ'!AN$179-'Statistics NZ'!AM$179,$O$14/5*(AN$9-AN$10)*1000)</f>
        <v>28690.415964770593</v>
      </c>
      <c r="AO179" s="111">
        <f>SUM(AN$179,'Statistics NZ'!AO$179-'Statistics NZ'!AN$179,$O$14/5*(AO$9-AO$10)*1000)</f>
        <v>28240.415964770593</v>
      </c>
      <c r="AP179" s="111">
        <f>SUM(AO$179,'Statistics NZ'!AP$179-'Statistics NZ'!AO$179,$O$14/5*(AP$9-AP$10)*1000)</f>
        <v>28440.415964770593</v>
      </c>
      <c r="AQ179" s="111">
        <f>SUM(AP$179,'Statistics NZ'!AQ$179-'Statistics NZ'!AP$179,$O$14/5*(AQ$9-AQ$10)*1000)</f>
        <v>28190.415964770593</v>
      </c>
      <c r="AR179" s="111">
        <f>SUM(AQ$179,'Statistics NZ'!AR$179-'Statistics NZ'!AQ$179,$O$14/5*(AR$9-AR$10)*1000)</f>
        <v>29230.415964770593</v>
      </c>
      <c r="AS179" s="111">
        <f>SUM(AR$179,'Statistics NZ'!AS$179-'Statistics NZ'!AR$179,$O$14/5*(AS$9-AS$10)*1000)</f>
        <v>29980.415964770593</v>
      </c>
      <c r="AT179" s="111">
        <f>SUM(AS$179,'Statistics NZ'!AT$179-'Statistics NZ'!AS$179,$O$14/5*(AT$9-AT$10)*1000)</f>
        <v>30660.415964770593</v>
      </c>
      <c r="AU179" s="111">
        <f>SUM(AT$179,'Statistics NZ'!AU$179-'Statistics NZ'!AT$179,$O$14/5*(AU$9-AU$10)*1000)</f>
        <v>31460.415964770593</v>
      </c>
      <c r="AV179" s="111">
        <f>SUM(AU$179,'Statistics NZ'!AV$179-'Statistics NZ'!AU$179,$O$14/5*(AV$9-AV$10)*1000)</f>
        <v>32390.415964770593</v>
      </c>
      <c r="AW179" s="111">
        <f>SUM(AV$179,'Statistics NZ'!AW$179-'Statistics NZ'!AV$179,$O$14/5*(AW$9-AW$10)*1000)</f>
        <v>32940.415964770596</v>
      </c>
      <c r="AX179" s="111">
        <f>SUM(AW$179,'Statistics NZ'!AX$179-'Statistics NZ'!AW$179,$O$14/5*(AX$9-AX$10)*1000)</f>
        <v>33340.415964770596</v>
      </c>
      <c r="AY179" s="111">
        <f>SUM(AX$179,'Statistics NZ'!AY$179-'Statistics NZ'!AX$179,$O$14/5*(AY$9-AY$10)*1000)</f>
        <v>34280.415964770596</v>
      </c>
      <c r="AZ179" s="111">
        <f>SUM(AY$179,'Statistics NZ'!AZ$179-'Statistics NZ'!AY$179,$O$14/5*(AZ$9-AZ$10)*1000)</f>
        <v>35970.415964770596</v>
      </c>
      <c r="BA179" s="111">
        <f>SUM(AZ$179,'Statistics NZ'!BA$179-'Statistics NZ'!AZ$179,$O$14/5*(BA$9-BA$10)*1000)</f>
        <v>37270.415964770596</v>
      </c>
      <c r="BB179" s="111">
        <f>SUM(BA$179,'Statistics NZ'!BB$179-'Statistics NZ'!BA$179,$O$14/5*(BB$9-BB$10)*1000)</f>
        <v>38270.415964770596</v>
      </c>
      <c r="BC179" s="111">
        <f>SUM(BB$179,'Statistics NZ'!BC$179-'Statistics NZ'!BB$179,$O$14/5*(BC$9-BC$10)*1000)</f>
        <v>40100.415964770596</v>
      </c>
      <c r="BD179" s="111">
        <f>SUM(BC$179,'Statistics NZ'!BD$179-'Statistics NZ'!BC$179,$O$14/5*(BD$9-BD$10)*1000)</f>
        <v>40900.415964770596</v>
      </c>
      <c r="BE179" s="111">
        <f>SUM(BD$179,'Statistics NZ'!BE$179-'Statistics NZ'!BD$179,$O$14/5*(BE$9-BE$10)*1000)</f>
        <v>41090.415964770596</v>
      </c>
      <c r="BF179" s="111">
        <f>SUM(BE$179,'Statistics NZ'!BF$179-'Statistics NZ'!BE$179,$O$14/5*(BF$9-BF$10)*1000)</f>
        <v>40780.415964770596</v>
      </c>
      <c r="BG179" s="111">
        <f>SUM(BF$179,'Statistics NZ'!BG$179-'Statistics NZ'!BF$179,$O$14/5*(BG$9-BG$10)*1000)</f>
        <v>39670.415964770596</v>
      </c>
      <c r="BH179" s="111">
        <f>SUM(BG$179,'Statistics NZ'!BH$179-'Statistics NZ'!BG$179,$O$14/5*(BH$9-BH$10)*1000)</f>
        <v>39650.415964770596</v>
      </c>
      <c r="BI179" s="111">
        <f>SUM(BH$179,'Statistics NZ'!BI$179-'Statistics NZ'!BH$179,$O$14/5*(BI$9-BI$10)*1000)</f>
        <v>39510.415964770596</v>
      </c>
      <c r="BJ179" s="111">
        <f>SUM(BI$179,'Statistics NZ'!BJ$179-'Statistics NZ'!BI$179,$O$14/5*(BJ$9-BJ$10)*1000)</f>
        <v>38340.415964770596</v>
      </c>
      <c r="BK179" s="111">
        <f>SUM(BJ$179,'Statistics NZ'!BK$179-'Statistics NZ'!BJ$179,$O$14/5*(BK$9-BK$10)*1000)</f>
        <v>38280.415964770596</v>
      </c>
      <c r="BL179" s="111">
        <f>SUM(BK$179,'Statistics NZ'!BL$179-'Statistics NZ'!BK$179,$O$14/5*(BL$9-BL$10)*1000)</f>
        <v>37480.415964770596</v>
      </c>
      <c r="BM179" s="195">
        <f>SUM(BL$179,'Statistics NZ'!BM$179-'Statistics NZ'!BL$179,$O$14/5*(BM$9-BM$10)*1000)</f>
        <v>38210.415964770596</v>
      </c>
      <c r="BN179" s="195">
        <f>SUM(BM$179,'Statistics NZ'!BN$179-'Statistics NZ'!BM$179,$O$14/5*(BN$9-BN$10)*1000)</f>
        <v>37830.415964770596</v>
      </c>
      <c r="BO179" s="195">
        <f>SUM(BN$179,'Statistics NZ'!BO$179-'Statistics NZ'!BN$179,$O$14/5*(BO$9-BO$10)*1000)</f>
        <v>36630.415964770596</v>
      </c>
      <c r="BP179" s="195">
        <f>SUM(BO$179,'Statistics NZ'!BP$179-'Statistics NZ'!BO$179,$O$14/5*(BP$9-BP$10)*1000)</f>
        <v>37200.415964770596</v>
      </c>
      <c r="BQ179" s="195">
        <f>SUM(BP$179,'Statistics NZ'!BQ$179-'Statistics NZ'!BP$179,$O$14/5*(BQ$9-BQ$10)*1000)</f>
        <v>37490.415964770596</v>
      </c>
    </row>
    <row r="180" spans="1:69">
      <c r="A180" s="105">
        <f>$A$87</f>
        <v>70</v>
      </c>
      <c r="B180" s="118">
        <f>'Statistics NZ'!B$180*'Economic Forecasts'!D$9*1000000/SUM('Statistics NZ'!B$32:B$107,'Statistics NZ'!B$125:B$200)</f>
        <v>12215.146587709931</v>
      </c>
      <c r="C180" s="118">
        <f>'Statistics NZ'!C$180*'Economic Forecasts'!E$9*1000000/SUM('Statistics NZ'!C$32:C$107,'Statistics NZ'!C$125:C$200)</f>
        <v>12737.049115394771</v>
      </c>
      <c r="D180" s="118">
        <f>'Statistics NZ'!D$180*'Economic Forecasts'!F$9*1000000/SUM('Statistics NZ'!D$32:D$107,'Statistics NZ'!D$125:D$200)</f>
        <v>13286.028464081041</v>
      </c>
      <c r="E180" s="118">
        <f>'Statistics NZ'!E$180*'Economic Forecasts'!G$9*1000000/SUM('Statistics NZ'!E$32:E$107,'Statistics NZ'!E$125:E$200)</f>
        <v>13541.694228603852</v>
      </c>
      <c r="F180" s="118">
        <f>'Statistics NZ'!F$180*'Economic Forecasts'!H$9*1000000/SUM('Statistics NZ'!F$32:F$107,'Statistics NZ'!F$125:F$200)</f>
        <v>15112.386239190362</v>
      </c>
      <c r="G180" s="118">
        <f>'Statistics NZ'!G$180*'Economic Forecasts'!I$9*1000000/SUM('Statistics NZ'!G$32:G$107,'Statistics NZ'!G$125:G$200)</f>
        <v>16148.863718811719</v>
      </c>
      <c r="H180" s="118">
        <f>'Statistics NZ'!H$180*'Economic Forecasts'!J$9*1000000/SUM('Statistics NZ'!H$32:H$107,'Statistics NZ'!H$125:H$200)</f>
        <v>16429.239974043572</v>
      </c>
      <c r="I180" s="118">
        <f>'Statistics NZ'!I$180*'Economic Forecasts'!K$9*1000000/SUM('Statistics NZ'!I$32:I$107,'Statistics NZ'!I$125:I$200)</f>
        <v>14751.615001231141</v>
      </c>
      <c r="J180" s="203">
        <f>'Statistics NZ'!J$180*'Economic Forecasts'!L$9*1000000/SUM('Statistics NZ'!J$32:J$107,'Statistics NZ'!J$125:J$200)</f>
        <v>16629.711635029933</v>
      </c>
      <c r="K180" s="203">
        <f>'Statistics NZ'!K$180*'Economic Forecasts'!M$9*1000000/SUM('Statistics NZ'!K$32:K$107,'Statistics NZ'!K$125:K$200)</f>
        <v>17154.996439103248</v>
      </c>
      <c r="L180" s="203">
        <f>'Statistics NZ'!L$180*'Economic Forecasts'!N$9*1000000/SUM('Statistics NZ'!L$32:L$107,'Statistics NZ'!L$125:L$200)</f>
        <v>18220.327263130115</v>
      </c>
      <c r="M180" s="203">
        <f>'Statistics NZ'!M$180*'Economic Forecasts'!O$9*1000000/SUM('Statistics NZ'!M$32:M$107,'Statistics NZ'!M$125:M$200)</f>
        <v>21473.822753984346</v>
      </c>
      <c r="N180" s="203">
        <f>'Statistics NZ'!N$180*'Economic Forecasts'!P$9*1000000/SUM('Statistics NZ'!N$32:N$107,'Statistics NZ'!N$125:N$200)</f>
        <v>21444.232243836806</v>
      </c>
      <c r="O180" s="203">
        <f>'Statistics NZ'!O$180*'Economic Forecasts'!Q$9*1000000/SUM('Statistics NZ'!O$32:O$107,'Statistics NZ'!O$125:O$200)</f>
        <v>21552.72514869893</v>
      </c>
      <c r="P180" s="203">
        <f>'Statistics NZ'!P$180*'Economic Forecasts'!R$9*1000000/SUM('Statistics NZ'!P$32:P$107,'Statistics NZ'!P$125:P$200)</f>
        <v>21938.221613696671</v>
      </c>
      <c r="Q180" s="121">
        <f>SUM('Statistics NZ'!Q$180,$P$14/5*(Q$9-Q$10)*1000)*'Economic Forecasts'!S$9*1000000/SUM('Statistics NZ'!Q$32:Q$107,'Statistics NZ'!Q$125:Q$200,SUM($E$13:$Q$14)*(Q$9-Q$10)*1000)</f>
        <v>22144.237668273403</v>
      </c>
      <c r="R180" s="205">
        <f>SUM('Statistics NZ'!R$180,$P$14/5*(R$9-R$10)*1000)*'Economic Forecasts'!T$9*1000000/SUM('Statistics NZ'!R$32:R$107,'Statistics NZ'!R$125:R$200,SUM($E$13:$Q$14)*(R$9-R$10)*1000)</f>
        <v>22536.43209591091</v>
      </c>
      <c r="S180" s="205">
        <f>SUM('Statistics NZ'!S$180,$P$14/5*(S$9-S$10)*1000)*'Economic Forecasts'!U$9*1000000/SUM('Statistics NZ'!S$32:S$107,'Statistics NZ'!S$125:S$200,SUM($E$13:$Q$14)*(S$9-S$10)*1000)</f>
        <v>22814.100136915542</v>
      </c>
      <c r="T180" s="205">
        <f>SUM('Statistics NZ'!T$180,$P$14/5*(T$9-T$10)*1000)*'Economic Forecasts'!V$9*1000000/SUM('Statistics NZ'!T$32:T$107,'Statistics NZ'!T$125:T$200,SUM($E$13:$Q$14)*(T$9-T$10)*1000)</f>
        <v>23529.676713517532</v>
      </c>
      <c r="U180" s="205">
        <f>SUM('Statistics NZ'!U$180,$P$14/5*(U$9-U$10)*1000)*'Economic Forecasts'!W$9*1000000/SUM('Statistics NZ'!U$32:U$107,'Statistics NZ'!U$125:U$200,SUM($E$13:$Q$14)*(U$9-U$10)*1000)</f>
        <v>24149.583566668465</v>
      </c>
      <c r="V180" s="111">
        <f>SUM(U$180,'Statistics NZ'!V$180-'Statistics NZ'!U$180,$P$14/5*(V$9-V$10)*1000)</f>
        <v>24861.083702377055</v>
      </c>
      <c r="W180" s="111">
        <f>SUM(V$180,'Statistics NZ'!W$180-'Statistics NZ'!V$180,$P$14/5*(W$9-W$10)*1000)</f>
        <v>25471.146321122073</v>
      </c>
      <c r="X180" s="111">
        <f>SUM(W$180,'Statistics NZ'!X$180-'Statistics NZ'!W$180,$P$14/5*(X$9-X$10)*1000)</f>
        <v>26159.771422903515</v>
      </c>
      <c r="Y180" s="111">
        <f>SUM(X$180,'Statistics NZ'!Y$180-'Statistics NZ'!X$180,$P$14/5*(Y$9-Y$10)*1000)</f>
        <v>27366.959007721383</v>
      </c>
      <c r="Z180" s="111">
        <f>SUM(Y$180,'Statistics NZ'!Z$180-'Statistics NZ'!Y$180,$P$14/5*(Z$9-Z$10)*1000)</f>
        <v>27882.70907557568</v>
      </c>
      <c r="AA180" s="111">
        <f>SUM(Z$180,'Statistics NZ'!AA$180-'Statistics NZ'!Z$180,$P$14/5*(AA$9-AA$10)*1000)</f>
        <v>28667.021626466401</v>
      </c>
      <c r="AB180" s="111">
        <f>SUM(AA$180,'Statistics NZ'!AB$180-'Statistics NZ'!AA$180,$P$14/5*(AB$9-AB$10)*1000)</f>
        <v>29619.896660393548</v>
      </c>
      <c r="AC180" s="111">
        <f>SUM(AB$180,'Statistics NZ'!AC$180-'Statistics NZ'!AB$180,$P$14/5*(AC$9-AC$10)*1000)</f>
        <v>29961.334177357123</v>
      </c>
      <c r="AD180" s="111">
        <f>SUM(AC$180,'Statistics NZ'!AD$180-'Statistics NZ'!AC$180,$P$14/5*(AD$9-AD$10)*1000)</f>
        <v>29701.334177357123</v>
      </c>
      <c r="AE180" s="111">
        <f>SUM(AD$180,'Statistics NZ'!AE$180-'Statistics NZ'!AD$180,$P$14/5*(AE$9-AE$10)*1000)</f>
        <v>29151.334177357123</v>
      </c>
      <c r="AF180" s="111">
        <f>SUM(AE$180,'Statistics NZ'!AF$180-'Statistics NZ'!AE$180,$P$14/5*(AF$9-AF$10)*1000)</f>
        <v>28841.334177357123</v>
      </c>
      <c r="AG180" s="111">
        <f>SUM(AF$180,'Statistics NZ'!AG$180-'Statistics NZ'!AF$180,$P$14/5*(AG$9-AG$10)*1000)</f>
        <v>28951.334177357123</v>
      </c>
      <c r="AH180" s="111">
        <f>SUM(AG$180,'Statistics NZ'!AH$180-'Statistics NZ'!AG$180,$P$14/5*(AH$9-AH$10)*1000)</f>
        <v>29571.334177357123</v>
      </c>
      <c r="AI180" s="111">
        <f>SUM(AH$180,'Statistics NZ'!AI$180-'Statistics NZ'!AH$180,$P$14/5*(AI$9-AI$10)*1000)</f>
        <v>30261.334177357123</v>
      </c>
      <c r="AJ180" s="111">
        <f>SUM(AI$180,'Statistics NZ'!AJ$180-'Statistics NZ'!AI$180,$P$14/5*(AJ$9-AJ$10)*1000)</f>
        <v>30391.334177357123</v>
      </c>
      <c r="AK180" s="111">
        <f>SUM(AJ$180,'Statistics NZ'!AK$180-'Statistics NZ'!AJ$180,$P$14/5*(AK$9-AK$10)*1000)</f>
        <v>31041.334177357123</v>
      </c>
      <c r="AL180" s="111">
        <f>SUM(AK$180,'Statistics NZ'!AL$180-'Statistics NZ'!AK$180,$P$14/5*(AL$9-AL$10)*1000)</f>
        <v>31111.334177357123</v>
      </c>
      <c r="AM180" s="111">
        <f>SUM(AL$180,'Statistics NZ'!AM$180-'Statistics NZ'!AL$180,$P$14/5*(AM$9-AM$10)*1000)</f>
        <v>30311.334177357123</v>
      </c>
      <c r="AN180" s="111">
        <f>SUM(AM$180,'Statistics NZ'!AN$180-'Statistics NZ'!AM$180,$P$14/5*(AN$9-AN$10)*1000)</f>
        <v>29231.334177357123</v>
      </c>
      <c r="AO180" s="111">
        <f>SUM(AN$180,'Statistics NZ'!AO$180-'Statistics NZ'!AN$180,$P$14/5*(AO$9-AO$10)*1000)</f>
        <v>28411.334177357123</v>
      </c>
      <c r="AP180" s="111">
        <f>SUM(AO$180,'Statistics NZ'!AP$180-'Statistics NZ'!AO$180,$P$14/5*(AP$9-AP$10)*1000)</f>
        <v>27971.334177357123</v>
      </c>
      <c r="AQ180" s="111">
        <f>SUM(AP$180,'Statistics NZ'!AQ$180-'Statistics NZ'!AP$180,$P$14/5*(AQ$9-AQ$10)*1000)</f>
        <v>28181.334177357123</v>
      </c>
      <c r="AR180" s="111">
        <f>SUM(AQ$180,'Statistics NZ'!AR$180-'Statistics NZ'!AQ$180,$P$14/5*(AR$9-AR$10)*1000)</f>
        <v>27931.334177357123</v>
      </c>
      <c r="AS180" s="111">
        <f>SUM(AR$180,'Statistics NZ'!AS$180-'Statistics NZ'!AR$180,$P$14/5*(AS$9-AS$10)*1000)</f>
        <v>28971.334177357123</v>
      </c>
      <c r="AT180" s="111">
        <f>SUM(AS$180,'Statistics NZ'!AT$180-'Statistics NZ'!AS$180,$P$14/5*(AT$9-AT$10)*1000)</f>
        <v>29721.334177357123</v>
      </c>
      <c r="AU180" s="111">
        <f>SUM(AT$180,'Statistics NZ'!AU$180-'Statistics NZ'!AT$180,$P$14/5*(AU$9-AU$10)*1000)</f>
        <v>30391.334177357123</v>
      </c>
      <c r="AV180" s="111">
        <f>SUM(AU$180,'Statistics NZ'!AV$180-'Statistics NZ'!AU$180,$P$14/5*(AV$9-AV$10)*1000)</f>
        <v>31191.334177357123</v>
      </c>
      <c r="AW180" s="111">
        <f>SUM(AV$180,'Statistics NZ'!AW$180-'Statistics NZ'!AV$180,$P$14/5*(AW$9-AW$10)*1000)</f>
        <v>32131.334177357123</v>
      </c>
      <c r="AX180" s="111">
        <f>SUM(AW$180,'Statistics NZ'!AX$180-'Statistics NZ'!AW$180,$P$14/5*(AX$9-AX$10)*1000)</f>
        <v>32671.334177357123</v>
      </c>
      <c r="AY180" s="111">
        <f>SUM(AX$180,'Statistics NZ'!AY$180-'Statistics NZ'!AX$180,$P$14/5*(AY$9-AY$10)*1000)</f>
        <v>33071.334177357123</v>
      </c>
      <c r="AZ180" s="111">
        <f>SUM(AY$180,'Statistics NZ'!AZ$180-'Statistics NZ'!AY$180,$P$14/5*(AZ$9-AZ$10)*1000)</f>
        <v>34011.334177357123</v>
      </c>
      <c r="BA180" s="111">
        <f>SUM(AZ$180,'Statistics NZ'!BA$180-'Statistics NZ'!AZ$180,$P$14/5*(BA$9-BA$10)*1000)</f>
        <v>35701.334177357123</v>
      </c>
      <c r="BB180" s="111">
        <f>SUM(BA$180,'Statistics NZ'!BB$180-'Statistics NZ'!BA$180,$P$14/5*(BB$9-BB$10)*1000)</f>
        <v>36991.334177357123</v>
      </c>
      <c r="BC180" s="111">
        <f>SUM(BB$180,'Statistics NZ'!BC$180-'Statistics NZ'!BB$180,$P$14/5*(BC$9-BC$10)*1000)</f>
        <v>37991.334177357123</v>
      </c>
      <c r="BD180" s="111">
        <f>SUM(BC$180,'Statistics NZ'!BD$180-'Statistics NZ'!BC$180,$P$14/5*(BD$9-BD$10)*1000)</f>
        <v>39811.334177357123</v>
      </c>
      <c r="BE180" s="111">
        <f>SUM(BD$180,'Statistics NZ'!BE$180-'Statistics NZ'!BD$180,$P$14/5*(BE$9-BE$10)*1000)</f>
        <v>40611.334177357123</v>
      </c>
      <c r="BF180" s="111">
        <f>SUM(BE$180,'Statistics NZ'!BF$180-'Statistics NZ'!BE$180,$P$14/5*(BF$9-BF$10)*1000)</f>
        <v>40811.334177357123</v>
      </c>
      <c r="BG180" s="111">
        <f>SUM(BF$180,'Statistics NZ'!BG$180-'Statistics NZ'!BF$180,$P$14/5*(BG$9-BG$10)*1000)</f>
        <v>40511.334177357123</v>
      </c>
      <c r="BH180" s="111">
        <f>SUM(BG$180,'Statistics NZ'!BH$180-'Statistics NZ'!BG$180,$P$14/5*(BH$9-BH$10)*1000)</f>
        <v>39411.334177357123</v>
      </c>
      <c r="BI180" s="111">
        <f>SUM(BH$180,'Statistics NZ'!BI$180-'Statistics NZ'!BH$180,$P$14/5*(BI$9-BI$10)*1000)</f>
        <v>39391.334177357123</v>
      </c>
      <c r="BJ180" s="111">
        <f>SUM(BI$180,'Statistics NZ'!BJ$180-'Statistics NZ'!BI$180,$P$14/5*(BJ$9-BJ$10)*1000)</f>
        <v>39261.334177357123</v>
      </c>
      <c r="BK180" s="111">
        <f>SUM(BJ$180,'Statistics NZ'!BK$180-'Statistics NZ'!BJ$180,$P$14/5*(BK$9-BK$10)*1000)</f>
        <v>38101.334177357123</v>
      </c>
      <c r="BL180" s="111">
        <f>SUM(BK$180,'Statistics NZ'!BL$180-'Statistics NZ'!BK$180,$P$14/5*(BL$9-BL$10)*1000)</f>
        <v>38041.334177357123</v>
      </c>
      <c r="BM180" s="195">
        <f>SUM(BL$180,'Statistics NZ'!BM$180-'Statistics NZ'!BL$180,$P$14/5*(BM$9-BM$10)*1000)</f>
        <v>37251.334177357123</v>
      </c>
      <c r="BN180" s="195">
        <f>SUM(BM$180,'Statistics NZ'!BN$180-'Statistics NZ'!BM$180,$P$14/5*(BN$9-BN$10)*1000)</f>
        <v>37981.334177357123</v>
      </c>
      <c r="BO180" s="195">
        <f>SUM(BN$180,'Statistics NZ'!BO$180-'Statistics NZ'!BN$180,$P$14/5*(BO$9-BO$10)*1000)</f>
        <v>37611.334177357123</v>
      </c>
      <c r="BP180" s="195">
        <f>SUM(BO$180,'Statistics NZ'!BP$180-'Statistics NZ'!BO$180,$P$14/5*(BP$9-BP$10)*1000)</f>
        <v>36421.334177357123</v>
      </c>
      <c r="BQ180" s="195">
        <f>SUM(BP$180,'Statistics NZ'!BQ$180-'Statistics NZ'!BP$180,$P$14/5*(BQ$9-BQ$10)*1000)</f>
        <v>36991.334177357123</v>
      </c>
    </row>
    <row r="181" spans="1:69">
      <c r="A181" s="105">
        <f>$A$88</f>
        <v>71</v>
      </c>
      <c r="B181" s="118">
        <f>'Statistics NZ'!B$181*'Economic Forecasts'!D$9*1000000/SUM('Statistics NZ'!B$32:B$107,'Statistics NZ'!B$125:B$200)</f>
        <v>11762.004053004563</v>
      </c>
      <c r="C181" s="118">
        <f>'Statistics NZ'!C$181*'Economic Forecasts'!E$9*1000000/SUM('Statistics NZ'!C$32:C$107,'Statistics NZ'!C$125:C$200)</f>
        <v>11908.943754951149</v>
      </c>
      <c r="D181" s="118">
        <f>'Statistics NZ'!D$181*'Economic Forecasts'!F$9*1000000/SUM('Statistics NZ'!D$32:D$107,'Statistics NZ'!D$125:D$200)</f>
        <v>12418.691294319073</v>
      </c>
      <c r="E181" s="118">
        <f>'Statistics NZ'!E$181*'Economic Forecasts'!G$9*1000000/SUM('Statistics NZ'!E$32:E$107,'Statistics NZ'!E$125:E$200)</f>
        <v>12970.480944779107</v>
      </c>
      <c r="F181" s="118">
        <f>'Statistics NZ'!F$181*'Economic Forecasts'!H$9*1000000/SUM('Statistics NZ'!F$32:F$107,'Statistics NZ'!F$125:F$200)</f>
        <v>13289.836399392307</v>
      </c>
      <c r="G181" s="118">
        <f>'Statistics NZ'!G$181*'Economic Forecasts'!I$9*1000000/SUM('Statistics NZ'!G$32:G$107,'Statistics NZ'!G$125:G$200)</f>
        <v>14808.872586561329</v>
      </c>
      <c r="H181" s="118">
        <f>'Statistics NZ'!H$181*'Economic Forecasts'!J$9*1000000/SUM('Statistics NZ'!H$32:H$107,'Statistics NZ'!H$125:H$200)</f>
        <v>15818.560790356103</v>
      </c>
      <c r="I181" s="118">
        <f>'Statistics NZ'!I$181*'Economic Forecasts'!K$9*1000000/SUM('Statistics NZ'!I$32:I$107,'Statistics NZ'!I$125:I$200)</f>
        <v>16149.032833235691</v>
      </c>
      <c r="J181" s="203">
        <f>'Statistics NZ'!J$181*'Economic Forecasts'!L$9*1000000/SUM('Statistics NZ'!J$32:J$107,'Statistics NZ'!J$125:J$200)</f>
        <v>14477.28441985762</v>
      </c>
      <c r="K181" s="203">
        <f>'Statistics NZ'!K$181*'Economic Forecasts'!M$9*1000000/SUM('Statistics NZ'!K$32:K$107,'Statistics NZ'!K$125:K$200)</f>
        <v>16280.543585105432</v>
      </c>
      <c r="L181" s="203">
        <f>'Statistics NZ'!L$181*'Economic Forecasts'!N$9*1000000/SUM('Statistics NZ'!L$32:L$107,'Statistics NZ'!L$125:L$200)</f>
        <v>16920.282290841908</v>
      </c>
      <c r="M181" s="203">
        <f>'Statistics NZ'!M$181*'Economic Forecasts'!O$9*1000000/SUM('Statistics NZ'!M$32:M$107,'Statistics NZ'!M$125:M$200)</f>
        <v>17937.537263763992</v>
      </c>
      <c r="N181" s="203">
        <f>'Statistics NZ'!N$181*'Economic Forecasts'!P$9*1000000/SUM('Statistics NZ'!N$32:N$107,'Statistics NZ'!N$125:N$200)</f>
        <v>21118.572021081807</v>
      </c>
      <c r="O181" s="203">
        <f>'Statistics NZ'!O$181*'Economic Forecasts'!Q$9*1000000/SUM('Statistics NZ'!O$32:O$107,'Statistics NZ'!O$125:O$200)</f>
        <v>21167.855056757879</v>
      </c>
      <c r="P181" s="203">
        <f>'Statistics NZ'!P$181*'Economic Forecasts'!R$9*1000000/SUM('Statistics NZ'!P$32:P$107,'Statistics NZ'!P$125:P$200)</f>
        <v>21434.689074408401</v>
      </c>
      <c r="Q181" s="121">
        <f>SUM('Statistics NZ'!Q$181,$P$14/5*(Q$9-Q$10)*1000)*'Economic Forecasts'!S$9*1000000/SUM('Statistics NZ'!Q$32:Q$107,'Statistics NZ'!Q$125:Q$200,SUM($E$13:$Q$14)*(Q$9-Q$10)*1000)</f>
        <v>21620.257242675289</v>
      </c>
      <c r="R181" s="205">
        <f>SUM('Statistics NZ'!R$181,$P$14/5*(R$9-R$10)*1000)*'Economic Forecasts'!T$9*1000000/SUM('Statistics NZ'!R$32:R$107,'Statistics NZ'!R$125:R$200,SUM($E$13:$Q$14)*(R$9-R$10)*1000)</f>
        <v>21795.043663016422</v>
      </c>
      <c r="S181" s="205">
        <f>SUM('Statistics NZ'!S$181,$P$14/5*(S$9-S$10)*1000)*'Economic Forecasts'!U$9*1000000/SUM('Statistics NZ'!S$32:S$107,'Statistics NZ'!S$125:S$200,SUM($E$13:$Q$14)*(S$9-S$10)*1000)</f>
        <v>22191.666688339719</v>
      </c>
      <c r="T181" s="205">
        <f>SUM('Statistics NZ'!T$181,$P$14/5*(T$9-T$10)*1000)*'Economic Forecasts'!V$9*1000000/SUM('Statistics NZ'!T$32:T$107,'Statistics NZ'!T$125:T$200,SUM($E$13:$Q$14)*(T$9-T$10)*1000)</f>
        <v>22492.351863082957</v>
      </c>
      <c r="U181" s="205">
        <f>SUM('Statistics NZ'!U$181,$P$14/5*(U$9-U$10)*1000)*'Economic Forecasts'!W$9*1000000/SUM('Statistics NZ'!U$32:U$107,'Statistics NZ'!U$125:U$200,SUM($E$13:$Q$14)*(U$9-U$10)*1000)</f>
        <v>23239.508048620228</v>
      </c>
      <c r="V181" s="111">
        <f>SUM(U$181,'Statistics NZ'!V$181-'Statistics NZ'!U$181,$P$14/5*(V$9-V$10)*1000)</f>
        <v>23841.008184328817</v>
      </c>
      <c r="W181" s="111">
        <f>SUM(V$181,'Statistics NZ'!W$181-'Statistics NZ'!V$181,$P$14/5*(W$9-W$10)*1000)</f>
        <v>24541.070803073835</v>
      </c>
      <c r="X181" s="111">
        <f>SUM(W$181,'Statistics NZ'!X$181-'Statistics NZ'!W$181,$P$14/5*(X$9-X$10)*1000)</f>
        <v>25149.695904855278</v>
      </c>
      <c r="Y181" s="111">
        <f>SUM(X$181,'Statistics NZ'!Y$181-'Statistics NZ'!X$181,$P$14/5*(Y$9-Y$10)*1000)</f>
        <v>25836.883489673146</v>
      </c>
      <c r="Z181" s="111">
        <f>SUM(Y$181,'Statistics NZ'!Z$181-'Statistics NZ'!Y$181,$P$14/5*(Z$9-Z$10)*1000)</f>
        <v>27032.633557527442</v>
      </c>
      <c r="AA181" s="111">
        <f>SUM(Z$181,'Statistics NZ'!AA$181-'Statistics NZ'!Z$181,$P$14/5*(AA$9-AA$10)*1000)</f>
        <v>27546.946108418164</v>
      </c>
      <c r="AB181" s="111">
        <f>SUM(AA$181,'Statistics NZ'!AB$181-'Statistics NZ'!AA$181,$P$14/5*(AB$9-AB$10)*1000)</f>
        <v>28329.82114234531</v>
      </c>
      <c r="AC181" s="111">
        <f>SUM(AB$181,'Statistics NZ'!AC$181-'Statistics NZ'!AB$181,$P$14/5*(AC$9-AC$10)*1000)</f>
        <v>29281.258659308885</v>
      </c>
      <c r="AD181" s="111">
        <f>SUM(AC$181,'Statistics NZ'!AD$181-'Statistics NZ'!AC$181,$P$14/5*(AD$9-AD$10)*1000)</f>
        <v>29611.258659308885</v>
      </c>
      <c r="AE181" s="111">
        <f>SUM(AD$181,'Statistics NZ'!AE$181-'Statistics NZ'!AD$181,$P$14/5*(AE$9-AE$10)*1000)</f>
        <v>29371.258659308885</v>
      </c>
      <c r="AF181" s="111">
        <f>SUM(AE$181,'Statistics NZ'!AF$181-'Statistics NZ'!AE$181,$P$14/5*(AF$9-AF$10)*1000)</f>
        <v>28831.258659308885</v>
      </c>
      <c r="AG181" s="111">
        <f>SUM(AF$181,'Statistics NZ'!AG$181-'Statistics NZ'!AF$181,$P$14/5*(AG$9-AG$10)*1000)</f>
        <v>28531.258659308885</v>
      </c>
      <c r="AH181" s="111">
        <f>SUM(AG$181,'Statistics NZ'!AH$181-'Statistics NZ'!AG$181,$P$14/5*(AH$9-AH$10)*1000)</f>
        <v>28641.258659308885</v>
      </c>
      <c r="AI181" s="111">
        <f>SUM(AH$181,'Statistics NZ'!AI$181-'Statistics NZ'!AH$181,$P$14/5*(AI$9-AI$10)*1000)</f>
        <v>29271.258659308885</v>
      </c>
      <c r="AJ181" s="111">
        <f>SUM(AI$181,'Statistics NZ'!AJ$181-'Statistics NZ'!AI$181,$P$14/5*(AJ$9-AJ$10)*1000)</f>
        <v>29961.258659308885</v>
      </c>
      <c r="AK181" s="111">
        <f>SUM(AJ$181,'Statistics NZ'!AK$181-'Statistics NZ'!AJ$181,$P$14/5*(AK$9-AK$10)*1000)</f>
        <v>30091.258659308885</v>
      </c>
      <c r="AL181" s="111">
        <f>SUM(AK$181,'Statistics NZ'!AL$181-'Statistics NZ'!AK$181,$P$14/5*(AL$9-AL$10)*1000)</f>
        <v>30741.258659308885</v>
      </c>
      <c r="AM181" s="111">
        <f>SUM(AL$181,'Statistics NZ'!AM$181-'Statistics NZ'!AL$181,$P$14/5*(AM$9-AM$10)*1000)</f>
        <v>30811.258659308885</v>
      </c>
      <c r="AN181" s="111">
        <f>SUM(AM$181,'Statistics NZ'!AN$181-'Statistics NZ'!AM$181,$P$14/5*(AN$9-AN$10)*1000)</f>
        <v>30031.258659308885</v>
      </c>
      <c r="AO181" s="111">
        <f>SUM(AN$181,'Statistics NZ'!AO$181-'Statistics NZ'!AN$181,$P$14/5*(AO$9-AO$10)*1000)</f>
        <v>28971.258659308885</v>
      </c>
      <c r="AP181" s="111">
        <f>SUM(AO$181,'Statistics NZ'!AP$181-'Statistics NZ'!AO$181,$P$14/5*(AP$9-AP$10)*1000)</f>
        <v>28161.258659308885</v>
      </c>
      <c r="AQ181" s="111">
        <f>SUM(AP$181,'Statistics NZ'!AQ$181-'Statistics NZ'!AP$181,$P$14/5*(AQ$9-AQ$10)*1000)</f>
        <v>27731.258659308885</v>
      </c>
      <c r="AR181" s="111">
        <f>SUM(AQ$181,'Statistics NZ'!AR$181-'Statistics NZ'!AQ$181,$P$14/5*(AR$9-AR$10)*1000)</f>
        <v>27941.258659308885</v>
      </c>
      <c r="AS181" s="111">
        <f>SUM(AR$181,'Statistics NZ'!AS$181-'Statistics NZ'!AR$181,$P$14/5*(AS$9-AS$10)*1000)</f>
        <v>27711.258659308885</v>
      </c>
      <c r="AT181" s="111">
        <f>SUM(AS$181,'Statistics NZ'!AT$181-'Statistics NZ'!AS$181,$P$14/5*(AT$9-AT$10)*1000)</f>
        <v>28741.258659308885</v>
      </c>
      <c r="AU181" s="111">
        <f>SUM(AT$181,'Statistics NZ'!AU$181-'Statistics NZ'!AT$181,$P$14/5*(AU$9-AU$10)*1000)</f>
        <v>29481.258659308885</v>
      </c>
      <c r="AV181" s="111">
        <f>SUM(AU$181,'Statistics NZ'!AV$181-'Statistics NZ'!AU$181,$P$14/5*(AV$9-AV$10)*1000)</f>
        <v>30161.258659308885</v>
      </c>
      <c r="AW181" s="111">
        <f>SUM(AV$181,'Statistics NZ'!AW$181-'Statistics NZ'!AV$181,$P$14/5*(AW$9-AW$10)*1000)</f>
        <v>30961.258659308885</v>
      </c>
      <c r="AX181" s="111">
        <f>SUM(AW$181,'Statistics NZ'!AX$181-'Statistics NZ'!AW$181,$P$14/5*(AX$9-AX$10)*1000)</f>
        <v>31891.258659308885</v>
      </c>
      <c r="AY181" s="111">
        <f>SUM(AX$181,'Statistics NZ'!AY$181-'Statistics NZ'!AX$181,$P$14/5*(AY$9-AY$10)*1000)</f>
        <v>32431.258659308885</v>
      </c>
      <c r="AZ181" s="111">
        <f>SUM(AY$181,'Statistics NZ'!AZ$181-'Statistics NZ'!AY$181,$P$14/5*(AZ$9-AZ$10)*1000)</f>
        <v>32841.258659308885</v>
      </c>
      <c r="BA181" s="111">
        <f>SUM(AZ$181,'Statistics NZ'!BA$181-'Statistics NZ'!AZ$181,$P$14/5*(BA$9-BA$10)*1000)</f>
        <v>33781.258659308885</v>
      </c>
      <c r="BB181" s="111">
        <f>SUM(BA$181,'Statistics NZ'!BB$181-'Statistics NZ'!BA$181,$P$14/5*(BB$9-BB$10)*1000)</f>
        <v>35451.258659308885</v>
      </c>
      <c r="BC181" s="111">
        <f>SUM(BB$181,'Statistics NZ'!BC$181-'Statistics NZ'!BB$181,$P$14/5*(BC$9-BC$10)*1000)</f>
        <v>36741.258659308885</v>
      </c>
      <c r="BD181" s="111">
        <f>SUM(BC$181,'Statistics NZ'!BD$181-'Statistics NZ'!BC$181,$P$14/5*(BD$9-BD$10)*1000)</f>
        <v>37731.258659308885</v>
      </c>
      <c r="BE181" s="111">
        <f>SUM(BD$181,'Statistics NZ'!BE$181-'Statistics NZ'!BD$181,$P$14/5*(BE$9-BE$10)*1000)</f>
        <v>39551.258659308885</v>
      </c>
      <c r="BF181" s="111">
        <f>SUM(BE$181,'Statistics NZ'!BF$181-'Statistics NZ'!BE$181,$P$14/5*(BF$9-BF$10)*1000)</f>
        <v>40351.258659308885</v>
      </c>
      <c r="BG181" s="111">
        <f>SUM(BF$181,'Statistics NZ'!BG$181-'Statistics NZ'!BF$181,$P$14/5*(BG$9-BG$10)*1000)</f>
        <v>40551.258659308885</v>
      </c>
      <c r="BH181" s="111">
        <f>SUM(BG$181,'Statistics NZ'!BH$181-'Statistics NZ'!BG$181,$P$14/5*(BH$9-BH$10)*1000)</f>
        <v>40261.258659308885</v>
      </c>
      <c r="BI181" s="111">
        <f>SUM(BH$181,'Statistics NZ'!BI$181-'Statistics NZ'!BH$181,$P$14/5*(BI$9-BI$10)*1000)</f>
        <v>39171.258659308885</v>
      </c>
      <c r="BJ181" s="111">
        <f>SUM(BI$181,'Statistics NZ'!BJ$181-'Statistics NZ'!BI$181,$P$14/5*(BJ$9-BJ$10)*1000)</f>
        <v>39161.258659308885</v>
      </c>
      <c r="BK181" s="111">
        <f>SUM(BJ$181,'Statistics NZ'!BK$181-'Statistics NZ'!BJ$181,$P$14/5*(BK$9-BK$10)*1000)</f>
        <v>39031.258659308885</v>
      </c>
      <c r="BL181" s="111">
        <f>SUM(BK$181,'Statistics NZ'!BL$181-'Statistics NZ'!BK$181,$P$14/5*(BL$9-BL$10)*1000)</f>
        <v>37891.258659308885</v>
      </c>
      <c r="BM181" s="195">
        <f>SUM(BL$181,'Statistics NZ'!BM$181-'Statistics NZ'!BL$181,$P$14/5*(BM$9-BM$10)*1000)</f>
        <v>37841.258659308885</v>
      </c>
      <c r="BN181" s="195">
        <f>SUM(BM$181,'Statistics NZ'!BN$181-'Statistics NZ'!BM$181,$P$14/5*(BN$9-BN$10)*1000)</f>
        <v>37061.258659308885</v>
      </c>
      <c r="BO181" s="195">
        <f>SUM(BN$181,'Statistics NZ'!BO$181-'Statistics NZ'!BN$181,$P$14/5*(BO$9-BO$10)*1000)</f>
        <v>37791.258659308885</v>
      </c>
      <c r="BP181" s="195">
        <f>SUM(BO$181,'Statistics NZ'!BP$181-'Statistics NZ'!BO$181,$P$14/5*(BP$9-BP$10)*1000)</f>
        <v>37421.258659308885</v>
      </c>
      <c r="BQ181" s="195">
        <f>SUM(BP$181,'Statistics NZ'!BQ$181-'Statistics NZ'!BP$181,$P$14/5*(BQ$9-BQ$10)*1000)</f>
        <v>36241.258659308885</v>
      </c>
    </row>
    <row r="182" spans="1:69">
      <c r="A182" s="105">
        <f>$A$89</f>
        <v>72</v>
      </c>
      <c r="B182" s="118">
        <f>'Statistics NZ'!B$182*'Economic Forecasts'!D$9*1000000/SUM('Statistics NZ'!B$32:B$107,'Statistics NZ'!B$125:B$200)</f>
        <v>11200.501346956604</v>
      </c>
      <c r="C182" s="118">
        <f>'Statistics NZ'!C$182*'Economic Forecasts'!E$9*1000000/SUM('Statistics NZ'!C$32:C$107,'Statistics NZ'!C$125:C$200)</f>
        <v>11494.891074729338</v>
      </c>
      <c r="D182" s="118">
        <f>'Statistics NZ'!D$182*'Economic Forecasts'!F$9*1000000/SUM('Statistics NZ'!D$32:D$107,'Statistics NZ'!D$125:D$200)</f>
        <v>11630.202958171831</v>
      </c>
      <c r="E182" s="118">
        <f>'Statistics NZ'!E$182*'Economic Forecasts'!G$9*1000000/SUM('Statistics NZ'!E$32:E$107,'Statistics NZ'!E$125:E$200)</f>
        <v>12103.812514148462</v>
      </c>
      <c r="F182" s="118">
        <f>'Statistics NZ'!F$182*'Economic Forecasts'!H$9*1000000/SUM('Statistics NZ'!F$32:F$107,'Statistics NZ'!F$125:F$200)</f>
        <v>12688.887533296733</v>
      </c>
      <c r="G182" s="118">
        <f>'Statistics NZ'!G$182*'Economic Forecasts'!I$9*1000000/SUM('Statistics NZ'!G$32:G$107,'Statistics NZ'!G$125:G$200)</f>
        <v>12976.237655689467</v>
      </c>
      <c r="H182" s="118">
        <f>'Statistics NZ'!H$182*'Economic Forecasts'!J$9*1000000/SUM('Statistics NZ'!H$32:H$107,'Statistics NZ'!H$125:H$200)</f>
        <v>14488.856116197898</v>
      </c>
      <c r="I182" s="118">
        <f>'Statistics NZ'!I$182*'Economic Forecasts'!K$9*1000000/SUM('Statistics NZ'!I$32:I$107,'Statistics NZ'!I$125:I$200)</f>
        <v>15499.528770473013</v>
      </c>
      <c r="J182" s="203">
        <f>'Statistics NZ'!J$182*'Economic Forecasts'!L$9*1000000/SUM('Statistics NZ'!J$32:J$107,'Statistics NZ'!J$125:J$200)</f>
        <v>15784.466244596972</v>
      </c>
      <c r="K182" s="203">
        <f>'Statistics NZ'!K$182*'Economic Forecasts'!M$9*1000000/SUM('Statistics NZ'!K$32:K$107,'Statistics NZ'!K$125:K$200)</f>
        <v>14168.101297357896</v>
      </c>
      <c r="L182" s="203">
        <f>'Statistics NZ'!L$182*'Economic Forecasts'!N$9*1000000/SUM('Statistics NZ'!L$32:L$107,'Statistics NZ'!L$125:L$200)</f>
        <v>16004.341514911586</v>
      </c>
      <c r="M182" s="203">
        <f>'Statistics NZ'!M$182*'Economic Forecasts'!O$9*1000000/SUM('Statistics NZ'!M$32:M$107,'Statistics NZ'!M$125:M$200)</f>
        <v>16588.035558582404</v>
      </c>
      <c r="N182" s="203">
        <f>'Statistics NZ'!N$182*'Economic Forecasts'!P$9*1000000/SUM('Statistics NZ'!N$32:N$107,'Statistics NZ'!N$125:N$200)</f>
        <v>17634.994486763175</v>
      </c>
      <c r="O182" s="203">
        <f>'Statistics NZ'!O$182*'Economic Forecasts'!Q$9*1000000/SUM('Statistics NZ'!O$32:O$107,'Statistics NZ'!O$125:O$200)</f>
        <v>20743.511109233128</v>
      </c>
      <c r="P182" s="203">
        <f>'Statistics NZ'!P$182*'Economic Forecasts'!R$9*1000000/SUM('Statistics NZ'!P$32:P$107,'Statistics NZ'!P$125:P$200)</f>
        <v>21049.634779658551</v>
      </c>
      <c r="Q182" s="121">
        <f>SUM('Statistics NZ'!Q$182,$P$14/5*(Q$9-Q$10)*1000)*'Economic Forecasts'!S$9*1000000/SUM('Statistics NZ'!Q$32:Q$107,'Statistics NZ'!Q$125:Q$200,SUM($E$13:$Q$14)*(Q$9-Q$10)*1000)</f>
        <v>21086.390393952679</v>
      </c>
      <c r="R182" s="205">
        <f>SUM('Statistics NZ'!R$182,$P$14/5*(R$9-R$10)*1000)*'Economic Forecasts'!T$9*1000000/SUM('Statistics NZ'!R$32:R$107,'Statistics NZ'!R$125:R$200,SUM($E$13:$Q$14)*(R$9-R$10)*1000)</f>
        <v>21241.473633121874</v>
      </c>
      <c r="S182" s="205">
        <f>SUM('Statistics NZ'!S$182,$P$14/5*(S$9-S$10)*1000)*'Economic Forecasts'!U$9*1000000/SUM('Statistics NZ'!S$32:S$107,'Statistics NZ'!S$125:S$200,SUM($E$13:$Q$14)*(S$9-S$10)*1000)</f>
        <v>21430.914695635933</v>
      </c>
      <c r="T182" s="205">
        <f>SUM('Statistics NZ'!T$182,$P$14/5*(T$9-T$10)*1000)*'Economic Forecasts'!V$9*1000000/SUM('Statistics NZ'!T$32:T$107,'Statistics NZ'!T$125:T$200,SUM($E$13:$Q$14)*(T$9-T$10)*1000)</f>
        <v>21840.319099952652</v>
      </c>
      <c r="U182" s="205">
        <f>SUM('Statistics NZ'!U$182,$P$14/5*(U$9-U$10)*1000)*'Economic Forecasts'!W$9*1000000/SUM('Statistics NZ'!U$32:U$107,'Statistics NZ'!U$125:U$200,SUM($E$13:$Q$14)*(U$9-U$10)*1000)</f>
        <v>22171.158527433163</v>
      </c>
      <c r="V182" s="111">
        <f>SUM(U$182,'Statistics NZ'!V$182-'Statistics NZ'!U$182,$P$14/5*(V$9-V$10)*1000)</f>
        <v>22892.658663141752</v>
      </c>
      <c r="W182" s="111">
        <f>SUM(V$182,'Statistics NZ'!W$182-'Statistics NZ'!V$182,$P$14/5*(W$9-W$10)*1000)</f>
        <v>23492.72128188677</v>
      </c>
      <c r="X182" s="111">
        <f>SUM(W$182,'Statistics NZ'!X$182-'Statistics NZ'!W$182,$P$14/5*(X$9-X$10)*1000)</f>
        <v>24191.346383668213</v>
      </c>
      <c r="Y182" s="111">
        <f>SUM(X$182,'Statistics NZ'!Y$182-'Statistics NZ'!X$182,$P$14/5*(Y$9-Y$10)*1000)</f>
        <v>24798.533968486081</v>
      </c>
      <c r="Z182" s="111">
        <f>SUM(Y$182,'Statistics NZ'!Z$182-'Statistics NZ'!Y$182,$P$14/5*(Z$9-Z$10)*1000)</f>
        <v>25474.284036340377</v>
      </c>
      <c r="AA182" s="111">
        <f>SUM(Z$182,'Statistics NZ'!AA$182-'Statistics NZ'!Z$182,$P$14/5*(AA$9-AA$10)*1000)</f>
        <v>26668.596587231099</v>
      </c>
      <c r="AB182" s="111">
        <f>SUM(AA$182,'Statistics NZ'!AB$182-'Statistics NZ'!AA$182,$P$14/5*(AB$9-AB$10)*1000)</f>
        <v>27171.471621158245</v>
      </c>
      <c r="AC182" s="111">
        <f>SUM(AB$182,'Statistics NZ'!AC$182-'Statistics NZ'!AB$182,$P$14/5*(AC$9-AC$10)*1000)</f>
        <v>27952.90913812182</v>
      </c>
      <c r="AD182" s="111">
        <f>SUM(AC$182,'Statistics NZ'!AD$182-'Statistics NZ'!AC$182,$P$14/5*(AD$9-AD$10)*1000)</f>
        <v>28892.90913812182</v>
      </c>
      <c r="AE182" s="111">
        <f>SUM(AD$182,'Statistics NZ'!AE$182-'Statistics NZ'!AD$182,$P$14/5*(AE$9-AE$10)*1000)</f>
        <v>29242.90913812182</v>
      </c>
      <c r="AF182" s="111">
        <f>SUM(AE$182,'Statistics NZ'!AF$182-'Statistics NZ'!AE$182,$P$14/5*(AF$9-AF$10)*1000)</f>
        <v>29002.90913812182</v>
      </c>
      <c r="AG182" s="111">
        <f>SUM(AF$182,'Statistics NZ'!AG$182-'Statistics NZ'!AF$182,$P$14/5*(AG$9-AG$10)*1000)</f>
        <v>28482.90913812182</v>
      </c>
      <c r="AH182" s="111">
        <f>SUM(AG$182,'Statistics NZ'!AH$182-'Statistics NZ'!AG$182,$P$14/5*(AH$9-AH$10)*1000)</f>
        <v>28192.90913812182</v>
      </c>
      <c r="AI182" s="111">
        <f>SUM(AH$182,'Statistics NZ'!AI$182-'Statistics NZ'!AH$182,$P$14/5*(AI$9-AI$10)*1000)</f>
        <v>28312.90913812182</v>
      </c>
      <c r="AJ182" s="111">
        <f>SUM(AI$182,'Statistics NZ'!AJ$182-'Statistics NZ'!AI$182,$P$14/5*(AJ$9-AJ$10)*1000)</f>
        <v>28932.90913812182</v>
      </c>
      <c r="AK182" s="111">
        <f>SUM(AJ$182,'Statistics NZ'!AK$182-'Statistics NZ'!AJ$182,$P$14/5*(AK$9-AK$10)*1000)</f>
        <v>29622.90913812182</v>
      </c>
      <c r="AL182" s="111">
        <f>SUM(AK$182,'Statistics NZ'!AL$182-'Statistics NZ'!AK$182,$P$14/5*(AL$9-AL$10)*1000)</f>
        <v>29762.90913812182</v>
      </c>
      <c r="AM182" s="111">
        <f>SUM(AL$182,'Statistics NZ'!AM$182-'Statistics NZ'!AL$182,$P$14/5*(AM$9-AM$10)*1000)</f>
        <v>30412.90913812182</v>
      </c>
      <c r="AN182" s="111">
        <f>SUM(AM$182,'Statistics NZ'!AN$182-'Statistics NZ'!AM$182,$P$14/5*(AN$9-AN$10)*1000)</f>
        <v>30492.90913812182</v>
      </c>
      <c r="AO182" s="111">
        <f>SUM(AN$182,'Statistics NZ'!AO$182-'Statistics NZ'!AN$182,$P$14/5*(AO$9-AO$10)*1000)</f>
        <v>29722.90913812182</v>
      </c>
      <c r="AP182" s="111">
        <f>SUM(AO$182,'Statistics NZ'!AP$182-'Statistics NZ'!AO$182,$P$14/5*(AP$9-AP$10)*1000)</f>
        <v>28672.90913812182</v>
      </c>
      <c r="AQ182" s="111">
        <f>SUM(AP$182,'Statistics NZ'!AQ$182-'Statistics NZ'!AP$182,$P$14/5*(AQ$9-AQ$10)*1000)</f>
        <v>27892.90913812182</v>
      </c>
      <c r="AR182" s="111">
        <f>SUM(AQ$182,'Statistics NZ'!AR$182-'Statistics NZ'!AQ$182,$P$14/5*(AR$9-AR$10)*1000)</f>
        <v>27462.90913812182</v>
      </c>
      <c r="AS182" s="111">
        <f>SUM(AR$182,'Statistics NZ'!AS$182-'Statistics NZ'!AR$182,$P$14/5*(AS$9-AS$10)*1000)</f>
        <v>27682.90913812182</v>
      </c>
      <c r="AT182" s="111">
        <f>SUM(AS$182,'Statistics NZ'!AT$182-'Statistics NZ'!AS$182,$P$14/5*(AT$9-AT$10)*1000)</f>
        <v>27452.90913812182</v>
      </c>
      <c r="AU182" s="111">
        <f>SUM(AT$182,'Statistics NZ'!AU$182-'Statistics NZ'!AT$182,$P$14/5*(AU$9-AU$10)*1000)</f>
        <v>28482.90913812182</v>
      </c>
      <c r="AV182" s="111">
        <f>SUM(AU$182,'Statistics NZ'!AV$182-'Statistics NZ'!AU$182,$P$14/5*(AV$9-AV$10)*1000)</f>
        <v>29222.90913812182</v>
      </c>
      <c r="AW182" s="111">
        <f>SUM(AV$182,'Statistics NZ'!AW$182-'Statistics NZ'!AV$182,$P$14/5*(AW$9-AW$10)*1000)</f>
        <v>29902.90913812182</v>
      </c>
      <c r="AX182" s="111">
        <f>SUM(AW$182,'Statistics NZ'!AX$182-'Statistics NZ'!AW$182,$P$14/5*(AX$9-AX$10)*1000)</f>
        <v>30692.90913812182</v>
      </c>
      <c r="AY182" s="111">
        <f>SUM(AX$182,'Statistics NZ'!AY$182-'Statistics NZ'!AX$182,$P$14/5*(AY$9-AY$10)*1000)</f>
        <v>31622.90913812182</v>
      </c>
      <c r="AZ182" s="111">
        <f>SUM(AY$182,'Statistics NZ'!AZ$182-'Statistics NZ'!AY$182,$P$14/5*(AZ$9-AZ$10)*1000)</f>
        <v>32172.90913812182</v>
      </c>
      <c r="BA182" s="111">
        <f>SUM(AZ$182,'Statistics NZ'!BA$182-'Statistics NZ'!AZ$182,$P$14/5*(BA$9-BA$10)*1000)</f>
        <v>32572.90913812182</v>
      </c>
      <c r="BB182" s="111">
        <f>SUM(BA$182,'Statistics NZ'!BB$182-'Statistics NZ'!BA$182,$P$14/5*(BB$9-BB$10)*1000)</f>
        <v>33512.909138121817</v>
      </c>
      <c r="BC182" s="111">
        <f>SUM(BB$182,'Statistics NZ'!BC$182-'Statistics NZ'!BB$182,$P$14/5*(BC$9-BC$10)*1000)</f>
        <v>35182.909138121817</v>
      </c>
      <c r="BD182" s="111">
        <f>SUM(BC$182,'Statistics NZ'!BD$182-'Statistics NZ'!BC$182,$P$14/5*(BD$9-BD$10)*1000)</f>
        <v>36462.909138121817</v>
      </c>
      <c r="BE182" s="111">
        <f>SUM(BD$182,'Statistics NZ'!BE$182-'Statistics NZ'!BD$182,$P$14/5*(BE$9-BE$10)*1000)</f>
        <v>37452.909138121817</v>
      </c>
      <c r="BF182" s="111">
        <f>SUM(BE$182,'Statistics NZ'!BF$182-'Statistics NZ'!BE$182,$P$14/5*(BF$9-BF$10)*1000)</f>
        <v>39262.909138121817</v>
      </c>
      <c r="BG182" s="111">
        <f>SUM(BF$182,'Statistics NZ'!BG$182-'Statistics NZ'!BF$182,$P$14/5*(BG$9-BG$10)*1000)</f>
        <v>40062.909138121817</v>
      </c>
      <c r="BH182" s="111">
        <f>SUM(BG$182,'Statistics NZ'!BH$182-'Statistics NZ'!BG$182,$P$14/5*(BH$9-BH$10)*1000)</f>
        <v>40272.909138121817</v>
      </c>
      <c r="BI182" s="111">
        <f>SUM(BH$182,'Statistics NZ'!BI$182-'Statistics NZ'!BH$182,$P$14/5*(BI$9-BI$10)*1000)</f>
        <v>39982.909138121817</v>
      </c>
      <c r="BJ182" s="111">
        <f>SUM(BI$182,'Statistics NZ'!BJ$182-'Statistics NZ'!BI$182,$P$14/5*(BJ$9-BJ$10)*1000)</f>
        <v>38912.909138121817</v>
      </c>
      <c r="BK182" s="111">
        <f>SUM(BJ$182,'Statistics NZ'!BK$182-'Statistics NZ'!BJ$182,$P$14/5*(BK$9-BK$10)*1000)</f>
        <v>38912.909138121817</v>
      </c>
      <c r="BL182" s="111">
        <f>SUM(BK$182,'Statistics NZ'!BL$182-'Statistics NZ'!BK$182,$P$14/5*(BL$9-BL$10)*1000)</f>
        <v>38782.909138121817</v>
      </c>
      <c r="BM182" s="195">
        <f>SUM(BL$182,'Statistics NZ'!BM$182-'Statistics NZ'!BL$182,$P$14/5*(BM$9-BM$10)*1000)</f>
        <v>37662.909138121817</v>
      </c>
      <c r="BN182" s="195">
        <f>SUM(BM$182,'Statistics NZ'!BN$182-'Statistics NZ'!BM$182,$P$14/5*(BN$9-BN$10)*1000)</f>
        <v>37602.909138121817</v>
      </c>
      <c r="BO182" s="195">
        <f>SUM(BN$182,'Statistics NZ'!BO$182-'Statistics NZ'!BN$182,$P$14/5*(BO$9-BO$10)*1000)</f>
        <v>36832.909138121817</v>
      </c>
      <c r="BP182" s="195">
        <f>SUM(BO$182,'Statistics NZ'!BP$182-'Statistics NZ'!BO$182,$P$14/5*(BP$9-BP$10)*1000)</f>
        <v>37562.909138121817</v>
      </c>
      <c r="BQ182" s="195">
        <f>SUM(BP$182,'Statistics NZ'!BQ$182-'Statistics NZ'!BP$182,$P$14/5*(BQ$9-BQ$10)*1000)</f>
        <v>37202.909138121817</v>
      </c>
    </row>
    <row r="183" spans="1:69">
      <c r="A183" s="105">
        <f>$A$90</f>
        <v>73</v>
      </c>
      <c r="B183" s="118">
        <f>'Statistics NZ'!B$183*'Economic Forecasts'!D$9*1000000/SUM('Statistics NZ'!B$32:B$107,'Statistics NZ'!B$125:B$200)</f>
        <v>10727.656962916219</v>
      </c>
      <c r="C183" s="118">
        <f>'Statistics NZ'!C$183*'Economic Forecasts'!E$9*1000000/SUM('Statistics NZ'!C$32:C$107,'Statistics NZ'!C$125:C$200)</f>
        <v>10873.81205439662</v>
      </c>
      <c r="D183" s="118">
        <f>'Statistics NZ'!D$183*'Economic Forecasts'!F$9*1000000/SUM('Statistics NZ'!D$32:D$107,'Statistics NZ'!D$125:D$200)</f>
        <v>11196.534373290848</v>
      </c>
      <c r="E183" s="118">
        <f>'Statistics NZ'!E$183*'Economic Forecasts'!G$9*1000000/SUM('Statistics NZ'!E$32:E$107,'Statistics NZ'!E$125:E$200)</f>
        <v>11286.386607985465</v>
      </c>
      <c r="F183" s="118">
        <f>'Statistics NZ'!F$183*'Economic Forecasts'!H$9*1000000/SUM('Statistics NZ'!F$32:F$107,'Statistics NZ'!F$125:F$200)</f>
        <v>11802.241665286867</v>
      </c>
      <c r="G183" s="118">
        <f>'Statistics NZ'!G$183*'Economic Forecasts'!I$9*1000000/SUM('Statistics NZ'!G$32:G$107,'Statistics NZ'!G$125:G$200)</f>
        <v>12355.506469426417</v>
      </c>
      <c r="H183" s="118">
        <f>'Statistics NZ'!H$183*'Economic Forecasts'!J$9*1000000/SUM('Statistics NZ'!H$32:H$107,'Statistics NZ'!H$125:H$200)</f>
        <v>12637.119236629438</v>
      </c>
      <c r="I183" s="118">
        <f>'Statistics NZ'!I$183*'Economic Forecasts'!K$9*1000000/SUM('Statistics NZ'!I$32:I$107,'Statistics NZ'!I$125:I$200)</f>
        <v>14131.633850412218</v>
      </c>
      <c r="J183" s="203">
        <f>'Statistics NZ'!J$183*'Economic Forecasts'!L$9*1000000/SUM('Statistics NZ'!J$32:J$107,'Statistics NZ'!J$125:J$200)</f>
        <v>15086.647375751152</v>
      </c>
      <c r="K183" s="203">
        <f>'Statistics NZ'!K$183*'Economic Forecasts'!M$9*1000000/SUM('Statistics NZ'!K$32:K$107,'Statistics NZ'!K$125:K$200)</f>
        <v>15386.440105175079</v>
      </c>
      <c r="L183" s="203">
        <f>'Statistics NZ'!L$183*'Economic Forecasts'!N$9*1000000/SUM('Statistics NZ'!L$32:L$107,'Statistics NZ'!L$125:L$200)</f>
        <v>13876.995196621798</v>
      </c>
      <c r="M183" s="203">
        <f>'Statistics NZ'!M$183*'Economic Forecasts'!O$9*1000000/SUM('Statistics NZ'!M$32:M$107,'Statistics NZ'!M$125:M$200)</f>
        <v>15652.24970462437</v>
      </c>
      <c r="N183" s="203">
        <f>'Statistics NZ'!N$183*'Economic Forecasts'!P$9*1000000/SUM('Statistics NZ'!N$32:N$107,'Statistics NZ'!N$125:N$200)</f>
        <v>16243.537171355447</v>
      </c>
      <c r="O183" s="203">
        <f>'Statistics NZ'!O$183*'Economic Forecasts'!Q$9*1000000/SUM('Statistics NZ'!O$32:O$107,'Statistics NZ'!O$125:O$200)</f>
        <v>17259.943353971808</v>
      </c>
      <c r="P183" s="203">
        <f>'Statistics NZ'!P$183*'Economic Forecasts'!R$9*1000000/SUM('Statistics NZ'!P$32:P$107,'Statistics NZ'!P$125:P$200)</f>
        <v>20536.229053325413</v>
      </c>
      <c r="Q183" s="121">
        <f>SUM('Statistics NZ'!Q$183,$P$14/5*(Q$9-Q$10)*1000)*'Economic Forecasts'!S$9*1000000/SUM('Statistics NZ'!Q$32:Q$107,'Statistics NZ'!Q$125:Q$200,SUM($E$13:$Q$14)*(Q$9-Q$10)*1000)</f>
        <v>20661.274199599495</v>
      </c>
      <c r="R183" s="205">
        <f>SUM('Statistics NZ'!R$183,$P$14/5*(R$9-R$10)*1000)*'Economic Forecasts'!T$9*1000000/SUM('Statistics NZ'!R$32:R$107,'Statistics NZ'!R$125:R$200,SUM($E$13:$Q$14)*(R$9-R$10)*1000)</f>
        <v>20668.133245016805</v>
      </c>
      <c r="S183" s="205">
        <f>SUM('Statistics NZ'!S$183,$P$14/5*(S$9-S$10)*1000)*'Economic Forecasts'!U$9*1000000/SUM('Statistics NZ'!S$32:S$107,'Statistics NZ'!S$125:S$200,SUM($E$13:$Q$14)*(S$9-S$10)*1000)</f>
        <v>20828.241039078392</v>
      </c>
      <c r="T183" s="205">
        <f>SUM('Statistics NZ'!T$183,$P$14/5*(T$9-T$10)*1000)*'Economic Forecasts'!V$9*1000000/SUM('Statistics NZ'!T$32:T$107,'Statistics NZ'!T$125:T$200,SUM($E$13:$Q$14)*(T$9-T$10)*1000)</f>
        <v>21040.097072474553</v>
      </c>
      <c r="U183" s="205">
        <f>SUM('Statistics NZ'!U$183,$P$14/5*(U$9-U$10)*1000)*'Economic Forecasts'!W$9*1000000/SUM('Statistics NZ'!U$32:U$107,'Statistics NZ'!U$125:U$200,SUM($E$13:$Q$14)*(U$9-U$10)*1000)</f>
        <v>21478.709763700808</v>
      </c>
      <c r="V183" s="111">
        <f>SUM(U$183,'Statistics NZ'!V$183-'Statistics NZ'!U$183,$P$14/5*(V$9-V$10)*1000)</f>
        <v>21800.209899409398</v>
      </c>
      <c r="W183" s="111">
        <f>SUM(V$183,'Statistics NZ'!W$183-'Statistics NZ'!V$183,$P$14/5*(W$9-W$10)*1000)</f>
        <v>22510.272518154416</v>
      </c>
      <c r="X183" s="111">
        <f>SUM(W$183,'Statistics NZ'!X$183-'Statistics NZ'!W$183,$P$14/5*(X$9-X$10)*1000)</f>
        <v>23108.897619935859</v>
      </c>
      <c r="Y183" s="111">
        <f>SUM(X$183,'Statistics NZ'!Y$183-'Statistics NZ'!X$183,$P$14/5*(Y$9-Y$10)*1000)</f>
        <v>23806.085204753726</v>
      </c>
      <c r="Z183" s="111">
        <f>SUM(Y$183,'Statistics NZ'!Z$183-'Statistics NZ'!Y$183,$P$14/5*(Z$9-Z$10)*1000)</f>
        <v>24411.835272608023</v>
      </c>
      <c r="AA183" s="111">
        <f>SUM(Z$183,'Statistics NZ'!AA$183-'Statistics NZ'!Z$183,$P$14/5*(AA$9-AA$10)*1000)</f>
        <v>25076.147823498744</v>
      </c>
      <c r="AB183" s="111">
        <f>SUM(AA$183,'Statistics NZ'!AB$183-'Statistics NZ'!AA$183,$P$14/5*(AB$9-AB$10)*1000)</f>
        <v>26259.022857425891</v>
      </c>
      <c r="AC183" s="111">
        <f>SUM(AB$183,'Statistics NZ'!AC$183-'Statistics NZ'!AB$183,$P$14/5*(AC$9-AC$10)*1000)</f>
        <v>26760.460374389466</v>
      </c>
      <c r="AD183" s="111">
        <f>SUM(AC$183,'Statistics NZ'!AD$183-'Statistics NZ'!AC$183,$P$14/5*(AD$9-AD$10)*1000)</f>
        <v>27540.460374389466</v>
      </c>
      <c r="AE183" s="111">
        <f>SUM(AD$183,'Statistics NZ'!AE$183-'Statistics NZ'!AD$183,$P$14/5*(AE$9-AE$10)*1000)</f>
        <v>28470.460374389466</v>
      </c>
      <c r="AF183" s="111">
        <f>SUM(AE$183,'Statistics NZ'!AF$183-'Statistics NZ'!AE$183,$P$14/5*(AF$9-AF$10)*1000)</f>
        <v>28820.460374389466</v>
      </c>
      <c r="AG183" s="111">
        <f>SUM(AF$183,'Statistics NZ'!AG$183-'Statistics NZ'!AF$183,$P$14/5*(AG$9-AG$10)*1000)</f>
        <v>28600.460374389466</v>
      </c>
      <c r="AH183" s="111">
        <f>SUM(AG$183,'Statistics NZ'!AH$183-'Statistics NZ'!AG$183,$P$14/5*(AH$9-AH$10)*1000)</f>
        <v>28090.460374389466</v>
      </c>
      <c r="AI183" s="111">
        <f>SUM(AH$183,'Statistics NZ'!AI$183-'Statistics NZ'!AH$183,$P$14/5*(AI$9-AI$10)*1000)</f>
        <v>27820.460374389466</v>
      </c>
      <c r="AJ183" s="111">
        <f>SUM(AI$183,'Statistics NZ'!AJ$183-'Statistics NZ'!AI$183,$P$14/5*(AJ$9-AJ$10)*1000)</f>
        <v>27940.460374389466</v>
      </c>
      <c r="AK183" s="111">
        <f>SUM(AJ$183,'Statistics NZ'!AK$183-'Statistics NZ'!AJ$183,$P$14/5*(AK$9-AK$10)*1000)</f>
        <v>28560.460374389466</v>
      </c>
      <c r="AL183" s="111">
        <f>SUM(AK$183,'Statistics NZ'!AL$183-'Statistics NZ'!AK$183,$P$14/5*(AL$9-AL$10)*1000)</f>
        <v>29250.460374389466</v>
      </c>
      <c r="AM183" s="111">
        <f>SUM(AL$183,'Statistics NZ'!AM$183-'Statistics NZ'!AL$183,$P$14/5*(AM$9-AM$10)*1000)</f>
        <v>29390.460374389466</v>
      </c>
      <c r="AN183" s="111">
        <f>SUM(AM$183,'Statistics NZ'!AN$183-'Statistics NZ'!AM$183,$P$14/5*(AN$9-AN$10)*1000)</f>
        <v>30040.460374389466</v>
      </c>
      <c r="AO183" s="111">
        <f>SUM(AN$183,'Statistics NZ'!AO$183-'Statistics NZ'!AN$183,$P$14/5*(AO$9-AO$10)*1000)</f>
        <v>30130.460374389466</v>
      </c>
      <c r="AP183" s="111">
        <f>SUM(AO$183,'Statistics NZ'!AP$183-'Statistics NZ'!AO$183,$P$14/5*(AP$9-AP$10)*1000)</f>
        <v>29380.460374389466</v>
      </c>
      <c r="AQ183" s="111">
        <f>SUM(AP$183,'Statistics NZ'!AQ$183-'Statistics NZ'!AP$183,$P$14/5*(AQ$9-AQ$10)*1000)</f>
        <v>28350.460374389466</v>
      </c>
      <c r="AR183" s="111">
        <f>SUM(AQ$183,'Statistics NZ'!AR$183-'Statistics NZ'!AQ$183,$P$14/5*(AR$9-AR$10)*1000)</f>
        <v>27580.460374389466</v>
      </c>
      <c r="AS183" s="111">
        <f>SUM(AR$183,'Statistics NZ'!AS$183-'Statistics NZ'!AR$183,$P$14/5*(AS$9-AS$10)*1000)</f>
        <v>27170.460374389466</v>
      </c>
      <c r="AT183" s="111">
        <f>SUM(AS$183,'Statistics NZ'!AT$183-'Statistics NZ'!AS$183,$P$14/5*(AT$9-AT$10)*1000)</f>
        <v>27390.460374389466</v>
      </c>
      <c r="AU183" s="111">
        <f>SUM(AT$183,'Statistics NZ'!AU$183-'Statistics NZ'!AT$183,$P$14/5*(AU$9-AU$10)*1000)</f>
        <v>27170.460374389466</v>
      </c>
      <c r="AV183" s="111">
        <f>SUM(AU$183,'Statistics NZ'!AV$183-'Statistics NZ'!AU$183,$P$14/5*(AV$9-AV$10)*1000)</f>
        <v>28190.460374389466</v>
      </c>
      <c r="AW183" s="111">
        <f>SUM(AV$183,'Statistics NZ'!AW$183-'Statistics NZ'!AV$183,$P$14/5*(AW$9-AW$10)*1000)</f>
        <v>28930.460374389466</v>
      </c>
      <c r="AX183" s="111">
        <f>SUM(AW$183,'Statistics NZ'!AX$183-'Statistics NZ'!AW$183,$P$14/5*(AX$9-AX$10)*1000)</f>
        <v>29610.460374389466</v>
      </c>
      <c r="AY183" s="111">
        <f>SUM(AX$183,'Statistics NZ'!AY$183-'Statistics NZ'!AX$183,$P$14/5*(AY$9-AY$10)*1000)</f>
        <v>30400.460374389466</v>
      </c>
      <c r="AZ183" s="111">
        <f>SUM(AY$183,'Statistics NZ'!AZ$183-'Statistics NZ'!AY$183,$P$14/5*(AZ$9-AZ$10)*1000)</f>
        <v>31320.460374389466</v>
      </c>
      <c r="BA183" s="111">
        <f>SUM(AZ$183,'Statistics NZ'!BA$183-'Statistics NZ'!AZ$183,$P$14/5*(BA$9-BA$10)*1000)</f>
        <v>31870.460374389466</v>
      </c>
      <c r="BB183" s="111">
        <f>SUM(BA$183,'Statistics NZ'!BB$183-'Statistics NZ'!BA$183,$P$14/5*(BB$9-BB$10)*1000)</f>
        <v>32280.460374389466</v>
      </c>
      <c r="BC183" s="111">
        <f>SUM(BB$183,'Statistics NZ'!BC$183-'Statistics NZ'!BB$183,$P$14/5*(BC$9-BC$10)*1000)</f>
        <v>33210.46037438947</v>
      </c>
      <c r="BD183" s="111">
        <f>SUM(BC$183,'Statistics NZ'!BD$183-'Statistics NZ'!BC$183,$P$14/5*(BD$9-BD$10)*1000)</f>
        <v>34870.46037438947</v>
      </c>
      <c r="BE183" s="111">
        <f>SUM(BD$183,'Statistics NZ'!BE$183-'Statistics NZ'!BD$183,$P$14/5*(BE$9-BE$10)*1000)</f>
        <v>36150.46037438947</v>
      </c>
      <c r="BF183" s="111">
        <f>SUM(BE$183,'Statistics NZ'!BF$183-'Statistics NZ'!BE$183,$P$14/5*(BF$9-BF$10)*1000)</f>
        <v>37140.46037438947</v>
      </c>
      <c r="BG183" s="111">
        <f>SUM(BF$183,'Statistics NZ'!BG$183-'Statistics NZ'!BF$183,$P$14/5*(BG$9-BG$10)*1000)</f>
        <v>38940.46037438947</v>
      </c>
      <c r="BH183" s="111">
        <f>SUM(BG$183,'Statistics NZ'!BH$183-'Statistics NZ'!BG$183,$P$14/5*(BH$9-BH$10)*1000)</f>
        <v>39740.46037438947</v>
      </c>
      <c r="BI183" s="111">
        <f>SUM(BH$183,'Statistics NZ'!BI$183-'Statistics NZ'!BH$183,$P$14/5*(BI$9-BI$10)*1000)</f>
        <v>39950.46037438947</v>
      </c>
      <c r="BJ183" s="111">
        <f>SUM(BI$183,'Statistics NZ'!BJ$183-'Statistics NZ'!BI$183,$P$14/5*(BJ$9-BJ$10)*1000)</f>
        <v>39670.46037438947</v>
      </c>
      <c r="BK183" s="111">
        <f>SUM(BJ$183,'Statistics NZ'!BK$183-'Statistics NZ'!BJ$183,$P$14/5*(BK$9-BK$10)*1000)</f>
        <v>38610.46037438947</v>
      </c>
      <c r="BL183" s="111">
        <f>SUM(BK$183,'Statistics NZ'!BL$183-'Statistics NZ'!BK$183,$P$14/5*(BL$9-BL$10)*1000)</f>
        <v>38620.46037438947</v>
      </c>
      <c r="BM183" s="195">
        <f>SUM(BL$183,'Statistics NZ'!BM$183-'Statistics NZ'!BL$183,$P$14/5*(BM$9-BM$10)*1000)</f>
        <v>38500.46037438947</v>
      </c>
      <c r="BN183" s="195">
        <f>SUM(BM$183,'Statistics NZ'!BN$183-'Statistics NZ'!BM$183,$P$14/5*(BN$9-BN$10)*1000)</f>
        <v>37390.46037438947</v>
      </c>
      <c r="BO183" s="195">
        <f>SUM(BN$183,'Statistics NZ'!BO$183-'Statistics NZ'!BN$183,$P$14/5*(BO$9-BO$10)*1000)</f>
        <v>37340.46037438947</v>
      </c>
      <c r="BP183" s="195">
        <f>SUM(BO$183,'Statistics NZ'!BP$183-'Statistics NZ'!BO$183,$P$14/5*(BP$9-BP$10)*1000)</f>
        <v>36580.46037438947</v>
      </c>
      <c r="BQ183" s="195">
        <f>SUM(BP$183,'Statistics NZ'!BQ$183-'Statistics NZ'!BP$183,$P$14/5*(BQ$9-BQ$10)*1000)</f>
        <v>37310.46037438947</v>
      </c>
    </row>
    <row r="184" spans="1:69">
      <c r="A184" s="105">
        <f>$A$91</f>
        <v>74</v>
      </c>
      <c r="B184" s="118">
        <f>'Statistics NZ'!B$184*'Economic Forecasts'!D$9*1000000/SUM('Statistics NZ'!B$32:B$107,'Statistics NZ'!B$125:B$200)</f>
        <v>10629.147716241139</v>
      </c>
      <c r="C184" s="118">
        <f>'Statistics NZ'!C$184*'Economic Forecasts'!E$9*1000000/SUM('Statistics NZ'!C$32:C$107,'Statistics NZ'!C$125:C$200)</f>
        <v>10380.892196989702</v>
      </c>
      <c r="D184" s="118">
        <f>'Statistics NZ'!D$184*'Economic Forecasts'!F$9*1000000/SUM('Statistics NZ'!D$32:D$107,'Statistics NZ'!D$125:D$200)</f>
        <v>10546.031495969371</v>
      </c>
      <c r="E184" s="118">
        <f>'Statistics NZ'!E$184*'Economic Forecasts'!G$9*1000000/SUM('Statistics NZ'!E$32:E$107,'Statistics NZ'!E$125:E$200)</f>
        <v>10843.203887776612</v>
      </c>
      <c r="F184" s="118">
        <f>'Statistics NZ'!F$184*'Economic Forecasts'!H$9*1000000/SUM('Statistics NZ'!F$32:F$107,'Statistics NZ'!F$125:F$200)</f>
        <v>10964.853901055329</v>
      </c>
      <c r="G184" s="118">
        <f>'Statistics NZ'!G$184*'Economic Forecasts'!I$9*1000000/SUM('Statistics NZ'!G$32:G$107,'Statistics NZ'!G$125:G$200)</f>
        <v>11498.306259825064</v>
      </c>
      <c r="H184" s="118">
        <f>'Statistics NZ'!H$184*'Economic Forecasts'!J$9*1000000/SUM('Statistics NZ'!H$32:H$107,'Statistics NZ'!H$125:H$200)</f>
        <v>12006.74072443592</v>
      </c>
      <c r="I184" s="118">
        <f>'Statistics NZ'!I$184*'Economic Forecasts'!K$9*1000000/SUM('Statistics NZ'!I$32:I$107,'Statistics NZ'!I$125:I$200)</f>
        <v>12320.895251195056</v>
      </c>
      <c r="J184" s="203">
        <f>'Statistics NZ'!J$184*'Economic Forecasts'!L$9*1000000/SUM('Statistics NZ'!J$32:J$107,'Statistics NZ'!J$125:J$200)</f>
        <v>13740.151811921896</v>
      </c>
      <c r="K184" s="203">
        <f>'Statistics NZ'!K$184*'Economic Forecasts'!M$9*1000000/SUM('Statistics NZ'!K$32:K$107,'Statistics NZ'!K$125:K$200)</f>
        <v>14708.493510502614</v>
      </c>
      <c r="L184" s="203">
        <f>'Statistics NZ'!L$184*'Economic Forecasts'!N$9*1000000/SUM('Statistics NZ'!L$32:L$107,'Statistics NZ'!L$125:L$200)</f>
        <v>14970.214832409605</v>
      </c>
      <c r="M184" s="203">
        <f>'Statistics NZ'!M$184*'Economic Forecasts'!O$9*1000000/SUM('Statistics NZ'!M$32:M$107,'Statistics NZ'!M$125:M$200)</f>
        <v>13554.119316276359</v>
      </c>
      <c r="N184" s="203">
        <f>'Statistics NZ'!N$184*'Economic Forecasts'!P$9*1000000/SUM('Statistics NZ'!N$32:N$107,'Statistics NZ'!N$125:N$200)</f>
        <v>15315.898961083629</v>
      </c>
      <c r="O184" s="203">
        <f>'Statistics NZ'!O$184*'Economic Forecasts'!Q$9*1000000/SUM('Statistics NZ'!O$32:O$107,'Statistics NZ'!O$125:O$200)</f>
        <v>15898.09533633424</v>
      </c>
      <c r="P184" s="203">
        <f>'Statistics NZ'!P$184*'Economic Forecasts'!R$9*1000000/SUM('Statistics NZ'!P$32:P$107,'Statistics NZ'!P$125:P$200)</f>
        <v>17031.24765239728</v>
      </c>
      <c r="Q184" s="121">
        <f>SUM('Statistics NZ'!Q$184,$P$14/5*(Q$9-Q$10)*1000)*'Economic Forecasts'!S$9*1000000/SUM('Statistics NZ'!Q$32:Q$107,'Statistics NZ'!Q$125:Q$200,SUM($E$13:$Q$14)*(Q$9-Q$10)*1000)</f>
        <v>20097.748081503411</v>
      </c>
      <c r="R184" s="205">
        <f>SUM('Statistics NZ'!R$184,$P$14/5*(R$9-R$10)*1000)*'Economic Forecasts'!T$9*1000000/SUM('Statistics NZ'!R$32:R$107,'Statistics NZ'!R$125:R$200,SUM($E$13:$Q$14)*(R$9-R$10)*1000)</f>
        <v>20203.529827069593</v>
      </c>
      <c r="S184" s="205">
        <f>SUM('Statistics NZ'!S$184,$P$14/5*(S$9-S$10)*1000)*'Economic Forecasts'!U$9*1000000/SUM('Statistics NZ'!S$32:S$107,'Statistics NZ'!S$125:S$200,SUM($E$13:$Q$14)*(S$9-S$10)*1000)</f>
        <v>20225.567382520847</v>
      </c>
      <c r="T184" s="205">
        <f>SUM('Statistics NZ'!T$184,$P$14/5*(T$9-T$10)*1000)*'Economic Forecasts'!V$9*1000000/SUM('Statistics NZ'!T$32:T$107,'Statistics NZ'!T$125:T$200,SUM($E$13:$Q$14)*(T$9-T$10)*1000)</f>
        <v>20407.822877923954</v>
      </c>
      <c r="U184" s="205">
        <f>SUM('Statistics NZ'!U$184,$P$14/5*(U$9-U$10)*1000)*'Economic Forecasts'!W$9*1000000/SUM('Statistics NZ'!U$32:U$107,'Statistics NZ'!U$125:U$200,SUM($E$13:$Q$14)*(U$9-U$10)*1000)</f>
        <v>20647.771247221979</v>
      </c>
      <c r="V184" s="111">
        <f>SUM(U$184,'Statistics NZ'!V$184-'Statistics NZ'!U$184,$P$14/5*(V$9-V$10)*1000)</f>
        <v>21069.271382930569</v>
      </c>
      <c r="W184" s="111">
        <f>SUM(V$184,'Statistics NZ'!W$184-'Statistics NZ'!V$184,$P$14/5*(W$9-W$10)*1000)</f>
        <v>21389.334001675586</v>
      </c>
      <c r="X184" s="111">
        <f>SUM(W$184,'Statistics NZ'!X$184-'Statistics NZ'!W$184,$P$14/5*(X$9-X$10)*1000)</f>
        <v>22097.959103457029</v>
      </c>
      <c r="Y184" s="111">
        <f>SUM(X$184,'Statistics NZ'!Y$184-'Statistics NZ'!X$184,$P$14/5*(Y$9-Y$10)*1000)</f>
        <v>22685.146688274897</v>
      </c>
      <c r="Z184" s="111">
        <f>SUM(Y$184,'Statistics NZ'!Z$184-'Statistics NZ'!Y$184,$P$14/5*(Z$9-Z$10)*1000)</f>
        <v>23370.896756129194</v>
      </c>
      <c r="AA184" s="111">
        <f>SUM(Z$184,'Statistics NZ'!AA$184-'Statistics NZ'!Z$184,$P$14/5*(AA$9-AA$10)*1000)</f>
        <v>23975.209307019915</v>
      </c>
      <c r="AB184" s="111">
        <f>SUM(AA$184,'Statistics NZ'!AB$184-'Statistics NZ'!AA$184,$P$14/5*(AB$9-AB$10)*1000)</f>
        <v>24648.084340947062</v>
      </c>
      <c r="AC184" s="111">
        <f>SUM(AB$184,'Statistics NZ'!AC$184-'Statistics NZ'!AB$184,$P$14/5*(AC$9-AC$10)*1000)</f>
        <v>25809.521857910637</v>
      </c>
      <c r="AD184" s="111">
        <f>SUM(AC$184,'Statistics NZ'!AD$184-'Statistics NZ'!AC$184,$P$14/5*(AD$9-AD$10)*1000)</f>
        <v>26309.521857910637</v>
      </c>
      <c r="AE184" s="111">
        <f>SUM(AD$184,'Statistics NZ'!AE$184-'Statistics NZ'!AD$184,$P$14/5*(AE$9-AE$10)*1000)</f>
        <v>27079.521857910637</v>
      </c>
      <c r="AF184" s="111">
        <f>SUM(AE$184,'Statistics NZ'!AF$184-'Statistics NZ'!AE$184,$P$14/5*(AF$9-AF$10)*1000)</f>
        <v>28009.521857910637</v>
      </c>
      <c r="AG184" s="111">
        <f>SUM(AF$184,'Statistics NZ'!AG$184-'Statistics NZ'!AF$184,$P$14/5*(AG$9-AG$10)*1000)</f>
        <v>28359.521857910637</v>
      </c>
      <c r="AH184" s="111">
        <f>SUM(AG$184,'Statistics NZ'!AH$184-'Statistics NZ'!AG$184,$P$14/5*(AH$9-AH$10)*1000)</f>
        <v>28149.521857910637</v>
      </c>
      <c r="AI184" s="111">
        <f>SUM(AH$184,'Statistics NZ'!AI$184-'Statistics NZ'!AH$184,$P$14/5*(AI$9-AI$10)*1000)</f>
        <v>27659.521857910637</v>
      </c>
      <c r="AJ184" s="111">
        <f>SUM(AI$184,'Statistics NZ'!AJ$184-'Statistics NZ'!AI$184,$P$14/5*(AJ$9-AJ$10)*1000)</f>
        <v>27399.521857910637</v>
      </c>
      <c r="AK184" s="111">
        <f>SUM(AJ$184,'Statistics NZ'!AK$184-'Statistics NZ'!AJ$184,$P$14/5*(AK$9-AK$10)*1000)</f>
        <v>27529.521857910637</v>
      </c>
      <c r="AL184" s="111">
        <f>SUM(AK$184,'Statistics NZ'!AL$184-'Statistics NZ'!AK$184,$P$14/5*(AL$9-AL$10)*1000)</f>
        <v>28149.521857910637</v>
      </c>
      <c r="AM184" s="111">
        <f>SUM(AL$184,'Statistics NZ'!AM$184-'Statistics NZ'!AL$184,$P$14/5*(AM$9-AM$10)*1000)</f>
        <v>28839.521857910637</v>
      </c>
      <c r="AN184" s="111">
        <f>SUM(AM$184,'Statistics NZ'!AN$184-'Statistics NZ'!AM$184,$P$14/5*(AN$9-AN$10)*1000)</f>
        <v>28989.521857910637</v>
      </c>
      <c r="AO184" s="111">
        <f>SUM(AN$184,'Statistics NZ'!AO$184-'Statistics NZ'!AN$184,$P$14/5*(AO$9-AO$10)*1000)</f>
        <v>29629.521857910637</v>
      </c>
      <c r="AP184" s="111">
        <f>SUM(AO$184,'Statistics NZ'!AP$184-'Statistics NZ'!AO$184,$P$14/5*(AP$9-AP$10)*1000)</f>
        <v>29729.521857910637</v>
      </c>
      <c r="AQ184" s="111">
        <f>SUM(AP$184,'Statistics NZ'!AQ$184-'Statistics NZ'!AP$184,$P$14/5*(AQ$9-AQ$10)*1000)</f>
        <v>28989.521857910637</v>
      </c>
      <c r="AR184" s="111">
        <f>SUM(AQ$184,'Statistics NZ'!AR$184-'Statistics NZ'!AQ$184,$P$14/5*(AR$9-AR$10)*1000)</f>
        <v>27989.521857910637</v>
      </c>
      <c r="AS184" s="111">
        <f>SUM(AR$184,'Statistics NZ'!AS$184-'Statistics NZ'!AR$184,$P$14/5*(AS$9-AS$10)*1000)</f>
        <v>27239.521857910637</v>
      </c>
      <c r="AT184" s="111">
        <f>SUM(AS$184,'Statistics NZ'!AT$184-'Statistics NZ'!AS$184,$P$14/5*(AT$9-AT$10)*1000)</f>
        <v>26839.521857910637</v>
      </c>
      <c r="AU184" s="111">
        <f>SUM(AT$184,'Statistics NZ'!AU$184-'Statistics NZ'!AT$184,$P$14/5*(AU$9-AU$10)*1000)</f>
        <v>27059.521857910637</v>
      </c>
      <c r="AV184" s="111">
        <f>SUM(AU$184,'Statistics NZ'!AV$184-'Statistics NZ'!AU$184,$P$14/5*(AV$9-AV$10)*1000)</f>
        <v>26849.521857910637</v>
      </c>
      <c r="AW184" s="111">
        <f>SUM(AV$184,'Statistics NZ'!AW$184-'Statistics NZ'!AV$184,$P$14/5*(AW$9-AW$10)*1000)</f>
        <v>27869.521857910637</v>
      </c>
      <c r="AX184" s="111">
        <f>SUM(AW$184,'Statistics NZ'!AX$184-'Statistics NZ'!AW$184,$P$14/5*(AX$9-AX$10)*1000)</f>
        <v>28609.521857910637</v>
      </c>
      <c r="AY184" s="111">
        <f>SUM(AX$184,'Statistics NZ'!AY$184-'Statistics NZ'!AX$184,$P$14/5*(AY$9-AY$10)*1000)</f>
        <v>29279.521857910637</v>
      </c>
      <c r="AZ184" s="111">
        <f>SUM(AY$184,'Statistics NZ'!AZ$184-'Statistics NZ'!AY$184,$P$14/5*(AZ$9-AZ$10)*1000)</f>
        <v>30069.521857910637</v>
      </c>
      <c r="BA184" s="111">
        <f>SUM(AZ$184,'Statistics NZ'!BA$184-'Statistics NZ'!AZ$184,$P$14/5*(BA$9-BA$10)*1000)</f>
        <v>30989.521857910637</v>
      </c>
      <c r="BB184" s="111">
        <f>SUM(BA$184,'Statistics NZ'!BB$184-'Statistics NZ'!BA$184,$P$14/5*(BB$9-BB$10)*1000)</f>
        <v>31539.521857910637</v>
      </c>
      <c r="BC184" s="111">
        <f>SUM(BB$184,'Statistics NZ'!BC$184-'Statistics NZ'!BB$184,$P$14/5*(BC$9-BC$10)*1000)</f>
        <v>31949.521857910637</v>
      </c>
      <c r="BD184" s="111">
        <f>SUM(BC$184,'Statistics NZ'!BD$184-'Statistics NZ'!BC$184,$P$14/5*(BD$9-BD$10)*1000)</f>
        <v>32879.521857910637</v>
      </c>
      <c r="BE184" s="111">
        <f>SUM(BD$184,'Statistics NZ'!BE$184-'Statistics NZ'!BD$184,$P$14/5*(BE$9-BE$10)*1000)</f>
        <v>34529.521857910637</v>
      </c>
      <c r="BF184" s="111">
        <f>SUM(BE$184,'Statistics NZ'!BF$184-'Statistics NZ'!BE$184,$P$14/5*(BF$9-BF$10)*1000)</f>
        <v>35799.521857910637</v>
      </c>
      <c r="BG184" s="111">
        <f>SUM(BF$184,'Statistics NZ'!BG$184-'Statistics NZ'!BF$184,$P$14/5*(BG$9-BG$10)*1000)</f>
        <v>36789.521857910637</v>
      </c>
      <c r="BH184" s="111">
        <f>SUM(BG$184,'Statistics NZ'!BH$184-'Statistics NZ'!BG$184,$P$14/5*(BH$9-BH$10)*1000)</f>
        <v>38569.521857910637</v>
      </c>
      <c r="BI184" s="111">
        <f>SUM(BH$184,'Statistics NZ'!BI$184-'Statistics NZ'!BH$184,$P$14/5*(BI$9-BI$10)*1000)</f>
        <v>39379.521857910637</v>
      </c>
      <c r="BJ184" s="111">
        <f>SUM(BI$184,'Statistics NZ'!BJ$184-'Statistics NZ'!BI$184,$P$14/5*(BJ$9-BJ$10)*1000)</f>
        <v>39589.521857910637</v>
      </c>
      <c r="BK184" s="111">
        <f>SUM(BJ$184,'Statistics NZ'!BK$184-'Statistics NZ'!BJ$184,$P$14/5*(BK$9-BK$10)*1000)</f>
        <v>39319.521857910637</v>
      </c>
      <c r="BL184" s="111">
        <f>SUM(BK$184,'Statistics NZ'!BL$184-'Statistics NZ'!BK$184,$P$14/5*(BL$9-BL$10)*1000)</f>
        <v>38279.521857910637</v>
      </c>
      <c r="BM184" s="195">
        <f>SUM(BL$184,'Statistics NZ'!BM$184-'Statistics NZ'!BL$184,$P$14/5*(BM$9-BM$10)*1000)</f>
        <v>38289.521857910637</v>
      </c>
      <c r="BN184" s="195">
        <f>SUM(BM$184,'Statistics NZ'!BN$184-'Statistics NZ'!BM$184,$P$14/5*(BN$9-BN$10)*1000)</f>
        <v>38179.521857910637</v>
      </c>
      <c r="BO184" s="195">
        <f>SUM(BN$184,'Statistics NZ'!BO$184-'Statistics NZ'!BN$184,$P$14/5*(BO$9-BO$10)*1000)</f>
        <v>37089.521857910637</v>
      </c>
      <c r="BP184" s="195">
        <f>SUM(BO$184,'Statistics NZ'!BP$184-'Statistics NZ'!BO$184,$P$14/5*(BP$9-BP$10)*1000)</f>
        <v>37049.521857910637</v>
      </c>
      <c r="BQ184" s="195">
        <f>SUM(BP$184,'Statistics NZ'!BQ$184-'Statistics NZ'!BP$184,$P$14/5*(BQ$9-BQ$10)*1000)</f>
        <v>36299.521857910637</v>
      </c>
    </row>
    <row r="185" spans="1:69">
      <c r="A185" s="105">
        <f>$A$92</f>
        <v>75</v>
      </c>
      <c r="B185" s="118">
        <f>'Statistics NZ'!B$185*'Economic Forecasts'!D$9*1000000/SUM('Statistics NZ'!B$32:B$107,'Statistics NZ'!B$125:B$200)</f>
        <v>10609.445866906126</v>
      </c>
      <c r="C185" s="118">
        <f>'Statistics NZ'!C$185*'Economic Forecasts'!E$9*1000000/SUM('Statistics NZ'!C$32:C$107,'Statistics NZ'!C$125:C$200)</f>
        <v>10302.025019804594</v>
      </c>
      <c r="D185" s="118">
        <f>'Statistics NZ'!D$185*'Economic Forecasts'!F$9*1000000/SUM('Statistics NZ'!D$32:D$107,'Statistics NZ'!D$125:D$200)</f>
        <v>10043.370181675504</v>
      </c>
      <c r="E185" s="118">
        <f>'Statistics NZ'!E$185*'Economic Forecasts'!G$9*1000000/SUM('Statistics NZ'!E$32:E$107,'Statistics NZ'!E$125:E$200)</f>
        <v>10193.202564803627</v>
      </c>
      <c r="F185" s="118">
        <f>'Statistics NZ'!F$185*'Economic Forecasts'!H$9*1000000/SUM('Statistics NZ'!F$32:F$107,'Statistics NZ'!F$125:F$200)</f>
        <v>10482.124484027736</v>
      </c>
      <c r="G185" s="118">
        <f>'Statistics NZ'!G$185*'Economic Forecasts'!I$9*1000000/SUM('Statistics NZ'!G$32:G$107,'Statistics NZ'!G$125:G$200)</f>
        <v>10631.25317425128</v>
      </c>
      <c r="H185" s="118">
        <f>'Statistics NZ'!H$185*'Economic Forecasts'!J$9*1000000/SUM('Statistics NZ'!H$32:H$107,'Statistics NZ'!H$125:H$200)</f>
        <v>11139.970270169832</v>
      </c>
      <c r="I185" s="118">
        <f>'Statistics NZ'!I$185*'Economic Forecasts'!K$9*1000000/SUM('Statistics NZ'!I$32:I$107,'Statistics NZ'!I$125:I$200)</f>
        <v>11632.027305840696</v>
      </c>
      <c r="J185" s="203">
        <f>'Statistics NZ'!J$185*'Economic Forecasts'!L$9*1000000/SUM('Statistics NZ'!J$32:J$107,'Statistics NZ'!J$125:J$200)</f>
        <v>11980.861987648635</v>
      </c>
      <c r="K185" s="203">
        <f>'Statistics NZ'!K$185*'Economic Forecasts'!M$9*1000000/SUM('Statistics NZ'!K$32:K$107,'Statistics NZ'!K$125:K$200)</f>
        <v>13323.12438225888</v>
      </c>
      <c r="L185" s="203">
        <f>'Statistics NZ'!L$185*'Economic Forecasts'!N$9*1000000/SUM('Statistics NZ'!L$32:L$107,'Statistics NZ'!L$125:L$200)</f>
        <v>14300.49469517023</v>
      </c>
      <c r="M185" s="203">
        <f>'Statistics NZ'!M$185*'Economic Forecasts'!O$9*1000000/SUM('Statistics NZ'!M$32:M$107,'Statistics NZ'!M$125:M$200)</f>
        <v>14578.558566925152</v>
      </c>
      <c r="N185" s="203">
        <f>'Statistics NZ'!N$185*'Economic Forecasts'!P$9*1000000/SUM('Statistics NZ'!N$32:N$107,'Statistics NZ'!N$125:N$200)</f>
        <v>13174.436284179539</v>
      </c>
      <c r="O185" s="203">
        <f>'Statistics NZ'!O$185*'Economic Forecasts'!Q$9*1000000/SUM('Statistics NZ'!O$32:O$107,'Statistics NZ'!O$125:O$200)</f>
        <v>14950.722802325494</v>
      </c>
      <c r="P185" s="203">
        <f>'Statistics NZ'!P$185*'Economic Forecasts'!R$9*1000000/SUM('Statistics NZ'!P$32:P$107,'Statistics NZ'!P$125:P$200)</f>
        <v>15639.128279070892</v>
      </c>
      <c r="Q185" s="121">
        <f>SUM('Statistics NZ'!Q$185,$Q$14/16*(Q$9-Q$10)*1000)*'Economic Forecasts'!S$9*1000000/SUM('Statistics NZ'!Q$32:Q$107,'Statistics NZ'!Q$125:Q$200,SUM($E$13:$Q$14)*(Q$9-Q$10)*1000)</f>
        <v>16628.664156626393</v>
      </c>
      <c r="R185" s="205">
        <f>SUM('Statistics NZ'!R$185,$Q$14/16*(R$9-R$10)*1000)*'Economic Forecasts'!T$9*1000000/SUM('Statistics NZ'!R$32:R$107,'Statistics NZ'!R$125:R$200,SUM($E$13:$Q$14)*(R$9-R$10)*1000)</f>
        <v>19601.916085363006</v>
      </c>
      <c r="S185" s="205">
        <f>SUM('Statistics NZ'!S$185,$Q$14/16*(S$9-S$10)*1000)*'Economic Forecasts'!U$9*1000000/SUM('Statistics NZ'!S$32:S$107,'Statistics NZ'!S$125:S$200,SUM($E$13:$Q$14)*(S$9-S$10)*1000)</f>
        <v>19710.707634036393</v>
      </c>
      <c r="T185" s="205">
        <f>SUM('Statistics NZ'!T$185,$Q$14/16*(T$9-T$10)*1000)*'Economic Forecasts'!V$9*1000000/SUM('Statistics NZ'!T$32:T$107,'Statistics NZ'!T$125:T$200,SUM($E$13:$Q$14)*(T$9-T$10)*1000)</f>
        <v>19750.26467687956</v>
      </c>
      <c r="U185" s="205">
        <f>SUM('Statistics NZ'!U$185,$Q$14/16*(U$9-U$10)*1000)*'Economic Forecasts'!W$9*1000000/SUM('Statistics NZ'!U$32:U$107,'Statistics NZ'!U$125:U$200,SUM($E$13:$Q$14)*(U$9-U$10)*1000)</f>
        <v>19965.14801828971</v>
      </c>
      <c r="V185" s="111">
        <f>SUM(U$185,'Statistics NZ'!V$185-'Statistics NZ'!U$185,$Q$14/16*(V$9-V$10)*1000)</f>
        <v>20177.699428156262</v>
      </c>
      <c r="W185" s="111">
        <f>SUM(V$185,'Statistics NZ'!W$185-'Statistics NZ'!V$185,$Q$14/16*(W$9-W$10)*1000)</f>
        <v>20589.931911789496</v>
      </c>
      <c r="X185" s="111">
        <f>SUM(W$185,'Statistics NZ'!X$185-'Statistics NZ'!W$185,$Q$14/16*(X$9-X$10)*1000)</f>
        <v>20901.845469189411</v>
      </c>
      <c r="Y185" s="111">
        <f>SUM(X$185,'Statistics NZ'!Y$185-'Statistics NZ'!X$185,$Q$14/16*(Y$9-Y$10)*1000)</f>
        <v>21593.440100356009</v>
      </c>
      <c r="Z185" s="111">
        <f>SUM(Y$185,'Statistics NZ'!Z$185-'Statistics NZ'!Y$185,$Q$14/16*(Z$9-Z$10)*1000)</f>
        <v>22184.715805289285</v>
      </c>
      <c r="AA185" s="111">
        <f>SUM(Z$185,'Statistics NZ'!AA$185-'Statistics NZ'!Z$185,$Q$14/16*(AA$9-AA$10)*1000)</f>
        <v>22855.672583989242</v>
      </c>
      <c r="AB185" s="111">
        <f>SUM(AA$185,'Statistics NZ'!AB$185-'Statistics NZ'!AA$185,$Q$14/16*(AB$9-AB$10)*1000)</f>
        <v>23456.310436455882</v>
      </c>
      <c r="AC185" s="111">
        <f>SUM(AB$185,'Statistics NZ'!AC$185-'Statistics NZ'!AB$185,$Q$14/16*(AC$9-AC$10)*1000)</f>
        <v>24116.6293626892</v>
      </c>
      <c r="AD185" s="111">
        <f>SUM(AC$185,'Statistics NZ'!AD$185-'Statistics NZ'!AC$185,$Q$14/16*(AD$9-AD$10)*1000)</f>
        <v>25256.6293626892</v>
      </c>
      <c r="AE185" s="111">
        <f>SUM(AD$185,'Statistics NZ'!AE$185-'Statistics NZ'!AD$185,$Q$14/16*(AE$9-AE$10)*1000)</f>
        <v>25766.6293626892</v>
      </c>
      <c r="AF185" s="111">
        <f>SUM(AE$185,'Statistics NZ'!AF$185-'Statistics NZ'!AE$185,$Q$14/16*(AF$9-AF$10)*1000)</f>
        <v>26526.6293626892</v>
      </c>
      <c r="AG185" s="111">
        <f>SUM(AF$185,'Statistics NZ'!AG$185-'Statistics NZ'!AF$185,$Q$14/16*(AG$9-AG$10)*1000)</f>
        <v>27456.6293626892</v>
      </c>
      <c r="AH185" s="111">
        <f>SUM(AG$185,'Statistics NZ'!AH$185-'Statistics NZ'!AG$185,$Q$14/16*(AH$9-AH$10)*1000)</f>
        <v>27806.6293626892</v>
      </c>
      <c r="AI185" s="111">
        <f>SUM(AH$185,'Statistics NZ'!AI$185-'Statistics NZ'!AH$185,$Q$14/16*(AI$9-AI$10)*1000)</f>
        <v>27606.6293626892</v>
      </c>
      <c r="AJ185" s="111">
        <f>SUM(AI$185,'Statistics NZ'!AJ$185-'Statistics NZ'!AI$185,$Q$14/16*(AJ$9-AJ$10)*1000)</f>
        <v>27136.6293626892</v>
      </c>
      <c r="AK185" s="111">
        <f>SUM(AJ$185,'Statistics NZ'!AK$185-'Statistics NZ'!AJ$185,$Q$14/16*(AK$9-AK$10)*1000)</f>
        <v>26886.6293626892</v>
      </c>
      <c r="AL185" s="111">
        <f>SUM(AK$185,'Statistics NZ'!AL$185-'Statistics NZ'!AK$185,$Q$14/16*(AL$9-AL$10)*1000)</f>
        <v>27026.6293626892</v>
      </c>
      <c r="AM185" s="111">
        <f>SUM(AL$185,'Statistics NZ'!AM$185-'Statistics NZ'!AL$185,$Q$14/16*(AM$9-AM$10)*1000)</f>
        <v>27646.6293626892</v>
      </c>
      <c r="AN185" s="111">
        <f>SUM(AM$185,'Statistics NZ'!AN$185-'Statistics NZ'!AM$185,$Q$14/16*(AN$9-AN$10)*1000)</f>
        <v>28326.6293626892</v>
      </c>
      <c r="AO185" s="111">
        <f>SUM(AN$185,'Statistics NZ'!AO$185-'Statistics NZ'!AN$185,$Q$14/16*(AO$9-AO$10)*1000)</f>
        <v>28486.6293626892</v>
      </c>
      <c r="AP185" s="111">
        <f>SUM(AO$185,'Statistics NZ'!AP$185-'Statistics NZ'!AO$185,$Q$14/16*(AP$9-AP$10)*1000)</f>
        <v>29126.6293626892</v>
      </c>
      <c r="AQ185" s="111">
        <f>SUM(AP$185,'Statistics NZ'!AQ$185-'Statistics NZ'!AP$185,$Q$14/16*(AQ$9-AQ$10)*1000)</f>
        <v>29236.6293626892</v>
      </c>
      <c r="AR185" s="111">
        <f>SUM(AQ$185,'Statistics NZ'!AR$185-'Statistics NZ'!AQ$185,$Q$14/16*(AR$9-AR$10)*1000)</f>
        <v>28516.6293626892</v>
      </c>
      <c r="AS185" s="111">
        <f>SUM(AR$185,'Statistics NZ'!AS$185-'Statistics NZ'!AR$185,$Q$14/16*(AS$9-AS$10)*1000)</f>
        <v>27536.6293626892</v>
      </c>
      <c r="AT185" s="111">
        <f>SUM(AS$185,'Statistics NZ'!AT$185-'Statistics NZ'!AS$185,$Q$14/16*(AT$9-AT$10)*1000)</f>
        <v>26806.6293626892</v>
      </c>
      <c r="AU185" s="111">
        <f>SUM(AT$185,'Statistics NZ'!AU$185-'Statistics NZ'!AT$185,$Q$14/16*(AU$9-AU$10)*1000)</f>
        <v>26416.6293626892</v>
      </c>
      <c r="AV185" s="111">
        <f>SUM(AU$185,'Statistics NZ'!AV$185-'Statistics NZ'!AU$185,$Q$14/16*(AV$9-AV$10)*1000)</f>
        <v>26646.6293626892</v>
      </c>
      <c r="AW185" s="111">
        <f>SUM(AV$185,'Statistics NZ'!AW$185-'Statistics NZ'!AV$185,$Q$14/16*(AW$9-AW$10)*1000)</f>
        <v>26446.6293626892</v>
      </c>
      <c r="AX185" s="111">
        <f>SUM(AW$185,'Statistics NZ'!AX$185-'Statistics NZ'!AW$185,$Q$14/16*(AX$9-AX$10)*1000)</f>
        <v>27456.6293626892</v>
      </c>
      <c r="AY185" s="111">
        <f>SUM(AX$185,'Statistics NZ'!AY$185-'Statistics NZ'!AX$185,$Q$14/16*(AY$9-AY$10)*1000)</f>
        <v>28196.6293626892</v>
      </c>
      <c r="AZ185" s="111">
        <f>SUM(AY$185,'Statistics NZ'!AZ$185-'Statistics NZ'!AY$185,$Q$14/16*(AZ$9-AZ$10)*1000)</f>
        <v>28866.6293626892</v>
      </c>
      <c r="BA185" s="111">
        <f>SUM(AZ$185,'Statistics NZ'!BA$185-'Statistics NZ'!AZ$185,$Q$14/16*(BA$9-BA$10)*1000)</f>
        <v>29646.6293626892</v>
      </c>
      <c r="BB185" s="111">
        <f>SUM(BA$185,'Statistics NZ'!BB$185-'Statistics NZ'!BA$185,$Q$14/16*(BB$9-BB$10)*1000)</f>
        <v>30566.6293626892</v>
      </c>
      <c r="BC185" s="111">
        <f>SUM(BB$185,'Statistics NZ'!BC$185-'Statistics NZ'!BB$185,$Q$14/16*(BC$9-BC$10)*1000)</f>
        <v>31116.6293626892</v>
      </c>
      <c r="BD185" s="111">
        <f>SUM(BC$185,'Statistics NZ'!BD$185-'Statistics NZ'!BC$185,$Q$14/16*(BD$9-BD$10)*1000)</f>
        <v>31526.6293626892</v>
      </c>
      <c r="BE185" s="111">
        <f>SUM(BD$185,'Statistics NZ'!BE$185-'Statistics NZ'!BD$185,$Q$14/16*(BE$9-BE$10)*1000)</f>
        <v>32456.6293626892</v>
      </c>
      <c r="BF185" s="111">
        <f>SUM(BE$185,'Statistics NZ'!BF$185-'Statistics NZ'!BE$185,$Q$14/16*(BF$9-BF$10)*1000)</f>
        <v>34096.6293626892</v>
      </c>
      <c r="BG185" s="111">
        <f>SUM(BF$185,'Statistics NZ'!BG$185-'Statistics NZ'!BF$185,$Q$14/16*(BG$9-BG$10)*1000)</f>
        <v>35356.6293626892</v>
      </c>
      <c r="BH185" s="111">
        <f>SUM(BG$185,'Statistics NZ'!BH$185-'Statistics NZ'!BG$185,$Q$14/16*(BH$9-BH$10)*1000)</f>
        <v>36336.6293626892</v>
      </c>
      <c r="BI185" s="111">
        <f>SUM(BH$185,'Statistics NZ'!BI$185-'Statistics NZ'!BH$185,$Q$14/16*(BI$9-BI$10)*1000)</f>
        <v>38116.6293626892</v>
      </c>
      <c r="BJ185" s="111">
        <f>SUM(BI$185,'Statistics NZ'!BJ$185-'Statistics NZ'!BI$185,$Q$14/16*(BJ$9-BJ$10)*1000)</f>
        <v>38916.6293626892</v>
      </c>
      <c r="BK185" s="111">
        <f>SUM(BJ$185,'Statistics NZ'!BK$185-'Statistics NZ'!BJ$185,$Q$14/16*(BK$9-BK$10)*1000)</f>
        <v>39136.6293626892</v>
      </c>
      <c r="BL185" s="111">
        <f>SUM(BK$185,'Statistics NZ'!BL$185-'Statistics NZ'!BK$185,$Q$14/16*(BL$9-BL$10)*1000)</f>
        <v>38876.6293626892</v>
      </c>
      <c r="BM185" s="195">
        <f>SUM(BL$185,'Statistics NZ'!BM$185-'Statistics NZ'!BL$185,$Q$14/16*(BM$9-BM$10)*1000)</f>
        <v>37856.6293626892</v>
      </c>
      <c r="BN185" s="195">
        <f>SUM(BM$185,'Statistics NZ'!BN$185-'Statistics NZ'!BM$185,$Q$14/16*(BN$9-BN$10)*1000)</f>
        <v>37876.6293626892</v>
      </c>
      <c r="BO185" s="195">
        <f>SUM(BN$185,'Statistics NZ'!BO$185-'Statistics NZ'!BN$185,$Q$14/16*(BO$9-BO$10)*1000)</f>
        <v>37776.6293626892</v>
      </c>
      <c r="BP185" s="195">
        <f>SUM(BO$185,'Statistics NZ'!BP$185-'Statistics NZ'!BO$185,$Q$14/16*(BP$9-BP$10)*1000)</f>
        <v>36696.6293626892</v>
      </c>
      <c r="BQ185" s="195">
        <f>SUM(BP$185,'Statistics NZ'!BQ$185-'Statistics NZ'!BP$185,$Q$14/16*(BQ$9-BQ$10)*1000)</f>
        <v>36666.6293626892</v>
      </c>
    </row>
    <row r="186" spans="1:69">
      <c r="A186" s="105">
        <f>$A$93</f>
        <v>76</v>
      </c>
      <c r="B186" s="118">
        <f>'Statistics NZ'!B$186*'Economic Forecasts'!D$9*1000000/SUM('Statistics NZ'!B$32:B$107,'Statistics NZ'!B$125:B$200)</f>
        <v>9890.3283661780406</v>
      </c>
      <c r="C186" s="118">
        <f>'Statistics NZ'!C$186*'Economic Forecasts'!E$9*1000000/SUM('Statistics NZ'!C$32:C$107,'Statistics NZ'!C$125:C$200)</f>
        <v>10233.016239767627</v>
      </c>
      <c r="D186" s="118">
        <f>'Statistics NZ'!D$186*'Economic Forecasts'!F$9*1000000/SUM('Statistics NZ'!D$32:D$107,'Statistics NZ'!D$125:D$200)</f>
        <v>9925.096931253418</v>
      </c>
      <c r="E186" s="118">
        <f>'Statistics NZ'!E$186*'Economic Forecasts'!G$9*1000000/SUM('Statistics NZ'!E$32:E$107,'Statistics NZ'!E$125:E$200)</f>
        <v>9681.0803103400631</v>
      </c>
      <c r="F186" s="118">
        <f>'Statistics NZ'!F$186*'Economic Forecasts'!H$9*1000000/SUM('Statistics NZ'!F$32:F$107,'Statistics NZ'!F$125:F$200)</f>
        <v>9831.9175141538362</v>
      </c>
      <c r="G186" s="118">
        <f>'Statistics NZ'!G$186*'Economic Forecasts'!I$9*1000000/SUM('Statistics NZ'!G$32:G$107,'Statistics NZ'!G$125:G$200)</f>
        <v>10138.609375629809</v>
      </c>
      <c r="H186" s="118">
        <f>'Statistics NZ'!H$186*'Economic Forecasts'!J$9*1000000/SUM('Statistics NZ'!H$32:H$107,'Statistics NZ'!H$125:H$200)</f>
        <v>10253.500487397696</v>
      </c>
      <c r="I186" s="118">
        <f>'Statistics NZ'!I$186*'Economic Forecasts'!K$9*1000000/SUM('Statistics NZ'!I$32:I$107,'Statistics NZ'!I$125:I$200)</f>
        <v>10736.498976880033</v>
      </c>
      <c r="J186" s="203">
        <f>'Statistics NZ'!J$186*'Economic Forecasts'!L$9*1000000/SUM('Statistics NZ'!J$32:J$107,'Statistics NZ'!J$125:J$200)</f>
        <v>11243.729379712911</v>
      </c>
      <c r="K186" s="203">
        <f>'Statistics NZ'!K$186*'Economic Forecasts'!M$9*1000000/SUM('Statistics NZ'!K$32:K$107,'Statistics NZ'!K$125:K$200)</f>
        <v>11564.393361296979</v>
      </c>
      <c r="L186" s="203">
        <f>'Statistics NZ'!L$186*'Economic Forecasts'!N$9*1000000/SUM('Statistics NZ'!L$32:L$107,'Statistics NZ'!L$125:L$200)</f>
        <v>12911.810292953285</v>
      </c>
      <c r="M186" s="203">
        <f>'Statistics NZ'!M$186*'Economic Forecasts'!O$9*1000000/SUM('Statistics NZ'!M$32:M$107,'Statistics NZ'!M$125:M$200)</f>
        <v>13839.780261168811</v>
      </c>
      <c r="N186" s="203">
        <f>'Statistics NZ'!N$186*'Economic Forecasts'!P$9*1000000/SUM('Statistics NZ'!N$32:N$107,'Statistics NZ'!N$125:N$200)</f>
        <v>14111.942986049993</v>
      </c>
      <c r="O186" s="203">
        <f>'Statistics NZ'!O$186*'Economic Forecasts'!Q$9*1000000/SUM('Statistics NZ'!O$32:O$107,'Statistics NZ'!O$125:O$200)</f>
        <v>12789.529209118047</v>
      </c>
      <c r="P186" s="203">
        <f>'Statistics NZ'!P$186*'Economic Forecasts'!R$9*1000000/SUM('Statistics NZ'!P$32:P$107,'Statistics NZ'!P$125:P$200)</f>
        <v>14661.682761628961</v>
      </c>
      <c r="Q186" s="121">
        <f>SUM('Statistics NZ'!Q$186,$Q$14/16*(Q$9-Q$10)*1000)*'Economic Forecasts'!S$9*1000000/SUM('Statistics NZ'!Q$32:Q$107,'Statistics NZ'!Q$125:Q$200,SUM($E$13:$Q$14)*(Q$9-Q$10)*1000)</f>
        <v>15214.905649823933</v>
      </c>
      <c r="R186" s="205">
        <f>SUM('Statistics NZ'!R$186,$Q$14/16*(R$9-R$10)*1000)*'Economic Forecasts'!T$9*1000000/SUM('Statistics NZ'!R$32:R$107,'Statistics NZ'!R$125:R$200,SUM($E$13:$Q$14)*(R$9-R$10)*1000)</f>
        <v>16171.758935837848</v>
      </c>
      <c r="S186" s="205">
        <f>SUM('Statistics NZ'!S$186,$Q$14/16*(S$9-S$10)*1000)*'Economic Forecasts'!U$9*1000000/SUM('Statistics NZ'!S$32:S$107,'Statistics NZ'!S$125:S$200,SUM($E$13:$Q$14)*(S$9-S$10)*1000)</f>
        <v>19058.634497433148</v>
      </c>
      <c r="T186" s="205">
        <f>SUM('Statistics NZ'!T$186,$Q$14/16*(T$9-T$10)*1000)*'Economic Forecasts'!V$9*1000000/SUM('Statistics NZ'!T$32:T$107,'Statistics NZ'!T$125:T$200,SUM($E$13:$Q$14)*(T$9-T$10)*1000)</f>
        <v>19187.145472357934</v>
      </c>
      <c r="U186" s="205">
        <f>SUM('Statistics NZ'!U$186,$Q$14/16*(U$9-U$10)*1000)*'Economic Forecasts'!W$9*1000000/SUM('Statistics NZ'!U$32:U$107,'Statistics NZ'!U$125:U$200,SUM($E$13:$Q$14)*(U$9-U$10)*1000)</f>
        <v>19262.807129361183</v>
      </c>
      <c r="V186" s="111">
        <f>SUM(U$186,'Statistics NZ'!V$186-'Statistics NZ'!U$186,$Q$14/16*(V$9-V$10)*1000)</f>
        <v>19455.358539227735</v>
      </c>
      <c r="W186" s="111">
        <f>SUM(V$186,'Statistics NZ'!W$186-'Statistics NZ'!V$186,$Q$14/16*(W$9-W$10)*1000)</f>
        <v>19677.591022860968</v>
      </c>
      <c r="X186" s="111">
        <f>SUM(W$186,'Statistics NZ'!X$186-'Statistics NZ'!W$186,$Q$14/16*(X$9-X$10)*1000)</f>
        <v>20089.504580260884</v>
      </c>
      <c r="Y186" s="111">
        <f>SUM(X$186,'Statistics NZ'!Y$186-'Statistics NZ'!X$186,$Q$14/16*(Y$9-Y$10)*1000)</f>
        <v>20411.099211427481</v>
      </c>
      <c r="Z186" s="111">
        <f>SUM(Y$186,'Statistics NZ'!Z$186-'Statistics NZ'!Y$186,$Q$14/16*(Z$9-Z$10)*1000)</f>
        <v>21092.374916360757</v>
      </c>
      <c r="AA186" s="111">
        <f>SUM(Z$186,'Statistics NZ'!AA$186-'Statistics NZ'!Z$186,$Q$14/16*(AA$9-AA$10)*1000)</f>
        <v>21673.331695060715</v>
      </c>
      <c r="AB186" s="111">
        <f>SUM(AA$186,'Statistics NZ'!AB$186-'Statistics NZ'!AA$186,$Q$14/16*(AB$9-AB$10)*1000)</f>
        <v>22343.969547527355</v>
      </c>
      <c r="AC186" s="111">
        <f>SUM(AB$186,'Statistics NZ'!AC$186-'Statistics NZ'!AB$186,$Q$14/16*(AC$9-AC$10)*1000)</f>
        <v>22934.288473760673</v>
      </c>
      <c r="AD186" s="111">
        <f>SUM(AC$186,'Statistics NZ'!AD$186-'Statistics NZ'!AC$186,$Q$14/16*(AD$9-AD$10)*1000)</f>
        <v>23584.288473760673</v>
      </c>
      <c r="AE186" s="111">
        <f>SUM(AD$186,'Statistics NZ'!AE$186-'Statistics NZ'!AD$186,$Q$14/16*(AE$9-AE$10)*1000)</f>
        <v>24714.288473760673</v>
      </c>
      <c r="AF186" s="111">
        <f>SUM(AE$186,'Statistics NZ'!AF$186-'Statistics NZ'!AE$186,$Q$14/16*(AF$9-AF$10)*1000)</f>
        <v>25224.288473760673</v>
      </c>
      <c r="AG186" s="111">
        <f>SUM(AF$186,'Statistics NZ'!AG$186-'Statistics NZ'!AF$186,$Q$14/16*(AG$9-AG$10)*1000)</f>
        <v>25984.288473760673</v>
      </c>
      <c r="AH186" s="111">
        <f>SUM(AG$186,'Statistics NZ'!AH$186-'Statistics NZ'!AG$186,$Q$14/16*(AH$9-AH$10)*1000)</f>
        <v>26894.288473760673</v>
      </c>
      <c r="AI186" s="111">
        <f>SUM(AH$186,'Statistics NZ'!AI$186-'Statistics NZ'!AH$186,$Q$14/16*(AI$9-AI$10)*1000)</f>
        <v>27254.288473760673</v>
      </c>
      <c r="AJ186" s="111">
        <f>SUM(AI$186,'Statistics NZ'!AJ$186-'Statistics NZ'!AI$186,$Q$14/16*(AJ$9-AJ$10)*1000)</f>
        <v>27064.288473760673</v>
      </c>
      <c r="AK186" s="111">
        <f>SUM(AJ$186,'Statistics NZ'!AK$186-'Statistics NZ'!AJ$186,$Q$14/16*(AK$9-AK$10)*1000)</f>
        <v>26614.288473760673</v>
      </c>
      <c r="AL186" s="111">
        <f>SUM(AK$186,'Statistics NZ'!AL$186-'Statistics NZ'!AK$186,$Q$14/16*(AL$9-AL$10)*1000)</f>
        <v>26384.288473760673</v>
      </c>
      <c r="AM186" s="111">
        <f>SUM(AL$186,'Statistics NZ'!AM$186-'Statistics NZ'!AL$186,$Q$14/16*(AM$9-AM$10)*1000)</f>
        <v>26524.288473760673</v>
      </c>
      <c r="AN186" s="111">
        <f>SUM(AM$186,'Statistics NZ'!AN$186-'Statistics NZ'!AM$186,$Q$14/16*(AN$9-AN$10)*1000)</f>
        <v>27144.288473760673</v>
      </c>
      <c r="AO186" s="111">
        <f>SUM(AN$186,'Statistics NZ'!AO$186-'Statistics NZ'!AN$186,$Q$14/16*(AO$9-AO$10)*1000)</f>
        <v>27824.288473760673</v>
      </c>
      <c r="AP186" s="111">
        <f>SUM(AO$186,'Statistics NZ'!AP$186-'Statistics NZ'!AO$186,$Q$14/16*(AP$9-AP$10)*1000)</f>
        <v>27984.288473760673</v>
      </c>
      <c r="AQ186" s="111">
        <f>SUM(AP$186,'Statistics NZ'!AQ$186-'Statistics NZ'!AP$186,$Q$14/16*(AQ$9-AQ$10)*1000)</f>
        <v>28634.288473760673</v>
      </c>
      <c r="AR186" s="111">
        <f>SUM(AQ$186,'Statistics NZ'!AR$186-'Statistics NZ'!AQ$186,$Q$14/16*(AR$9-AR$10)*1000)</f>
        <v>28744.288473760673</v>
      </c>
      <c r="AS186" s="111">
        <f>SUM(AR$186,'Statistics NZ'!AS$186-'Statistics NZ'!AR$186,$Q$14/16*(AS$9-AS$10)*1000)</f>
        <v>28044.288473760673</v>
      </c>
      <c r="AT186" s="111">
        <f>SUM(AS$186,'Statistics NZ'!AT$186-'Statistics NZ'!AS$186,$Q$14/16*(AT$9-AT$10)*1000)</f>
        <v>27094.288473760673</v>
      </c>
      <c r="AU186" s="111">
        <f>SUM(AT$186,'Statistics NZ'!AU$186-'Statistics NZ'!AT$186,$Q$14/16*(AU$9-AU$10)*1000)</f>
        <v>26384.288473760673</v>
      </c>
      <c r="AV186" s="111">
        <f>SUM(AU$186,'Statistics NZ'!AV$186-'Statistics NZ'!AU$186,$Q$14/16*(AV$9-AV$10)*1000)</f>
        <v>26004.288473760673</v>
      </c>
      <c r="AW186" s="111">
        <f>SUM(AV$186,'Statistics NZ'!AW$186-'Statistics NZ'!AV$186,$Q$14/16*(AW$9-AW$10)*1000)</f>
        <v>26244.288473760673</v>
      </c>
      <c r="AX186" s="111">
        <f>SUM(AW$186,'Statistics NZ'!AX$186-'Statistics NZ'!AW$186,$Q$14/16*(AX$9-AX$10)*1000)</f>
        <v>26054.288473760673</v>
      </c>
      <c r="AY186" s="111">
        <f>SUM(AX$186,'Statistics NZ'!AY$186-'Statistics NZ'!AX$186,$Q$14/16*(AY$9-AY$10)*1000)</f>
        <v>27054.288473760673</v>
      </c>
      <c r="AZ186" s="111">
        <f>SUM(AY$186,'Statistics NZ'!AZ$186-'Statistics NZ'!AY$186,$Q$14/16*(AZ$9-AZ$10)*1000)</f>
        <v>27784.288473760673</v>
      </c>
      <c r="BA186" s="111">
        <f>SUM(AZ$186,'Statistics NZ'!BA$186-'Statistics NZ'!AZ$186,$Q$14/16*(BA$9-BA$10)*1000)</f>
        <v>28454.288473760673</v>
      </c>
      <c r="BB186" s="111">
        <f>SUM(BA$186,'Statistics NZ'!BB$186-'Statistics NZ'!BA$186,$Q$14/16*(BB$9-BB$10)*1000)</f>
        <v>29234.288473760673</v>
      </c>
      <c r="BC186" s="111">
        <f>SUM(BB$186,'Statistics NZ'!BC$186-'Statistics NZ'!BB$186,$Q$14/16*(BC$9-BC$10)*1000)</f>
        <v>30154.288473760673</v>
      </c>
      <c r="BD186" s="111">
        <f>SUM(BC$186,'Statistics NZ'!BD$186-'Statistics NZ'!BC$186,$Q$14/16*(BD$9-BD$10)*1000)</f>
        <v>30694.288473760673</v>
      </c>
      <c r="BE186" s="111">
        <f>SUM(BD$186,'Statistics NZ'!BE$186-'Statistics NZ'!BD$186,$Q$14/16*(BE$9-BE$10)*1000)</f>
        <v>31114.288473760673</v>
      </c>
      <c r="BF186" s="111">
        <f>SUM(BE$186,'Statistics NZ'!BF$186-'Statistics NZ'!BE$186,$Q$14/16*(BF$9-BF$10)*1000)</f>
        <v>32034.288473760673</v>
      </c>
      <c r="BG186" s="111">
        <f>SUM(BF$186,'Statistics NZ'!BG$186-'Statistics NZ'!BF$186,$Q$14/16*(BG$9-BG$10)*1000)</f>
        <v>33664.288473760673</v>
      </c>
      <c r="BH186" s="111">
        <f>SUM(BG$186,'Statistics NZ'!BH$186-'Statistics NZ'!BG$186,$Q$14/16*(BH$9-BH$10)*1000)</f>
        <v>34914.288473760673</v>
      </c>
      <c r="BI186" s="111">
        <f>SUM(BH$186,'Statistics NZ'!BI$186-'Statistics NZ'!BH$186,$Q$14/16*(BI$9-BI$10)*1000)</f>
        <v>35894.288473760673</v>
      </c>
      <c r="BJ186" s="111">
        <f>SUM(BI$186,'Statistics NZ'!BJ$186-'Statistics NZ'!BI$186,$Q$14/16*(BJ$9-BJ$10)*1000)</f>
        <v>37654.288473760673</v>
      </c>
      <c r="BK186" s="111">
        <f>SUM(BJ$186,'Statistics NZ'!BK$186-'Statistics NZ'!BJ$186,$Q$14/16*(BK$9-BK$10)*1000)</f>
        <v>38454.288473760673</v>
      </c>
      <c r="BL186" s="111">
        <f>SUM(BK$186,'Statistics NZ'!BL$186-'Statistics NZ'!BK$186,$Q$14/16*(BL$9-BL$10)*1000)</f>
        <v>38684.288473760673</v>
      </c>
      <c r="BM186" s="195">
        <f>SUM(BL$186,'Statistics NZ'!BM$186-'Statistics NZ'!BL$186,$Q$14/16*(BM$9-BM$10)*1000)</f>
        <v>38434.288473760673</v>
      </c>
      <c r="BN186" s="195">
        <f>SUM(BM$186,'Statistics NZ'!BN$186-'Statistics NZ'!BM$186,$Q$14/16*(BN$9-BN$10)*1000)</f>
        <v>37434.288473760673</v>
      </c>
      <c r="BO186" s="195">
        <f>SUM(BN$186,'Statistics NZ'!BO$186-'Statistics NZ'!BN$186,$Q$14/16*(BO$9-BO$10)*1000)</f>
        <v>37464.288473760673</v>
      </c>
      <c r="BP186" s="195">
        <f>SUM(BO$186,'Statistics NZ'!BP$186-'Statistics NZ'!BO$186,$Q$14/16*(BP$9-BP$10)*1000)</f>
        <v>37374.288473760673</v>
      </c>
      <c r="BQ186" s="195">
        <f>SUM(BP$186,'Statistics NZ'!BQ$186-'Statistics NZ'!BP$186,$Q$14/16*(BQ$9-BQ$10)*1000)</f>
        <v>36314.288473760673</v>
      </c>
    </row>
    <row r="187" spans="1:69">
      <c r="A187" s="105">
        <f>$A$94</f>
        <v>77</v>
      </c>
      <c r="B187" s="118">
        <f>'Statistics NZ'!B$187*'Economic Forecasts'!D$9*1000000/SUM('Statistics NZ'!B$32:B$107,'Statistics NZ'!B$125:B$200)</f>
        <v>9338.6765847975912</v>
      </c>
      <c r="C187" s="118">
        <f>'Statistics NZ'!C$187*'Economic Forecasts'!E$9*1000000/SUM('Statistics NZ'!C$32:C$107,'Statistics NZ'!C$125:C$200)</f>
        <v>9454.2028650646953</v>
      </c>
      <c r="D187" s="118">
        <f>'Statistics NZ'!D$187*'Economic Forecasts'!F$9*1000000/SUM('Statistics NZ'!D$32:D$107,'Statistics NZ'!D$125:D$200)</f>
        <v>9806.8236808313322</v>
      </c>
      <c r="E187" s="118">
        <f>'Statistics NZ'!E$187*'Economic Forecasts'!G$9*1000000/SUM('Statistics NZ'!E$32:E$107,'Statistics NZ'!E$125:E$200)</f>
        <v>9523.5042320435823</v>
      </c>
      <c r="F187" s="118">
        <f>'Statistics NZ'!F$187*'Economic Forecasts'!H$9*1000000/SUM('Statistics NZ'!F$32:F$107,'Statistics NZ'!F$125:F$200)</f>
        <v>9319.6332348592459</v>
      </c>
      <c r="G187" s="118">
        <f>'Statistics NZ'!G$187*'Economic Forecasts'!I$9*1000000/SUM('Statistics NZ'!G$32:G$107,'Statistics NZ'!G$125:G$200)</f>
        <v>9468.6138095046153</v>
      </c>
      <c r="H187" s="118">
        <f>'Statistics NZ'!H$187*'Economic Forecasts'!J$9*1000000/SUM('Statistics NZ'!H$32:H$107,'Statistics NZ'!H$125:H$200)</f>
        <v>9731.4682819874397</v>
      </c>
      <c r="I187" s="118">
        <f>'Statistics NZ'!I$187*'Economic Forecasts'!K$9*1000000/SUM('Statistics NZ'!I$32:I$107,'Statistics NZ'!I$125:I$200)</f>
        <v>9860.6525892152094</v>
      </c>
      <c r="J187" s="203">
        <f>'Statistics NZ'!J$187*'Economic Forecasts'!L$9*1000000/SUM('Statistics NZ'!J$32:J$107,'Statistics NZ'!J$125:J$200)</f>
        <v>10359.170250190042</v>
      </c>
      <c r="K187" s="203">
        <f>'Statistics NZ'!K$187*'Economic Forecasts'!M$9*1000000/SUM('Statistics NZ'!K$32:K$107,'Statistics NZ'!K$125:K$200)</f>
        <v>10847.145514759442</v>
      </c>
      <c r="L187" s="203">
        <f>'Statistics NZ'!L$187*'Economic Forecasts'!N$9*1000000/SUM('Statistics NZ'!L$32:L$107,'Statistics NZ'!L$125:L$200)</f>
        <v>11198.114647664292</v>
      </c>
      <c r="M187" s="203">
        <f>'Statistics NZ'!M$187*'Economic Forecasts'!O$9*1000000/SUM('Statistics NZ'!M$32:M$107,'Statistics NZ'!M$125:M$200)</f>
        <v>12441.026668936802</v>
      </c>
      <c r="N187" s="203">
        <f>'Statistics NZ'!N$187*'Economic Forecasts'!P$9*1000000/SUM('Statistics NZ'!N$32:N$107,'Statistics NZ'!N$125:N$200)</f>
        <v>13371.806116152267</v>
      </c>
      <c r="O187" s="203">
        <f>'Statistics NZ'!O$187*'Economic Forecasts'!Q$9*1000000/SUM('Statistics NZ'!O$32:O$107,'Statistics NZ'!O$125:O$200)</f>
        <v>13687.55942364717</v>
      </c>
      <c r="P187" s="203">
        <f>'Statistics NZ'!P$187*'Economic Forecasts'!R$9*1000000/SUM('Statistics NZ'!P$32:P$107,'Statistics NZ'!P$125:P$200)</f>
        <v>12479.708424713137</v>
      </c>
      <c r="Q187" s="121">
        <f>SUM('Statistics NZ'!Q$187,$Q$14/16*(Q$9-Q$10)*1000)*'Economic Forecasts'!S$9*1000000/SUM('Statistics NZ'!Q$32:Q$107,'Statistics NZ'!Q$125:Q$200,SUM($E$13:$Q$14)*(Q$9-Q$10)*1000)</f>
        <v>14216.376914250168</v>
      </c>
      <c r="R187" s="205">
        <f>SUM('Statistics NZ'!R$187,$Q$14/16*(R$9-R$10)*1000)*'Economic Forecasts'!T$9*1000000/SUM('Statistics NZ'!R$32:R$107,'Statistics NZ'!R$125:R$200,SUM($E$13:$Q$14)*(R$9-R$10)*1000)</f>
        <v>14738.407965575172</v>
      </c>
      <c r="S187" s="205">
        <f>SUM('Statistics NZ'!S$187,$Q$14/16*(S$9-S$10)*1000)*'Economic Forecasts'!U$9*1000000/SUM('Statistics NZ'!S$32:S$107,'Statistics NZ'!S$125:S$200,SUM($E$13:$Q$14)*(S$9-S$10)*1000)</f>
        <v>15669.830166298108</v>
      </c>
      <c r="T187" s="205">
        <f>SUM('Statistics NZ'!T$187,$Q$14/16*(T$9-T$10)*1000)*'Economic Forecasts'!V$9*1000000/SUM('Statistics NZ'!T$32:T$107,'Statistics NZ'!T$125:T$200,SUM($E$13:$Q$14)*(T$9-T$10)*1000)</f>
        <v>18495.595572068218</v>
      </c>
      <c r="U187" s="205">
        <f>SUM('Statistics NZ'!U$187,$Q$14/16*(U$9-U$10)*1000)*'Economic Forecasts'!W$9*1000000/SUM('Statistics NZ'!U$32:U$107,'Statistics NZ'!U$125:U$200,SUM($E$13:$Q$14)*(U$9-U$10)*1000)</f>
        <v>18649.495367198233</v>
      </c>
      <c r="V187" s="111">
        <f>SUM(U$187,'Statistics NZ'!V$187-'Statistics NZ'!U$187,$Q$14/16*(V$9-V$10)*1000)</f>
        <v>18712.046777064785</v>
      </c>
      <c r="W187" s="111">
        <f>SUM(V$187,'Statistics NZ'!W$187-'Statistics NZ'!V$187,$Q$14/16*(W$9-W$10)*1000)</f>
        <v>18904.279260698018</v>
      </c>
      <c r="X187" s="111">
        <f>SUM(W$187,'Statistics NZ'!X$187-'Statistics NZ'!W$187,$Q$14/16*(X$9-X$10)*1000)</f>
        <v>19136.192818097934</v>
      </c>
      <c r="Y187" s="111">
        <f>SUM(X$187,'Statistics NZ'!Y$187-'Statistics NZ'!X$187,$Q$14/16*(Y$9-Y$10)*1000)</f>
        <v>19547.787449264531</v>
      </c>
      <c r="Z187" s="111">
        <f>SUM(Y$187,'Statistics NZ'!Z$187-'Statistics NZ'!Y$187,$Q$14/16*(Z$9-Z$10)*1000)</f>
        <v>19859.063154197807</v>
      </c>
      <c r="AA187" s="111">
        <f>SUM(Z$187,'Statistics NZ'!AA$187-'Statistics NZ'!Z$187,$Q$14/16*(AA$9-AA$10)*1000)</f>
        <v>20540.019932897765</v>
      </c>
      <c r="AB187" s="111">
        <f>SUM(AA$187,'Statistics NZ'!AB$187-'Statistics NZ'!AA$187,$Q$14/16*(AB$9-AB$10)*1000)</f>
        <v>21110.657785364405</v>
      </c>
      <c r="AC187" s="111">
        <f>SUM(AB$187,'Statistics NZ'!AC$187-'Statistics NZ'!AB$187,$Q$14/16*(AC$9-AC$10)*1000)</f>
        <v>21770.976711597723</v>
      </c>
      <c r="AD187" s="111">
        <f>SUM(AC$187,'Statistics NZ'!AD$187-'Statistics NZ'!AC$187,$Q$14/16*(AD$9-AD$10)*1000)</f>
        <v>22360.976711597723</v>
      </c>
      <c r="AE187" s="111">
        <f>SUM(AD$187,'Statistics NZ'!AE$187-'Statistics NZ'!AD$187,$Q$14/16*(AE$9-AE$10)*1000)</f>
        <v>23010.976711597723</v>
      </c>
      <c r="AF187" s="111">
        <f>SUM(AE$187,'Statistics NZ'!AF$187-'Statistics NZ'!AE$187,$Q$14/16*(AF$9-AF$10)*1000)</f>
        <v>24120.976711597723</v>
      </c>
      <c r="AG187" s="111">
        <f>SUM(AF$187,'Statistics NZ'!AG$187-'Statistics NZ'!AF$187,$Q$14/16*(AG$9-AG$10)*1000)</f>
        <v>24630.976711597723</v>
      </c>
      <c r="AH187" s="111">
        <f>SUM(AG$187,'Statistics NZ'!AH$187-'Statistics NZ'!AG$187,$Q$14/16*(AH$9-AH$10)*1000)</f>
        <v>25380.976711597723</v>
      </c>
      <c r="AI187" s="111">
        <f>SUM(AH$187,'Statistics NZ'!AI$187-'Statistics NZ'!AH$187,$Q$14/16*(AI$9-AI$10)*1000)</f>
        <v>26280.976711597723</v>
      </c>
      <c r="AJ187" s="111">
        <f>SUM(AI$187,'Statistics NZ'!AJ$187-'Statistics NZ'!AI$187,$Q$14/16*(AJ$9-AJ$10)*1000)</f>
        <v>26640.976711597723</v>
      </c>
      <c r="AK187" s="111">
        <f>SUM(AJ$187,'Statistics NZ'!AK$187-'Statistics NZ'!AJ$187,$Q$14/16*(AK$9-AK$10)*1000)</f>
        <v>26470.976711597723</v>
      </c>
      <c r="AL187" s="111">
        <f>SUM(AK$187,'Statistics NZ'!AL$187-'Statistics NZ'!AK$187,$Q$14/16*(AL$9-AL$10)*1000)</f>
        <v>26040.976711597723</v>
      </c>
      <c r="AM187" s="111">
        <f>SUM(AL$187,'Statistics NZ'!AM$187-'Statistics NZ'!AL$187,$Q$14/16*(AM$9-AM$10)*1000)</f>
        <v>25820.976711597723</v>
      </c>
      <c r="AN187" s="111">
        <f>SUM(AM$187,'Statistics NZ'!AN$187-'Statistics NZ'!AM$187,$Q$14/16*(AN$9-AN$10)*1000)</f>
        <v>25970.976711597723</v>
      </c>
      <c r="AO187" s="111">
        <f>SUM(AN$187,'Statistics NZ'!AO$187-'Statistics NZ'!AN$187,$Q$14/16*(AO$9-AO$10)*1000)</f>
        <v>26590.976711597723</v>
      </c>
      <c r="AP187" s="111">
        <f>SUM(AO$187,'Statistics NZ'!AP$187-'Statistics NZ'!AO$187,$Q$14/16*(AP$9-AP$10)*1000)</f>
        <v>27260.976711597723</v>
      </c>
      <c r="AQ187" s="111">
        <f>SUM(AP$187,'Statistics NZ'!AQ$187-'Statistics NZ'!AP$187,$Q$14/16*(AQ$9-AQ$10)*1000)</f>
        <v>27430.976711597723</v>
      </c>
      <c r="AR187" s="111">
        <f>SUM(AQ$187,'Statistics NZ'!AR$187-'Statistics NZ'!AQ$187,$Q$14/16*(AR$9-AR$10)*1000)</f>
        <v>28070.976711597723</v>
      </c>
      <c r="AS187" s="111">
        <f>SUM(AR$187,'Statistics NZ'!AS$187-'Statistics NZ'!AR$187,$Q$14/16*(AS$9-AS$10)*1000)</f>
        <v>28190.976711597723</v>
      </c>
      <c r="AT187" s="111">
        <f>SUM(AS$187,'Statistics NZ'!AT$187-'Statistics NZ'!AS$187,$Q$14/16*(AT$9-AT$10)*1000)</f>
        <v>27520.976711597723</v>
      </c>
      <c r="AU187" s="111">
        <f>SUM(AT$187,'Statistics NZ'!AU$187-'Statistics NZ'!AT$187,$Q$14/16*(AU$9-AU$10)*1000)</f>
        <v>26590.976711597723</v>
      </c>
      <c r="AV187" s="111">
        <f>SUM(AU$187,'Statistics NZ'!AV$187-'Statistics NZ'!AU$187,$Q$14/16*(AV$9-AV$10)*1000)</f>
        <v>25900.976711597723</v>
      </c>
      <c r="AW187" s="111">
        <f>SUM(AV$187,'Statistics NZ'!AW$187-'Statistics NZ'!AV$187,$Q$14/16*(AW$9-AW$10)*1000)</f>
        <v>25550.976711597723</v>
      </c>
      <c r="AX187" s="111">
        <f>SUM(AW$187,'Statistics NZ'!AX$187-'Statistics NZ'!AW$187,$Q$14/16*(AX$9-AX$10)*1000)</f>
        <v>25780.976711597723</v>
      </c>
      <c r="AY187" s="111">
        <f>SUM(AX$187,'Statistics NZ'!AY$187-'Statistics NZ'!AX$187,$Q$14/16*(AY$9-AY$10)*1000)</f>
        <v>25610.976711597723</v>
      </c>
      <c r="AZ187" s="111">
        <f>SUM(AY$187,'Statistics NZ'!AZ$187-'Statistics NZ'!AY$187,$Q$14/16*(AZ$9-AZ$10)*1000)</f>
        <v>26600.976711597723</v>
      </c>
      <c r="BA187" s="111">
        <f>SUM(AZ$187,'Statistics NZ'!BA$187-'Statistics NZ'!AZ$187,$Q$14/16*(BA$9-BA$10)*1000)</f>
        <v>27330.976711597723</v>
      </c>
      <c r="BB187" s="111">
        <f>SUM(BA$187,'Statistics NZ'!BB$187-'Statistics NZ'!BA$187,$Q$14/16*(BB$9-BB$10)*1000)</f>
        <v>27990.976711597723</v>
      </c>
      <c r="BC187" s="111">
        <f>SUM(BB$187,'Statistics NZ'!BC$187-'Statistics NZ'!BB$187,$Q$14/16*(BC$9-BC$10)*1000)</f>
        <v>28770.976711597723</v>
      </c>
      <c r="BD187" s="111">
        <f>SUM(BC$187,'Statistics NZ'!BD$187-'Statistics NZ'!BC$187,$Q$14/16*(BD$9-BD$10)*1000)</f>
        <v>29680.976711597723</v>
      </c>
      <c r="BE187" s="111">
        <f>SUM(BD$187,'Statistics NZ'!BE$187-'Statistics NZ'!BD$187,$Q$14/16*(BE$9-BE$10)*1000)</f>
        <v>30220.976711597723</v>
      </c>
      <c r="BF187" s="111">
        <f>SUM(BE$187,'Statistics NZ'!BF$187-'Statistics NZ'!BE$187,$Q$14/16*(BF$9-BF$10)*1000)</f>
        <v>30650.976711597723</v>
      </c>
      <c r="BG187" s="111">
        <f>SUM(BF$187,'Statistics NZ'!BG$187-'Statistics NZ'!BF$187,$Q$14/16*(BG$9-BG$10)*1000)</f>
        <v>31560.976711597723</v>
      </c>
      <c r="BH187" s="111">
        <f>SUM(BG$187,'Statistics NZ'!BH$187-'Statistics NZ'!BG$187,$Q$14/16*(BH$9-BH$10)*1000)</f>
        <v>33170.976711597723</v>
      </c>
      <c r="BI187" s="111">
        <f>SUM(BH$187,'Statistics NZ'!BI$187-'Statistics NZ'!BH$187,$Q$14/16*(BI$9-BI$10)*1000)</f>
        <v>34420.976711597723</v>
      </c>
      <c r="BJ187" s="111">
        <f>SUM(BI$187,'Statistics NZ'!BJ$187-'Statistics NZ'!BI$187,$Q$14/16*(BJ$9-BJ$10)*1000)</f>
        <v>35390.976711597723</v>
      </c>
      <c r="BK187" s="111">
        <f>SUM(BJ$187,'Statistics NZ'!BK$187-'Statistics NZ'!BJ$187,$Q$14/16*(BK$9-BK$10)*1000)</f>
        <v>37130.976711597723</v>
      </c>
      <c r="BL187" s="111">
        <f>SUM(BK$187,'Statistics NZ'!BL$187-'Statistics NZ'!BK$187,$Q$14/16*(BL$9-BL$10)*1000)</f>
        <v>37930.976711597723</v>
      </c>
      <c r="BM187" s="195">
        <f>SUM(BL$187,'Statistics NZ'!BM$187-'Statistics NZ'!BL$187,$Q$14/16*(BM$9-BM$10)*1000)</f>
        <v>38160.976711597723</v>
      </c>
      <c r="BN187" s="195">
        <f>SUM(BM$187,'Statistics NZ'!BN$187-'Statistics NZ'!BM$187,$Q$14/16*(BN$9-BN$10)*1000)</f>
        <v>37930.976711597723</v>
      </c>
      <c r="BO187" s="195">
        <f>SUM(BN$187,'Statistics NZ'!BO$187-'Statistics NZ'!BN$187,$Q$14/16*(BO$9-BO$10)*1000)</f>
        <v>36950.976711597723</v>
      </c>
      <c r="BP187" s="195">
        <f>SUM(BO$187,'Statistics NZ'!BP$187-'Statistics NZ'!BO$187,$Q$14/16*(BP$9-BP$10)*1000)</f>
        <v>36990.976711597723</v>
      </c>
      <c r="BQ187" s="195">
        <f>SUM(BP$187,'Statistics NZ'!BQ$187-'Statistics NZ'!BP$187,$Q$14/16*(BQ$9-BQ$10)*1000)</f>
        <v>36910.976711597723</v>
      </c>
    </row>
    <row r="188" spans="1:69">
      <c r="A188" s="105">
        <f>$A$95</f>
        <v>78</v>
      </c>
      <c r="B188" s="118">
        <f>'Statistics NZ'!B$188*'Economic Forecasts'!D$9*1000000/SUM('Statistics NZ'!B$32:B$107,'Statistics NZ'!B$125:B$200)</f>
        <v>8924.9377487622569</v>
      </c>
      <c r="C188" s="118">
        <f>'Statistics NZ'!C$188*'Economic Forecasts'!E$9*1000000/SUM('Statistics NZ'!C$32:C$107,'Statistics NZ'!C$125:C$200)</f>
        <v>8911.9910219170852</v>
      </c>
      <c r="D188" s="118">
        <f>'Statistics NZ'!D$188*'Economic Forecasts'!F$9*1000000/SUM('Statistics NZ'!D$32:D$107,'Statistics NZ'!D$125:D$200)</f>
        <v>8988.7670320785674</v>
      </c>
      <c r="E188" s="118">
        <f>'Statistics NZ'!E$188*'Economic Forecasts'!G$9*1000000/SUM('Statistics NZ'!E$32:E$107,'Statistics NZ'!E$125:E$200)</f>
        <v>9336.3826390665108</v>
      </c>
      <c r="F188" s="118">
        <f>'Statistics NZ'!F$188*'Economic Forecasts'!H$9*1000000/SUM('Statistics NZ'!F$32:F$107,'Statistics NZ'!F$125:F$200)</f>
        <v>9152.1556820129372</v>
      </c>
      <c r="G188" s="118">
        <f>'Statistics NZ'!G$188*'Economic Forecasts'!I$9*1000000/SUM('Statistics NZ'!G$32:G$107,'Statistics NZ'!G$125:G$200)</f>
        <v>8857.7354992139935</v>
      </c>
      <c r="H188" s="118">
        <f>'Statistics NZ'!H$188*'Economic Forecasts'!J$9*1000000/SUM('Statistics NZ'!H$32:H$107,'Statistics NZ'!H$125:H$200)</f>
        <v>9061.6911127818257</v>
      </c>
      <c r="I188" s="118">
        <f>'Statistics NZ'!I$188*'Economic Forecasts'!K$9*1000000/SUM('Statistics NZ'!I$32:I$107,'Statistics NZ'!I$125:I$200)</f>
        <v>9329.2401742275651</v>
      </c>
      <c r="J188" s="203">
        <f>'Statistics NZ'!J$188*'Economic Forecasts'!L$9*1000000/SUM('Statistics NZ'!J$32:J$107,'Statistics NZ'!J$125:J$200)</f>
        <v>9435.2973815772675</v>
      </c>
      <c r="K188" s="203">
        <f>'Statistics NZ'!K$188*'Economic Forecasts'!M$9*1000000/SUM('Statistics NZ'!K$32:K$107,'Statistics NZ'!K$125:K$200)</f>
        <v>9923.5660959302877</v>
      </c>
      <c r="L188" s="203">
        <f>'Statistics NZ'!L$188*'Economic Forecasts'!N$9*1000000/SUM('Statistics NZ'!L$32:L$107,'Statistics NZ'!L$125:L$200)</f>
        <v>10400.359778305621</v>
      </c>
      <c r="M188" s="203">
        <f>'Statistics NZ'!M$188*'Economic Forecasts'!O$9*1000000/SUM('Statistics NZ'!M$32:M$107,'Statistics NZ'!M$125:M$200)</f>
        <v>10805.864018862765</v>
      </c>
      <c r="N188" s="203">
        <f>'Statistics NZ'!N$188*'Economic Forecasts'!P$9*1000000/SUM('Statistics NZ'!N$32:N$107,'Statistics NZ'!N$125:N$200)</f>
        <v>11931.006342751358</v>
      </c>
      <c r="O188" s="203">
        <f>'Statistics NZ'!O$188*'Economic Forecasts'!Q$9*1000000/SUM('Statistics NZ'!O$32:O$107,'Statistics NZ'!O$125:O$200)</f>
        <v>12888.213848077292</v>
      </c>
      <c r="P188" s="203">
        <f>'Statistics NZ'!P$188*'Economic Forecasts'!R$9*1000000/SUM('Statistics NZ'!P$32:P$107,'Statistics NZ'!P$125:P$200)</f>
        <v>13289.309762392311</v>
      </c>
      <c r="Q188" s="121">
        <f>SUM('Statistics NZ'!Q$188,$Q$14/16*(Q$9-Q$10)*1000)*'Economic Forecasts'!S$9*1000000/SUM('Statistics NZ'!Q$32:Q$107,'Statistics NZ'!Q$125:Q$200,SUM($E$13:$Q$14)*(Q$9-Q$10)*1000)</f>
        <v>12041.363826861769</v>
      </c>
      <c r="R188" s="205">
        <f>SUM('Statistics NZ'!R$188,$Q$14/16*(R$9-R$10)*1000)*'Economic Forecasts'!T$9*1000000/SUM('Statistics NZ'!R$32:R$107,'Statistics NZ'!R$125:R$200,SUM($E$13:$Q$14)*(R$9-R$10)*1000)</f>
        <v>13710.349338628152</v>
      </c>
      <c r="S188" s="205">
        <f>SUM('Statistics NZ'!S$188,$Q$14/16*(S$9-S$10)*1000)*'Economic Forecasts'!U$9*1000000/SUM('Statistics NZ'!S$32:S$107,'Statistics NZ'!S$125:S$200,SUM($E$13:$Q$14)*(S$9-S$10)*1000)</f>
        <v>14227.365348963662</v>
      </c>
      <c r="T188" s="205">
        <f>SUM('Statistics NZ'!T$188,$Q$14/16*(T$9-T$10)*1000)*'Economic Forecasts'!V$9*1000000/SUM('Statistics NZ'!T$32:T$107,'Statistics NZ'!T$125:T$200,SUM($E$13:$Q$14)*(T$9-T$10)*1000)</f>
        <v>15136.638913518165</v>
      </c>
      <c r="U188" s="205">
        <f>SUM('Statistics NZ'!U$188,$Q$14/16*(U$9-U$10)*1000)*'Economic Forecasts'!W$9*1000000/SUM('Statistics NZ'!U$32:U$107,'Statistics NZ'!U$125:U$200,SUM($E$13:$Q$14)*(U$9-U$10)*1000)</f>
        <v>17897.693852288819</v>
      </c>
      <c r="V188" s="111">
        <f>SUM(U$188,'Statistics NZ'!V$188-'Statistics NZ'!U$188,$Q$14/16*(V$9-V$10)*1000)</f>
        <v>18040.245262155371</v>
      </c>
      <c r="W188" s="111">
        <f>SUM(V$188,'Statistics NZ'!W$188-'Statistics NZ'!V$188,$Q$14/16*(W$9-W$10)*1000)</f>
        <v>18112.477745788605</v>
      </c>
      <c r="X188" s="111">
        <f>SUM(W$188,'Statistics NZ'!X$188-'Statistics NZ'!W$188,$Q$14/16*(X$9-X$10)*1000)</f>
        <v>18314.39130318852</v>
      </c>
      <c r="Y188" s="111">
        <f>SUM(X$188,'Statistics NZ'!Y$188-'Statistics NZ'!X$188,$Q$14/16*(Y$9-Y$10)*1000)</f>
        <v>18535.985934355118</v>
      </c>
      <c r="Z188" s="111">
        <f>SUM(Y$188,'Statistics NZ'!Z$188-'Statistics NZ'!Y$188,$Q$14/16*(Z$9-Z$10)*1000)</f>
        <v>18947.261639288394</v>
      </c>
      <c r="AA188" s="111">
        <f>SUM(Z$188,'Statistics NZ'!AA$188-'Statistics NZ'!Z$188,$Q$14/16*(AA$9-AA$10)*1000)</f>
        <v>19268.218417988352</v>
      </c>
      <c r="AB188" s="111">
        <f>SUM(AA$188,'Statistics NZ'!AB$188-'Statistics NZ'!AA$188,$Q$14/16*(AB$9-AB$10)*1000)</f>
        <v>19928.856270454991</v>
      </c>
      <c r="AC188" s="111">
        <f>SUM(AB$188,'Statistics NZ'!AC$188-'Statistics NZ'!AB$188,$Q$14/16*(AC$9-AC$10)*1000)</f>
        <v>20499.175196688309</v>
      </c>
      <c r="AD188" s="111">
        <f>SUM(AC$188,'Statistics NZ'!AD$188-'Statistics NZ'!AC$188,$Q$14/16*(AD$9-AD$10)*1000)</f>
        <v>21149.175196688309</v>
      </c>
      <c r="AE188" s="111">
        <f>SUM(AD$188,'Statistics NZ'!AE$188-'Statistics NZ'!AD$188,$Q$14/16*(AE$9-AE$10)*1000)</f>
        <v>21729.175196688309</v>
      </c>
      <c r="AF188" s="111">
        <f>SUM(AE$188,'Statistics NZ'!AF$188-'Statistics NZ'!AE$188,$Q$14/16*(AF$9-AF$10)*1000)</f>
        <v>22379.175196688309</v>
      </c>
      <c r="AG188" s="111">
        <f>SUM(AF$188,'Statistics NZ'!AG$188-'Statistics NZ'!AF$188,$Q$14/16*(AG$9-AG$10)*1000)</f>
        <v>23469.175196688309</v>
      </c>
      <c r="AH188" s="111">
        <f>SUM(AG$188,'Statistics NZ'!AH$188-'Statistics NZ'!AG$188,$Q$14/16*(AH$9-AH$10)*1000)</f>
        <v>23969.175196688309</v>
      </c>
      <c r="AI188" s="111">
        <f>SUM(AH$188,'Statistics NZ'!AI$188-'Statistics NZ'!AH$188,$Q$14/16*(AI$9-AI$10)*1000)</f>
        <v>24709.175196688309</v>
      </c>
      <c r="AJ188" s="111">
        <f>SUM(AI$188,'Statistics NZ'!AJ$188-'Statistics NZ'!AI$188,$Q$14/16*(AJ$9-AJ$10)*1000)</f>
        <v>25609.175196688309</v>
      </c>
      <c r="AK188" s="111">
        <f>SUM(AJ$188,'Statistics NZ'!AK$188-'Statistics NZ'!AJ$188,$Q$14/16*(AK$9-AK$10)*1000)</f>
        <v>25969.175196688309</v>
      </c>
      <c r="AL188" s="111">
        <f>SUM(AK$188,'Statistics NZ'!AL$188-'Statistics NZ'!AK$188,$Q$14/16*(AL$9-AL$10)*1000)</f>
        <v>25819.175196688309</v>
      </c>
      <c r="AM188" s="111">
        <f>SUM(AL$188,'Statistics NZ'!AM$188-'Statistics NZ'!AL$188,$Q$14/16*(AM$9-AM$10)*1000)</f>
        <v>25409.175196688309</v>
      </c>
      <c r="AN188" s="111">
        <f>SUM(AM$188,'Statistics NZ'!AN$188-'Statistics NZ'!AM$188,$Q$14/16*(AN$9-AN$10)*1000)</f>
        <v>25209.175196688309</v>
      </c>
      <c r="AO188" s="111">
        <f>SUM(AN$188,'Statistics NZ'!AO$188-'Statistics NZ'!AN$188,$Q$14/16*(AO$9-AO$10)*1000)</f>
        <v>25359.175196688309</v>
      </c>
      <c r="AP188" s="111">
        <f>SUM(AO$188,'Statistics NZ'!AP$188-'Statistics NZ'!AO$188,$Q$14/16*(AP$9-AP$10)*1000)</f>
        <v>25979.175196688309</v>
      </c>
      <c r="AQ188" s="111">
        <f>SUM(AP$188,'Statistics NZ'!AQ$188-'Statistics NZ'!AP$188,$Q$14/16*(AQ$9-AQ$10)*1000)</f>
        <v>26639.175196688309</v>
      </c>
      <c r="AR188" s="111">
        <f>SUM(AQ$188,'Statistics NZ'!AR$188-'Statistics NZ'!AQ$188,$Q$14/16*(AR$9-AR$10)*1000)</f>
        <v>26819.175196688309</v>
      </c>
      <c r="AS188" s="111">
        <f>SUM(AR$188,'Statistics NZ'!AS$188-'Statistics NZ'!AR$188,$Q$14/16*(AS$9-AS$10)*1000)</f>
        <v>27459.175196688309</v>
      </c>
      <c r="AT188" s="111">
        <f>SUM(AS$188,'Statistics NZ'!AT$188-'Statistics NZ'!AS$188,$Q$14/16*(AT$9-AT$10)*1000)</f>
        <v>27579.175196688309</v>
      </c>
      <c r="AU188" s="111">
        <f>SUM(AT$188,'Statistics NZ'!AU$188-'Statistics NZ'!AT$188,$Q$14/16*(AU$9-AU$10)*1000)</f>
        <v>26939.175196688309</v>
      </c>
      <c r="AV188" s="111">
        <f>SUM(AU$188,'Statistics NZ'!AV$188-'Statistics NZ'!AU$188,$Q$14/16*(AV$9-AV$10)*1000)</f>
        <v>26039.175196688309</v>
      </c>
      <c r="AW188" s="111">
        <f>SUM(AV$188,'Statistics NZ'!AW$188-'Statistics NZ'!AV$188,$Q$14/16*(AW$9-AW$10)*1000)</f>
        <v>25379.175196688309</v>
      </c>
      <c r="AX188" s="111">
        <f>SUM(AW$188,'Statistics NZ'!AX$188-'Statistics NZ'!AW$188,$Q$14/16*(AX$9-AX$10)*1000)</f>
        <v>25029.175196688309</v>
      </c>
      <c r="AY188" s="111">
        <f>SUM(AX$188,'Statistics NZ'!AY$188-'Statistics NZ'!AX$188,$Q$14/16*(AY$9-AY$10)*1000)</f>
        <v>25279.175196688309</v>
      </c>
      <c r="AZ188" s="111">
        <f>SUM(AY$188,'Statistics NZ'!AZ$188-'Statistics NZ'!AY$188,$Q$14/16*(AZ$9-AZ$10)*1000)</f>
        <v>25109.175196688309</v>
      </c>
      <c r="BA188" s="111">
        <f>SUM(AZ$188,'Statistics NZ'!BA$188-'Statistics NZ'!AZ$188,$Q$14/16*(BA$9-BA$10)*1000)</f>
        <v>26089.175196688309</v>
      </c>
      <c r="BB188" s="111">
        <f>SUM(BA$188,'Statistics NZ'!BB$188-'Statistics NZ'!BA$188,$Q$14/16*(BB$9-BB$10)*1000)</f>
        <v>26819.175196688309</v>
      </c>
      <c r="BC188" s="111">
        <f>SUM(BB$188,'Statistics NZ'!BC$188-'Statistics NZ'!BB$188,$Q$14/16*(BC$9-BC$10)*1000)</f>
        <v>27479.175196688309</v>
      </c>
      <c r="BD188" s="111">
        <f>SUM(BC$188,'Statistics NZ'!BD$188-'Statistics NZ'!BC$188,$Q$14/16*(BD$9-BD$10)*1000)</f>
        <v>28249.175196688309</v>
      </c>
      <c r="BE188" s="111">
        <f>SUM(BD$188,'Statistics NZ'!BE$188-'Statistics NZ'!BD$188,$Q$14/16*(BE$9-BE$10)*1000)</f>
        <v>29149.175196688309</v>
      </c>
      <c r="BF188" s="111">
        <f>SUM(BE$188,'Statistics NZ'!BF$188-'Statistics NZ'!BE$188,$Q$14/16*(BF$9-BF$10)*1000)</f>
        <v>29699.175196688309</v>
      </c>
      <c r="BG188" s="111">
        <f>SUM(BF$188,'Statistics NZ'!BG$188-'Statistics NZ'!BF$188,$Q$14/16*(BG$9-BG$10)*1000)</f>
        <v>30119.175196688309</v>
      </c>
      <c r="BH188" s="111">
        <f>SUM(BG$188,'Statistics NZ'!BH$188-'Statistics NZ'!BG$188,$Q$14/16*(BH$9-BH$10)*1000)</f>
        <v>31029.175196688309</v>
      </c>
      <c r="BI188" s="111">
        <f>SUM(BH$188,'Statistics NZ'!BI$188-'Statistics NZ'!BH$188,$Q$14/16*(BI$9-BI$10)*1000)</f>
        <v>32619.175196688309</v>
      </c>
      <c r="BJ188" s="111">
        <f>SUM(BI$188,'Statistics NZ'!BJ$188-'Statistics NZ'!BI$188,$Q$14/16*(BJ$9-BJ$10)*1000)</f>
        <v>33859.175196688309</v>
      </c>
      <c r="BK188" s="111">
        <f>SUM(BJ$188,'Statistics NZ'!BK$188-'Statistics NZ'!BJ$188,$Q$14/16*(BK$9-BK$10)*1000)</f>
        <v>34819.175196688309</v>
      </c>
      <c r="BL188" s="111">
        <f>SUM(BK$188,'Statistics NZ'!BL$188-'Statistics NZ'!BK$188,$Q$14/16*(BL$9-BL$10)*1000)</f>
        <v>36549.175196688309</v>
      </c>
      <c r="BM188" s="195">
        <f>SUM(BL$188,'Statistics NZ'!BM$188-'Statistics NZ'!BL$188,$Q$14/16*(BM$9-BM$10)*1000)</f>
        <v>37349.175196688309</v>
      </c>
      <c r="BN188" s="195">
        <f>SUM(BM$188,'Statistics NZ'!BN$188-'Statistics NZ'!BM$188,$Q$14/16*(BN$9-BN$10)*1000)</f>
        <v>37579.175196688309</v>
      </c>
      <c r="BO188" s="195">
        <f>SUM(BN$188,'Statistics NZ'!BO$188-'Statistics NZ'!BN$188,$Q$14/16*(BO$9-BO$10)*1000)</f>
        <v>37369.175196688309</v>
      </c>
      <c r="BP188" s="195">
        <f>SUM(BO$188,'Statistics NZ'!BP$188-'Statistics NZ'!BO$188,$Q$14/16*(BP$9-BP$10)*1000)</f>
        <v>36409.175196688309</v>
      </c>
      <c r="BQ188" s="195">
        <f>SUM(BP$188,'Statistics NZ'!BQ$188-'Statistics NZ'!BP$188,$Q$14/16*(BQ$9-BQ$10)*1000)</f>
        <v>36449.175196688309</v>
      </c>
    </row>
    <row r="189" spans="1:69">
      <c r="A189" s="105">
        <f>$A$96</f>
        <v>79</v>
      </c>
      <c r="B189" s="118">
        <f>'Statistics NZ'!B$189*'Economic Forecasts'!D$9*1000000/SUM('Statistics NZ'!B$32:B$107,'Statistics NZ'!B$125:B$200)</f>
        <v>8097.4600766915837</v>
      </c>
      <c r="C189" s="118">
        <f>'Statistics NZ'!C$189*'Economic Forecasts'!E$9*1000000/SUM('Statistics NZ'!C$32:C$107,'Statistics NZ'!C$125:C$200)</f>
        <v>8428.929561658304</v>
      </c>
      <c r="D189" s="118">
        <f>'Statistics NZ'!D$189*'Economic Forecasts'!F$9*1000000/SUM('Statistics NZ'!D$32:D$107,'Statistics NZ'!D$125:D$200)</f>
        <v>8456.5374051791787</v>
      </c>
      <c r="E189" s="118">
        <f>'Statistics NZ'!E$189*'Economic Forecasts'!G$9*1000000/SUM('Statistics NZ'!E$32:E$107,'Statistics NZ'!E$125:E$200)</f>
        <v>8479.5627133293947</v>
      </c>
      <c r="F189" s="118">
        <f>'Statistics NZ'!F$189*'Economic Forecasts'!H$9*1000000/SUM('Statistics NZ'!F$32:F$107,'Statistics NZ'!F$125:F$200)</f>
        <v>8896.0135423656448</v>
      </c>
      <c r="G189" s="118">
        <f>'Statistics NZ'!G$189*'Economic Forecasts'!I$9*1000000/SUM('Statistics NZ'!G$32:G$107,'Statistics NZ'!G$125:G$200)</f>
        <v>8719.7952355999842</v>
      </c>
      <c r="H189" s="118">
        <f>'Statistics NZ'!H$189*'Economic Forecasts'!J$9*1000000/SUM('Statistics NZ'!H$32:H$107,'Statistics NZ'!H$125:H$200)</f>
        <v>8421.4629363352851</v>
      </c>
      <c r="I189" s="118">
        <f>'Statistics NZ'!I$189*'Economic Forecasts'!K$9*1000000/SUM('Statistics NZ'!I$32:I$107,'Statistics NZ'!I$125:I$200)</f>
        <v>8640.3722288732079</v>
      </c>
      <c r="J189" s="203">
        <f>'Statistics NZ'!J$189*'Economic Forecasts'!L$9*1000000/SUM('Statistics NZ'!J$32:J$107,'Statistics NZ'!J$125:J$200)</f>
        <v>8875.076599546117</v>
      </c>
      <c r="K189" s="203">
        <f>'Statistics NZ'!K$189*'Economic Forecasts'!M$9*1000000/SUM('Statistics NZ'!K$32:K$107,'Statistics NZ'!K$125:K$200)</f>
        <v>9019.637303033669</v>
      </c>
      <c r="L189" s="203">
        <f>'Statistics NZ'!L$189*'Economic Forecasts'!N$9*1000000/SUM('Statistics NZ'!L$32:L$107,'Statistics NZ'!L$125:L$200)</f>
        <v>9494.2678279229349</v>
      </c>
      <c r="M189" s="203">
        <f>'Statistics NZ'!M$189*'Economic Forecasts'!O$9*1000000/SUM('Statistics NZ'!M$32:M$107,'Statistics NZ'!M$125:M$200)</f>
        <v>9909.4796745450694</v>
      </c>
      <c r="N189" s="203">
        <f>'Statistics NZ'!N$189*'Economic Forecasts'!P$9*1000000/SUM('Statistics NZ'!N$32:N$107,'Statistics NZ'!N$125:N$200)</f>
        <v>10371.784670166813</v>
      </c>
      <c r="O189" s="203">
        <f>'Statistics NZ'!O$189*'Economic Forecasts'!Q$9*1000000/SUM('Statistics NZ'!O$32:O$107,'Statistics NZ'!O$125:O$200)</f>
        <v>11437.549655376402</v>
      </c>
      <c r="P189" s="203">
        <f>'Statistics NZ'!P$189*'Economic Forecasts'!R$9*1000000/SUM('Statistics NZ'!P$32:P$107,'Statistics NZ'!P$125:P$200)</f>
        <v>12440.215676533664</v>
      </c>
      <c r="Q189" s="121">
        <f>SUM('Statistics NZ'!Q$189,$Q$14/16*(Q$9-Q$10)*1000)*'Economic Forecasts'!S$9*1000000/SUM('Statistics NZ'!Q$32:Q$107,'Statistics NZ'!Q$125:Q$200,SUM($E$13:$Q$14)*(Q$9-Q$10)*1000)</f>
        <v>12772.959138074229</v>
      </c>
      <c r="R189" s="205">
        <f>SUM('Statistics NZ'!R$189,$Q$14/16*(R$9-R$10)*1000)*'Economic Forecasts'!T$9*1000000/SUM('Statistics NZ'!R$32:R$107,'Statistics NZ'!R$125:R$200,SUM($E$13:$Q$14)*(R$9-R$10)*1000)</f>
        <v>11565.26547278677</v>
      </c>
      <c r="S189" s="205">
        <f>SUM('Statistics NZ'!S$189,$Q$14/16*(S$9-S$10)*1000)*'Economic Forecasts'!U$9*1000000/SUM('Statistics NZ'!S$32:S$107,'Statistics NZ'!S$125:S$200,SUM($E$13:$Q$14)*(S$9-S$10)*1000)</f>
        <v>13170.216475985675</v>
      </c>
      <c r="T189" s="205">
        <f>SUM('Statistics NZ'!T$189,$Q$14/16*(T$9-T$10)*1000)*'Economic Forecasts'!V$9*1000000/SUM('Statistics NZ'!T$32:T$107,'Statistics NZ'!T$125:T$200,SUM($E$13:$Q$14)*(T$9-T$10)*1000)</f>
        <v>13674.504838619909</v>
      </c>
      <c r="U189" s="205">
        <f>SUM('Statistics NZ'!U$189,$Q$14/16*(U$9-U$10)*1000)*'Economic Forecasts'!W$9*1000000/SUM('Statistics NZ'!U$32:U$107,'Statistics NZ'!U$125:U$200,SUM($E$13:$Q$14)*(U$9-U$10)*1000)</f>
        <v>14583.831911569687</v>
      </c>
      <c r="V189" s="111">
        <f>SUM(U$189,'Statistics NZ'!V$189-'Statistics NZ'!U$189,$Q$14/16*(V$9-V$10)*1000)</f>
        <v>17266.383321436238</v>
      </c>
      <c r="W189" s="111">
        <f>SUM(V$189,'Statistics NZ'!W$189-'Statistics NZ'!V$189,$Q$14/16*(W$9-W$10)*1000)</f>
        <v>17408.615805069472</v>
      </c>
      <c r="X189" s="111">
        <f>SUM(W$189,'Statistics NZ'!X$189-'Statistics NZ'!W$189,$Q$14/16*(X$9-X$10)*1000)</f>
        <v>17490.529362469388</v>
      </c>
      <c r="Y189" s="111">
        <f>SUM(X$189,'Statistics NZ'!Y$189-'Statistics NZ'!X$189,$Q$14/16*(Y$9-Y$10)*1000)</f>
        <v>17692.123993635985</v>
      </c>
      <c r="Z189" s="111">
        <f>SUM(Y$189,'Statistics NZ'!Z$189-'Statistics NZ'!Y$189,$Q$14/16*(Z$9-Z$10)*1000)</f>
        <v>17923.399698569261</v>
      </c>
      <c r="AA189" s="111">
        <f>SUM(Z$189,'Statistics NZ'!AA$189-'Statistics NZ'!Z$189,$Q$14/16*(AA$9-AA$10)*1000)</f>
        <v>18324.356477269219</v>
      </c>
      <c r="AB189" s="111">
        <f>SUM(AA$189,'Statistics NZ'!AB$189-'Statistics NZ'!AA$189,$Q$14/16*(AB$9-AB$10)*1000)</f>
        <v>18644.994329735859</v>
      </c>
      <c r="AC189" s="111">
        <f>SUM(AB$189,'Statistics NZ'!AC$189-'Statistics NZ'!AB$189,$Q$14/16*(AC$9-AC$10)*1000)</f>
        <v>19295.313255969177</v>
      </c>
      <c r="AD189" s="111">
        <f>SUM(AC$189,'Statistics NZ'!AD$189-'Statistics NZ'!AC$189,$Q$14/16*(AD$9-AD$10)*1000)</f>
        <v>19855.313255969177</v>
      </c>
      <c r="AE189" s="111">
        <f>SUM(AD$189,'Statistics NZ'!AE$189-'Statistics NZ'!AD$189,$Q$14/16*(AE$9-AE$10)*1000)</f>
        <v>20505.313255969177</v>
      </c>
      <c r="AF189" s="111">
        <f>SUM(AE$189,'Statistics NZ'!AF$189-'Statistics NZ'!AE$189,$Q$14/16*(AF$9-AF$10)*1000)</f>
        <v>21075.313255969177</v>
      </c>
      <c r="AG189" s="111">
        <f>SUM(AF$189,'Statistics NZ'!AG$189-'Statistics NZ'!AF$189,$Q$14/16*(AG$9-AG$10)*1000)</f>
        <v>21705.313255969177</v>
      </c>
      <c r="AH189" s="111">
        <f>SUM(AG$189,'Statistics NZ'!AH$189-'Statistics NZ'!AG$189,$Q$14/16*(AH$9-AH$10)*1000)</f>
        <v>22785.313255969177</v>
      </c>
      <c r="AI189" s="111">
        <f>SUM(AH$189,'Statistics NZ'!AI$189-'Statistics NZ'!AH$189,$Q$14/16*(AI$9-AI$10)*1000)</f>
        <v>23275.313255969177</v>
      </c>
      <c r="AJ189" s="111">
        <f>SUM(AI$189,'Statistics NZ'!AJ$189-'Statistics NZ'!AI$189,$Q$14/16*(AJ$9-AJ$10)*1000)</f>
        <v>24015.313255969177</v>
      </c>
      <c r="AK189" s="111">
        <f>SUM(AJ$189,'Statistics NZ'!AK$189-'Statistics NZ'!AJ$189,$Q$14/16*(AK$9-AK$10)*1000)</f>
        <v>24885.313255969177</v>
      </c>
      <c r="AL189" s="111">
        <f>SUM(AK$189,'Statistics NZ'!AL$189-'Statistics NZ'!AK$189,$Q$14/16*(AL$9-AL$10)*1000)</f>
        <v>25255.313255969177</v>
      </c>
      <c r="AM189" s="111">
        <f>SUM(AL$189,'Statistics NZ'!AM$189-'Statistics NZ'!AL$189,$Q$14/16*(AM$9-AM$10)*1000)</f>
        <v>25115.313255969177</v>
      </c>
      <c r="AN189" s="111">
        <f>SUM(AM$189,'Statistics NZ'!AN$189-'Statistics NZ'!AM$189,$Q$14/16*(AN$9-AN$10)*1000)</f>
        <v>24735.313255969177</v>
      </c>
      <c r="AO189" s="111">
        <f>SUM(AN$189,'Statistics NZ'!AO$189-'Statistics NZ'!AN$189,$Q$14/16*(AO$9-AO$10)*1000)</f>
        <v>24545.313255969177</v>
      </c>
      <c r="AP189" s="111">
        <f>SUM(AO$189,'Statistics NZ'!AP$189-'Statistics NZ'!AO$189,$Q$14/16*(AP$9-AP$10)*1000)</f>
        <v>24715.313255969177</v>
      </c>
      <c r="AQ189" s="111">
        <f>SUM(AP$189,'Statistics NZ'!AQ$189-'Statistics NZ'!AP$189,$Q$14/16*(AQ$9-AQ$10)*1000)</f>
        <v>25315.313255969177</v>
      </c>
      <c r="AR189" s="111">
        <f>SUM(AQ$189,'Statistics NZ'!AR$189-'Statistics NZ'!AQ$189,$Q$14/16*(AR$9-AR$10)*1000)</f>
        <v>25985.313255969177</v>
      </c>
      <c r="AS189" s="111">
        <f>SUM(AR$189,'Statistics NZ'!AS$189-'Statistics NZ'!AR$189,$Q$14/16*(AS$9-AS$10)*1000)</f>
        <v>26165.313255969177</v>
      </c>
      <c r="AT189" s="111">
        <f>SUM(AS$189,'Statistics NZ'!AT$189-'Statistics NZ'!AS$189,$Q$14/16*(AT$9-AT$10)*1000)</f>
        <v>26795.313255969177</v>
      </c>
      <c r="AU189" s="111">
        <f>SUM(AT$189,'Statistics NZ'!AU$189-'Statistics NZ'!AT$189,$Q$14/16*(AU$9-AU$10)*1000)</f>
        <v>26935.313255969177</v>
      </c>
      <c r="AV189" s="111">
        <f>SUM(AU$189,'Statistics NZ'!AV$189-'Statistics NZ'!AU$189,$Q$14/16*(AV$9-AV$10)*1000)</f>
        <v>26315.313255969177</v>
      </c>
      <c r="AW189" s="111">
        <f>SUM(AV$189,'Statistics NZ'!AW$189-'Statistics NZ'!AV$189,$Q$14/16*(AW$9-AW$10)*1000)</f>
        <v>25455.313255969177</v>
      </c>
      <c r="AX189" s="111">
        <f>SUM(AW$189,'Statistics NZ'!AX$189-'Statistics NZ'!AW$189,$Q$14/16*(AX$9-AX$10)*1000)</f>
        <v>24805.313255969177</v>
      </c>
      <c r="AY189" s="111">
        <f>SUM(AX$189,'Statistics NZ'!AY$189-'Statistics NZ'!AX$189,$Q$14/16*(AY$9-AY$10)*1000)</f>
        <v>24485.313255969177</v>
      </c>
      <c r="AZ189" s="111">
        <f>SUM(AY$189,'Statistics NZ'!AZ$189-'Statistics NZ'!AY$189,$Q$14/16*(AZ$9-AZ$10)*1000)</f>
        <v>24735.313255969177</v>
      </c>
      <c r="BA189" s="111">
        <f>SUM(AZ$189,'Statistics NZ'!BA$189-'Statistics NZ'!AZ$189,$Q$14/16*(BA$9-BA$10)*1000)</f>
        <v>24575.313255969177</v>
      </c>
      <c r="BB189" s="111">
        <f>SUM(BA$189,'Statistics NZ'!BB$189-'Statistics NZ'!BA$189,$Q$14/16*(BB$9-BB$10)*1000)</f>
        <v>25545.313255969177</v>
      </c>
      <c r="BC189" s="111">
        <f>SUM(BB$189,'Statistics NZ'!BC$189-'Statistics NZ'!BB$189,$Q$14/16*(BC$9-BC$10)*1000)</f>
        <v>26265.313255969177</v>
      </c>
      <c r="BD189" s="111">
        <f>SUM(BC$189,'Statistics NZ'!BD$189-'Statistics NZ'!BC$189,$Q$14/16*(BD$9-BD$10)*1000)</f>
        <v>26925.313255969177</v>
      </c>
      <c r="BE189" s="111">
        <f>SUM(BD$189,'Statistics NZ'!BE$189-'Statistics NZ'!BD$189,$Q$14/16*(BE$9-BE$10)*1000)</f>
        <v>27695.313255969177</v>
      </c>
      <c r="BF189" s="111">
        <f>SUM(BE$189,'Statistics NZ'!BF$189-'Statistics NZ'!BE$189,$Q$14/16*(BF$9-BF$10)*1000)</f>
        <v>28585.313255969177</v>
      </c>
      <c r="BG189" s="111">
        <f>SUM(BF$189,'Statistics NZ'!BG$189-'Statistics NZ'!BF$189,$Q$14/16*(BG$9-BG$10)*1000)</f>
        <v>29125.313255969177</v>
      </c>
      <c r="BH189" s="111">
        <f>SUM(BG$189,'Statistics NZ'!BH$189-'Statistics NZ'!BG$189,$Q$14/16*(BH$9-BH$10)*1000)</f>
        <v>29545.313255969177</v>
      </c>
      <c r="BI189" s="111">
        <f>SUM(BH$189,'Statistics NZ'!BI$189-'Statistics NZ'!BH$189,$Q$14/16*(BI$9-BI$10)*1000)</f>
        <v>30445.313255969177</v>
      </c>
      <c r="BJ189" s="111">
        <f>SUM(BI$189,'Statistics NZ'!BJ$189-'Statistics NZ'!BI$189,$Q$14/16*(BJ$9-BJ$10)*1000)</f>
        <v>32025.313255969177</v>
      </c>
      <c r="BK189" s="111">
        <f>SUM(BJ$189,'Statistics NZ'!BK$189-'Statistics NZ'!BJ$189,$Q$14/16*(BK$9-BK$10)*1000)</f>
        <v>33245.313255969173</v>
      </c>
      <c r="BL189" s="111">
        <f>SUM(BK$189,'Statistics NZ'!BL$189-'Statistics NZ'!BK$189,$Q$14/16*(BL$9-BL$10)*1000)</f>
        <v>34205.313255969173</v>
      </c>
      <c r="BM189" s="195">
        <f>SUM(BL$189,'Statistics NZ'!BM$189-'Statistics NZ'!BL$189,$Q$14/16*(BM$9-BM$10)*1000)</f>
        <v>35905.313255969173</v>
      </c>
      <c r="BN189" s="195">
        <f>SUM(BM$189,'Statistics NZ'!BN$189-'Statistics NZ'!BM$189,$Q$14/16*(BN$9-BN$10)*1000)</f>
        <v>36705.313255969173</v>
      </c>
      <c r="BO189" s="195">
        <f>SUM(BN$189,'Statistics NZ'!BO$189-'Statistics NZ'!BN$189,$Q$14/16*(BO$9-BO$10)*1000)</f>
        <v>36945.313255969173</v>
      </c>
      <c r="BP189" s="195">
        <f>SUM(BO$189,'Statistics NZ'!BP$189-'Statistics NZ'!BO$189,$Q$14/16*(BP$9-BP$10)*1000)</f>
        <v>36745.313255969173</v>
      </c>
      <c r="BQ189" s="195">
        <f>SUM(BP$189,'Statistics NZ'!BQ$189-'Statistics NZ'!BP$189,$Q$14/16*(BQ$9-BQ$10)*1000)</f>
        <v>35815.313255969173</v>
      </c>
    </row>
    <row r="190" spans="1:69">
      <c r="A190" s="105">
        <f>$A$97</f>
        <v>80</v>
      </c>
      <c r="B190" s="118">
        <f>'Statistics NZ'!B$190*'Economic Forecasts'!D$9*1000000/SUM('Statistics NZ'!B$32:B$107,'Statistics NZ'!B$125:B$200)</f>
        <v>7407.895349966022</v>
      </c>
      <c r="C190" s="118">
        <f>'Statistics NZ'!C$190*'Economic Forecasts'!E$9*1000000/SUM('Statistics NZ'!C$32:C$107,'Statistics NZ'!C$125:C$200)</f>
        <v>7640.257789807235</v>
      </c>
      <c r="D190" s="118">
        <f>'Statistics NZ'!D$190*'Economic Forecasts'!F$9*1000000/SUM('Statistics NZ'!D$32:D$107,'Statistics NZ'!D$125:D$200)</f>
        <v>7894.739465674269</v>
      </c>
      <c r="E190" s="118">
        <f>'Statistics NZ'!E$190*'Economic Forecasts'!G$9*1000000/SUM('Statistics NZ'!E$32:E$107,'Statistics NZ'!E$125:E$200)</f>
        <v>7947.74344907877</v>
      </c>
      <c r="F190" s="118">
        <f>'Statistics NZ'!F$190*'Economic Forecasts'!H$9*1000000/SUM('Statistics NZ'!F$32:F$107,'Statistics NZ'!F$125:F$200)</f>
        <v>7999.516053600114</v>
      </c>
      <c r="G190" s="118">
        <f>'Statistics NZ'!G$190*'Economic Forecasts'!I$9*1000000/SUM('Statistics NZ'!G$32:G$107,'Statistics NZ'!G$125:G$200)</f>
        <v>8434.0618323995313</v>
      </c>
      <c r="H190" s="118">
        <f>'Statistics NZ'!H$190*'Economic Forecasts'!J$9*1000000/SUM('Statistics NZ'!H$32:H$107,'Statistics NZ'!H$125:H$200)</f>
        <v>8263.8683082869047</v>
      </c>
      <c r="I190" s="118">
        <f>'Statistics NZ'!I$190*'Economic Forecasts'!K$9*1000000/SUM('Statistics NZ'!I$32:I$107,'Statistics NZ'!I$125:I$200)</f>
        <v>7971.1862248146917</v>
      </c>
      <c r="J190" s="203">
        <f>'Statistics NZ'!J$190*'Economic Forecasts'!L$9*1000000/SUM('Statistics NZ'!J$32:J$107,'Statistics NZ'!J$125:J$200)</f>
        <v>8196.9146002452526</v>
      </c>
      <c r="K190" s="203">
        <f>'Statistics NZ'!K$190*'Economic Forecasts'!M$9*1000000/SUM('Statistics NZ'!K$32:K$107,'Statistics NZ'!K$125:K$200)</f>
        <v>8400.6425861588086</v>
      </c>
      <c r="L190" s="203">
        <f>'Statistics NZ'!L$190*'Economic Forecasts'!N$9*1000000/SUM('Statistics NZ'!L$32:L$107,'Statistics NZ'!L$125:L$200)</f>
        <v>8588.1758775402486</v>
      </c>
      <c r="M190" s="203">
        <f>'Statistics NZ'!M$190*'Economic Forecasts'!O$9*1000000/SUM('Statistics NZ'!M$32:M$107,'Statistics NZ'!M$125:M$200)</f>
        <v>9022.9457076374601</v>
      </c>
      <c r="N190" s="203">
        <f>'Statistics NZ'!N$190*'Economic Forecasts'!P$9*1000000/SUM('Statistics NZ'!N$32:N$107,'Statistics NZ'!N$125:N$200)</f>
        <v>9444.1464598949951</v>
      </c>
      <c r="O190" s="203">
        <f>'Statistics NZ'!O$190*'Economic Forecasts'!Q$9*1000000/SUM('Statistics NZ'!O$32:O$107,'Statistics NZ'!O$125:O$200)</f>
        <v>9917.8062154040417</v>
      </c>
      <c r="P190" s="203">
        <f>'Statistics NZ'!P$190*'Economic Forecasts'!R$9*1000000/SUM('Statistics NZ'!P$32:P$107,'Statistics NZ'!P$125:P$200)</f>
        <v>10988.85718093807</v>
      </c>
      <c r="Q190" s="121">
        <f>SUM('Statistics NZ'!Q$190,$Q$14/16*(Q$9-Q$10)*1000)*'Economic Forecasts'!S$9*1000000/SUM('Statistics NZ'!Q$32:Q$107,'Statistics NZ'!Q$125:Q$200,SUM($E$13:$Q$14)*(Q$9-Q$10)*1000)</f>
        <v>11893.067479994377</v>
      </c>
      <c r="R190" s="205">
        <f>SUM('Statistics NZ'!R$190,$Q$14/16*(R$9-R$10)*1000)*'Economic Forecasts'!T$9*1000000/SUM('Statistics NZ'!R$32:R$107,'Statistics NZ'!R$125:R$200,SUM($E$13:$Q$14)*(R$9-R$10)*1000)</f>
        <v>12197.916935523399</v>
      </c>
      <c r="S190" s="205">
        <f>SUM('Statistics NZ'!S$190,$Q$14/16*(S$9-S$10)*1000)*'Economic Forecasts'!U$9*1000000/SUM('Statistics NZ'!S$32:S$107,'Statistics NZ'!S$125:S$200,SUM($E$13:$Q$14)*(S$9-S$10)*1000)</f>
        <v>11046.038834020563</v>
      </c>
      <c r="T190" s="205">
        <f>SUM('Statistics NZ'!T$190,$Q$14/16*(T$9-T$10)*1000)*'Economic Forecasts'!V$9*1000000/SUM('Statistics NZ'!T$32:T$107,'Statistics NZ'!T$125:T$200,SUM($E$13:$Q$14)*(T$9-T$10)*1000)</f>
        <v>12597.662851025922</v>
      </c>
      <c r="U190" s="205">
        <f>SUM('Statistics NZ'!U$190,$Q$14/16*(U$9-U$10)*1000)*'Economic Forecasts'!W$9*1000000/SUM('Statistics NZ'!U$32:U$107,'Statistics NZ'!U$125:U$200,SUM($E$13:$Q$14)*(U$9-U$10)*1000)</f>
        <v>13109.905257339387</v>
      </c>
      <c r="V190" s="111">
        <f>SUM(U$190,'Statistics NZ'!V$190-'Statistics NZ'!U$190,$Q$14/16*(V$9-V$10)*1000)</f>
        <v>13982.456667205941</v>
      </c>
      <c r="W190" s="111">
        <f>SUM(V$190,'Statistics NZ'!W$190-'Statistics NZ'!V$190,$Q$14/16*(W$9-W$10)*1000)</f>
        <v>16554.689150839175</v>
      </c>
      <c r="X190" s="111">
        <f>SUM(W$190,'Statistics NZ'!X$190-'Statistics NZ'!W$190,$Q$14/16*(X$9-X$10)*1000)</f>
        <v>16706.60270823909</v>
      </c>
      <c r="Y190" s="111">
        <f>SUM(X$190,'Statistics NZ'!Y$190-'Statistics NZ'!X$190,$Q$14/16*(Y$9-Y$10)*1000)</f>
        <v>16788.197339405688</v>
      </c>
      <c r="Z190" s="111">
        <f>SUM(Y$190,'Statistics NZ'!Z$190-'Statistics NZ'!Y$190,$Q$14/16*(Z$9-Z$10)*1000)</f>
        <v>16999.473044338964</v>
      </c>
      <c r="AA190" s="111">
        <f>SUM(Z$190,'Statistics NZ'!AA$190-'Statistics NZ'!Z$190,$Q$14/16*(AA$9-AA$10)*1000)</f>
        <v>17230.429823038921</v>
      </c>
      <c r="AB190" s="111">
        <f>SUM(AA$190,'Statistics NZ'!AB$190-'Statistics NZ'!AA$190,$Q$14/16*(AB$9-AB$10)*1000)</f>
        <v>17631.067675505561</v>
      </c>
      <c r="AC190" s="111">
        <f>SUM(AB$190,'Statistics NZ'!AC$190-'Statistics NZ'!AB$190,$Q$14/16*(AC$9-AC$10)*1000)</f>
        <v>17951.386601738879</v>
      </c>
      <c r="AD190" s="111">
        <f>SUM(AC$190,'Statistics NZ'!AD$190-'Statistics NZ'!AC$190,$Q$14/16*(AD$9-AD$10)*1000)</f>
        <v>18591.386601738879</v>
      </c>
      <c r="AE190" s="111">
        <f>SUM(AD$190,'Statistics NZ'!AE$190-'Statistics NZ'!AD$190,$Q$14/16*(AE$9-AE$10)*1000)</f>
        <v>19141.386601738879</v>
      </c>
      <c r="AF190" s="111">
        <f>SUM(AE$190,'Statistics NZ'!AF$190-'Statistics NZ'!AE$190,$Q$14/16*(AF$9-AF$10)*1000)</f>
        <v>19771.386601738879</v>
      </c>
      <c r="AG190" s="111">
        <f>SUM(AF$190,'Statistics NZ'!AG$190-'Statistics NZ'!AF$190,$Q$14/16*(AG$9-AG$10)*1000)</f>
        <v>20331.386601738879</v>
      </c>
      <c r="AH190" s="111">
        <f>SUM(AG$190,'Statistics NZ'!AH$190-'Statistics NZ'!AG$190,$Q$14/16*(AH$9-AH$10)*1000)</f>
        <v>20961.386601738879</v>
      </c>
      <c r="AI190" s="111">
        <f>SUM(AH$190,'Statistics NZ'!AI$190-'Statistics NZ'!AH$190,$Q$14/16*(AI$9-AI$10)*1000)</f>
        <v>22001.386601738879</v>
      </c>
      <c r="AJ190" s="111">
        <f>SUM(AI$190,'Statistics NZ'!AJ$190-'Statistics NZ'!AI$190,$Q$14/16*(AJ$9-AJ$10)*1000)</f>
        <v>22501.386601738879</v>
      </c>
      <c r="AK190" s="111">
        <f>SUM(AJ$190,'Statistics NZ'!AK$190-'Statistics NZ'!AJ$190,$Q$14/16*(AK$9-AK$10)*1000)</f>
        <v>23221.386601738879</v>
      </c>
      <c r="AL190" s="111">
        <f>SUM(AK$190,'Statistics NZ'!AL$190-'Statistics NZ'!AK$190,$Q$14/16*(AL$9-AL$10)*1000)</f>
        <v>24081.386601738879</v>
      </c>
      <c r="AM190" s="111">
        <f>SUM(AL$190,'Statistics NZ'!AM$190-'Statistics NZ'!AL$190,$Q$14/16*(AM$9-AM$10)*1000)</f>
        <v>24441.386601738879</v>
      </c>
      <c r="AN190" s="111">
        <f>SUM(AM$190,'Statistics NZ'!AN$190-'Statistics NZ'!AM$190,$Q$14/16*(AN$9-AN$10)*1000)</f>
        <v>24331.386601738879</v>
      </c>
      <c r="AO190" s="111">
        <f>SUM(AN$190,'Statistics NZ'!AO$190-'Statistics NZ'!AN$190,$Q$14/16*(AO$9-AO$10)*1000)</f>
        <v>23961.386601738879</v>
      </c>
      <c r="AP190" s="111">
        <f>SUM(AO$190,'Statistics NZ'!AP$190-'Statistics NZ'!AO$190,$Q$14/16*(AP$9-AP$10)*1000)</f>
        <v>23801.386601738879</v>
      </c>
      <c r="AQ190" s="111">
        <f>SUM(AP$190,'Statistics NZ'!AQ$190-'Statistics NZ'!AP$190,$Q$14/16*(AQ$9-AQ$10)*1000)</f>
        <v>23971.386601738879</v>
      </c>
      <c r="AR190" s="111">
        <f>SUM(AQ$190,'Statistics NZ'!AR$190-'Statistics NZ'!AQ$190,$Q$14/16*(AR$9-AR$10)*1000)</f>
        <v>24571.386601738879</v>
      </c>
      <c r="AS190" s="111">
        <f>SUM(AR$190,'Statistics NZ'!AS$190-'Statistics NZ'!AR$190,$Q$14/16*(AS$9-AS$10)*1000)</f>
        <v>25231.386601738879</v>
      </c>
      <c r="AT190" s="111">
        <f>SUM(AS$190,'Statistics NZ'!AT$190-'Statistics NZ'!AS$190,$Q$14/16*(AT$9-AT$10)*1000)</f>
        <v>25421.386601738879</v>
      </c>
      <c r="AU190" s="111">
        <f>SUM(AT$190,'Statistics NZ'!AU$190-'Statistics NZ'!AT$190,$Q$14/16*(AU$9-AU$10)*1000)</f>
        <v>26041.386601738879</v>
      </c>
      <c r="AV190" s="111">
        <f>SUM(AU$190,'Statistics NZ'!AV$190-'Statistics NZ'!AU$190,$Q$14/16*(AV$9-AV$10)*1000)</f>
        <v>26191.386601738879</v>
      </c>
      <c r="AW190" s="111">
        <f>SUM(AV$190,'Statistics NZ'!AW$190-'Statistics NZ'!AV$190,$Q$14/16*(AW$9-AW$10)*1000)</f>
        <v>25601.386601738879</v>
      </c>
      <c r="AX190" s="111">
        <f>SUM(AW$190,'Statistics NZ'!AX$190-'Statistics NZ'!AW$190,$Q$14/16*(AX$9-AX$10)*1000)</f>
        <v>24771.386601738879</v>
      </c>
      <c r="AY190" s="111">
        <f>SUM(AX$190,'Statistics NZ'!AY$190-'Statistics NZ'!AX$190,$Q$14/16*(AY$9-AY$10)*1000)</f>
        <v>24151.386601738879</v>
      </c>
      <c r="AZ190" s="111">
        <f>SUM(AY$190,'Statistics NZ'!AZ$190-'Statistics NZ'!AY$190,$Q$14/16*(AZ$9-AZ$10)*1000)</f>
        <v>23851.386601738879</v>
      </c>
      <c r="BA190" s="111">
        <f>SUM(AZ$190,'Statistics NZ'!BA$190-'Statistics NZ'!AZ$190,$Q$14/16*(BA$9-BA$10)*1000)</f>
        <v>24101.386601738879</v>
      </c>
      <c r="BB190" s="111">
        <f>SUM(BA$190,'Statistics NZ'!BB$190-'Statistics NZ'!BA$190,$Q$14/16*(BB$9-BB$10)*1000)</f>
        <v>23961.386601738879</v>
      </c>
      <c r="BC190" s="111">
        <f>SUM(BB$190,'Statistics NZ'!BC$190-'Statistics NZ'!BB$190,$Q$14/16*(BC$9-BC$10)*1000)</f>
        <v>24921.386601738879</v>
      </c>
      <c r="BD190" s="111">
        <f>SUM(BC$190,'Statistics NZ'!BD$190-'Statistics NZ'!BC$190,$Q$14/16*(BD$9-BD$10)*1000)</f>
        <v>25631.386601738879</v>
      </c>
      <c r="BE190" s="111">
        <f>SUM(BD$190,'Statistics NZ'!BE$190-'Statistics NZ'!BD$190,$Q$14/16*(BE$9-BE$10)*1000)</f>
        <v>26281.386601738879</v>
      </c>
      <c r="BF190" s="111">
        <f>SUM(BE$190,'Statistics NZ'!BF$190-'Statistics NZ'!BE$190,$Q$14/16*(BF$9-BF$10)*1000)</f>
        <v>27041.386601738879</v>
      </c>
      <c r="BG190" s="111">
        <f>SUM(BF$190,'Statistics NZ'!BG$190-'Statistics NZ'!BF$190,$Q$14/16*(BG$9-BG$10)*1000)</f>
        <v>27921.386601738879</v>
      </c>
      <c r="BH190" s="111">
        <f>SUM(BG$190,'Statistics NZ'!BH$190-'Statistics NZ'!BG$190,$Q$14/16*(BH$9-BH$10)*1000)</f>
        <v>28461.386601738879</v>
      </c>
      <c r="BI190" s="111">
        <f>SUM(BH$190,'Statistics NZ'!BI$190-'Statistics NZ'!BH$190,$Q$14/16*(BI$9-BI$10)*1000)</f>
        <v>28881.386601738879</v>
      </c>
      <c r="BJ190" s="111">
        <f>SUM(BI$190,'Statistics NZ'!BJ$190-'Statistics NZ'!BI$190,$Q$14/16*(BJ$9-BJ$10)*1000)</f>
        <v>29771.386601738879</v>
      </c>
      <c r="BK190" s="111">
        <f>SUM(BJ$190,'Statistics NZ'!BK$190-'Statistics NZ'!BJ$190,$Q$14/16*(BK$9-BK$10)*1000)</f>
        <v>31321.386601738879</v>
      </c>
      <c r="BL190" s="111">
        <f>SUM(BK$190,'Statistics NZ'!BL$190-'Statistics NZ'!BK$190,$Q$14/16*(BL$9-BL$10)*1000)</f>
        <v>32531.386601738879</v>
      </c>
      <c r="BM190" s="195">
        <f>SUM(BL$190,'Statistics NZ'!BM$190-'Statistics NZ'!BL$190,$Q$14/16*(BM$9-BM$10)*1000)</f>
        <v>33471.386601738879</v>
      </c>
      <c r="BN190" s="195">
        <f>SUM(BM$190,'Statistics NZ'!BN$190-'Statistics NZ'!BM$190,$Q$14/16*(BN$9-BN$10)*1000)</f>
        <v>35161.386601738879</v>
      </c>
      <c r="BO190" s="195">
        <f>SUM(BN$190,'Statistics NZ'!BO$190-'Statistics NZ'!BN$190,$Q$14/16*(BO$9-BO$10)*1000)</f>
        <v>35941.386601738879</v>
      </c>
      <c r="BP190" s="195">
        <f>SUM(BO$190,'Statistics NZ'!BP$190-'Statistics NZ'!BO$190,$Q$14/16*(BP$9-BP$10)*1000)</f>
        <v>36201.386601738879</v>
      </c>
      <c r="BQ190" s="195">
        <f>SUM(BP$190,'Statistics NZ'!BQ$190-'Statistics NZ'!BP$190,$Q$14/16*(BQ$9-BQ$10)*1000)</f>
        <v>36011.386601738879</v>
      </c>
    </row>
    <row r="191" spans="1:69">
      <c r="A191" s="105">
        <f>$A$98</f>
        <v>81</v>
      </c>
      <c r="B191" s="118">
        <f>'Statistics NZ'!B$191*'Economic Forecasts'!D$9*1000000/SUM('Statistics NZ'!B$32:B$107,'Statistics NZ'!B$125:B$200)</f>
        <v>6797.1380205805253</v>
      </c>
      <c r="C191" s="118">
        <f>'Statistics NZ'!C$191*'Economic Forecasts'!E$9*1000000/SUM('Statistics NZ'!C$32:C$107,'Statistics NZ'!C$125:C$200)</f>
        <v>6891.0196065487189</v>
      </c>
      <c r="D191" s="118">
        <f>'Statistics NZ'!D$191*'Economic Forecasts'!F$9*1000000/SUM('Statistics NZ'!D$32:D$107,'Statistics NZ'!D$125:D$200)</f>
        <v>7106.2511295270251</v>
      </c>
      <c r="E191" s="118">
        <f>'Statistics NZ'!E$191*'Economic Forecasts'!G$9*1000000/SUM('Statistics NZ'!E$32:E$107,'Statistics NZ'!E$125:E$200)</f>
        <v>7386.3786701475556</v>
      </c>
      <c r="F191" s="118">
        <f>'Statistics NZ'!F$191*'Economic Forecasts'!H$9*1000000/SUM('Statistics NZ'!F$32:F$107,'Statistics NZ'!F$125:F$200)</f>
        <v>7447.8252912828639</v>
      </c>
      <c r="G191" s="118">
        <f>'Statistics NZ'!G$191*'Economic Forecasts'!I$9*1000000/SUM('Statistics NZ'!G$32:G$107,'Statistics NZ'!G$125:G$200)</f>
        <v>7537.4501189084594</v>
      </c>
      <c r="H191" s="118">
        <f>'Statistics NZ'!H$191*'Economic Forecasts'!J$9*1000000/SUM('Statistics NZ'!H$32:H$107,'Statistics NZ'!H$125:H$200)</f>
        <v>7919.1300594310751</v>
      </c>
      <c r="I191" s="118">
        <f>'Statistics NZ'!I$191*'Economic Forecasts'!K$9*1000000/SUM('Statistics NZ'!I$32:I$107,'Statistics NZ'!I$125:I$200)</f>
        <v>7774.3668118563046</v>
      </c>
      <c r="J191" s="203">
        <f>'Statistics NZ'!J$191*'Economic Forecasts'!L$9*1000000/SUM('Statistics NZ'!J$32:J$107,'Statistics NZ'!J$125:J$200)</f>
        <v>7508.9241661719088</v>
      </c>
      <c r="K191" s="203">
        <f>'Statistics NZ'!K$191*'Economic Forecasts'!M$9*1000000/SUM('Statistics NZ'!K$32:K$107,'Statistics NZ'!K$125:K$200)</f>
        <v>7722.6959914863428</v>
      </c>
      <c r="L191" s="203">
        <f>'Statistics NZ'!L$191*'Economic Forecasts'!N$9*1000000/SUM('Statistics NZ'!L$32:L$107,'Statistics NZ'!L$125:L$200)</f>
        <v>7957.8510424914211</v>
      </c>
      <c r="M191" s="203">
        <f>'Statistics NZ'!M$191*'Economic Forecasts'!O$9*1000000/SUM('Statistics NZ'!M$32:M$107,'Statistics NZ'!M$125:M$200)</f>
        <v>8057.6087214491736</v>
      </c>
      <c r="N191" s="203">
        <f>'Statistics NZ'!N$191*'Economic Forecasts'!P$9*1000000/SUM('Statistics NZ'!N$32:N$107,'Statistics NZ'!N$125:N$200)</f>
        <v>8496.7712664259052</v>
      </c>
      <c r="O191" s="203">
        <f>'Statistics NZ'!O$191*'Economic Forecasts'!Q$9*1000000/SUM('Statistics NZ'!O$32:O$107,'Statistics NZ'!O$125:O$200)</f>
        <v>8940.8282897075242</v>
      </c>
      <c r="P191" s="203">
        <f>'Statistics NZ'!P$191*'Economic Forecasts'!R$9*1000000/SUM('Statistics NZ'!P$32:P$107,'Statistics NZ'!P$125:P$200)</f>
        <v>9458.513188983532</v>
      </c>
      <c r="Q191" s="121">
        <f>SUM('Statistics NZ'!Q$191,$Q$14/16*(Q$9-Q$10)*1000)*'Economic Forecasts'!S$9*1000000/SUM('Statistics NZ'!Q$32:Q$107,'Statistics NZ'!Q$125:Q$200,SUM($E$13:$Q$14)*(Q$9-Q$10)*1000)</f>
        <v>10439.763280693947</v>
      </c>
      <c r="R191" s="205">
        <f>SUM('Statistics NZ'!R$191,$Q$14/16*(R$9-R$10)*1000)*'Economic Forecasts'!T$9*1000000/SUM('Statistics NZ'!R$32:R$107,'Statistics NZ'!R$125:R$200,SUM($E$13:$Q$14)*(R$9-R$10)*1000)</f>
        <v>11278.595278734234</v>
      </c>
      <c r="S191" s="205">
        <f>SUM('Statistics NZ'!S$191,$Q$14/16*(S$9-S$10)*1000)*'Economic Forecasts'!U$9*1000000/SUM('Statistics NZ'!S$32:S$107,'Statistics NZ'!S$125:S$200,SUM($E$13:$Q$14)*(S$9-S$10)*1000)</f>
        <v>11579.553218514126</v>
      </c>
      <c r="T191" s="205">
        <f>SUM('Statistics NZ'!T$191,$Q$14/16*(T$9-T$10)*1000)*'Economic Forecasts'!V$9*1000000/SUM('Statistics NZ'!T$32:T$107,'Statistics NZ'!T$125:T$200,SUM($E$13:$Q$14)*(T$9-T$10)*1000)</f>
        <v>10503.254581577066</v>
      </c>
      <c r="U191" s="205">
        <f>SUM('Statistics NZ'!U$191,$Q$14/16*(U$9-U$10)*1000)*'Economic Forecasts'!W$9*1000000/SUM('Statistics NZ'!U$32:U$107,'Statistics NZ'!U$125:U$200,SUM($E$13:$Q$14)*(U$9-U$10)*1000)</f>
        <v>12001.987235367615</v>
      </c>
      <c r="V191" s="111">
        <f>SUM(U$191,'Statistics NZ'!V$191-'Statistics NZ'!U$191,$Q$14/16*(V$9-V$10)*1000)</f>
        <v>12484.538645234168</v>
      </c>
      <c r="W191" s="111">
        <f>SUM(V$191,'Statistics NZ'!W$191-'Statistics NZ'!V$191,$Q$14/16*(W$9-W$10)*1000)</f>
        <v>13326.771128867402</v>
      </c>
      <c r="X191" s="111">
        <f>SUM(W$191,'Statistics NZ'!X$191-'Statistics NZ'!W$191,$Q$14/16*(X$9-X$10)*1000)</f>
        <v>15788.684686267317</v>
      </c>
      <c r="Y191" s="111">
        <f>SUM(X$191,'Statistics NZ'!Y$191-'Statistics NZ'!X$191,$Q$14/16*(Y$9-Y$10)*1000)</f>
        <v>15950.279317433913</v>
      </c>
      <c r="Z191" s="111">
        <f>SUM(Y$191,'Statistics NZ'!Z$191-'Statistics NZ'!Y$191,$Q$14/16*(Z$9-Z$10)*1000)</f>
        <v>16041.555022367189</v>
      </c>
      <c r="AA191" s="111">
        <f>SUM(Z$191,'Statistics NZ'!AA$191-'Statistics NZ'!Z$191,$Q$14/16*(AA$9-AA$10)*1000)</f>
        <v>16252.511801067147</v>
      </c>
      <c r="AB191" s="111">
        <f>SUM(AA$191,'Statistics NZ'!AB$191-'Statistics NZ'!AA$191,$Q$14/16*(AB$9-AB$10)*1000)</f>
        <v>16483.149653533786</v>
      </c>
      <c r="AC191" s="111">
        <f>SUM(AB$191,'Statistics NZ'!AC$191-'Statistics NZ'!AB$191,$Q$14/16*(AC$9-AC$10)*1000)</f>
        <v>16873.468579767105</v>
      </c>
      <c r="AD191" s="111">
        <f>SUM(AC$191,'Statistics NZ'!AD$191-'Statistics NZ'!AC$191,$Q$14/16*(AD$9-AD$10)*1000)</f>
        <v>17183.468579767105</v>
      </c>
      <c r="AE191" s="111">
        <f>SUM(AD$191,'Statistics NZ'!AE$191-'Statistics NZ'!AD$191,$Q$14/16*(AE$9-AE$10)*1000)</f>
        <v>17813.468579767105</v>
      </c>
      <c r="AF191" s="111">
        <f>SUM(AE$191,'Statistics NZ'!AF$191-'Statistics NZ'!AE$191,$Q$14/16*(AF$9-AF$10)*1000)</f>
        <v>18353.468579767105</v>
      </c>
      <c r="AG191" s="111">
        <f>SUM(AF$191,'Statistics NZ'!AG$191-'Statistics NZ'!AF$191,$Q$14/16*(AG$9-AG$10)*1000)</f>
        <v>18973.468579767105</v>
      </c>
      <c r="AH191" s="111">
        <f>SUM(AG$191,'Statistics NZ'!AH$191-'Statistics NZ'!AG$191,$Q$14/16*(AH$9-AH$10)*1000)</f>
        <v>19523.468579767105</v>
      </c>
      <c r="AI191" s="111">
        <f>SUM(AH$191,'Statistics NZ'!AI$191-'Statistics NZ'!AH$191,$Q$14/16*(AI$9-AI$10)*1000)</f>
        <v>20133.468579767105</v>
      </c>
      <c r="AJ191" s="111">
        <f>SUM(AI$191,'Statistics NZ'!AJ$191-'Statistics NZ'!AI$191,$Q$14/16*(AJ$9-AJ$10)*1000)</f>
        <v>21153.468579767105</v>
      </c>
      <c r="AK191" s="111">
        <f>SUM(AJ$191,'Statistics NZ'!AK$191-'Statistics NZ'!AJ$191,$Q$14/16*(AK$9-AK$10)*1000)</f>
        <v>21643.468579767105</v>
      </c>
      <c r="AL191" s="111">
        <f>SUM(AK$191,'Statistics NZ'!AL$191-'Statistics NZ'!AK$191,$Q$14/16*(AL$9-AL$10)*1000)</f>
        <v>22343.468579767105</v>
      </c>
      <c r="AM191" s="111">
        <f>SUM(AL$191,'Statistics NZ'!AM$191-'Statistics NZ'!AL$191,$Q$14/16*(AM$9-AM$10)*1000)</f>
        <v>23183.468579767105</v>
      </c>
      <c r="AN191" s="111">
        <f>SUM(AM$191,'Statistics NZ'!AN$191-'Statistics NZ'!AM$191,$Q$14/16*(AN$9-AN$10)*1000)</f>
        <v>23553.468579767105</v>
      </c>
      <c r="AO191" s="111">
        <f>SUM(AN$191,'Statistics NZ'!AO$191-'Statistics NZ'!AN$191,$Q$14/16*(AO$9-AO$10)*1000)</f>
        <v>23453.468579767105</v>
      </c>
      <c r="AP191" s="111">
        <f>SUM(AO$191,'Statistics NZ'!AP$191-'Statistics NZ'!AO$191,$Q$14/16*(AP$9-AP$10)*1000)</f>
        <v>23113.468579767105</v>
      </c>
      <c r="AQ191" s="111">
        <f>SUM(AP$191,'Statistics NZ'!AQ$191-'Statistics NZ'!AP$191,$Q$14/16*(AQ$9-AQ$10)*1000)</f>
        <v>22973.468579767105</v>
      </c>
      <c r="AR191" s="111">
        <f>SUM(AQ$191,'Statistics NZ'!AR$191-'Statistics NZ'!AQ$191,$Q$14/16*(AR$9-AR$10)*1000)</f>
        <v>23143.468579767105</v>
      </c>
      <c r="AS191" s="111">
        <f>SUM(AR$191,'Statistics NZ'!AS$191-'Statistics NZ'!AR$191,$Q$14/16*(AS$9-AS$10)*1000)</f>
        <v>23743.468579767105</v>
      </c>
      <c r="AT191" s="111">
        <f>SUM(AS$191,'Statistics NZ'!AT$191-'Statistics NZ'!AS$191,$Q$14/16*(AT$9-AT$10)*1000)</f>
        <v>24383.468579767105</v>
      </c>
      <c r="AU191" s="111">
        <f>SUM(AT$191,'Statistics NZ'!AU$191-'Statistics NZ'!AT$191,$Q$14/16*(AU$9-AU$10)*1000)</f>
        <v>24583.468579767105</v>
      </c>
      <c r="AV191" s="111">
        <f>SUM(AU$191,'Statistics NZ'!AV$191-'Statistics NZ'!AU$191,$Q$14/16*(AV$9-AV$10)*1000)</f>
        <v>25203.468579767105</v>
      </c>
      <c r="AW191" s="111">
        <f>SUM(AV$191,'Statistics NZ'!AW$191-'Statistics NZ'!AV$191,$Q$14/16*(AW$9-AW$10)*1000)</f>
        <v>25353.468579767105</v>
      </c>
      <c r="AX191" s="111">
        <f>SUM(AW$191,'Statistics NZ'!AX$191-'Statistics NZ'!AW$191,$Q$14/16*(AX$9-AX$10)*1000)</f>
        <v>24793.468579767105</v>
      </c>
      <c r="AY191" s="111">
        <f>SUM(AX$191,'Statistics NZ'!AY$191-'Statistics NZ'!AX$191,$Q$14/16*(AY$9-AY$10)*1000)</f>
        <v>24003.468579767105</v>
      </c>
      <c r="AZ191" s="111">
        <f>SUM(AY$191,'Statistics NZ'!AZ$191-'Statistics NZ'!AY$191,$Q$14/16*(AZ$9-AZ$10)*1000)</f>
        <v>23423.468579767105</v>
      </c>
      <c r="BA191" s="111">
        <f>SUM(AZ$191,'Statistics NZ'!BA$191-'Statistics NZ'!AZ$191,$Q$14/16*(BA$9-BA$10)*1000)</f>
        <v>23133.468579767105</v>
      </c>
      <c r="BB191" s="111">
        <f>SUM(BA$191,'Statistics NZ'!BB$191-'Statistics NZ'!BA$191,$Q$14/16*(BB$9-BB$10)*1000)</f>
        <v>23383.468579767105</v>
      </c>
      <c r="BC191" s="111">
        <f>SUM(BB$191,'Statistics NZ'!BC$191-'Statistics NZ'!BB$191,$Q$14/16*(BC$9-BC$10)*1000)</f>
        <v>23263.468579767105</v>
      </c>
      <c r="BD191" s="111">
        <f>SUM(BC$191,'Statistics NZ'!BD$191-'Statistics NZ'!BC$191,$Q$14/16*(BD$9-BD$10)*1000)</f>
        <v>24203.468579767105</v>
      </c>
      <c r="BE191" s="111">
        <f>SUM(BD$191,'Statistics NZ'!BE$191-'Statistics NZ'!BD$191,$Q$14/16*(BE$9-BE$10)*1000)</f>
        <v>24903.468579767105</v>
      </c>
      <c r="BF191" s="111">
        <f>SUM(BE$191,'Statistics NZ'!BF$191-'Statistics NZ'!BE$191,$Q$14/16*(BF$9-BF$10)*1000)</f>
        <v>25543.468579767105</v>
      </c>
      <c r="BG191" s="111">
        <f>SUM(BF$191,'Statistics NZ'!BG$191-'Statistics NZ'!BF$191,$Q$14/16*(BG$9-BG$10)*1000)</f>
        <v>26293.468579767105</v>
      </c>
      <c r="BH191" s="111">
        <f>SUM(BG$191,'Statistics NZ'!BH$191-'Statistics NZ'!BG$191,$Q$14/16*(BH$9-BH$10)*1000)</f>
        <v>27163.468579767105</v>
      </c>
      <c r="BI191" s="111">
        <f>SUM(BH$191,'Statistics NZ'!BI$191-'Statistics NZ'!BH$191,$Q$14/16*(BI$9-BI$10)*1000)</f>
        <v>27703.468579767105</v>
      </c>
      <c r="BJ191" s="111">
        <f>SUM(BI$191,'Statistics NZ'!BJ$191-'Statistics NZ'!BI$191,$Q$14/16*(BJ$9-BJ$10)*1000)</f>
        <v>28123.468579767105</v>
      </c>
      <c r="BK191" s="111">
        <f>SUM(BJ$191,'Statistics NZ'!BK$191-'Statistics NZ'!BJ$191,$Q$14/16*(BK$9-BK$10)*1000)</f>
        <v>29003.468579767105</v>
      </c>
      <c r="BL191" s="111">
        <f>SUM(BK$191,'Statistics NZ'!BL$191-'Statistics NZ'!BK$191,$Q$14/16*(BL$9-BL$10)*1000)</f>
        <v>30523.468579767105</v>
      </c>
      <c r="BM191" s="195">
        <f>SUM(BL$191,'Statistics NZ'!BM$191-'Statistics NZ'!BL$191,$Q$14/16*(BM$9-BM$10)*1000)</f>
        <v>31713.468579767105</v>
      </c>
      <c r="BN191" s="195">
        <f>SUM(BM$191,'Statistics NZ'!BN$191-'Statistics NZ'!BM$191,$Q$14/16*(BN$9-BN$10)*1000)</f>
        <v>32643.468579767105</v>
      </c>
      <c r="BO191" s="195">
        <f>SUM(BN$191,'Statistics NZ'!BO$191-'Statistics NZ'!BN$191,$Q$14/16*(BO$9-BO$10)*1000)</f>
        <v>34293.468579767105</v>
      </c>
      <c r="BP191" s="195">
        <f>SUM(BO$191,'Statistics NZ'!BP$191-'Statistics NZ'!BO$191,$Q$14/16*(BP$9-BP$10)*1000)</f>
        <v>35083.468579767105</v>
      </c>
      <c r="BQ191" s="195">
        <f>SUM(BP$191,'Statistics NZ'!BQ$191-'Statistics NZ'!BP$191,$Q$14/16*(BQ$9-BQ$10)*1000)</f>
        <v>35343.468579767105</v>
      </c>
    </row>
    <row r="192" spans="1:69">
      <c r="A192" s="105">
        <f>$A$99</f>
        <v>82</v>
      </c>
      <c r="B192" s="118">
        <f>'Statistics NZ'!B$192*'Economic Forecasts'!D$9*1000000/SUM('Statistics NZ'!B$32:B$107,'Statistics NZ'!B$125:B$200)</f>
        <v>5812.0455538297238</v>
      </c>
      <c r="C192" s="118">
        <f>'Statistics NZ'!C$192*'Economic Forecasts'!E$9*1000000/SUM('Statistics NZ'!C$32:C$107,'Statistics NZ'!C$125:C$200)</f>
        <v>6309.3741748085558</v>
      </c>
      <c r="D192" s="118">
        <f>'Statistics NZ'!D$192*'Economic Forecasts'!F$9*1000000/SUM('Statistics NZ'!D$32:D$107,'Statistics NZ'!D$125:D$200)</f>
        <v>6367.043314388985</v>
      </c>
      <c r="E192" s="118">
        <f>'Statistics NZ'!E$192*'Economic Forecasts'!G$9*1000000/SUM('Statistics NZ'!E$32:E$107,'Statistics NZ'!E$125:E$200)</f>
        <v>6618.1952884522088</v>
      </c>
      <c r="F192" s="118">
        <f>'Statistics NZ'!F$192*'Economic Forecasts'!H$9*1000000/SUM('Statistics NZ'!F$32:F$107,'Statistics NZ'!F$125:F$200)</f>
        <v>6856.7280459429549</v>
      </c>
      <c r="G192" s="118">
        <f>'Statistics NZ'!G$192*'Economic Forecasts'!I$9*1000000/SUM('Statistics NZ'!G$32:G$107,'Statistics NZ'!G$125:G$200)</f>
        <v>6936.4246845902699</v>
      </c>
      <c r="H192" s="118">
        <f>'Statistics NZ'!H$192*'Economic Forecasts'!J$9*1000000/SUM('Statistics NZ'!H$32:H$107,'Statistics NZ'!H$125:H$200)</f>
        <v>7022.810612405915</v>
      </c>
      <c r="I192" s="118">
        <f>'Statistics NZ'!I$192*'Economic Forecasts'!K$9*1000000/SUM('Statistics NZ'!I$32:I$107,'Statistics NZ'!I$125:I$200)</f>
        <v>7420.0918685312072</v>
      </c>
      <c r="J192" s="203">
        <f>'Statistics NZ'!J$192*'Economic Forecasts'!L$9*1000000/SUM('Statistics NZ'!J$32:J$107,'Statistics NZ'!J$125:J$200)</f>
        <v>7233.7279925425719</v>
      </c>
      <c r="K192" s="203">
        <f>'Statistics NZ'!K$192*'Economic Forecasts'!M$9*1000000/SUM('Statistics NZ'!K$32:K$107,'Statistics NZ'!K$125:K$200)</f>
        <v>6975.9722060500044</v>
      </c>
      <c r="L192" s="203">
        <f>'Statistics NZ'!L$192*'Economic Forecasts'!N$9*1000000/SUM('Statistics NZ'!L$32:L$107,'Statistics NZ'!L$125:L$200)</f>
        <v>7258.5844286091315</v>
      </c>
      <c r="M192" s="203">
        <f>'Statistics NZ'!M$192*'Economic Forecasts'!O$9*1000000/SUM('Statistics NZ'!M$32:M$107,'Statistics NZ'!M$125:M$200)</f>
        <v>7446.8853220239289</v>
      </c>
      <c r="N192" s="203">
        <f>'Statistics NZ'!N$192*'Economic Forecasts'!P$9*1000000/SUM('Statistics NZ'!N$32:N$107,'Statistics NZ'!N$125:N$200)</f>
        <v>7529.6590897595415</v>
      </c>
      <c r="O192" s="203">
        <f>'Statistics NZ'!O$192*'Economic Forecasts'!Q$9*1000000/SUM('Statistics NZ'!O$32:O$107,'Statistics NZ'!O$125:O$200)</f>
        <v>7983.5872918028554</v>
      </c>
      <c r="P192" s="203">
        <f>'Statistics NZ'!P$192*'Economic Forecasts'!R$9*1000000/SUM('Statistics NZ'!P$32:P$107,'Statistics NZ'!P$125:P$200)</f>
        <v>8451.4481104069982</v>
      </c>
      <c r="Q192" s="121">
        <f>SUM('Statistics NZ'!Q$192,$Q$14/16*(Q$9-Q$10)*1000)*'Economic Forecasts'!S$9*1000000/SUM('Statistics NZ'!Q$32:Q$107,'Statistics NZ'!Q$125:Q$200,SUM($E$13:$Q$14)*(Q$9-Q$10)*1000)</f>
        <v>8927.1405426465608</v>
      </c>
      <c r="R192" s="205">
        <f>SUM('Statistics NZ'!R$192,$Q$14/16*(R$9-R$10)*1000)*'Economic Forecasts'!T$9*1000000/SUM('Statistics NZ'!R$32:R$107,'Statistics NZ'!R$125:R$200,SUM($E$13:$Q$14)*(R$9-R$10)*1000)</f>
        <v>9835.3591293663012</v>
      </c>
      <c r="S192" s="205">
        <f>SUM('Statistics NZ'!S$192,$Q$14/16*(S$9-S$10)*1000)*'Economic Forecasts'!U$9*1000000/SUM('Statistics NZ'!S$32:S$107,'Statistics NZ'!S$125:S$200,SUM($E$13:$Q$14)*(S$9-S$10)*1000)</f>
        <v>10640.963097645821</v>
      </c>
      <c r="T192" s="205">
        <f>SUM('Statistics NZ'!T$192,$Q$14/16*(T$9-T$10)*1000)*'Economic Forecasts'!V$9*1000000/SUM('Statistics NZ'!T$32:T$107,'Statistics NZ'!T$125:T$200,SUM($E$13:$Q$14)*(T$9-T$10)*1000)</f>
        <v>10937.9430903306</v>
      </c>
      <c r="U192" s="205">
        <f>SUM('Statistics NZ'!U$192,$Q$14/16*(U$9-U$10)*1000)*'Economic Forecasts'!W$9*1000000/SUM('Statistics NZ'!U$32:U$107,'Statistics NZ'!U$125:U$200,SUM($E$13:$Q$14)*(U$9-U$10)*1000)</f>
        <v>9934.5330693667238</v>
      </c>
      <c r="V192" s="111">
        <f>SUM(U$192,'Statistics NZ'!V$192-'Statistics NZ'!U$192,$Q$14/16*(V$9-V$10)*1000)</f>
        <v>11367.084479233277</v>
      </c>
      <c r="W192" s="111">
        <f>SUM(V$192,'Statistics NZ'!W$192-'Statistics NZ'!V$192,$Q$14/16*(W$9-W$10)*1000)</f>
        <v>11839.316962866511</v>
      </c>
      <c r="X192" s="111">
        <f>SUM(W$192,'Statistics NZ'!X$192-'Statistics NZ'!W$192,$Q$14/16*(X$9-X$10)*1000)</f>
        <v>12631.230520266427</v>
      </c>
      <c r="Y192" s="111">
        <f>SUM(X$192,'Statistics NZ'!Y$192-'Statistics NZ'!X$192,$Q$14/16*(Y$9-Y$10)*1000)</f>
        <v>14982.825151433022</v>
      </c>
      <c r="Z192" s="111">
        <f>SUM(Y$192,'Statistics NZ'!Z$192-'Statistics NZ'!Y$192,$Q$14/16*(Z$9-Z$10)*1000)</f>
        <v>15144.100856366298</v>
      </c>
      <c r="AA192" s="111">
        <f>SUM(Z$192,'Statistics NZ'!AA$192-'Statistics NZ'!Z$192,$Q$14/16*(AA$9-AA$10)*1000)</f>
        <v>15245.057635066256</v>
      </c>
      <c r="AB192" s="111">
        <f>SUM(AA$192,'Statistics NZ'!AB$192-'Statistics NZ'!AA$192,$Q$14/16*(AB$9-AB$10)*1000)</f>
        <v>15455.695487532894</v>
      </c>
      <c r="AC192" s="111">
        <f>SUM(AB$192,'Statistics NZ'!AC$192-'Statistics NZ'!AB$192,$Q$14/16*(AC$9-AC$10)*1000)</f>
        <v>15686.014413766214</v>
      </c>
      <c r="AD192" s="111">
        <f>SUM(AC$192,'Statistics NZ'!AD$192-'Statistics NZ'!AC$192,$Q$14/16*(AD$9-AD$10)*1000)</f>
        <v>16066.014413766214</v>
      </c>
      <c r="AE192" s="111">
        <f>SUM(AD$192,'Statistics NZ'!AE$192-'Statistics NZ'!AD$192,$Q$14/16*(AE$9-AE$10)*1000)</f>
        <v>16376.014413766214</v>
      </c>
      <c r="AF192" s="111">
        <f>SUM(AE$192,'Statistics NZ'!AF$192-'Statistics NZ'!AE$192,$Q$14/16*(AF$9-AF$10)*1000)</f>
        <v>16986.014413766214</v>
      </c>
      <c r="AG192" s="111">
        <f>SUM(AF$192,'Statistics NZ'!AG$192-'Statistics NZ'!AF$192,$Q$14/16*(AG$9-AG$10)*1000)</f>
        <v>17506.014413766214</v>
      </c>
      <c r="AH192" s="111">
        <f>SUM(AG$192,'Statistics NZ'!AH$192-'Statistics NZ'!AG$192,$Q$14/16*(AH$9-AH$10)*1000)</f>
        <v>18116.014413766214</v>
      </c>
      <c r="AI192" s="111">
        <f>SUM(AH$192,'Statistics NZ'!AI$192-'Statistics NZ'!AH$192,$Q$14/16*(AI$9-AI$10)*1000)</f>
        <v>18656.014413766214</v>
      </c>
      <c r="AJ192" s="111">
        <f>SUM(AI$192,'Statistics NZ'!AJ$192-'Statistics NZ'!AI$192,$Q$14/16*(AJ$9-AJ$10)*1000)</f>
        <v>19246.014413766214</v>
      </c>
      <c r="AK192" s="111">
        <f>SUM(AJ$192,'Statistics NZ'!AK$192-'Statistics NZ'!AJ$192,$Q$14/16*(AK$9-AK$10)*1000)</f>
        <v>20236.014413766214</v>
      </c>
      <c r="AL192" s="111">
        <f>SUM(AK$192,'Statistics NZ'!AL$192-'Statistics NZ'!AK$192,$Q$14/16*(AL$9-AL$10)*1000)</f>
        <v>20716.014413766214</v>
      </c>
      <c r="AM192" s="111">
        <f>SUM(AL$192,'Statistics NZ'!AM$192-'Statistics NZ'!AL$192,$Q$14/16*(AM$9-AM$10)*1000)</f>
        <v>21396.014413766214</v>
      </c>
      <c r="AN192" s="111">
        <f>SUM(AM$192,'Statistics NZ'!AN$192-'Statistics NZ'!AM$192,$Q$14/16*(AN$9-AN$10)*1000)</f>
        <v>22216.014413766214</v>
      </c>
      <c r="AO192" s="111">
        <f>SUM(AN$192,'Statistics NZ'!AO$192-'Statistics NZ'!AN$192,$Q$14/16*(AO$9-AO$10)*1000)</f>
        <v>22586.014413766214</v>
      </c>
      <c r="AP192" s="111">
        <f>SUM(AO$192,'Statistics NZ'!AP$192-'Statistics NZ'!AO$192,$Q$14/16*(AP$9-AP$10)*1000)</f>
        <v>22506.014413766214</v>
      </c>
      <c r="AQ192" s="111">
        <f>SUM(AP$192,'Statistics NZ'!AQ$192-'Statistics NZ'!AP$192,$Q$14/16*(AQ$9-AQ$10)*1000)</f>
        <v>22196.014413766214</v>
      </c>
      <c r="AR192" s="111">
        <f>SUM(AQ$192,'Statistics NZ'!AR$192-'Statistics NZ'!AQ$192,$Q$14/16*(AR$9-AR$10)*1000)</f>
        <v>22066.014413766214</v>
      </c>
      <c r="AS192" s="111">
        <f>SUM(AR$192,'Statistics NZ'!AS$192-'Statistics NZ'!AR$192,$Q$14/16*(AS$9-AS$10)*1000)</f>
        <v>22246.014413766214</v>
      </c>
      <c r="AT192" s="111">
        <f>SUM(AS$192,'Statistics NZ'!AT$192-'Statistics NZ'!AS$192,$Q$14/16*(AT$9-AT$10)*1000)</f>
        <v>22836.014413766214</v>
      </c>
      <c r="AU192" s="111">
        <f>SUM(AT$192,'Statistics NZ'!AU$192-'Statistics NZ'!AT$192,$Q$14/16*(AU$9-AU$10)*1000)</f>
        <v>23466.014413766214</v>
      </c>
      <c r="AV192" s="111">
        <f>SUM(AU$192,'Statistics NZ'!AV$192-'Statistics NZ'!AU$192,$Q$14/16*(AV$9-AV$10)*1000)</f>
        <v>23666.014413766214</v>
      </c>
      <c r="AW192" s="111">
        <f>SUM(AV$192,'Statistics NZ'!AW$192-'Statistics NZ'!AV$192,$Q$14/16*(AW$9-AW$10)*1000)</f>
        <v>24276.014413766214</v>
      </c>
      <c r="AX192" s="111">
        <f>SUM(AW$192,'Statistics NZ'!AX$192-'Statistics NZ'!AW$192,$Q$14/16*(AX$9-AX$10)*1000)</f>
        <v>24436.014413766214</v>
      </c>
      <c r="AY192" s="111">
        <f>SUM(AX$192,'Statistics NZ'!AY$192-'Statistics NZ'!AX$192,$Q$14/16*(AY$9-AY$10)*1000)</f>
        <v>23906.014413766214</v>
      </c>
      <c r="AZ192" s="111">
        <f>SUM(AY$192,'Statistics NZ'!AZ$192-'Statistics NZ'!AY$192,$Q$14/16*(AZ$9-AZ$10)*1000)</f>
        <v>23156.014413766214</v>
      </c>
      <c r="BA192" s="111">
        <f>SUM(AZ$192,'Statistics NZ'!BA$192-'Statistics NZ'!AZ$192,$Q$14/16*(BA$9-BA$10)*1000)</f>
        <v>22606.014413766214</v>
      </c>
      <c r="BB192" s="111">
        <f>SUM(BA$192,'Statistics NZ'!BB$192-'Statistics NZ'!BA$192,$Q$14/16*(BB$9-BB$10)*1000)</f>
        <v>22346.014413766214</v>
      </c>
      <c r="BC192" s="111">
        <f>SUM(BB$192,'Statistics NZ'!BC$192-'Statistics NZ'!BB$192,$Q$14/16*(BC$9-BC$10)*1000)</f>
        <v>22606.014413766214</v>
      </c>
      <c r="BD192" s="111">
        <f>SUM(BC$192,'Statistics NZ'!BD$192-'Statistics NZ'!BC$192,$Q$14/16*(BD$9-BD$10)*1000)</f>
        <v>22496.014413766214</v>
      </c>
      <c r="BE192" s="111">
        <f>SUM(BD$192,'Statistics NZ'!BE$192-'Statistics NZ'!BD$192,$Q$14/16*(BE$9-BE$10)*1000)</f>
        <v>23416.014413766214</v>
      </c>
      <c r="BF192" s="111">
        <f>SUM(BE$192,'Statistics NZ'!BF$192-'Statistics NZ'!BE$192,$Q$14/16*(BF$9-BF$10)*1000)</f>
        <v>24096.014413766214</v>
      </c>
      <c r="BG192" s="111">
        <f>SUM(BF$192,'Statistics NZ'!BG$192-'Statistics NZ'!BF$192,$Q$14/16*(BG$9-BG$10)*1000)</f>
        <v>24736.014413766214</v>
      </c>
      <c r="BH192" s="111">
        <f>SUM(BG$192,'Statistics NZ'!BH$192-'Statistics NZ'!BG$192,$Q$14/16*(BH$9-BH$10)*1000)</f>
        <v>25466.014413766214</v>
      </c>
      <c r="BI192" s="111">
        <f>SUM(BH$192,'Statistics NZ'!BI$192-'Statistics NZ'!BH$192,$Q$14/16*(BI$9-BI$10)*1000)</f>
        <v>26316.014413766214</v>
      </c>
      <c r="BJ192" s="111">
        <f>SUM(BI$192,'Statistics NZ'!BJ$192-'Statistics NZ'!BI$192,$Q$14/16*(BJ$9-BJ$10)*1000)</f>
        <v>26856.014413766214</v>
      </c>
      <c r="BK192" s="111">
        <f>SUM(BJ$192,'Statistics NZ'!BK$192-'Statistics NZ'!BJ$192,$Q$14/16*(BK$9-BK$10)*1000)</f>
        <v>27276.014413766214</v>
      </c>
      <c r="BL192" s="111">
        <f>SUM(BK$192,'Statistics NZ'!BL$192-'Statistics NZ'!BK$192,$Q$14/16*(BL$9-BL$10)*1000)</f>
        <v>28146.014413766214</v>
      </c>
      <c r="BM192" s="195">
        <f>SUM(BL$192,'Statistics NZ'!BM$192-'Statistics NZ'!BL$192,$Q$14/16*(BM$9-BM$10)*1000)</f>
        <v>29626.014413766214</v>
      </c>
      <c r="BN192" s="195">
        <f>SUM(BM$192,'Statistics NZ'!BN$192-'Statistics NZ'!BM$192,$Q$14/16*(BN$9-BN$10)*1000)</f>
        <v>30796.014413766214</v>
      </c>
      <c r="BO192" s="195">
        <f>SUM(BN$192,'Statistics NZ'!BO$192-'Statistics NZ'!BN$192,$Q$14/16*(BO$9-BO$10)*1000)</f>
        <v>31716.014413766214</v>
      </c>
      <c r="BP192" s="195">
        <f>SUM(BO$192,'Statistics NZ'!BP$192-'Statistics NZ'!BO$192,$Q$14/16*(BP$9-BP$10)*1000)</f>
        <v>33336.014413766214</v>
      </c>
      <c r="BQ192" s="195">
        <f>SUM(BP$192,'Statistics NZ'!BQ$192-'Statistics NZ'!BP$192,$Q$14/16*(BQ$9-BQ$10)*1000)</f>
        <v>34106.014413766214</v>
      </c>
    </row>
    <row r="193" spans="1:69">
      <c r="A193" s="105">
        <f>$A$100</f>
        <v>83</v>
      </c>
      <c r="B193" s="118">
        <f>'Statistics NZ'!B$193*'Economic Forecasts'!D$9*1000000/SUM('Statistics NZ'!B$32:B$107,'Statistics NZ'!B$125:B$200)</f>
        <v>5132.3317517716723</v>
      </c>
      <c r="C193" s="118">
        <f>'Statistics NZ'!C$193*'Economic Forecasts'!E$9*1000000/SUM('Statistics NZ'!C$32:C$107,'Statistics NZ'!C$125:C$200)</f>
        <v>5362.9680485872723</v>
      </c>
      <c r="D193" s="118">
        <f>'Statistics NZ'!D$193*'Economic Forecasts'!F$9*1000000/SUM('Statistics NZ'!D$32:D$107,'Statistics NZ'!D$125:D$200)</f>
        <v>5746.1087496730315</v>
      </c>
      <c r="E193" s="118">
        <f>'Statistics NZ'!E$193*'Economic Forecasts'!G$9*1000000/SUM('Statistics NZ'!E$32:E$107,'Statistics NZ'!E$125:E$200)</f>
        <v>5850.0119067568639</v>
      </c>
      <c r="F193" s="118">
        <f>'Statistics NZ'!F$193*'Economic Forecasts'!H$9*1000000/SUM('Statistics NZ'!F$32:F$107,'Statistics NZ'!F$125:F$200)</f>
        <v>6117.856489268067</v>
      </c>
      <c r="G193" s="118">
        <f>'Statistics NZ'!G$193*'Economic Forecasts'!I$9*1000000/SUM('Statistics NZ'!G$32:G$107,'Statistics NZ'!G$125:G$200)</f>
        <v>6305.8406223547909</v>
      </c>
      <c r="H193" s="118">
        <f>'Statistics NZ'!H$193*'Economic Forecasts'!J$9*1000000/SUM('Statistics NZ'!H$32:H$107,'Statistics NZ'!H$125:H$200)</f>
        <v>6441.6804214775157</v>
      </c>
      <c r="I193" s="118">
        <f>'Statistics NZ'!I$193*'Economic Forecasts'!K$9*1000000/SUM('Statistics NZ'!I$32:I$107,'Statistics NZ'!I$125:I$200)</f>
        <v>6465.5177156830268</v>
      </c>
      <c r="J193" s="203">
        <f>'Statistics NZ'!J$193*'Economic Forecasts'!L$9*1000000/SUM('Statistics NZ'!J$32:J$107,'Statistics NZ'!J$125:J$200)</f>
        <v>6879.9043407334248</v>
      </c>
      <c r="K193" s="203">
        <f>'Statistics NZ'!K$193*'Economic Forecasts'!M$9*1000000/SUM('Statistics NZ'!K$32:K$107,'Statistics NZ'!K$125:K$200)</f>
        <v>6700.8634429945114</v>
      </c>
      <c r="L193" s="203">
        <f>'Statistics NZ'!L$193*'Economic Forecasts'!N$9*1000000/SUM('Statistics NZ'!L$32:L$107,'Statistics NZ'!L$125:L$200)</f>
        <v>6500.2248614410137</v>
      </c>
      <c r="M193" s="203">
        <f>'Statistics NZ'!M$193*'Economic Forecasts'!O$9*1000000/SUM('Statistics NZ'!M$32:M$107,'Statistics NZ'!M$125:M$200)</f>
        <v>6757.3589033180097</v>
      </c>
      <c r="N193" s="203">
        <f>'Statistics NZ'!N$193*'Economic Forecasts'!P$9*1000000/SUM('Statistics NZ'!N$32:N$107,'Statistics NZ'!N$125:N$200)</f>
        <v>6917.8126106440877</v>
      </c>
      <c r="O193" s="203">
        <f>'Statistics NZ'!O$193*'Economic Forecasts'!Q$9*1000000/SUM('Statistics NZ'!O$32:O$107,'Statistics NZ'!O$125:O$200)</f>
        <v>6977.0039744185642</v>
      </c>
      <c r="P193" s="203">
        <f>'Statistics NZ'!P$193*'Economic Forecasts'!R$9*1000000/SUM('Statistics NZ'!P$32:P$107,'Statistics NZ'!P$125:P$200)</f>
        <v>7503.6221540996703</v>
      </c>
      <c r="Q193" s="121">
        <f>SUM('Statistics NZ'!Q$193,$Q$14/16*(Q$9-Q$10)*1000)*'Economic Forecasts'!S$9*1000000/SUM('Statistics NZ'!Q$32:Q$107,'Statistics NZ'!Q$125:Q$200,SUM($E$13:$Q$14)*(Q$9-Q$10)*1000)</f>
        <v>7898.952537699317</v>
      </c>
      <c r="R193" s="205">
        <f>SUM('Statistics NZ'!R$193,$Q$14/16*(R$9-R$10)*1000)*'Economic Forecasts'!T$9*1000000/SUM('Statistics NZ'!R$32:R$107,'Statistics NZ'!R$125:R$200,SUM($E$13:$Q$14)*(R$9-R$10)*1000)</f>
        <v>8342.697084472069</v>
      </c>
      <c r="S193" s="205">
        <f>SUM('Statistics NZ'!S$193,$Q$14/16*(S$9-S$10)*1000)*'Economic Forecasts'!U$9*1000000/SUM('Statistics NZ'!S$32:S$107,'Statistics NZ'!S$125:S$200,SUM($E$13:$Q$14)*(S$9-S$10)*1000)</f>
        <v>9198.4982803113726</v>
      </c>
      <c r="T193" s="205">
        <f>SUM('Statistics NZ'!T$193,$Q$14/16*(T$9-T$10)*1000)*'Economic Forecasts'!V$9*1000000/SUM('Statistics NZ'!T$32:T$107,'Statistics NZ'!T$125:T$200,SUM($E$13:$Q$14)*(T$9-T$10)*1000)</f>
        <v>9959.8939456351436</v>
      </c>
      <c r="U193" s="205">
        <f>SUM('Statistics NZ'!U$193,$Q$14/16*(U$9-U$10)*1000)*'Economic Forecasts'!W$9*1000000/SUM('Statistics NZ'!U$32:U$107,'Statistics NZ'!U$125:U$200,SUM($E$13:$Q$14)*(U$9-U$10)*1000)</f>
        <v>10260.973200840548</v>
      </c>
      <c r="V193" s="111">
        <f>SUM(U$193,'Statistics NZ'!V$193-'Statistics NZ'!U$193,$Q$14/16*(V$9-V$10)*1000)</f>
        <v>9313.5246107071016</v>
      </c>
      <c r="W193" s="111">
        <f>SUM(V$193,'Statistics NZ'!W$193-'Statistics NZ'!V$193,$Q$14/16*(W$9-W$10)*1000)</f>
        <v>10665.757094340335</v>
      </c>
      <c r="X193" s="111">
        <f>SUM(W$193,'Statistics NZ'!X$193-'Statistics NZ'!W$193,$Q$14/16*(X$9-X$10)*1000)</f>
        <v>11107.670651740251</v>
      </c>
      <c r="Y193" s="111">
        <f>SUM(X$193,'Statistics NZ'!Y$193-'Statistics NZ'!X$193,$Q$14/16*(Y$9-Y$10)*1000)</f>
        <v>11879.265282906847</v>
      </c>
      <c r="Z193" s="111">
        <f>SUM(Y$193,'Statistics NZ'!Z$193-'Statistics NZ'!Y$193,$Q$14/16*(Z$9-Z$10)*1000)</f>
        <v>14090.540987840122</v>
      </c>
      <c r="AA193" s="111">
        <f>SUM(Z$193,'Statistics NZ'!AA$193-'Statistics NZ'!Z$193,$Q$14/16*(AA$9-AA$10)*1000)</f>
        <v>14251.49776654008</v>
      </c>
      <c r="AB193" s="111">
        <f>SUM(AA$193,'Statistics NZ'!AB$193-'Statistics NZ'!AA$193,$Q$14/16*(AB$9-AB$10)*1000)</f>
        <v>14362.135619006718</v>
      </c>
      <c r="AC193" s="111">
        <f>SUM(AB$193,'Statistics NZ'!AC$193-'Statistics NZ'!AB$193,$Q$14/16*(AC$9-AC$10)*1000)</f>
        <v>14572.454545240038</v>
      </c>
      <c r="AD193" s="111">
        <f>SUM(AC$193,'Statistics NZ'!AD$193-'Statistics NZ'!AC$193,$Q$14/16*(AD$9-AD$10)*1000)</f>
        <v>14802.454545240038</v>
      </c>
      <c r="AE193" s="111">
        <f>SUM(AD$193,'Statistics NZ'!AE$193-'Statistics NZ'!AD$193,$Q$14/16*(AE$9-AE$10)*1000)</f>
        <v>15172.454545240038</v>
      </c>
      <c r="AF193" s="111">
        <f>SUM(AE$193,'Statistics NZ'!AF$193-'Statistics NZ'!AE$193,$Q$14/16*(AF$9-AF$10)*1000)</f>
        <v>15482.454545240038</v>
      </c>
      <c r="AG193" s="111">
        <f>SUM(AF$193,'Statistics NZ'!AG$193-'Statistics NZ'!AF$193,$Q$14/16*(AG$9-AG$10)*1000)</f>
        <v>16062.454545240038</v>
      </c>
      <c r="AH193" s="111">
        <f>SUM(AG$193,'Statistics NZ'!AH$193-'Statistics NZ'!AG$193,$Q$14/16*(AH$9-AH$10)*1000)</f>
        <v>16572.454545240038</v>
      </c>
      <c r="AI193" s="111">
        <f>SUM(AH$193,'Statistics NZ'!AI$193-'Statistics NZ'!AH$193,$Q$14/16*(AI$9-AI$10)*1000)</f>
        <v>17152.454545240038</v>
      </c>
      <c r="AJ193" s="111">
        <f>SUM(AI$193,'Statistics NZ'!AJ$193-'Statistics NZ'!AI$193,$Q$14/16*(AJ$9-AJ$10)*1000)</f>
        <v>17682.454545240038</v>
      </c>
      <c r="AK193" s="111">
        <f>SUM(AJ$193,'Statistics NZ'!AK$193-'Statistics NZ'!AJ$193,$Q$14/16*(AK$9-AK$10)*1000)</f>
        <v>18262.454545240038</v>
      </c>
      <c r="AL193" s="111">
        <f>SUM(AK$193,'Statistics NZ'!AL$193-'Statistics NZ'!AK$193,$Q$14/16*(AL$9-AL$10)*1000)</f>
        <v>19202.454545240038</v>
      </c>
      <c r="AM193" s="111">
        <f>SUM(AL$193,'Statistics NZ'!AM$193-'Statistics NZ'!AL$193,$Q$14/16*(AM$9-AM$10)*1000)</f>
        <v>19672.454545240038</v>
      </c>
      <c r="AN193" s="111">
        <f>SUM(AM$193,'Statistics NZ'!AN$193-'Statistics NZ'!AM$193,$Q$14/16*(AN$9-AN$10)*1000)</f>
        <v>20342.454545240038</v>
      </c>
      <c r="AO193" s="111">
        <f>SUM(AN$193,'Statistics NZ'!AO$193-'Statistics NZ'!AN$193,$Q$14/16*(AO$9-AO$10)*1000)</f>
        <v>21142.454545240038</v>
      </c>
      <c r="AP193" s="111">
        <f>SUM(AO$193,'Statistics NZ'!AP$193-'Statistics NZ'!AO$193,$Q$14/16*(AP$9-AP$10)*1000)</f>
        <v>21502.454545240038</v>
      </c>
      <c r="AQ193" s="111">
        <f>SUM(AP$193,'Statistics NZ'!AQ$193-'Statistics NZ'!AP$193,$Q$14/16*(AQ$9-AQ$10)*1000)</f>
        <v>21432.454545240038</v>
      </c>
      <c r="AR193" s="111">
        <f>SUM(AQ$193,'Statistics NZ'!AR$193-'Statistics NZ'!AQ$193,$Q$14/16*(AR$9-AR$10)*1000)</f>
        <v>21152.454545240038</v>
      </c>
      <c r="AS193" s="111">
        <f>SUM(AR$193,'Statistics NZ'!AS$193-'Statistics NZ'!AR$193,$Q$14/16*(AS$9-AS$10)*1000)</f>
        <v>21042.454545240038</v>
      </c>
      <c r="AT193" s="111">
        <f>SUM(AS$193,'Statistics NZ'!AT$193-'Statistics NZ'!AS$193,$Q$14/16*(AT$9-AT$10)*1000)</f>
        <v>21232.454545240038</v>
      </c>
      <c r="AU193" s="111">
        <f>SUM(AT$193,'Statistics NZ'!AU$193-'Statistics NZ'!AT$193,$Q$14/16*(AU$9-AU$10)*1000)</f>
        <v>21802.454545240038</v>
      </c>
      <c r="AV193" s="111">
        <f>SUM(AU$193,'Statistics NZ'!AV$193-'Statistics NZ'!AU$193,$Q$14/16*(AV$9-AV$10)*1000)</f>
        <v>22422.454545240038</v>
      </c>
      <c r="AW193" s="111">
        <f>SUM(AV$193,'Statistics NZ'!AW$193-'Statistics NZ'!AV$193,$Q$14/16*(AW$9-AW$10)*1000)</f>
        <v>22632.454545240038</v>
      </c>
      <c r="AX193" s="111">
        <f>SUM(AW$193,'Statistics NZ'!AX$193-'Statistics NZ'!AW$193,$Q$14/16*(AX$9-AX$10)*1000)</f>
        <v>23222.454545240038</v>
      </c>
      <c r="AY193" s="111">
        <f>SUM(AX$193,'Statistics NZ'!AY$193-'Statistics NZ'!AX$193,$Q$14/16*(AY$9-AY$10)*1000)</f>
        <v>23392.454545240038</v>
      </c>
      <c r="AZ193" s="111">
        <f>SUM(AY$193,'Statistics NZ'!AZ$193-'Statistics NZ'!AY$193,$Q$14/16*(AZ$9-AZ$10)*1000)</f>
        <v>22902.454545240038</v>
      </c>
      <c r="BA193" s="111">
        <f>SUM(AZ$193,'Statistics NZ'!BA$193-'Statistics NZ'!AZ$193,$Q$14/16*(BA$9-BA$10)*1000)</f>
        <v>22192.454545240038</v>
      </c>
      <c r="BB193" s="111">
        <f>SUM(BA$193,'Statistics NZ'!BB$193-'Statistics NZ'!BA$193,$Q$14/16*(BB$9-BB$10)*1000)</f>
        <v>21682.454545240038</v>
      </c>
      <c r="BC193" s="111">
        <f>SUM(BB$193,'Statistics NZ'!BC$193-'Statistics NZ'!BB$193,$Q$14/16*(BC$9-BC$10)*1000)</f>
        <v>21442.454545240038</v>
      </c>
      <c r="BD193" s="111">
        <f>SUM(BC$193,'Statistics NZ'!BD$193-'Statistics NZ'!BC$193,$Q$14/16*(BD$9-BD$10)*1000)</f>
        <v>21702.454545240038</v>
      </c>
      <c r="BE193" s="111">
        <f>SUM(BD$193,'Statistics NZ'!BE$193-'Statistics NZ'!BD$193,$Q$14/16*(BE$9-BE$10)*1000)</f>
        <v>21602.454545240038</v>
      </c>
      <c r="BF193" s="111">
        <f>SUM(BE$193,'Statistics NZ'!BF$193-'Statistics NZ'!BE$193,$Q$14/16*(BF$9-BF$10)*1000)</f>
        <v>22502.454545240038</v>
      </c>
      <c r="BG193" s="111">
        <f>SUM(BF$193,'Statistics NZ'!BG$193-'Statistics NZ'!BF$193,$Q$14/16*(BG$9-BG$10)*1000)</f>
        <v>23172.454545240038</v>
      </c>
      <c r="BH193" s="111">
        <f>SUM(BG$193,'Statistics NZ'!BH$193-'Statistics NZ'!BG$193,$Q$14/16*(BH$9-BH$10)*1000)</f>
        <v>23792.454545240038</v>
      </c>
      <c r="BI193" s="111">
        <f>SUM(BH$193,'Statistics NZ'!BI$193-'Statistics NZ'!BH$193,$Q$14/16*(BI$9-BI$10)*1000)</f>
        <v>24512.454545240038</v>
      </c>
      <c r="BJ193" s="111">
        <f>SUM(BI$193,'Statistics NZ'!BJ$193-'Statistics NZ'!BI$193,$Q$14/16*(BJ$9-BJ$10)*1000)</f>
        <v>25352.454545240038</v>
      </c>
      <c r="BK193" s="111">
        <f>SUM(BJ$193,'Statistics NZ'!BK$193-'Statistics NZ'!BJ$193,$Q$14/16*(BK$9-BK$10)*1000)</f>
        <v>25872.454545240038</v>
      </c>
      <c r="BL193" s="111">
        <f>SUM(BK$193,'Statistics NZ'!BL$193-'Statistics NZ'!BK$193,$Q$14/16*(BL$9-BL$10)*1000)</f>
        <v>26292.454545240038</v>
      </c>
      <c r="BM193" s="195">
        <f>SUM(BL$193,'Statistics NZ'!BM$193-'Statistics NZ'!BL$193,$Q$14/16*(BM$9-BM$10)*1000)</f>
        <v>27142.454545240038</v>
      </c>
      <c r="BN193" s="195">
        <f>SUM(BM$193,'Statistics NZ'!BN$193-'Statistics NZ'!BM$193,$Q$14/16*(BN$9-BN$10)*1000)</f>
        <v>28592.454545240038</v>
      </c>
      <c r="BO193" s="195">
        <f>SUM(BN$193,'Statistics NZ'!BO$193-'Statistics NZ'!BN$193,$Q$14/16*(BO$9-BO$10)*1000)</f>
        <v>29732.454545240038</v>
      </c>
      <c r="BP193" s="195">
        <f>SUM(BO$193,'Statistics NZ'!BP$193-'Statistics NZ'!BO$193,$Q$14/16*(BP$9-BP$10)*1000)</f>
        <v>30632.454545240038</v>
      </c>
      <c r="BQ193" s="195">
        <f>SUM(BP$193,'Statistics NZ'!BQ$193-'Statistics NZ'!BP$193,$Q$14/16*(BQ$9-BQ$10)*1000)</f>
        <v>32212.454545240038</v>
      </c>
    </row>
    <row r="194" spans="1:69">
      <c r="A194" s="105">
        <f>$A$101</f>
        <v>84</v>
      </c>
      <c r="B194" s="118">
        <f>'Statistics NZ'!B$194*'Economic Forecasts'!D$9*1000000/SUM('Statistics NZ'!B$32:B$107,'Statistics NZ'!B$125:B$200)</f>
        <v>4580.6799703912238</v>
      </c>
      <c r="C194" s="118">
        <f>'Statistics NZ'!C$194*'Economic Forecasts'!E$9*1000000/SUM('Statistics NZ'!C$32:C$107,'Statistics NZ'!C$125:C$200)</f>
        <v>4663.0218510694485</v>
      </c>
      <c r="D194" s="118">
        <f>'Statistics NZ'!D$194*'Economic Forecasts'!F$9*1000000/SUM('Statistics NZ'!D$32:D$107,'Statistics NZ'!D$125:D$200)</f>
        <v>4878.7715799110638</v>
      </c>
      <c r="E194" s="118">
        <f>'Statistics NZ'!E$194*'Economic Forecasts'!G$9*1000000/SUM('Statistics NZ'!E$32:E$107,'Statistics NZ'!E$125:E$200)</f>
        <v>5209.8590886774082</v>
      </c>
      <c r="F194" s="118">
        <f>'Statistics NZ'!F$194*'Economic Forecasts'!H$9*1000000/SUM('Statistics NZ'!F$32:F$107,'Statistics NZ'!F$125:F$200)</f>
        <v>5300.1719665478586</v>
      </c>
      <c r="G194" s="118">
        <f>'Statistics NZ'!G$194*'Economic Forecasts'!I$9*1000000/SUM('Statistics NZ'!G$32:G$107,'Statistics NZ'!G$125:G$200)</f>
        <v>5616.139304284734</v>
      </c>
      <c r="H194" s="118">
        <f>'Statistics NZ'!H$194*'Economic Forecasts'!J$9*1000000/SUM('Statistics NZ'!H$32:H$107,'Statistics NZ'!H$125:H$200)</f>
        <v>5771.9032522719026</v>
      </c>
      <c r="I194" s="118">
        <f>'Statistics NZ'!I$194*'Economic Forecasts'!K$9*1000000/SUM('Statistics NZ'!I$32:I$107,'Statistics NZ'!I$125:I$200)</f>
        <v>5904.5823887516226</v>
      </c>
      <c r="J194" s="203">
        <f>'Statistics NZ'!J$194*'Economic Forecasts'!L$9*1000000/SUM('Statistics NZ'!J$32:J$107,'Statistics NZ'!J$125:J$200)</f>
        <v>5887.232428713316</v>
      </c>
      <c r="K194" s="203">
        <f>'Statistics NZ'!K$194*'Economic Forecasts'!M$9*1000000/SUM('Statistics NZ'!K$32:K$107,'Statistics NZ'!K$125:K$200)</f>
        <v>6366.802802141412</v>
      </c>
      <c r="L194" s="203">
        <f>'Statistics NZ'!L$194*'Economic Forecasts'!N$9*1000000/SUM('Statistics NZ'!L$32:L$107,'Statistics NZ'!L$125:L$200)</f>
        <v>6155.5159672736863</v>
      </c>
      <c r="M194" s="203">
        <f>'Statistics NZ'!M$194*'Economic Forecasts'!O$9*1000000/SUM('Statistics NZ'!M$32:M$107,'Statistics NZ'!M$125:M$200)</f>
        <v>5949.6279556910758</v>
      </c>
      <c r="N194" s="203">
        <f>'Statistics NZ'!N$194*'Economic Forecasts'!P$9*1000000/SUM('Statistics NZ'!N$32:N$107,'Statistics NZ'!N$125:N$200)</f>
        <v>6217.1497071409058</v>
      </c>
      <c r="O194" s="203">
        <f>'Statistics NZ'!O$194*'Economic Forecasts'!Q$9*1000000/SUM('Statistics NZ'!O$32:O$107,'Statistics NZ'!O$125:O$200)</f>
        <v>6394.7646045590236</v>
      </c>
      <c r="P194" s="203">
        <f>'Statistics NZ'!P$194*'Economic Forecasts'!R$9*1000000/SUM('Statistics NZ'!P$32:P$107,'Statistics NZ'!P$125:P$200)</f>
        <v>6516.3034496128721</v>
      </c>
      <c r="Q194" s="121">
        <f>SUM('Statistics NZ'!Q$194,$Q$14/16*(Q$9-Q$10)*1000)*'Economic Forecasts'!S$9*1000000/SUM('Statistics NZ'!Q$32:Q$107,'Statistics NZ'!Q$125:Q$200,SUM($E$13:$Q$14)*(Q$9-Q$10)*1000)</f>
        <v>6959.742340872509</v>
      </c>
      <c r="R194" s="205">
        <f>SUM('Statistics NZ'!R$194,$Q$14/16*(R$9-R$10)*1000)*'Economic Forecasts'!T$9*1000000/SUM('Statistics NZ'!R$32:R$107,'Statistics NZ'!R$125:R$200,SUM($E$13:$Q$14)*(R$9-R$10)*1000)</f>
        <v>7324.5236366303088</v>
      </c>
      <c r="S194" s="205">
        <f>SUM('Statistics NZ'!S$194,$Q$14/16*(S$9-S$10)*1000)*'Economic Forecasts'!U$9*1000000/SUM('Statistics NZ'!S$32:S$107,'Statistics NZ'!S$125:S$200,SUM($E$13:$Q$14)*(S$9-S$10)*1000)</f>
        <v>7726.3937749495026</v>
      </c>
      <c r="T194" s="205">
        <f>SUM('Statistics NZ'!T$194,$Q$14/16*(T$9-T$10)*1000)*'Economic Forecasts'!V$9*1000000/SUM('Statistics NZ'!T$32:T$107,'Statistics NZ'!T$125:T$200,SUM($E$13:$Q$14)*(T$9-T$10)*1000)</f>
        <v>8537.2770078963003</v>
      </c>
      <c r="U194" s="205">
        <f>SUM('Statistics NZ'!U$194,$Q$14/16*(U$9-U$10)*1000)*'Economic Forecasts'!W$9*1000000/SUM('Statistics NZ'!U$32:U$107,'Statistics NZ'!U$125:U$200,SUM($E$13:$Q$14)*(U$9-U$10)*1000)</f>
        <v>9271.7606812228987</v>
      </c>
      <c r="V194" s="111">
        <f>SUM(U$194,'Statistics NZ'!V$194-'Statistics NZ'!U$194,$Q$14/16*(V$9-V$10)*1000)</f>
        <v>9544.3120910894522</v>
      </c>
      <c r="W194" s="111">
        <f>SUM(V$194,'Statistics NZ'!W$194-'Statistics NZ'!V$194,$Q$14/16*(W$9-W$10)*1000)</f>
        <v>8676.5445747226859</v>
      </c>
      <c r="X194" s="111">
        <f>SUM(W$194,'Statistics NZ'!X$194-'Statistics NZ'!W$194,$Q$14/16*(X$9-X$10)*1000)</f>
        <v>9938.4581321226015</v>
      </c>
      <c r="Y194" s="111">
        <f>SUM(X$194,'Statistics NZ'!Y$194-'Statistics NZ'!X$194,$Q$14/16*(Y$9-Y$10)*1000)</f>
        <v>10360.052763289197</v>
      </c>
      <c r="Z194" s="111">
        <f>SUM(Y$194,'Statistics NZ'!Z$194-'Statistics NZ'!Y$194,$Q$14/16*(Z$9-Z$10)*1000)</f>
        <v>11081.328468222473</v>
      </c>
      <c r="AA194" s="111">
        <f>SUM(Z$194,'Statistics NZ'!AA$194-'Statistics NZ'!Z$194,$Q$14/16*(AA$9-AA$10)*1000)</f>
        <v>13162.285246922431</v>
      </c>
      <c r="AB194" s="111">
        <f>SUM(AA$194,'Statistics NZ'!AB$194-'Statistics NZ'!AA$194,$Q$14/16*(AB$9-AB$10)*1000)</f>
        <v>13322.923099389069</v>
      </c>
      <c r="AC194" s="111">
        <f>SUM(AB$194,'Statistics NZ'!AC$194-'Statistics NZ'!AB$194,$Q$14/16*(AC$9-AC$10)*1000)</f>
        <v>13433.242025622389</v>
      </c>
      <c r="AD194" s="111">
        <f>SUM(AC$194,'Statistics NZ'!AD$194-'Statistics NZ'!AC$194,$Q$14/16*(AD$9-AD$10)*1000)</f>
        <v>13643.242025622389</v>
      </c>
      <c r="AE194" s="111">
        <f>SUM(AD$194,'Statistics NZ'!AE$194-'Statistics NZ'!AD$194,$Q$14/16*(AE$9-AE$10)*1000)</f>
        <v>13873.242025622389</v>
      </c>
      <c r="AF194" s="111">
        <f>SUM(AE$194,'Statistics NZ'!AF$194-'Statistics NZ'!AE$194,$Q$14/16*(AF$9-AF$10)*1000)</f>
        <v>14233.242025622389</v>
      </c>
      <c r="AG194" s="111">
        <f>SUM(AF$194,'Statistics NZ'!AG$194-'Statistics NZ'!AF$194,$Q$14/16*(AG$9-AG$10)*1000)</f>
        <v>14533.242025622389</v>
      </c>
      <c r="AH194" s="111">
        <f>SUM(AG$194,'Statistics NZ'!AH$194-'Statistics NZ'!AG$194,$Q$14/16*(AH$9-AH$10)*1000)</f>
        <v>15093.242025622389</v>
      </c>
      <c r="AI194" s="111">
        <f>SUM(AH$194,'Statistics NZ'!AI$194-'Statistics NZ'!AH$194,$Q$14/16*(AI$9-AI$10)*1000)</f>
        <v>15583.242025622389</v>
      </c>
      <c r="AJ194" s="111">
        <f>SUM(AI$194,'Statistics NZ'!AJ$194-'Statistics NZ'!AI$194,$Q$14/16*(AJ$9-AJ$10)*1000)</f>
        <v>16143.242025622389</v>
      </c>
      <c r="AK194" s="111">
        <f>SUM(AJ$194,'Statistics NZ'!AK$194-'Statistics NZ'!AJ$194,$Q$14/16*(AK$9-AK$10)*1000)</f>
        <v>16653.242025622389</v>
      </c>
      <c r="AL194" s="111">
        <f>SUM(AK$194,'Statistics NZ'!AL$194-'Statistics NZ'!AK$194,$Q$14/16*(AL$9-AL$10)*1000)</f>
        <v>17203.242025622389</v>
      </c>
      <c r="AM194" s="111">
        <f>SUM(AL$194,'Statistics NZ'!AM$194-'Statistics NZ'!AL$194,$Q$14/16*(AM$9-AM$10)*1000)</f>
        <v>18113.242025622389</v>
      </c>
      <c r="AN194" s="111">
        <f>SUM(AM$194,'Statistics NZ'!AN$194-'Statistics NZ'!AM$194,$Q$14/16*(AN$9-AN$10)*1000)</f>
        <v>18573.242025622389</v>
      </c>
      <c r="AO194" s="111">
        <f>SUM(AN$194,'Statistics NZ'!AO$194-'Statistics NZ'!AN$194,$Q$14/16*(AO$9-AO$10)*1000)</f>
        <v>19213.242025622389</v>
      </c>
      <c r="AP194" s="111">
        <f>SUM(AO$194,'Statistics NZ'!AP$194-'Statistics NZ'!AO$194,$Q$14/16*(AP$9-AP$10)*1000)</f>
        <v>19973.242025622389</v>
      </c>
      <c r="AQ194" s="111">
        <f>SUM(AP$194,'Statistics NZ'!AQ$194-'Statistics NZ'!AP$194,$Q$14/16*(AQ$9-AQ$10)*1000)</f>
        <v>20333.242025622389</v>
      </c>
      <c r="AR194" s="111">
        <f>SUM(AQ$194,'Statistics NZ'!AR$194-'Statistics NZ'!AQ$194,$Q$14/16*(AR$9-AR$10)*1000)</f>
        <v>20283.242025622389</v>
      </c>
      <c r="AS194" s="111">
        <f>SUM(AR$194,'Statistics NZ'!AS$194-'Statistics NZ'!AR$194,$Q$14/16*(AS$9-AS$10)*1000)</f>
        <v>20033.242025622389</v>
      </c>
      <c r="AT194" s="111">
        <f>SUM(AS$194,'Statistics NZ'!AT$194-'Statistics NZ'!AS$194,$Q$14/16*(AT$9-AT$10)*1000)</f>
        <v>19943.242025622389</v>
      </c>
      <c r="AU194" s="111">
        <f>SUM(AT$194,'Statistics NZ'!AU$194-'Statistics NZ'!AT$194,$Q$14/16*(AU$9-AU$10)*1000)</f>
        <v>20133.242025622389</v>
      </c>
      <c r="AV194" s="111">
        <f>SUM(AU$194,'Statistics NZ'!AV$194-'Statistics NZ'!AU$194,$Q$14/16*(AV$9-AV$10)*1000)</f>
        <v>20693.242025622389</v>
      </c>
      <c r="AW194" s="111">
        <f>SUM(AV$194,'Statistics NZ'!AW$194-'Statistics NZ'!AV$194,$Q$14/16*(AW$9-AW$10)*1000)</f>
        <v>21293.242025622389</v>
      </c>
      <c r="AX194" s="111">
        <f>SUM(AW$194,'Statistics NZ'!AX$194-'Statistics NZ'!AW$194,$Q$14/16*(AX$9-AX$10)*1000)</f>
        <v>21503.242025622389</v>
      </c>
      <c r="AY194" s="111">
        <f>SUM(AX$194,'Statistics NZ'!AY$194-'Statistics NZ'!AX$194,$Q$14/16*(AY$9-AY$10)*1000)</f>
        <v>22083.242025622389</v>
      </c>
      <c r="AZ194" s="111">
        <f>SUM(AY$194,'Statistics NZ'!AZ$194-'Statistics NZ'!AY$194,$Q$14/16*(AZ$9-AZ$10)*1000)</f>
        <v>22253.242025622389</v>
      </c>
      <c r="BA194" s="111">
        <f>SUM(AZ$194,'Statistics NZ'!BA$194-'Statistics NZ'!AZ$194,$Q$14/16*(BA$9-BA$10)*1000)</f>
        <v>21803.242025622389</v>
      </c>
      <c r="BB194" s="111">
        <f>SUM(BA$194,'Statistics NZ'!BB$194-'Statistics NZ'!BA$194,$Q$14/16*(BB$9-BB$10)*1000)</f>
        <v>21143.242025622389</v>
      </c>
      <c r="BC194" s="111">
        <f>SUM(BB$194,'Statistics NZ'!BC$194-'Statistics NZ'!BB$194,$Q$14/16*(BC$9-BC$10)*1000)</f>
        <v>20663.242025622389</v>
      </c>
      <c r="BD194" s="111">
        <f>SUM(BC$194,'Statistics NZ'!BD$194-'Statistics NZ'!BC$194,$Q$14/16*(BD$9-BD$10)*1000)</f>
        <v>20453.242025622389</v>
      </c>
      <c r="BE194" s="111">
        <f>SUM(BD$194,'Statistics NZ'!BE$194-'Statistics NZ'!BD$194,$Q$14/16*(BE$9-BE$10)*1000)</f>
        <v>20713.242025622389</v>
      </c>
      <c r="BF194" s="111">
        <f>SUM(BE$194,'Statistics NZ'!BF$194-'Statistics NZ'!BE$194,$Q$14/16*(BF$9-BF$10)*1000)</f>
        <v>20633.242025622389</v>
      </c>
      <c r="BG194" s="111">
        <f>SUM(BF$194,'Statistics NZ'!BG$194-'Statistics NZ'!BF$194,$Q$14/16*(BG$9-BG$10)*1000)</f>
        <v>21503.242025622389</v>
      </c>
      <c r="BH194" s="111">
        <f>SUM(BG$194,'Statistics NZ'!BH$194-'Statistics NZ'!BG$194,$Q$14/16*(BH$9-BH$10)*1000)</f>
        <v>22153.242025622389</v>
      </c>
      <c r="BI194" s="111">
        <f>SUM(BH$194,'Statistics NZ'!BI$194-'Statistics NZ'!BH$194,$Q$14/16*(BI$9-BI$10)*1000)</f>
        <v>22763.242025622389</v>
      </c>
      <c r="BJ194" s="111">
        <f>SUM(BI$194,'Statistics NZ'!BJ$194-'Statistics NZ'!BI$194,$Q$14/16*(BJ$9-BJ$10)*1000)</f>
        <v>23463.242025622389</v>
      </c>
      <c r="BK194" s="111">
        <f>SUM(BJ$194,'Statistics NZ'!BK$194-'Statistics NZ'!BJ$194,$Q$14/16*(BK$9-BK$10)*1000)</f>
        <v>24273.242025622389</v>
      </c>
      <c r="BL194" s="111">
        <f>SUM(BK$194,'Statistics NZ'!BL$194-'Statistics NZ'!BK$194,$Q$14/16*(BL$9-BL$10)*1000)</f>
        <v>24793.242025622389</v>
      </c>
      <c r="BM194" s="195">
        <f>SUM(BL$194,'Statistics NZ'!BM$194-'Statistics NZ'!BL$194,$Q$14/16*(BM$9-BM$10)*1000)</f>
        <v>25213.242025622389</v>
      </c>
      <c r="BN194" s="195">
        <f>SUM(BM$194,'Statistics NZ'!BN$194-'Statistics NZ'!BM$194,$Q$14/16*(BN$9-BN$10)*1000)</f>
        <v>26033.242025622389</v>
      </c>
      <c r="BO194" s="195">
        <f>SUM(BN$194,'Statistics NZ'!BO$194-'Statistics NZ'!BN$194,$Q$14/16*(BO$9-BO$10)*1000)</f>
        <v>27433.242025622389</v>
      </c>
      <c r="BP194" s="195">
        <f>SUM(BO$194,'Statistics NZ'!BP$194-'Statistics NZ'!BO$194,$Q$14/16*(BP$9-BP$10)*1000)</f>
        <v>28543.242025622389</v>
      </c>
      <c r="BQ194" s="195">
        <f>SUM(BP$194,'Statistics NZ'!BQ$194-'Statistics NZ'!BP$194,$Q$14/16*(BQ$9-BQ$10)*1000)</f>
        <v>29423.242025622389</v>
      </c>
    </row>
    <row r="195" spans="1:69">
      <c r="A195" s="105">
        <f>$A$102</f>
        <v>85</v>
      </c>
      <c r="B195" s="118">
        <f>'Statistics NZ'!B$195*'Economic Forecasts'!D$9*1000000/SUM('Statistics NZ'!B$32:B$107,'Statistics NZ'!B$125:B$200)</f>
        <v>3792.6059969905828</v>
      </c>
      <c r="C195" s="118">
        <f>'Statistics NZ'!C$195*'Economic Forecasts'!E$9*1000000/SUM('Statistics NZ'!C$32:C$107,'Statistics NZ'!C$125:C$200)</f>
        <v>4081.3764193292845</v>
      </c>
      <c r="D195" s="118">
        <f>'Statistics NZ'!D$195*'Economic Forecasts'!F$9*1000000/SUM('Statistics NZ'!D$32:D$107,'Statistics NZ'!D$125:D$200)</f>
        <v>4188.8442857822274</v>
      </c>
      <c r="E195" s="118">
        <f>'Statistics NZ'!E$195*'Economic Forecasts'!G$9*1000000/SUM('Statistics NZ'!E$32:E$107,'Statistics NZ'!E$125:E$200)</f>
        <v>4372.7361727273519</v>
      </c>
      <c r="F195" s="118">
        <f>'Statistics NZ'!F$195*'Economic Forecasts'!H$9*1000000/SUM('Statistics NZ'!F$32:F$107,'Statistics NZ'!F$125:F$200)</f>
        <v>4689.3714796966187</v>
      </c>
      <c r="G195" s="118">
        <f>'Statistics NZ'!G$195*'Economic Forecasts'!I$9*1000000/SUM('Statistics NZ'!G$32:G$107,'Statistics NZ'!G$125:G$200)</f>
        <v>4758.939094683381</v>
      </c>
      <c r="H195" s="118">
        <f>'Statistics NZ'!H$195*'Economic Forecasts'!J$9*1000000/SUM('Statistics NZ'!H$32:H$107,'Statistics NZ'!H$125:H$200)</f>
        <v>5082.4267545602415</v>
      </c>
      <c r="I195" s="118">
        <f>'Statistics NZ'!I$195*'Economic Forecasts'!K$9*1000000/SUM('Statistics NZ'!I$32:I$107,'Statistics NZ'!I$125:I$200)</f>
        <v>5196.0325021014287</v>
      </c>
      <c r="J195" s="203">
        <f>'Statistics NZ'!J$195*'Economic Forecasts'!L$9*1000000/SUM('Statistics NZ'!J$32:J$107,'Statistics NZ'!J$125:J$200)</f>
        <v>5346.6685162271187</v>
      </c>
      <c r="K195" s="203">
        <f>'Statistics NZ'!K$195*'Economic Forecasts'!M$9*1000000/SUM('Statistics NZ'!K$32:K$107,'Statistics NZ'!K$125:K$200)</f>
        <v>5354.7955666158487</v>
      </c>
      <c r="L195" s="203">
        <f>'Statistics NZ'!L$195*'Economic Forecasts'!N$9*1000000/SUM('Statistics NZ'!L$32:L$107,'Statistics NZ'!L$125:L$200)</f>
        <v>5820.6558986539985</v>
      </c>
      <c r="M195" s="203">
        <f>'Statistics NZ'!M$195*'Economic Forecasts'!O$9*1000000/SUM('Statistics NZ'!M$32:M$107,'Statistics NZ'!M$125:M$200)</f>
        <v>5535.9121044675239</v>
      </c>
      <c r="N195" s="203">
        <f>'Statistics NZ'!N$195*'Economic Forecasts'!P$9*1000000/SUM('Statistics NZ'!N$32:N$107,'Statistics NZ'!N$125:N$200)</f>
        <v>5407.9333960527247</v>
      </c>
      <c r="O195" s="203">
        <f>'Statistics NZ'!O$195*'Economic Forecasts'!Q$9*1000000/SUM('Statistics NZ'!O$32:O$107,'Statistics NZ'!O$125:O$200)</f>
        <v>5684.2352040524656</v>
      </c>
      <c r="P195" s="203">
        <f>'Statistics NZ'!P$195*'Economic Forecasts'!R$9*1000000/SUM('Statistics NZ'!P$32:P$107,'Statistics NZ'!P$125:P$200)</f>
        <v>5894.2926657861881</v>
      </c>
      <c r="Q195" s="121">
        <f>SUM('Statistics NZ'!Q$195,$Q$14/16*(Q$9-Q$10)*1000)*'Economic Forecasts'!S$9*1000000/SUM('Statistics NZ'!Q$32:Q$107,'Statistics NZ'!Q$125:Q$200,SUM($E$13:$Q$14)*(Q$9-Q$10)*1000)</f>
        <v>5980.9864515477284</v>
      </c>
      <c r="R195" s="205">
        <f>SUM('Statistics NZ'!R$195,$Q$14/16*(R$9-R$10)*1000)*'Economic Forecasts'!T$9*1000000/SUM('Statistics NZ'!R$32:R$107,'Statistics NZ'!R$125:R$200,SUM($E$13:$Q$14)*(R$9-R$10)*1000)</f>
        <v>6375.5464425253667</v>
      </c>
      <c r="S195" s="205">
        <f>SUM('Statistics NZ'!S$195,$Q$14/16*(S$9-S$10)*1000)*'Economic Forecasts'!U$9*1000000/SUM('Statistics NZ'!S$32:S$107,'Statistics NZ'!S$125:S$200,SUM($E$13:$Q$14)*(S$9-S$10)*1000)</f>
        <v>6718.6443820172162</v>
      </c>
      <c r="T195" s="205">
        <f>SUM('Statistics NZ'!T$195,$Q$14/16*(T$9-T$10)*1000)*'Economic Forecasts'!V$9*1000000/SUM('Statistics NZ'!T$32:T$107,'Statistics NZ'!T$125:T$200,SUM($E$13:$Q$14)*(T$9-T$10)*1000)</f>
        <v>7104.7807858676006</v>
      </c>
      <c r="U195" s="205">
        <f>SUM('Statistics NZ'!U$195,$Q$14/16*(U$9-U$10)*1000)*'Economic Forecasts'!W$9*1000000/SUM('Statistics NZ'!U$32:U$107,'Statistics NZ'!U$125:U$200,SUM($E$13:$Q$14)*(U$9-U$10)*1000)</f>
        <v>7867.0789033658339</v>
      </c>
      <c r="V195" s="111">
        <f>SUM(U$195,'Statistics NZ'!V$195-'Statistics NZ'!U$195,$Q$14/16*(V$9-V$10)*1000)</f>
        <v>8539.6303132323865</v>
      </c>
      <c r="W195" s="111">
        <f>SUM(V$195,'Statistics NZ'!W$195-'Statistics NZ'!V$195,$Q$14/16*(W$9-W$10)*1000)</f>
        <v>8801.8627968656201</v>
      </c>
      <c r="X195" s="111">
        <f>SUM(W$195,'Statistics NZ'!X$195-'Statistics NZ'!W$195,$Q$14/16*(X$9-X$10)*1000)</f>
        <v>8003.7763542655348</v>
      </c>
      <c r="Y195" s="111">
        <f>SUM(X$195,'Statistics NZ'!Y$195-'Statistics NZ'!X$195,$Q$14/16*(Y$9-Y$10)*1000)</f>
        <v>9175.3709854321296</v>
      </c>
      <c r="Z195" s="111">
        <f>SUM(Y$195,'Statistics NZ'!Z$195-'Statistics NZ'!Y$195,$Q$14/16*(Z$9-Z$10)*1000)</f>
        <v>9576.6466903654054</v>
      </c>
      <c r="AA195" s="111">
        <f>SUM(Z$195,'Statistics NZ'!AA$195-'Statistics NZ'!Z$195,$Q$14/16*(AA$9-AA$10)*1000)</f>
        <v>10257.603469065363</v>
      </c>
      <c r="AB195" s="111">
        <f>SUM(AA$195,'Statistics NZ'!AB$195-'Statistics NZ'!AA$195,$Q$14/16*(AB$9-AB$10)*1000)</f>
        <v>12188.241321532001</v>
      </c>
      <c r="AC195" s="111">
        <f>SUM(AB$195,'Statistics NZ'!AC$195-'Statistics NZ'!AB$195,$Q$14/16*(AC$9-AC$10)*1000)</f>
        <v>12348.560247765321</v>
      </c>
      <c r="AD195" s="111">
        <f>SUM(AC$195,'Statistics NZ'!AD$195-'Statistics NZ'!AC$195,$Q$14/16*(AD$9-AD$10)*1000)</f>
        <v>12458.560247765321</v>
      </c>
      <c r="AE195" s="111">
        <f>SUM(AD$195,'Statistics NZ'!AE$195-'Statistics NZ'!AD$195,$Q$14/16*(AE$9-AE$10)*1000)</f>
        <v>12668.560247765321</v>
      </c>
      <c r="AF195" s="111">
        <f>SUM(AE$195,'Statistics NZ'!AF$195-'Statistics NZ'!AE$195,$Q$14/16*(AF$9-AF$10)*1000)</f>
        <v>12888.560247765321</v>
      </c>
      <c r="AG195" s="111">
        <f>SUM(AF$195,'Statistics NZ'!AG$195-'Statistics NZ'!AF$195,$Q$14/16*(AG$9-AG$10)*1000)</f>
        <v>13238.560247765321</v>
      </c>
      <c r="AH195" s="111">
        <f>SUM(AG$195,'Statistics NZ'!AH$195-'Statistics NZ'!AG$195,$Q$14/16*(AH$9-AH$10)*1000)</f>
        <v>13528.560247765321</v>
      </c>
      <c r="AI195" s="111">
        <f>SUM(AH$195,'Statistics NZ'!AI$195-'Statistics NZ'!AH$195,$Q$14/16*(AI$9-AI$10)*1000)</f>
        <v>14058.560247765321</v>
      </c>
      <c r="AJ195" s="111">
        <f>SUM(AI$195,'Statistics NZ'!AJ$195-'Statistics NZ'!AI$195,$Q$14/16*(AJ$9-AJ$10)*1000)</f>
        <v>14528.560247765321</v>
      </c>
      <c r="AK195" s="111">
        <f>SUM(AJ$195,'Statistics NZ'!AK$195-'Statistics NZ'!AJ$195,$Q$14/16*(AK$9-AK$10)*1000)</f>
        <v>15058.560247765321</v>
      </c>
      <c r="AL195" s="111">
        <f>SUM(AK$195,'Statistics NZ'!AL$195-'Statistics NZ'!AK$195,$Q$14/16*(AL$9-AL$10)*1000)</f>
        <v>15548.560247765321</v>
      </c>
      <c r="AM195" s="111">
        <f>SUM(AL$195,'Statistics NZ'!AM$195-'Statistics NZ'!AL$195,$Q$14/16*(AM$9-AM$10)*1000)</f>
        <v>16078.560247765321</v>
      </c>
      <c r="AN195" s="111">
        <f>SUM(AM$195,'Statistics NZ'!AN$195-'Statistics NZ'!AM$195,$Q$14/16*(AN$9-AN$10)*1000)</f>
        <v>16938.560247765323</v>
      </c>
      <c r="AO195" s="111">
        <f>SUM(AN$195,'Statistics NZ'!AO$195-'Statistics NZ'!AN$195,$Q$14/16*(AO$9-AO$10)*1000)</f>
        <v>17378.560247765323</v>
      </c>
      <c r="AP195" s="111">
        <f>SUM(AO$195,'Statistics NZ'!AP$195-'Statistics NZ'!AO$195,$Q$14/16*(AP$9-AP$10)*1000)</f>
        <v>17998.560247765323</v>
      </c>
      <c r="AQ195" s="111">
        <f>SUM(AP$195,'Statistics NZ'!AQ$195-'Statistics NZ'!AP$195,$Q$14/16*(AQ$9-AQ$10)*1000)</f>
        <v>18728.560247765323</v>
      </c>
      <c r="AR195" s="111">
        <f>SUM(AQ$195,'Statistics NZ'!AR$195-'Statistics NZ'!AQ$195,$Q$14/16*(AR$9-AR$10)*1000)</f>
        <v>19078.560247765323</v>
      </c>
      <c r="AS195" s="111">
        <f>SUM(AR$195,'Statistics NZ'!AS$195-'Statistics NZ'!AR$195,$Q$14/16*(AS$9-AS$10)*1000)</f>
        <v>19048.560247765323</v>
      </c>
      <c r="AT195" s="111">
        <f>SUM(AS$195,'Statistics NZ'!AT$195-'Statistics NZ'!AS$195,$Q$14/16*(AT$9-AT$10)*1000)</f>
        <v>18828.560247765323</v>
      </c>
      <c r="AU195" s="111">
        <f>SUM(AT$195,'Statistics NZ'!AU$195-'Statistics NZ'!AT$195,$Q$14/16*(AU$9-AU$10)*1000)</f>
        <v>18758.560247765323</v>
      </c>
      <c r="AV195" s="111">
        <f>SUM(AU$195,'Statistics NZ'!AV$195-'Statistics NZ'!AU$195,$Q$14/16*(AV$9-AV$10)*1000)</f>
        <v>18948.560247765323</v>
      </c>
      <c r="AW195" s="111">
        <f>SUM(AV$195,'Statistics NZ'!AW$195-'Statistics NZ'!AV$195,$Q$14/16*(AW$9-AW$10)*1000)</f>
        <v>19488.560247765323</v>
      </c>
      <c r="AX195" s="111">
        <f>SUM(AW$195,'Statistics NZ'!AX$195-'Statistics NZ'!AW$195,$Q$14/16*(AX$9-AX$10)*1000)</f>
        <v>20068.560247765323</v>
      </c>
      <c r="AY195" s="111">
        <f>SUM(AX$195,'Statistics NZ'!AY$195-'Statistics NZ'!AX$195,$Q$14/16*(AY$9-AY$10)*1000)</f>
        <v>20278.560247765323</v>
      </c>
      <c r="AZ195" s="111">
        <f>SUM(AY$195,'Statistics NZ'!AZ$195-'Statistics NZ'!AY$195,$Q$14/16*(AZ$9-AZ$10)*1000)</f>
        <v>20838.560247765323</v>
      </c>
      <c r="BA195" s="111">
        <f>SUM(AZ$195,'Statistics NZ'!BA$195-'Statistics NZ'!AZ$195,$Q$14/16*(BA$9-BA$10)*1000)</f>
        <v>21018.560247765323</v>
      </c>
      <c r="BB195" s="111">
        <f>SUM(BA$195,'Statistics NZ'!BB$195-'Statistics NZ'!BA$195,$Q$14/16*(BB$9-BB$10)*1000)</f>
        <v>20598.560247765323</v>
      </c>
      <c r="BC195" s="111">
        <f>SUM(BB$195,'Statistics NZ'!BC$195-'Statistics NZ'!BB$195,$Q$14/16*(BC$9-BC$10)*1000)</f>
        <v>19988.560247765323</v>
      </c>
      <c r="BD195" s="111">
        <f>SUM(BC$195,'Statistics NZ'!BD$195-'Statistics NZ'!BC$195,$Q$14/16*(BD$9-BD$10)*1000)</f>
        <v>19558.560247765323</v>
      </c>
      <c r="BE195" s="111">
        <f>SUM(BD$195,'Statistics NZ'!BE$195-'Statistics NZ'!BD$195,$Q$14/16*(BE$9-BE$10)*1000)</f>
        <v>19368.560247765323</v>
      </c>
      <c r="BF195" s="111">
        <f>SUM(BE$195,'Statistics NZ'!BF$195-'Statistics NZ'!BE$195,$Q$14/16*(BF$9-BF$10)*1000)</f>
        <v>19618.560247765323</v>
      </c>
      <c r="BG195" s="111">
        <f>SUM(BF$195,'Statistics NZ'!BG$195-'Statistics NZ'!BF$195,$Q$14/16*(BG$9-BG$10)*1000)</f>
        <v>19558.560247765323</v>
      </c>
      <c r="BH195" s="111">
        <f>SUM(BG$195,'Statistics NZ'!BH$195-'Statistics NZ'!BG$195,$Q$14/16*(BH$9-BH$10)*1000)</f>
        <v>20398.560247765323</v>
      </c>
      <c r="BI195" s="111">
        <f>SUM(BH$195,'Statistics NZ'!BI$195-'Statistics NZ'!BH$195,$Q$14/16*(BI$9-BI$10)*1000)</f>
        <v>21028.560247765323</v>
      </c>
      <c r="BJ195" s="111">
        <f>SUM(BI$195,'Statistics NZ'!BJ$195-'Statistics NZ'!BI$195,$Q$14/16*(BJ$9-BJ$10)*1000)</f>
        <v>21618.560247765323</v>
      </c>
      <c r="BK195" s="111">
        <f>SUM(BJ$195,'Statistics NZ'!BK$195-'Statistics NZ'!BJ$195,$Q$14/16*(BK$9-BK$10)*1000)</f>
        <v>22298.560247765323</v>
      </c>
      <c r="BL195" s="111">
        <f>SUM(BK$195,'Statistics NZ'!BL$195-'Statistics NZ'!BK$195,$Q$14/16*(BL$9-BL$10)*1000)</f>
        <v>23078.560247765323</v>
      </c>
      <c r="BM195" s="195">
        <f>SUM(BL$195,'Statistics NZ'!BM$195-'Statistics NZ'!BL$195,$Q$14/16*(BM$9-BM$10)*1000)</f>
        <v>23588.560247765323</v>
      </c>
      <c r="BN195" s="195">
        <f>SUM(BM$195,'Statistics NZ'!BN$195-'Statistics NZ'!BM$195,$Q$14/16*(BN$9-BN$10)*1000)</f>
        <v>23998.560247765323</v>
      </c>
      <c r="BO195" s="195">
        <f>SUM(BN$195,'Statistics NZ'!BO$195-'Statistics NZ'!BN$195,$Q$14/16*(BO$9-BO$10)*1000)</f>
        <v>24798.560247765323</v>
      </c>
      <c r="BP195" s="195">
        <f>SUM(BO$195,'Statistics NZ'!BP$195-'Statistics NZ'!BO$195,$Q$14/16*(BP$9-BP$10)*1000)</f>
        <v>26148.560247765323</v>
      </c>
      <c r="BQ195" s="195">
        <f>SUM(BP$195,'Statistics NZ'!BQ$195-'Statistics NZ'!BP$195,$Q$14/16*(BQ$9-BQ$10)*1000)</f>
        <v>27218.560247765323</v>
      </c>
    </row>
    <row r="196" spans="1:69">
      <c r="A196" s="105">
        <f>$A$103</f>
        <v>86</v>
      </c>
      <c r="B196" s="118">
        <f>'Statistics NZ'!B$196*'Economic Forecasts'!D$9*1000000/SUM('Statistics NZ'!B$32:B$107,'Statistics NZ'!B$125:B$200)</f>
        <v>3240.9542156101343</v>
      </c>
      <c r="C196" s="118">
        <f>'Statistics NZ'!C$196*'Economic Forecasts'!E$9*1000000/SUM('Statistics NZ'!C$32:C$107,'Statistics NZ'!C$125:C$200)</f>
        <v>3371.5718246633219</v>
      </c>
      <c r="D196" s="118">
        <f>'Statistics NZ'!D$196*'Economic Forecasts'!F$9*1000000/SUM('Statistics NZ'!D$32:D$107,'Statistics NZ'!D$125:D$200)</f>
        <v>3587.6219294699545</v>
      </c>
      <c r="E196" s="118">
        <f>'Statistics NZ'!E$196*'Economic Forecasts'!G$9*1000000/SUM('Statistics NZ'!E$32:E$107,'Statistics NZ'!E$125:E$200)</f>
        <v>3732.583354647898</v>
      </c>
      <c r="F196" s="118">
        <f>'Statistics NZ'!F$196*'Economic Forecasts'!H$9*1000000/SUM('Statistics NZ'!F$32:F$107,'Statistics NZ'!F$125:F$200)</f>
        <v>3911.0934399990697</v>
      </c>
      <c r="G196" s="118">
        <f>'Statistics NZ'!G$196*'Economic Forecasts'!I$9*1000000/SUM('Statistics NZ'!G$32:G$107,'Statistics NZ'!G$125:G$200)</f>
        <v>4187.4722882824781</v>
      </c>
      <c r="H196" s="118">
        <f>'Statistics NZ'!H$196*'Economic Forecasts'!J$9*1000000/SUM('Statistics NZ'!H$32:H$107,'Statistics NZ'!H$125:H$200)</f>
        <v>4245.2052930532245</v>
      </c>
      <c r="I196" s="118">
        <f>'Statistics NZ'!I$196*'Economic Forecasts'!K$9*1000000/SUM('Statistics NZ'!I$32:I$107,'Statistics NZ'!I$125:I$200)</f>
        <v>4536.6874686908313</v>
      </c>
      <c r="J196" s="203">
        <f>'Statistics NZ'!J$196*'Economic Forecasts'!L$9*1000000/SUM('Statistics NZ'!J$32:J$107,'Statistics NZ'!J$125:J$200)</f>
        <v>4648.8496473813002</v>
      </c>
      <c r="K196" s="203">
        <f>'Statistics NZ'!K$196*'Economic Forecasts'!M$9*1000000/SUM('Statistics NZ'!K$32:K$107,'Statistics NZ'!K$125:K$200)</f>
        <v>4775.1021016060595</v>
      </c>
      <c r="L196" s="203">
        <f>'Statistics NZ'!L$196*'Economic Forecasts'!N$9*1000000/SUM('Statistics NZ'!L$32:L$107,'Statistics NZ'!L$125:L$200)</f>
        <v>4816.0756927949324</v>
      </c>
      <c r="M196" s="203">
        <f>'Statistics NZ'!M$196*'Economic Forecasts'!O$9*1000000/SUM('Statistics NZ'!M$32:M$107,'Statistics NZ'!M$125:M$200)</f>
        <v>5210.8496499347339</v>
      </c>
      <c r="N196" s="203">
        <f>'Statistics NZ'!N$196*'Economic Forecasts'!P$9*1000000/SUM('Statistics NZ'!N$32:N$107,'Statistics NZ'!N$125:N$200)</f>
        <v>4953.9827825154525</v>
      </c>
      <c r="O196" s="203">
        <f>'Statistics NZ'!O$196*'Economic Forecasts'!Q$9*1000000/SUM('Statistics NZ'!O$32:O$107,'Statistics NZ'!O$125:O$200)</f>
        <v>4914.4950201703605</v>
      </c>
      <c r="P196" s="203">
        <f>'Statistics NZ'!P$196*'Economic Forecasts'!R$9*1000000/SUM('Statistics NZ'!P$32:P$107,'Statistics NZ'!P$125:P$200)</f>
        <v>5173.5500115108262</v>
      </c>
      <c r="Q196" s="121">
        <f>SUM('Statistics NZ'!Q$196,$Q$14/16*(Q$9-Q$10)*1000)*'Economic Forecasts'!S$9*1000000/SUM('Statistics NZ'!Q$32:Q$107,'Statistics NZ'!Q$125:Q$200,SUM($E$13:$Q$14)*(Q$9-Q$10)*1000)</f>
        <v>5338.3689484557026</v>
      </c>
      <c r="R196" s="205">
        <f>SUM('Statistics NZ'!R$196,$Q$14/16*(R$9-R$10)*1000)*'Economic Forecasts'!T$9*1000000/SUM('Statistics NZ'!R$32:R$107,'Statistics NZ'!R$125:R$200,SUM($E$13:$Q$14)*(R$9-R$10)*1000)</f>
        <v>5416.6840693151644</v>
      </c>
      <c r="S196" s="205">
        <f>SUM('Statistics NZ'!S$196,$Q$14/16*(S$9-S$10)*1000)*'Economic Forecasts'!U$9*1000000/SUM('Statistics NZ'!S$32:S$107,'Statistics NZ'!S$125:S$200,SUM($E$13:$Q$14)*(S$9-S$10)*1000)</f>
        <v>5780.0542611489109</v>
      </c>
      <c r="T196" s="205">
        <f>SUM('Statistics NZ'!T$196,$Q$14/16*(T$9-T$10)*1000)*'Economic Forecasts'!V$9*1000000/SUM('Statistics NZ'!T$32:T$107,'Statistics NZ'!T$125:T$200,SUM($E$13:$Q$14)*(T$9-T$10)*1000)</f>
        <v>6097.0937883025845</v>
      </c>
      <c r="U196" s="205">
        <f>SUM('Statistics NZ'!U$196,$Q$14/16*(U$9-U$10)*1000)*'Economic Forecasts'!W$9*1000000/SUM('Statistics NZ'!U$32:U$107,'Statistics NZ'!U$125:U$200,SUM($E$13:$Q$14)*(U$9-U$10)*1000)</f>
        <v>6462.397125508769</v>
      </c>
      <c r="V196" s="111">
        <f>SUM(U$196,'Statistics NZ'!V$196-'Statistics NZ'!U$196,$Q$14/16*(V$9-V$10)*1000)</f>
        <v>7164.9485353753225</v>
      </c>
      <c r="W196" s="111">
        <f>SUM(V$196,'Statistics NZ'!W$196-'Statistics NZ'!V$196,$Q$14/16*(W$9-W$10)*1000)</f>
        <v>7787.1810190085562</v>
      </c>
      <c r="X196" s="111">
        <f>SUM(W$196,'Statistics NZ'!X$196-'Statistics NZ'!W$196,$Q$14/16*(X$9-X$10)*1000)</f>
        <v>8029.0945764084709</v>
      </c>
      <c r="Y196" s="111">
        <f>SUM(X$196,'Statistics NZ'!Y$196-'Statistics NZ'!X$196,$Q$14/16*(Y$9-Y$10)*1000)</f>
        <v>7310.6892075750666</v>
      </c>
      <c r="Z196" s="111">
        <f>SUM(Y$196,'Statistics NZ'!Z$196-'Statistics NZ'!Y$196,$Q$14/16*(Z$9-Z$10)*1000)</f>
        <v>8391.9649125083415</v>
      </c>
      <c r="AA196" s="111">
        <f>SUM(Z$196,'Statistics NZ'!AA$196-'Statistics NZ'!Z$196,$Q$14/16*(AA$9-AA$10)*1000)</f>
        <v>8762.9216912082993</v>
      </c>
      <c r="AB196" s="111">
        <f>SUM(AA$196,'Statistics NZ'!AB$196-'Statistics NZ'!AA$196,$Q$14/16*(AB$9-AB$10)*1000)</f>
        <v>9393.5595436749372</v>
      </c>
      <c r="AC196" s="111">
        <f>SUM(AB$196,'Statistics NZ'!AC$196-'Statistics NZ'!AB$196,$Q$14/16*(AC$9-AC$10)*1000)</f>
        <v>11173.878469908257</v>
      </c>
      <c r="AD196" s="111">
        <f>SUM(AC$196,'Statistics NZ'!AD$196-'Statistics NZ'!AC$196,$Q$14/16*(AD$9-AD$10)*1000)</f>
        <v>11333.878469908257</v>
      </c>
      <c r="AE196" s="111">
        <f>SUM(AD$196,'Statistics NZ'!AE$196-'Statistics NZ'!AD$196,$Q$14/16*(AE$9-AE$10)*1000)</f>
        <v>11443.878469908257</v>
      </c>
      <c r="AF196" s="111">
        <f>SUM(AE$196,'Statistics NZ'!AF$196-'Statistics NZ'!AE$196,$Q$14/16*(AF$9-AF$10)*1000)</f>
        <v>11643.878469908257</v>
      </c>
      <c r="AG196" s="111">
        <f>SUM(AF$196,'Statistics NZ'!AG$196-'Statistics NZ'!AF$196,$Q$14/16*(AG$9-AG$10)*1000)</f>
        <v>11853.878469908257</v>
      </c>
      <c r="AH196" s="111">
        <f>SUM(AG$196,'Statistics NZ'!AH$196-'Statistics NZ'!AG$196,$Q$14/16*(AH$9-AH$10)*1000)</f>
        <v>12183.878469908257</v>
      </c>
      <c r="AI196" s="111">
        <f>SUM(AH$196,'Statistics NZ'!AI$196-'Statistics NZ'!AH$196,$Q$14/16*(AI$9-AI$10)*1000)</f>
        <v>12463.878469908257</v>
      </c>
      <c r="AJ196" s="111">
        <f>SUM(AI$196,'Statistics NZ'!AJ$196-'Statistics NZ'!AI$196,$Q$14/16*(AJ$9-AJ$10)*1000)</f>
        <v>12963.878469908257</v>
      </c>
      <c r="AK196" s="111">
        <f>SUM(AJ$196,'Statistics NZ'!AK$196-'Statistics NZ'!AJ$196,$Q$14/16*(AK$9-AK$10)*1000)</f>
        <v>13413.878469908257</v>
      </c>
      <c r="AL196" s="111">
        <f>SUM(AK$196,'Statistics NZ'!AL$196-'Statistics NZ'!AK$196,$Q$14/16*(AL$9-AL$10)*1000)</f>
        <v>13913.878469908257</v>
      </c>
      <c r="AM196" s="111">
        <f>SUM(AL$196,'Statistics NZ'!AM$196-'Statistics NZ'!AL$196,$Q$14/16*(AM$9-AM$10)*1000)</f>
        <v>14373.878469908257</v>
      </c>
      <c r="AN196" s="111">
        <f>SUM(AM$196,'Statistics NZ'!AN$196-'Statistics NZ'!AM$196,$Q$14/16*(AN$9-AN$10)*1000)</f>
        <v>14883.878469908257</v>
      </c>
      <c r="AO196" s="111">
        <f>SUM(AN$196,'Statistics NZ'!AO$196-'Statistics NZ'!AN$196,$Q$14/16*(AO$9-AO$10)*1000)</f>
        <v>15693.878469908257</v>
      </c>
      <c r="AP196" s="111">
        <f>SUM(AO$196,'Statistics NZ'!AP$196-'Statistics NZ'!AO$196,$Q$14/16*(AP$9-AP$10)*1000)</f>
        <v>16113.878469908257</v>
      </c>
      <c r="AQ196" s="111">
        <f>SUM(AP$196,'Statistics NZ'!AQ$196-'Statistics NZ'!AP$196,$Q$14/16*(AQ$9-AQ$10)*1000)</f>
        <v>16693.878469908257</v>
      </c>
      <c r="AR196" s="111">
        <f>SUM(AQ$196,'Statistics NZ'!AR$196-'Statistics NZ'!AQ$196,$Q$14/16*(AR$9-AR$10)*1000)</f>
        <v>17383.878469908257</v>
      </c>
      <c r="AS196" s="111">
        <f>SUM(AR$196,'Statistics NZ'!AS$196-'Statistics NZ'!AR$196,$Q$14/16*(AS$9-AS$10)*1000)</f>
        <v>17723.878469908257</v>
      </c>
      <c r="AT196" s="111">
        <f>SUM(AS$196,'Statistics NZ'!AT$196-'Statistics NZ'!AS$196,$Q$14/16*(AT$9-AT$10)*1000)</f>
        <v>17713.878469908257</v>
      </c>
      <c r="AU196" s="111">
        <f>SUM(AT$196,'Statistics NZ'!AU$196-'Statistics NZ'!AT$196,$Q$14/16*(AU$9-AU$10)*1000)</f>
        <v>17523.878469908257</v>
      </c>
      <c r="AV196" s="111">
        <f>SUM(AU$196,'Statistics NZ'!AV$196-'Statistics NZ'!AU$196,$Q$14/16*(AV$9-AV$10)*1000)</f>
        <v>17463.878469908257</v>
      </c>
      <c r="AW196" s="111">
        <f>SUM(AV$196,'Statistics NZ'!AW$196-'Statistics NZ'!AV$196,$Q$14/16*(AW$9-AW$10)*1000)</f>
        <v>17663.878469908257</v>
      </c>
      <c r="AX196" s="111">
        <f>SUM(AW$196,'Statistics NZ'!AX$196-'Statistics NZ'!AW$196,$Q$14/16*(AX$9-AX$10)*1000)</f>
        <v>18173.878469908257</v>
      </c>
      <c r="AY196" s="111">
        <f>SUM(AX$196,'Statistics NZ'!AY$196-'Statistics NZ'!AX$196,$Q$14/16*(AY$9-AY$10)*1000)</f>
        <v>18733.878469908257</v>
      </c>
      <c r="AZ196" s="111">
        <f>SUM(AY$196,'Statistics NZ'!AZ$196-'Statistics NZ'!AY$196,$Q$14/16*(AZ$9-AZ$10)*1000)</f>
        <v>18943.878469908257</v>
      </c>
      <c r="BA196" s="111">
        <f>SUM(AZ$196,'Statistics NZ'!BA$196-'Statistics NZ'!AZ$196,$Q$14/16*(BA$9-BA$10)*1000)</f>
        <v>19483.878469908257</v>
      </c>
      <c r="BB196" s="111">
        <f>SUM(BA$196,'Statistics NZ'!BB$196-'Statistics NZ'!BA$196,$Q$14/16*(BB$9-BB$10)*1000)</f>
        <v>19663.878469908257</v>
      </c>
      <c r="BC196" s="111">
        <f>SUM(BB$196,'Statistics NZ'!BC$196-'Statistics NZ'!BB$196,$Q$14/16*(BC$9-BC$10)*1000)</f>
        <v>19293.878469908257</v>
      </c>
      <c r="BD196" s="111">
        <f>SUM(BC$196,'Statistics NZ'!BD$196-'Statistics NZ'!BC$196,$Q$14/16*(BD$9-BD$10)*1000)</f>
        <v>18733.878469908257</v>
      </c>
      <c r="BE196" s="111">
        <f>SUM(BD$196,'Statistics NZ'!BE$196-'Statistics NZ'!BD$196,$Q$14/16*(BE$9-BE$10)*1000)</f>
        <v>18333.878469908257</v>
      </c>
      <c r="BF196" s="111">
        <f>SUM(BE$196,'Statistics NZ'!BF$196-'Statistics NZ'!BE$196,$Q$14/16*(BF$9-BF$10)*1000)</f>
        <v>18173.878469908257</v>
      </c>
      <c r="BG196" s="111">
        <f>SUM(BF$196,'Statistics NZ'!BG$196-'Statistics NZ'!BF$196,$Q$14/16*(BG$9-BG$10)*1000)</f>
        <v>18423.878469908257</v>
      </c>
      <c r="BH196" s="111">
        <f>SUM(BG$196,'Statistics NZ'!BH$196-'Statistics NZ'!BG$196,$Q$14/16*(BH$9-BH$10)*1000)</f>
        <v>18383.878469908257</v>
      </c>
      <c r="BI196" s="111">
        <f>SUM(BH$196,'Statistics NZ'!BI$196-'Statistics NZ'!BH$196,$Q$14/16*(BI$9-BI$10)*1000)</f>
        <v>19173.878469908257</v>
      </c>
      <c r="BJ196" s="111">
        <f>SUM(BI$196,'Statistics NZ'!BJ$196-'Statistics NZ'!BI$196,$Q$14/16*(BJ$9-BJ$10)*1000)</f>
        <v>19783.878469908257</v>
      </c>
      <c r="BK196" s="111">
        <f>SUM(BJ$196,'Statistics NZ'!BK$196-'Statistics NZ'!BJ$196,$Q$14/16*(BK$9-BK$10)*1000)</f>
        <v>20353.878469908257</v>
      </c>
      <c r="BL196" s="111">
        <f>SUM(BK$196,'Statistics NZ'!BL$196-'Statistics NZ'!BK$196,$Q$14/16*(BL$9-BL$10)*1000)</f>
        <v>21003.878469908257</v>
      </c>
      <c r="BM196" s="195">
        <f>SUM(BL$196,'Statistics NZ'!BM$196-'Statistics NZ'!BL$196,$Q$14/16*(BM$9-BM$10)*1000)</f>
        <v>21753.878469908257</v>
      </c>
      <c r="BN196" s="195">
        <f>SUM(BM$196,'Statistics NZ'!BN$196-'Statistics NZ'!BM$196,$Q$14/16*(BN$9-BN$10)*1000)</f>
        <v>22253.878469908257</v>
      </c>
      <c r="BO196" s="195">
        <f>SUM(BN$196,'Statistics NZ'!BO$196-'Statistics NZ'!BN$196,$Q$14/16*(BO$9-BO$10)*1000)</f>
        <v>22653.878469908257</v>
      </c>
      <c r="BP196" s="195">
        <f>SUM(BO$196,'Statistics NZ'!BP$196-'Statistics NZ'!BO$196,$Q$14/16*(BP$9-BP$10)*1000)</f>
        <v>23423.878469908257</v>
      </c>
      <c r="BQ196" s="195">
        <f>SUM(BP$196,'Statistics NZ'!BQ$196-'Statistics NZ'!BP$196,$Q$14/16*(BQ$9-BQ$10)*1000)</f>
        <v>24703.878469908257</v>
      </c>
    </row>
    <row r="197" spans="1:69">
      <c r="A197" s="105">
        <f>$A$104</f>
        <v>87</v>
      </c>
      <c r="B197" s="118">
        <f>'Statistics NZ'!B$197*'Economic Forecasts'!D$9*1000000/SUM('Statistics NZ'!B$32:B$107,'Statistics NZ'!B$125:B$200)</f>
        <v>2344.5200708669058</v>
      </c>
      <c r="C197" s="118">
        <f>'Statistics NZ'!C$197*'Economic Forecasts'!E$9*1000000/SUM('Statistics NZ'!C$32:C$107,'Statistics NZ'!C$125:C$200)</f>
        <v>2809.6431872194348</v>
      </c>
      <c r="D197" s="118">
        <f>'Statistics NZ'!D$197*'Economic Forecasts'!F$9*1000000/SUM('Statistics NZ'!D$32:D$107,'Statistics NZ'!D$125:D$200)</f>
        <v>2937.1190521484791</v>
      </c>
      <c r="E197" s="118">
        <f>'Statistics NZ'!E$197*'Economic Forecasts'!G$9*1000000/SUM('Statistics NZ'!E$32:E$107,'Statistics NZ'!E$125:E$200)</f>
        <v>3151.5215659296236</v>
      </c>
      <c r="F197" s="118">
        <f>'Statistics NZ'!F$197*'Economic Forecasts'!H$9*1000000/SUM('Statistics NZ'!F$32:F$107,'Statistics NZ'!F$125:F$200)</f>
        <v>3280.5897116364999</v>
      </c>
      <c r="G197" s="118">
        <f>'Statistics NZ'!G$197*'Economic Forecasts'!I$9*1000000/SUM('Statistics NZ'!G$32:G$107,'Statistics NZ'!G$125:G$200)</f>
        <v>3428.8008384054174</v>
      </c>
      <c r="H197" s="118">
        <f>'Statistics NZ'!H$197*'Economic Forecasts'!J$9*1000000/SUM('Statistics NZ'!H$32:H$107,'Statistics NZ'!H$125:H$200)</f>
        <v>3703.4737591369203</v>
      </c>
      <c r="I197" s="118">
        <f>'Statistics NZ'!I$197*'Economic Forecasts'!K$9*1000000/SUM('Statistics NZ'!I$32:I$107,'Statistics NZ'!I$125:I$200)</f>
        <v>3700.2049636176844</v>
      </c>
      <c r="J197" s="203">
        <f>'Statistics NZ'!J$197*'Economic Forecasts'!L$9*1000000/SUM('Statistics NZ'!J$32:J$107,'Statistics NZ'!J$125:J$200)</f>
        <v>3990.3445176253858</v>
      </c>
      <c r="K197" s="203">
        <f>'Statistics NZ'!K$197*'Economic Forecasts'!M$9*1000000/SUM('Statistics NZ'!K$32:K$107,'Statistics NZ'!K$125:K$200)</f>
        <v>4048.0289421022558</v>
      </c>
      <c r="L197" s="203">
        <f>'Statistics NZ'!L$197*'Economic Forecasts'!N$9*1000000/SUM('Statistics NZ'!L$32:L$107,'Statistics NZ'!L$125:L$200)</f>
        <v>4254.6926365795716</v>
      </c>
      <c r="M197" s="203">
        <f>'Statistics NZ'!M$197*'Economic Forecasts'!O$9*1000000/SUM('Statistics NZ'!M$32:M$107,'Statistics NZ'!M$125:M$200)</f>
        <v>4284.9141733867846</v>
      </c>
      <c r="N197" s="203">
        <f>'Statistics NZ'!N$197*'Economic Forecasts'!P$9*1000000/SUM('Statistics NZ'!N$32:N$107,'Statistics NZ'!N$125:N$200)</f>
        <v>4578.9801017672708</v>
      </c>
      <c r="O197" s="203">
        <f>'Statistics NZ'!O$197*'Economic Forecasts'!Q$9*1000000/SUM('Statistics NZ'!O$32:O$107,'Statistics NZ'!O$125:O$200)</f>
        <v>4430.9402892700637</v>
      </c>
      <c r="P197" s="203">
        <f>'Statistics NZ'!P$197*'Economic Forecasts'!R$9*1000000/SUM('Statistics NZ'!P$32:P$107,'Statistics NZ'!P$125:P$200)</f>
        <v>4383.6950479213865</v>
      </c>
      <c r="Q197" s="121">
        <f>SUM('Statistics NZ'!Q$197,$Q$14/16*(Q$9-Q$10)*1000)*'Economic Forecasts'!S$9*1000000/SUM('Statistics NZ'!Q$32:Q$107,'Statistics NZ'!Q$125:Q$200,SUM($E$13:$Q$14)*(Q$9-Q$10)*1000)</f>
        <v>4626.5464834922259</v>
      </c>
      <c r="R197" s="205">
        <f>SUM('Statistics NZ'!R$197,$Q$14/16*(R$9-R$10)*1000)*'Economic Forecasts'!T$9*1000000/SUM('Statistics NZ'!R$32:R$107,'Statistics NZ'!R$125:R$200,SUM($E$13:$Q$14)*(R$9-R$10)*1000)</f>
        <v>4774.1474274732764</v>
      </c>
      <c r="S197" s="205">
        <f>SUM('Statistics NZ'!S$197,$Q$14/16*(S$9-S$10)*1000)*'Economic Forecasts'!U$9*1000000/SUM('Statistics NZ'!S$32:S$107,'Statistics NZ'!S$125:S$200,SUM($E$13:$Q$14)*(S$9-S$10)*1000)</f>
        <v>4841.4641402806064</v>
      </c>
      <c r="T197" s="205">
        <f>SUM('Statistics NZ'!T$197,$Q$14/16*(T$9-T$10)*1000)*'Economic Forecasts'!V$9*1000000/SUM('Statistics NZ'!T$32:T$107,'Statistics NZ'!T$125:T$200,SUM($E$13:$Q$14)*(T$9-T$10)*1000)</f>
        <v>5178.320349346247</v>
      </c>
      <c r="U197" s="205">
        <f>SUM('Statistics NZ'!U$197,$Q$14/16*(U$9-U$10)*1000)*'Economic Forecasts'!W$9*1000000/SUM('Statistics NZ'!U$32:U$107,'Statistics NZ'!U$125:U$200,SUM($E$13:$Q$14)*(U$9-U$10)*1000)</f>
        <v>5473.1846058911169</v>
      </c>
      <c r="V197" s="111">
        <f>SUM(U$197,'Statistics NZ'!V$197-'Statistics NZ'!U$197,$Q$14/16*(V$9-V$10)*1000)</f>
        <v>5805.7360157576704</v>
      </c>
      <c r="W197" s="111">
        <f>SUM(V$197,'Statistics NZ'!W$197-'Statistics NZ'!V$197,$Q$14/16*(W$9-W$10)*1000)</f>
        <v>6437.9684993909041</v>
      </c>
      <c r="X197" s="111">
        <f>SUM(W$197,'Statistics NZ'!X$197-'Statistics NZ'!W$197,$Q$14/16*(X$9-X$10)*1000)</f>
        <v>7009.8820567908188</v>
      </c>
      <c r="Y197" s="111">
        <f>SUM(X$197,'Statistics NZ'!Y$197-'Statistics NZ'!X$197,$Q$14/16*(Y$9-Y$10)*1000)</f>
        <v>7241.4766879574145</v>
      </c>
      <c r="Z197" s="111">
        <f>SUM(Y$197,'Statistics NZ'!Z$197-'Statistics NZ'!Y$197,$Q$14/16*(Z$9-Z$10)*1000)</f>
        <v>6602.7523928906912</v>
      </c>
      <c r="AA197" s="111">
        <f>SUM(Z$197,'Statistics NZ'!AA$197-'Statistics NZ'!Z$197,$Q$14/16*(AA$9-AA$10)*1000)</f>
        <v>7573.709171590649</v>
      </c>
      <c r="AB197" s="111">
        <f>SUM(AA$197,'Statistics NZ'!AB$197-'Statistics NZ'!AA$197,$Q$14/16*(AB$9-AB$10)*1000)</f>
        <v>7924.3470240572869</v>
      </c>
      <c r="AC197" s="111">
        <f>SUM(AB$197,'Statistics NZ'!AC$197-'Statistics NZ'!AB$197,$Q$14/16*(AC$9-AC$10)*1000)</f>
        <v>8494.6659502906059</v>
      </c>
      <c r="AD197" s="111">
        <f>SUM(AC$197,'Statistics NZ'!AD$197-'Statistics NZ'!AC$197,$Q$14/16*(AD$9-AD$10)*1000)</f>
        <v>10114.665950290606</v>
      </c>
      <c r="AE197" s="111">
        <f>SUM(AD$197,'Statistics NZ'!AE$197-'Statistics NZ'!AD$197,$Q$14/16*(AE$9-AE$10)*1000)</f>
        <v>10264.665950290606</v>
      </c>
      <c r="AF197" s="111">
        <f>SUM(AE$197,'Statistics NZ'!AF$197-'Statistics NZ'!AE$197,$Q$14/16*(AF$9-AF$10)*1000)</f>
        <v>10384.665950290606</v>
      </c>
      <c r="AG197" s="111">
        <f>SUM(AF$197,'Statistics NZ'!AG$197-'Statistics NZ'!AF$197,$Q$14/16*(AG$9-AG$10)*1000)</f>
        <v>10564.665950290606</v>
      </c>
      <c r="AH197" s="111">
        <f>SUM(AG$197,'Statistics NZ'!AH$197-'Statistics NZ'!AG$197,$Q$14/16*(AH$9-AH$10)*1000)</f>
        <v>10774.665950290606</v>
      </c>
      <c r="AI197" s="111">
        <f>SUM(AH$197,'Statistics NZ'!AI$197-'Statistics NZ'!AH$197,$Q$14/16*(AI$9-AI$10)*1000)</f>
        <v>11084.665950290606</v>
      </c>
      <c r="AJ197" s="111">
        <f>SUM(AI$197,'Statistics NZ'!AJ$197-'Statistics NZ'!AI$197,$Q$14/16*(AJ$9-AJ$10)*1000)</f>
        <v>11344.665950290606</v>
      </c>
      <c r="AK197" s="111">
        <f>SUM(AJ$197,'Statistics NZ'!AK$197-'Statistics NZ'!AJ$197,$Q$14/16*(AK$9-AK$10)*1000)</f>
        <v>11814.665950290606</v>
      </c>
      <c r="AL197" s="111">
        <f>SUM(AK$197,'Statistics NZ'!AL$197-'Statistics NZ'!AK$197,$Q$14/16*(AL$9-AL$10)*1000)</f>
        <v>12234.665950290606</v>
      </c>
      <c r="AM197" s="111">
        <f>SUM(AL$197,'Statistics NZ'!AM$197-'Statistics NZ'!AL$197,$Q$14/16*(AM$9-AM$10)*1000)</f>
        <v>12704.665950290606</v>
      </c>
      <c r="AN197" s="111">
        <f>SUM(AM$197,'Statistics NZ'!AN$197-'Statistics NZ'!AM$197,$Q$14/16*(AN$9-AN$10)*1000)</f>
        <v>13134.665950290606</v>
      </c>
      <c r="AO197" s="111">
        <f>SUM(AN$197,'Statistics NZ'!AO$197-'Statistics NZ'!AN$197,$Q$14/16*(AO$9-AO$10)*1000)</f>
        <v>13614.665950290606</v>
      </c>
      <c r="AP197" s="111">
        <f>SUM(AO$197,'Statistics NZ'!AP$197-'Statistics NZ'!AO$197,$Q$14/16*(AP$9-AP$10)*1000)</f>
        <v>14364.665950290606</v>
      </c>
      <c r="AQ197" s="111">
        <f>SUM(AP$197,'Statistics NZ'!AQ$197-'Statistics NZ'!AP$197,$Q$14/16*(AQ$9-AQ$10)*1000)</f>
        <v>14764.665950290606</v>
      </c>
      <c r="AR197" s="111">
        <f>SUM(AQ$197,'Statistics NZ'!AR$197-'Statistics NZ'!AQ$197,$Q$14/16*(AR$9-AR$10)*1000)</f>
        <v>15314.665950290606</v>
      </c>
      <c r="AS197" s="111">
        <f>SUM(AR$197,'Statistics NZ'!AS$197-'Statistics NZ'!AR$197,$Q$14/16*(AS$9-AS$10)*1000)</f>
        <v>15964.665950290606</v>
      </c>
      <c r="AT197" s="111">
        <f>SUM(AS$197,'Statistics NZ'!AT$197-'Statistics NZ'!AS$197,$Q$14/16*(AT$9-AT$10)*1000)</f>
        <v>16284.665950290606</v>
      </c>
      <c r="AU197" s="111">
        <f>SUM(AT$197,'Statistics NZ'!AU$197-'Statistics NZ'!AT$197,$Q$14/16*(AU$9-AU$10)*1000)</f>
        <v>16284.665950290606</v>
      </c>
      <c r="AV197" s="111">
        <f>SUM(AU$197,'Statistics NZ'!AV$197-'Statistics NZ'!AU$197,$Q$14/16*(AV$9-AV$10)*1000)</f>
        <v>16124.665950290606</v>
      </c>
      <c r="AW197" s="111">
        <f>SUM(AV$197,'Statistics NZ'!AW$197-'Statistics NZ'!AV$197,$Q$14/16*(AW$9-AW$10)*1000)</f>
        <v>16084.665950290606</v>
      </c>
      <c r="AX197" s="111">
        <f>SUM(AW$197,'Statistics NZ'!AX$197-'Statistics NZ'!AW$197,$Q$14/16*(AX$9-AX$10)*1000)</f>
        <v>16284.665950290606</v>
      </c>
      <c r="AY197" s="111">
        <f>SUM(AX$197,'Statistics NZ'!AY$197-'Statistics NZ'!AX$197,$Q$14/16*(AY$9-AY$10)*1000)</f>
        <v>16764.665950290604</v>
      </c>
      <c r="AZ197" s="111">
        <f>SUM(AY$197,'Statistics NZ'!AZ$197-'Statistics NZ'!AY$197,$Q$14/16*(AZ$9-AZ$10)*1000)</f>
        <v>17294.665950290604</v>
      </c>
      <c r="BA197" s="111">
        <f>SUM(AZ$197,'Statistics NZ'!BA$197-'Statistics NZ'!AZ$197,$Q$14/16*(BA$9-BA$10)*1000)</f>
        <v>17504.665950290604</v>
      </c>
      <c r="BB197" s="111">
        <f>SUM(BA$197,'Statistics NZ'!BB$197-'Statistics NZ'!BA$197,$Q$14/16*(BB$9-BB$10)*1000)</f>
        <v>18014.665950290604</v>
      </c>
      <c r="BC197" s="111">
        <f>SUM(BB$197,'Statistics NZ'!BC$197-'Statistics NZ'!BB$197,$Q$14/16*(BC$9-BC$10)*1000)</f>
        <v>18194.665950290604</v>
      </c>
      <c r="BD197" s="111">
        <f>SUM(BC$197,'Statistics NZ'!BD$197-'Statistics NZ'!BC$197,$Q$14/16*(BD$9-BD$10)*1000)</f>
        <v>17864.665950290604</v>
      </c>
      <c r="BE197" s="111">
        <f>SUM(BD$197,'Statistics NZ'!BE$197-'Statistics NZ'!BD$197,$Q$14/16*(BE$9-BE$10)*1000)</f>
        <v>17364.665950290604</v>
      </c>
      <c r="BF197" s="111">
        <f>SUM(BE$197,'Statistics NZ'!BF$197-'Statistics NZ'!BE$197,$Q$14/16*(BF$9-BF$10)*1000)</f>
        <v>17004.665950290604</v>
      </c>
      <c r="BG197" s="111">
        <f>SUM(BF$197,'Statistics NZ'!BG$197-'Statistics NZ'!BF$197,$Q$14/16*(BG$9-BG$10)*1000)</f>
        <v>16864.665950290604</v>
      </c>
      <c r="BH197" s="111">
        <f>SUM(BG$197,'Statistics NZ'!BH$197-'Statistics NZ'!BG$197,$Q$14/16*(BH$9-BH$10)*1000)</f>
        <v>17114.665950290604</v>
      </c>
      <c r="BI197" s="111">
        <f>SUM(BH$197,'Statistics NZ'!BI$197-'Statistics NZ'!BH$197,$Q$14/16*(BI$9-BI$10)*1000)</f>
        <v>17084.665950290604</v>
      </c>
      <c r="BJ197" s="111">
        <f>SUM(BI$197,'Statistics NZ'!BJ$197-'Statistics NZ'!BI$197,$Q$14/16*(BJ$9-BJ$10)*1000)</f>
        <v>17834.665950290604</v>
      </c>
      <c r="BK197" s="111">
        <f>SUM(BJ$197,'Statistics NZ'!BK$197-'Statistics NZ'!BJ$197,$Q$14/16*(BK$9-BK$10)*1000)</f>
        <v>18414.665950290604</v>
      </c>
      <c r="BL197" s="111">
        <f>SUM(BK$197,'Statistics NZ'!BL$197-'Statistics NZ'!BK$197,$Q$14/16*(BL$9-BL$10)*1000)</f>
        <v>18964.665950290604</v>
      </c>
      <c r="BM197" s="195">
        <f>SUM(BL$197,'Statistics NZ'!BM$197-'Statistics NZ'!BL$197,$Q$14/16*(BM$9-BM$10)*1000)</f>
        <v>19584.665950290604</v>
      </c>
      <c r="BN197" s="195">
        <f>SUM(BM$197,'Statistics NZ'!BN$197-'Statistics NZ'!BM$197,$Q$14/16*(BN$9-BN$10)*1000)</f>
        <v>20294.665950290604</v>
      </c>
      <c r="BO197" s="195">
        <f>SUM(BN$197,'Statistics NZ'!BO$197-'Statistics NZ'!BN$197,$Q$14/16*(BO$9-BO$10)*1000)</f>
        <v>20774.665950290604</v>
      </c>
      <c r="BP197" s="195">
        <f>SUM(BO$197,'Statistics NZ'!BP$197-'Statistics NZ'!BO$197,$Q$14/16*(BP$9-BP$10)*1000)</f>
        <v>21154.665950290604</v>
      </c>
      <c r="BQ197" s="195">
        <f>SUM(BP$197,'Statistics NZ'!BQ$197-'Statistics NZ'!BP$197,$Q$14/16*(BQ$9-BQ$10)*1000)</f>
        <v>21894.665950290604</v>
      </c>
    </row>
    <row r="198" spans="1:69">
      <c r="A198" s="105">
        <f>$A$105</f>
        <v>88</v>
      </c>
      <c r="B198" s="118">
        <f>'Statistics NZ'!B$198*'Economic Forecasts'!D$9*1000000/SUM('Statistics NZ'!B$32:B$107,'Statistics NZ'!B$125:B$200)</f>
        <v>1901.2284608290456</v>
      </c>
      <c r="C198" s="118">
        <f>'Statistics NZ'!C$198*'Economic Forecasts'!E$9*1000000/SUM('Statistics NZ'!C$32:C$107,'Statistics NZ'!C$125:C$200)</f>
        <v>1991.3962239239504</v>
      </c>
      <c r="D198" s="118">
        <f>'Statistics NZ'!D$198*'Economic Forecasts'!F$9*1000000/SUM('Statistics NZ'!D$32:D$107,'Statistics NZ'!D$125:D$200)</f>
        <v>2444.3138420564528</v>
      </c>
      <c r="E198" s="118">
        <f>'Statistics NZ'!E$198*'Economic Forecasts'!G$9*1000000/SUM('Statistics NZ'!E$32:E$107,'Statistics NZ'!E$125:E$200)</f>
        <v>2550.762767424289</v>
      </c>
      <c r="F198" s="118">
        <f>'Statistics NZ'!F$198*'Economic Forecasts'!H$9*1000000/SUM('Statistics NZ'!F$32:F$107,'Statistics NZ'!F$125:F$200)</f>
        <v>2748.6021908305806</v>
      </c>
      <c r="G198" s="118">
        <f>'Statistics NZ'!G$198*'Economic Forecasts'!I$9*1000000/SUM('Statistics NZ'!G$32:G$107,'Statistics NZ'!G$125:G$200)</f>
        <v>2877.0397839493726</v>
      </c>
      <c r="H198" s="118">
        <f>'Statistics NZ'!H$198*'Economic Forecasts'!J$9*1000000/SUM('Statistics NZ'!H$32:H$107,'Statistics NZ'!H$125:H$200)</f>
        <v>2945.0496116540935</v>
      </c>
      <c r="I198" s="118">
        <f>'Statistics NZ'!I$198*'Economic Forecasts'!K$9*1000000/SUM('Statistics NZ'!I$32:I$107,'Statistics NZ'!I$125:I$200)</f>
        <v>3158.9515779821181</v>
      </c>
      <c r="J198" s="203">
        <f>'Statistics NZ'!J$198*'Economic Forecasts'!L$9*1000000/SUM('Statistics NZ'!J$32:J$107,'Statistics NZ'!J$125:J$200)</f>
        <v>3243.3834749171856</v>
      </c>
      <c r="K198" s="203">
        <f>'Statistics NZ'!K$198*'Economic Forecasts'!M$9*1000000/SUM('Statistics NZ'!K$32:K$107,'Statistics NZ'!K$125:K$200)</f>
        <v>3438.8595381936639</v>
      </c>
      <c r="L198" s="203">
        <f>'Statistics NZ'!L$198*'Economic Forecasts'!N$9*1000000/SUM('Statistics NZ'!L$32:L$107,'Statistics NZ'!L$125:L$200)</f>
        <v>3555.426022697281</v>
      </c>
      <c r="M198" s="203">
        <f>'Statistics NZ'!M$198*'Economic Forecasts'!O$9*1000000/SUM('Statistics NZ'!M$32:M$107,'Statistics NZ'!M$125:M$200)</f>
        <v>3713.5922836018799</v>
      </c>
      <c r="N198" s="203">
        <f>'Statistics NZ'!N$198*'Economic Forecasts'!P$9*1000000/SUM('Statistics NZ'!N$32:N$107,'Statistics NZ'!N$125:N$200)</f>
        <v>3730.2898242845436</v>
      </c>
      <c r="O198" s="203">
        <f>'Statistics NZ'!O$198*'Economic Forecasts'!Q$9*1000000/SUM('Statistics NZ'!O$32:O$107,'Statistics NZ'!O$125:O$200)</f>
        <v>3996.7278778493896</v>
      </c>
      <c r="P198" s="203">
        <f>'Statistics NZ'!P$198*'Economic Forecasts'!R$9*1000000/SUM('Statistics NZ'!P$32:P$107,'Statistics NZ'!P$125:P$200)</f>
        <v>3890.0356956779874</v>
      </c>
      <c r="Q198" s="121">
        <f>SUM('Statistics NZ'!Q$198,$Q$14/16*(Q$9-Q$10)*1000)*'Economic Forecasts'!S$9*1000000/SUM('Statistics NZ'!Q$32:Q$107,'Statistics NZ'!Q$125:Q$200,SUM($E$13:$Q$14)*(Q$9-Q$10)*1000)</f>
        <v>3865.2919029062859</v>
      </c>
      <c r="R198" s="205">
        <f>SUM('Statistics NZ'!R$198,$Q$14/16*(R$9-R$10)*1000)*'Economic Forecasts'!T$9*1000000/SUM('Statistics NZ'!R$32:R$107,'Statistics NZ'!R$125:R$200,SUM($E$13:$Q$14)*(R$9-R$10)*1000)</f>
        <v>4072.2997109998282</v>
      </c>
      <c r="S198" s="205">
        <f>SUM('Statistics NZ'!S$198,$Q$14/16*(S$9-S$10)*1000)*'Economic Forecasts'!U$9*1000000/SUM('Statistics NZ'!S$32:S$107,'Statistics NZ'!S$125:S$200,SUM($E$13:$Q$14)*(S$9-S$10)*1000)</f>
        <v>4209.150795695642</v>
      </c>
      <c r="T198" s="205">
        <f>SUM('Statistics NZ'!T$198,$Q$14/16*(T$9-T$10)*1000)*'Economic Forecasts'!V$9*1000000/SUM('Statistics NZ'!T$32:T$107,'Statistics NZ'!T$125:T$200,SUM($E$13:$Q$14)*(T$9-T$10)*1000)</f>
        <v>4279.3054789696153</v>
      </c>
      <c r="U198" s="205">
        <f>SUM('Statistics NZ'!U$198,$Q$14/16*(U$9-U$10)*1000)*'Economic Forecasts'!W$9*1000000/SUM('Statistics NZ'!U$32:U$107,'Statistics NZ'!U$125:U$200,SUM($E$13:$Q$14)*(U$9-U$10)*1000)</f>
        <v>4582.8933382352307</v>
      </c>
      <c r="V198" s="111">
        <f>SUM(U$198,'Statistics NZ'!V$198-'Statistics NZ'!U$198,$Q$14/16*(V$9-V$10)*1000)</f>
        <v>4845.4447481017842</v>
      </c>
      <c r="W198" s="111">
        <f>SUM(V$198,'Statistics NZ'!W$198-'Statistics NZ'!V$198,$Q$14/16*(W$9-W$10)*1000)</f>
        <v>5147.6772317350178</v>
      </c>
      <c r="X198" s="111">
        <f>SUM(W$198,'Statistics NZ'!X$198-'Statistics NZ'!W$198,$Q$14/16*(X$9-X$10)*1000)</f>
        <v>5709.5907891349325</v>
      </c>
      <c r="Y198" s="111">
        <f>SUM(X$198,'Statistics NZ'!Y$198-'Statistics NZ'!X$198,$Q$14/16*(Y$9-Y$10)*1000)</f>
        <v>6221.1854203015282</v>
      </c>
      <c r="Z198" s="111">
        <f>SUM(Y$198,'Statistics NZ'!Z$198-'Statistics NZ'!Y$198,$Q$14/16*(Z$9-Z$10)*1000)</f>
        <v>6432.461125234805</v>
      </c>
      <c r="AA198" s="111">
        <f>SUM(Z$198,'Statistics NZ'!AA$198-'Statistics NZ'!Z$198,$Q$14/16*(AA$9-AA$10)*1000)</f>
        <v>5873.4179039347628</v>
      </c>
      <c r="AB198" s="111">
        <f>SUM(AA$198,'Statistics NZ'!AB$198-'Statistics NZ'!AA$198,$Q$14/16*(AB$9-AB$10)*1000)</f>
        <v>6744.0557564014007</v>
      </c>
      <c r="AC198" s="111">
        <f>SUM(AB$198,'Statistics NZ'!AC$198-'Statistics NZ'!AB$198,$Q$14/16*(AC$9-AC$10)*1000)</f>
        <v>7064.3746826347196</v>
      </c>
      <c r="AD198" s="111">
        <f>SUM(AC$198,'Statistics NZ'!AD$198-'Statistics NZ'!AC$198,$Q$14/16*(AD$9-AD$10)*1000)</f>
        <v>7584.3746826347196</v>
      </c>
      <c r="AE198" s="111">
        <f>SUM(AD$198,'Statistics NZ'!AE$198-'Statistics NZ'!AD$198,$Q$14/16*(AE$9-AE$10)*1000)</f>
        <v>9034.3746826347196</v>
      </c>
      <c r="AF198" s="111">
        <f>SUM(AE$198,'Statistics NZ'!AF$198-'Statistics NZ'!AE$198,$Q$14/16*(AF$9-AF$10)*1000)</f>
        <v>9184.3746826347196</v>
      </c>
      <c r="AG198" s="111">
        <f>SUM(AF$198,'Statistics NZ'!AG$198-'Statistics NZ'!AF$198,$Q$14/16*(AG$9-AG$10)*1000)</f>
        <v>9294.3746826347196</v>
      </c>
      <c r="AH198" s="111">
        <f>SUM(AG$198,'Statistics NZ'!AH$198-'Statistics NZ'!AG$198,$Q$14/16*(AH$9-AH$10)*1000)</f>
        <v>9464.3746826347196</v>
      </c>
      <c r="AI198" s="111">
        <f>SUM(AH$198,'Statistics NZ'!AI$198-'Statistics NZ'!AH$198,$Q$14/16*(AI$9-AI$10)*1000)</f>
        <v>9664.3746826347196</v>
      </c>
      <c r="AJ198" s="111">
        <f>SUM(AI$198,'Statistics NZ'!AJ$198-'Statistics NZ'!AI$198,$Q$14/16*(AJ$9-AJ$10)*1000)</f>
        <v>9954.3746826347196</v>
      </c>
      <c r="AK198" s="111">
        <f>SUM(AJ$198,'Statistics NZ'!AK$198-'Statistics NZ'!AJ$198,$Q$14/16*(AK$9-AK$10)*1000)</f>
        <v>10194.37468263472</v>
      </c>
      <c r="AL198" s="111">
        <f>SUM(AK$198,'Statistics NZ'!AL$198-'Statistics NZ'!AK$198,$Q$14/16*(AL$9-AL$10)*1000)</f>
        <v>10634.37468263472</v>
      </c>
      <c r="AM198" s="111">
        <f>SUM(AL$198,'Statistics NZ'!AM$198-'Statistics NZ'!AL$198,$Q$14/16*(AM$9-AM$10)*1000)</f>
        <v>11014.37468263472</v>
      </c>
      <c r="AN198" s="111">
        <f>SUM(AM$198,'Statistics NZ'!AN$198-'Statistics NZ'!AM$198,$Q$14/16*(AN$9-AN$10)*1000)</f>
        <v>11454.37468263472</v>
      </c>
      <c r="AO198" s="111">
        <f>SUM(AN$198,'Statistics NZ'!AO$198-'Statistics NZ'!AN$198,$Q$14/16*(AO$9-AO$10)*1000)</f>
        <v>11854.37468263472</v>
      </c>
      <c r="AP198" s="111">
        <f>SUM(AO$198,'Statistics NZ'!AP$198-'Statistics NZ'!AO$198,$Q$14/16*(AP$9-AP$10)*1000)</f>
        <v>12284.37468263472</v>
      </c>
      <c r="AQ198" s="111">
        <f>SUM(AP$198,'Statistics NZ'!AQ$198-'Statistics NZ'!AP$198,$Q$14/16*(AQ$9-AQ$10)*1000)</f>
        <v>12984.37468263472</v>
      </c>
      <c r="AR198" s="111">
        <f>SUM(AQ$198,'Statistics NZ'!AR$198-'Statistics NZ'!AQ$198,$Q$14/16*(AR$9-AR$10)*1000)</f>
        <v>13354.37468263472</v>
      </c>
      <c r="AS198" s="111">
        <f>SUM(AR$198,'Statistics NZ'!AS$198-'Statistics NZ'!AR$198,$Q$14/16*(AS$9-AS$10)*1000)</f>
        <v>13864.37468263472</v>
      </c>
      <c r="AT198" s="111">
        <f>SUM(AS$198,'Statistics NZ'!AT$198-'Statistics NZ'!AS$198,$Q$14/16*(AT$9-AT$10)*1000)</f>
        <v>14464.37468263472</v>
      </c>
      <c r="AU198" s="111">
        <f>SUM(AT$198,'Statistics NZ'!AU$198-'Statistics NZ'!AT$198,$Q$14/16*(AU$9-AU$10)*1000)</f>
        <v>14764.37468263472</v>
      </c>
      <c r="AV198" s="111">
        <f>SUM(AU$198,'Statistics NZ'!AV$198-'Statistics NZ'!AU$198,$Q$14/16*(AV$9-AV$10)*1000)</f>
        <v>14784.37468263472</v>
      </c>
      <c r="AW198" s="111">
        <f>SUM(AV$198,'Statistics NZ'!AW$198-'Statistics NZ'!AV$198,$Q$14/16*(AW$9-AW$10)*1000)</f>
        <v>14644.37468263472</v>
      </c>
      <c r="AX198" s="111">
        <f>SUM(AW$198,'Statistics NZ'!AX$198-'Statistics NZ'!AW$198,$Q$14/16*(AX$9-AX$10)*1000)</f>
        <v>14624.37468263472</v>
      </c>
      <c r="AY198" s="111">
        <f>SUM(AX$198,'Statistics NZ'!AY$198-'Statistics NZ'!AX$198,$Q$14/16*(AY$9-AY$10)*1000)</f>
        <v>14814.37468263472</v>
      </c>
      <c r="AZ198" s="111">
        <f>SUM(AY$198,'Statistics NZ'!AZ$198-'Statistics NZ'!AY$198,$Q$14/16*(AZ$9-AZ$10)*1000)</f>
        <v>15274.37468263472</v>
      </c>
      <c r="BA198" s="111">
        <f>SUM(AZ$198,'Statistics NZ'!BA$198-'Statistics NZ'!AZ$198,$Q$14/16*(BA$9-BA$10)*1000)</f>
        <v>15764.37468263472</v>
      </c>
      <c r="BB198" s="111">
        <f>SUM(BA$198,'Statistics NZ'!BB$198-'Statistics NZ'!BA$198,$Q$14/16*(BB$9-BB$10)*1000)</f>
        <v>15964.37468263472</v>
      </c>
      <c r="BC198" s="111">
        <f>SUM(BB$198,'Statistics NZ'!BC$198-'Statistics NZ'!BB$198,$Q$14/16*(BC$9-BC$10)*1000)</f>
        <v>16444.37468263472</v>
      </c>
      <c r="BD198" s="111">
        <f>SUM(BC$198,'Statistics NZ'!BD$198-'Statistics NZ'!BC$198,$Q$14/16*(BD$9-BD$10)*1000)</f>
        <v>16624.37468263472</v>
      </c>
      <c r="BE198" s="111">
        <f>SUM(BD$198,'Statistics NZ'!BE$198-'Statistics NZ'!BD$198,$Q$14/16*(BE$9-BE$10)*1000)</f>
        <v>16334.37468263472</v>
      </c>
      <c r="BF198" s="111">
        <f>SUM(BE$198,'Statistics NZ'!BF$198-'Statistics NZ'!BE$198,$Q$14/16*(BF$9-BF$10)*1000)</f>
        <v>15894.37468263472</v>
      </c>
      <c r="BG198" s="111">
        <f>SUM(BF$198,'Statistics NZ'!BG$198-'Statistics NZ'!BF$198,$Q$14/16*(BG$9-BG$10)*1000)</f>
        <v>15584.37468263472</v>
      </c>
      <c r="BH198" s="111">
        <f>SUM(BG$198,'Statistics NZ'!BH$198-'Statistics NZ'!BG$198,$Q$14/16*(BH$9-BH$10)*1000)</f>
        <v>15464.37468263472</v>
      </c>
      <c r="BI198" s="111">
        <f>SUM(BH$198,'Statistics NZ'!BI$198-'Statistics NZ'!BH$198,$Q$14/16*(BI$9-BI$10)*1000)</f>
        <v>15704.37468263472</v>
      </c>
      <c r="BJ198" s="111">
        <f>SUM(BI$198,'Statistics NZ'!BJ$198-'Statistics NZ'!BI$198,$Q$14/16*(BJ$9-BJ$10)*1000)</f>
        <v>15684.37468263472</v>
      </c>
      <c r="BK198" s="111">
        <f>SUM(BJ$198,'Statistics NZ'!BK$198-'Statistics NZ'!BJ$198,$Q$14/16*(BK$9-BK$10)*1000)</f>
        <v>16394.37468263472</v>
      </c>
      <c r="BL198" s="111">
        <f>SUM(BK$198,'Statistics NZ'!BL$198-'Statistics NZ'!BK$198,$Q$14/16*(BL$9-BL$10)*1000)</f>
        <v>16934.37468263472</v>
      </c>
      <c r="BM198" s="195">
        <f>SUM(BL$198,'Statistics NZ'!BM$198-'Statistics NZ'!BL$198,$Q$14/16*(BM$9-BM$10)*1000)</f>
        <v>17444.37468263472</v>
      </c>
      <c r="BN198" s="195">
        <f>SUM(BM$198,'Statistics NZ'!BN$198-'Statistics NZ'!BM$198,$Q$14/16*(BN$9-BN$10)*1000)</f>
        <v>18034.37468263472</v>
      </c>
      <c r="BO198" s="195">
        <f>SUM(BN$198,'Statistics NZ'!BO$198-'Statistics NZ'!BN$198,$Q$14/16*(BO$9-BO$10)*1000)</f>
        <v>18704.37468263472</v>
      </c>
      <c r="BP198" s="195">
        <f>SUM(BO$198,'Statistics NZ'!BP$198-'Statistics NZ'!BO$198,$Q$14/16*(BP$9-BP$10)*1000)</f>
        <v>19154.37468263472</v>
      </c>
      <c r="BQ198" s="195">
        <f>SUM(BP$198,'Statistics NZ'!BQ$198-'Statistics NZ'!BP$198,$Q$14/16*(BQ$9-BQ$10)*1000)</f>
        <v>19534.37468263472</v>
      </c>
    </row>
    <row r="199" spans="1:69">
      <c r="A199" s="105">
        <f>$A$106</f>
        <v>89</v>
      </c>
      <c r="B199" s="118">
        <f>'Statistics NZ'!B$199*'Economic Forecasts'!D$9*1000000/SUM('Statistics NZ'!B$32:B$107,'Statistics NZ'!B$125:B$200)</f>
        <v>1694.3590428113775</v>
      </c>
      <c r="C199" s="118">
        <f>'Statistics NZ'!C$199*'Economic Forecasts'!E$9*1000000/SUM('Statistics NZ'!C$32:C$107,'Statistics NZ'!C$125:C$200)</f>
        <v>1597.0603379984157</v>
      </c>
      <c r="D199" s="118">
        <f>'Statistics NZ'!D$199*'Economic Forecasts'!F$9*1000000/SUM('Statistics NZ'!D$32:D$107,'Statistics NZ'!D$125:D$200)</f>
        <v>1695.249922716572</v>
      </c>
      <c r="E199" s="118">
        <f>'Statistics NZ'!E$199*'Economic Forecasts'!G$9*1000000/SUM('Statistics NZ'!E$32:E$107,'Statistics NZ'!E$125:E$200)</f>
        <v>2097.7315423219056</v>
      </c>
      <c r="F199" s="118">
        <f>'Statistics NZ'!F$199*'Economic Forecasts'!H$9*1000000/SUM('Statistics NZ'!F$32:F$107,'Statistics NZ'!F$125:F$200)</f>
        <v>2157.5049454906712</v>
      </c>
      <c r="G199" s="118">
        <f>'Statistics NZ'!G$199*'Economic Forecasts'!I$9*1000000/SUM('Statistics NZ'!G$32:G$107,'Statistics NZ'!G$125:G$200)</f>
        <v>2325.2787294933291</v>
      </c>
      <c r="H199" s="118">
        <f>'Statistics NZ'!H$199*'Economic Forecasts'!J$9*1000000/SUM('Statistics NZ'!H$32:H$107,'Statistics NZ'!H$125:H$200)</f>
        <v>2423.0174062438359</v>
      </c>
      <c r="I199" s="118">
        <f>'Statistics NZ'!I$199*'Economic Forecasts'!K$9*1000000/SUM('Statistics NZ'!I$32:I$107,'Statistics NZ'!I$125:I$200)</f>
        <v>2430.7197500360853</v>
      </c>
      <c r="J199" s="203">
        <f>'Statistics NZ'!J$199*'Economic Forecasts'!L$9*1000000/SUM('Statistics NZ'!J$32:J$107,'Statistics NZ'!J$125:J$200)</f>
        <v>2712.6479972034645</v>
      </c>
      <c r="K199" s="203">
        <f>'Statistics NZ'!K$199*'Economic Forecasts'!M$9*1000000/SUM('Statistics NZ'!K$32:K$107,'Statistics NZ'!K$125:K$200)</f>
        <v>2760.9129435211989</v>
      </c>
      <c r="L199" s="203">
        <f>'Statistics NZ'!L$199*'Economic Forecasts'!N$9*1000000/SUM('Statistics NZ'!L$32:L$107,'Statistics NZ'!L$125:L$200)</f>
        <v>2964.4964898390076</v>
      </c>
      <c r="M199" s="203">
        <f>'Statistics NZ'!M$199*'Economic Forecasts'!O$9*1000000/SUM('Statistics NZ'!M$32:M$107,'Statistics NZ'!M$125:M$200)</f>
        <v>3053.6169971262143</v>
      </c>
      <c r="N199" s="203">
        <f>'Statistics NZ'!N$199*'Economic Forecasts'!P$9*1000000/SUM('Statistics NZ'!N$32:N$107,'Statistics NZ'!N$125:N$200)</f>
        <v>3217.1282611554529</v>
      </c>
      <c r="O199" s="203">
        <f>'Statistics NZ'!O$199*'Economic Forecasts'!Q$9*1000000/SUM('Statistics NZ'!O$32:O$107,'Statistics NZ'!O$125:O$200)</f>
        <v>3207.2507661754362</v>
      </c>
      <c r="P199" s="203">
        <f>'Statistics NZ'!P$199*'Economic Forecasts'!R$9*1000000/SUM('Statistics NZ'!P$32:P$107,'Statistics NZ'!P$125:P$200)</f>
        <v>3435.8690916140599</v>
      </c>
      <c r="Q199" s="121">
        <f>SUM('Statistics NZ'!Q$199,$Q$14/16*(Q$9-Q$10)*1000)*'Economic Forecasts'!S$9*1000000/SUM('Statistics NZ'!Q$32:Q$107,'Statistics NZ'!Q$125:Q$200,SUM($E$13:$Q$14)*(Q$9-Q$10)*1000)</f>
        <v>3370.9707466816499</v>
      </c>
      <c r="R199" s="205">
        <f>SUM('Statistics NZ'!R$199,$Q$14/16*(R$9-R$10)*1000)*'Economic Forecasts'!T$9*1000000/SUM('Statistics NZ'!R$32:R$107,'Statistics NZ'!R$125:R$200,SUM($E$13:$Q$14)*(R$9-R$10)*1000)</f>
        <v>3350.6816363158623</v>
      </c>
      <c r="S199" s="205">
        <f>SUM('Statistics NZ'!S$199,$Q$14/16*(S$9-S$10)*1000)*'Economic Forecasts'!U$9*1000000/SUM('Statistics NZ'!S$32:S$107,'Statistics NZ'!S$125:S$200,SUM($E$13:$Q$14)*(S$9-S$10)*1000)</f>
        <v>3527.4379710649782</v>
      </c>
      <c r="T199" s="205">
        <f>SUM('Statistics NZ'!T$199,$Q$14/16*(T$9-T$10)*1000)*'Economic Forecasts'!V$9*1000000/SUM('Statistics NZ'!T$32:T$107,'Statistics NZ'!T$125:T$200,SUM($E$13:$Q$14)*(T$9-T$10)*1000)</f>
        <v>3656.9105687088709</v>
      </c>
      <c r="U199" s="205">
        <f>SUM('Statistics NZ'!U$199,$Q$14/16*(U$9-U$10)*1000)*'Economic Forecasts'!W$9*1000000/SUM('Statistics NZ'!U$32:U$107,'Statistics NZ'!U$125:U$200,SUM($E$13:$Q$14)*(U$9-U$10)*1000)</f>
        <v>3722.2784461678739</v>
      </c>
      <c r="V199" s="111">
        <f>SUM(U$199,'Statistics NZ'!V$199-'Statistics NZ'!U$199,$Q$14/16*(V$9-V$10)*1000)</f>
        <v>3994.8298560344269</v>
      </c>
      <c r="W199" s="111">
        <f>SUM(V$199,'Statistics NZ'!W$199-'Statistics NZ'!V$199,$Q$14/16*(W$9-W$10)*1000)</f>
        <v>4227.0623396676601</v>
      </c>
      <c r="X199" s="111">
        <f>SUM(W$199,'Statistics NZ'!X$199-'Statistics NZ'!W$199,$Q$14/16*(X$9-X$10)*1000)</f>
        <v>4488.9758970675748</v>
      </c>
      <c r="Y199" s="111">
        <f>SUM(X$199,'Statistics NZ'!Y$199-'Statistics NZ'!X$199,$Q$14/16*(Y$9-Y$10)*1000)</f>
        <v>4990.5705282341705</v>
      </c>
      <c r="Z199" s="111">
        <f>SUM(Y$199,'Statistics NZ'!Z$199-'Statistics NZ'!Y$199,$Q$14/16*(Z$9-Z$10)*1000)</f>
        <v>5441.8462331674473</v>
      </c>
      <c r="AA199" s="111">
        <f>SUM(Z$199,'Statistics NZ'!AA$199-'Statistics NZ'!Z$199,$Q$14/16*(AA$9-AA$10)*1000)</f>
        <v>5632.8030118674051</v>
      </c>
      <c r="AB199" s="111">
        <f>SUM(AA$199,'Statistics NZ'!AB$199-'Statistics NZ'!AA$199,$Q$14/16*(AB$9-AB$10)*1000)</f>
        <v>5143.440864334043</v>
      </c>
      <c r="AC199" s="111">
        <f>SUM(AB$199,'Statistics NZ'!AC$199-'Statistics NZ'!AB$199,$Q$14/16*(AC$9-AC$10)*1000)</f>
        <v>5923.759790567362</v>
      </c>
      <c r="AD199" s="111">
        <f>SUM(AC$199,'Statistics NZ'!AD$199-'Statistics NZ'!AC$199,$Q$14/16*(AD$9-AD$10)*1000)</f>
        <v>6203.759790567362</v>
      </c>
      <c r="AE199" s="111">
        <f>SUM(AD$199,'Statistics NZ'!AE$199-'Statistics NZ'!AD$199,$Q$14/16*(AE$9-AE$10)*1000)</f>
        <v>6663.759790567362</v>
      </c>
      <c r="AF199" s="111">
        <f>SUM(AE$199,'Statistics NZ'!AF$199-'Statistics NZ'!AE$199,$Q$14/16*(AF$9-AF$10)*1000)</f>
        <v>7943.759790567362</v>
      </c>
      <c r="AG199" s="111">
        <f>SUM(AF$199,'Statistics NZ'!AG$199-'Statistics NZ'!AF$199,$Q$14/16*(AG$9-AG$10)*1000)</f>
        <v>8083.759790567362</v>
      </c>
      <c r="AH199" s="111">
        <f>SUM(AG$199,'Statistics NZ'!AH$199-'Statistics NZ'!AG$199,$Q$14/16*(AH$9-AH$10)*1000)</f>
        <v>8193.7597905673611</v>
      </c>
      <c r="AI199" s="111">
        <f>SUM(AH$199,'Statistics NZ'!AI$199-'Statistics NZ'!AH$199,$Q$14/16*(AI$9-AI$10)*1000)</f>
        <v>8353.7597905673611</v>
      </c>
      <c r="AJ199" s="111">
        <f>SUM(AI$199,'Statistics NZ'!AJ$199-'Statistics NZ'!AI$199,$Q$14/16*(AJ$9-AJ$10)*1000)</f>
        <v>8533.7597905673611</v>
      </c>
      <c r="AK199" s="111">
        <f>SUM(AJ$199,'Statistics NZ'!AK$199-'Statistics NZ'!AJ$199,$Q$14/16*(AK$9-AK$10)*1000)</f>
        <v>8803.7597905673611</v>
      </c>
      <c r="AL199" s="111">
        <f>SUM(AK$199,'Statistics NZ'!AL$199-'Statistics NZ'!AK$199,$Q$14/16*(AL$9-AL$10)*1000)</f>
        <v>9023.7597905673611</v>
      </c>
      <c r="AM199" s="111">
        <f>SUM(AL$199,'Statistics NZ'!AM$199-'Statistics NZ'!AL$199,$Q$14/16*(AM$9-AM$10)*1000)</f>
        <v>9413.7597905673611</v>
      </c>
      <c r="AN199" s="111">
        <f>SUM(AM$199,'Statistics NZ'!AN$199-'Statistics NZ'!AM$199,$Q$14/16*(AN$9-AN$10)*1000)</f>
        <v>9763.7597905673611</v>
      </c>
      <c r="AO199" s="111">
        <f>SUM(AN$199,'Statistics NZ'!AO$199-'Statistics NZ'!AN$199,$Q$14/16*(AO$9-AO$10)*1000)</f>
        <v>10163.759790567361</v>
      </c>
      <c r="AP199" s="111">
        <f>SUM(AO$199,'Statistics NZ'!AP$199-'Statistics NZ'!AO$199,$Q$14/16*(AP$9-AP$10)*1000)</f>
        <v>10533.759790567361</v>
      </c>
      <c r="AQ199" s="111">
        <f>SUM(AP$199,'Statistics NZ'!AQ$199-'Statistics NZ'!AP$199,$Q$14/16*(AQ$9-AQ$10)*1000)</f>
        <v>10933.759790567361</v>
      </c>
      <c r="AR199" s="111">
        <f>SUM(AQ$199,'Statistics NZ'!AR$199-'Statistics NZ'!AQ$199,$Q$14/16*(AR$9-AR$10)*1000)</f>
        <v>11553.759790567361</v>
      </c>
      <c r="AS199" s="111">
        <f>SUM(AR$199,'Statistics NZ'!AS$199-'Statistics NZ'!AR$199,$Q$14/16*(AS$9-AS$10)*1000)</f>
        <v>11893.759790567361</v>
      </c>
      <c r="AT199" s="111">
        <f>SUM(AS$199,'Statistics NZ'!AT$199-'Statistics NZ'!AS$199,$Q$14/16*(AT$9-AT$10)*1000)</f>
        <v>12363.759790567361</v>
      </c>
      <c r="AU199" s="111">
        <f>SUM(AT$199,'Statistics NZ'!AU$199-'Statistics NZ'!AT$199,$Q$14/16*(AU$9-AU$10)*1000)</f>
        <v>12903.759790567361</v>
      </c>
      <c r="AV199" s="111">
        <f>SUM(AU$199,'Statistics NZ'!AV$199-'Statistics NZ'!AU$199,$Q$14/16*(AV$9-AV$10)*1000)</f>
        <v>13193.759790567361</v>
      </c>
      <c r="AW199" s="111">
        <f>SUM(AV$199,'Statistics NZ'!AW$199-'Statistics NZ'!AV$199,$Q$14/16*(AW$9-AW$10)*1000)</f>
        <v>13213.759790567361</v>
      </c>
      <c r="AX199" s="111">
        <f>SUM(AW$199,'Statistics NZ'!AX$199-'Statistics NZ'!AW$199,$Q$14/16*(AX$9-AX$10)*1000)</f>
        <v>13113.759790567361</v>
      </c>
      <c r="AY199" s="111">
        <f>SUM(AX$199,'Statistics NZ'!AY$199-'Statistics NZ'!AX$199,$Q$14/16*(AY$9-AY$10)*1000)</f>
        <v>13103.759790567361</v>
      </c>
      <c r="AZ199" s="111">
        <f>SUM(AY$199,'Statistics NZ'!AZ$199-'Statistics NZ'!AY$199,$Q$14/16*(AZ$9-AZ$10)*1000)</f>
        <v>13283.759790567361</v>
      </c>
      <c r="BA199" s="111">
        <f>SUM(AZ$199,'Statistics NZ'!BA$199-'Statistics NZ'!AZ$199,$Q$14/16*(BA$9-BA$10)*1000)</f>
        <v>13703.759790567361</v>
      </c>
      <c r="BB199" s="111">
        <f>SUM(BA$199,'Statistics NZ'!BB$199-'Statistics NZ'!BA$199,$Q$14/16*(BB$9-BB$10)*1000)</f>
        <v>14163.759790567361</v>
      </c>
      <c r="BC199" s="111">
        <f>SUM(BB$199,'Statistics NZ'!BC$199-'Statistics NZ'!BB$199,$Q$14/16*(BC$9-BC$10)*1000)</f>
        <v>14353.759790567361</v>
      </c>
      <c r="BD199" s="111">
        <f>SUM(BC$199,'Statistics NZ'!BD$199-'Statistics NZ'!BC$199,$Q$14/16*(BD$9-BD$10)*1000)</f>
        <v>14803.759790567361</v>
      </c>
      <c r="BE199" s="111">
        <f>SUM(BD$199,'Statistics NZ'!BE$199-'Statistics NZ'!BD$199,$Q$14/16*(BE$9-BE$10)*1000)</f>
        <v>14973.759790567361</v>
      </c>
      <c r="BF199" s="111">
        <f>SUM(BE$199,'Statistics NZ'!BF$199-'Statistics NZ'!BE$199,$Q$14/16*(BF$9-BF$10)*1000)</f>
        <v>14723.759790567361</v>
      </c>
      <c r="BG199" s="111">
        <f>SUM(BF$199,'Statistics NZ'!BG$199-'Statistics NZ'!BF$199,$Q$14/16*(BG$9-BG$10)*1000)</f>
        <v>14333.759790567361</v>
      </c>
      <c r="BH199" s="111">
        <f>SUM(BG$199,'Statistics NZ'!BH$199-'Statistics NZ'!BG$199,$Q$14/16*(BH$9-BH$10)*1000)</f>
        <v>14063.759790567361</v>
      </c>
      <c r="BI199" s="111">
        <f>SUM(BH$199,'Statistics NZ'!BI$199-'Statistics NZ'!BH$199,$Q$14/16*(BI$9-BI$10)*1000)</f>
        <v>13973.759790567361</v>
      </c>
      <c r="BJ199" s="111">
        <f>SUM(BI$199,'Statistics NZ'!BJ$199-'Statistics NZ'!BI$199,$Q$14/16*(BJ$9-BJ$10)*1000)</f>
        <v>14203.759790567361</v>
      </c>
      <c r="BK199" s="111">
        <f>SUM(BJ$199,'Statistics NZ'!BK$199-'Statistics NZ'!BJ$199,$Q$14/16*(BK$9-BK$10)*1000)</f>
        <v>14203.759790567361</v>
      </c>
      <c r="BL199" s="111">
        <f>SUM(BK$199,'Statistics NZ'!BL$199-'Statistics NZ'!BK$199,$Q$14/16*(BL$9-BL$10)*1000)</f>
        <v>14853.759790567361</v>
      </c>
      <c r="BM199" s="195">
        <f>SUM(BL$199,'Statistics NZ'!BM$199-'Statistics NZ'!BL$199,$Q$14/16*(BM$9-BM$10)*1000)</f>
        <v>15353.759790567361</v>
      </c>
      <c r="BN199" s="195">
        <f>SUM(BM$199,'Statistics NZ'!BN$199-'Statistics NZ'!BM$199,$Q$14/16*(BN$9-BN$10)*1000)</f>
        <v>15833.759790567361</v>
      </c>
      <c r="BO199" s="195">
        <f>SUM(BN$199,'Statistics NZ'!BO$199-'Statistics NZ'!BN$199,$Q$14/16*(BO$9-BO$10)*1000)</f>
        <v>16373.759790567361</v>
      </c>
      <c r="BP199" s="195">
        <f>SUM(BO$199,'Statistics NZ'!BP$199-'Statistics NZ'!BO$199,$Q$14/16*(BP$9-BP$10)*1000)</f>
        <v>17003.759790567361</v>
      </c>
      <c r="BQ199" s="195">
        <f>SUM(BP$199,'Statistics NZ'!BQ$199-'Statistics NZ'!BP$199,$Q$14/16*(BQ$9-BQ$10)*1000)</f>
        <v>17423.759790567361</v>
      </c>
    </row>
    <row r="200" spans="1:69">
      <c r="A200" s="105" t="str">
        <f>$A$107</f>
        <v>90 &amp; over</v>
      </c>
      <c r="B200" s="118">
        <f>'Statistics NZ'!B$200*'Economic Forecasts'!D$9*1000000/SUM('Statistics NZ'!B$32:B$107,'Statistics NZ'!B$125:B$200)</f>
        <v>4945.1641830890203</v>
      </c>
      <c r="C200" s="118">
        <f>'Statistics NZ'!C$200*'Economic Forecasts'!E$9*1000000/SUM('Statistics NZ'!C$32:C$107,'Statistics NZ'!C$125:C$200)</f>
        <v>5215.0920913651971</v>
      </c>
      <c r="D200" s="118">
        <f>'Statistics NZ'!D$200*'Economic Forecasts'!F$9*1000000/SUM('Statistics NZ'!D$32:D$107,'Statistics NZ'!D$125:D$200)</f>
        <v>5381.4328942049333</v>
      </c>
      <c r="E200" s="118">
        <f>'Statistics NZ'!E$200*'Economic Forecasts'!G$9*1000000/SUM('Statistics NZ'!E$32:E$107,'Statistics NZ'!E$125:E$200)</f>
        <v>5554.5567599509604</v>
      </c>
      <c r="F200" s="118">
        <f>'Statistics NZ'!F$200*'Economic Forecasts'!H$9*1000000/SUM('Statistics NZ'!F$32:F$107,'Statistics NZ'!F$125:F$200)</f>
        <v>6009.4886609557498</v>
      </c>
      <c r="G200" s="118">
        <f>'Statistics NZ'!G$200*'Economic Forecasts'!I$9*1000000/SUM('Statistics NZ'!G$32:G$107,'Statistics NZ'!G$125:G$200)</f>
        <v>6453.6337619412297</v>
      </c>
      <c r="H200" s="118">
        <f>'Statistics NZ'!H$200*'Economic Forecasts'!J$9*1000000/SUM('Statistics NZ'!H$32:H$107,'Statistics NZ'!H$125:H$200)</f>
        <v>6904.6146413696306</v>
      </c>
      <c r="I200" s="118">
        <f>'Statistics NZ'!I$200*'Economic Forecasts'!K$9*1000000/SUM('Statistics NZ'!I$32:I$107,'Statistics NZ'!I$125:I$200)</f>
        <v>7380.7279859395285</v>
      </c>
      <c r="J200" s="203">
        <f>'Statistics NZ'!J$200*'Economic Forecasts'!L$9*1000000/SUM('Statistics NZ'!J$32:J$107,'Statistics NZ'!J$125:J$200)</f>
        <v>7911.8899918434381</v>
      </c>
      <c r="K200" s="203">
        <f>'Statistics NZ'!K$200*'Economic Forecasts'!M$9*1000000/SUM('Statistics NZ'!K$32:K$107,'Statistics NZ'!K$125:K$200)</f>
        <v>8390.8172731925406</v>
      </c>
      <c r="L200" s="203">
        <f>'Statistics NZ'!L$200*'Economic Forecasts'!N$9*1000000/SUM('Statistics NZ'!L$32:L$107,'Statistics NZ'!L$125:L$200)</f>
        <v>8903.3382950646592</v>
      </c>
      <c r="M200" s="203">
        <f>'Statistics NZ'!M$200*'Economic Forecasts'!O$9*1000000/SUM('Statistics NZ'!M$32:M$107,'Statistics NZ'!M$125:M$200)</f>
        <v>9485.9134459114357</v>
      </c>
      <c r="N200" s="203">
        <f>'Statistics NZ'!N$200*'Economic Forecasts'!P$9*1000000/SUM('Statistics NZ'!N$32:N$107,'Statistics NZ'!N$125:N$200)</f>
        <v>9868.4915986363594</v>
      </c>
      <c r="O200" s="203">
        <f>'Statistics NZ'!O$200*'Economic Forecasts'!Q$9*1000000/SUM('Statistics NZ'!O$32:O$107,'Statistics NZ'!O$125:O$200)</f>
        <v>10480.308657471733</v>
      </c>
      <c r="P200" s="203">
        <f>'Statistics NZ'!P$200*'Economic Forecasts'!R$9*1000000/SUM('Statistics NZ'!P$32:P$107,'Statistics NZ'!P$125:P$200)</f>
        <v>11097.462238431619</v>
      </c>
      <c r="Q200" s="121">
        <f>SUM('Statistics NZ'!Q$200,$Q$14/16*(Q$9-Q$10)*1000)*'Economic Forecasts'!S$9*1000000/SUM('Statistics NZ'!Q$32:Q$107,'Statistics NZ'!Q$125:Q$200,SUM($E$13:$Q$14)*(Q$9-Q$10)*1000)</f>
        <v>11665.679748131048</v>
      </c>
      <c r="R200" s="205">
        <f>SUM('Statistics NZ'!R$200,$Q$14/16*(R$9-R$10)*1000)*'Economic Forecasts'!T$9*1000000/SUM('Statistics NZ'!R$32:R$107,'Statistics NZ'!R$125:R$200,SUM($E$13:$Q$14)*(R$9-R$10)*1000)</f>
        <v>12059.524428049759</v>
      </c>
      <c r="S200" s="205">
        <f>SUM('Statistics NZ'!S$200,$Q$14/16*(S$9-S$10)*1000)*'Economic Forecasts'!U$9*1000000/SUM('Statistics NZ'!S$32:S$107,'Statistics NZ'!S$125:S$200,SUM($E$13:$Q$14)*(S$9-S$10)*1000)</f>
        <v>12340.305211217912</v>
      </c>
      <c r="T200" s="205">
        <f>SUM('Statistics NZ'!T$200,$Q$14/16*(T$9-T$10)*1000)*'Economic Forecasts'!V$9*1000000/SUM('Statistics NZ'!T$32:T$107,'Statistics NZ'!T$125:T$200,SUM($E$13:$Q$14)*(T$9-T$10)*1000)</f>
        <v>12726.093546794011</v>
      </c>
      <c r="U200" s="205">
        <f>SUM('Statistics NZ'!U$200,$Q$14/16*(U$9-U$10)*1000)*'Economic Forecasts'!W$9*1000000/SUM('Statistics NZ'!U$32:U$107,'Statistics NZ'!U$125:U$200,SUM($E$13:$Q$14)*(U$9-U$10)*1000)</f>
        <v>13159.36588332027</v>
      </c>
      <c r="V200" s="111">
        <f>SUM(U$200,'Statistics NZ'!V$200-'Statistics NZ'!U$200,$Q$14/16*(V$9-V$10)*1000)</f>
        <v>13531.917293186823</v>
      </c>
      <c r="W200" s="111">
        <f>SUM(V$200,'Statistics NZ'!W$200-'Statistics NZ'!V$200,$Q$14/16*(W$9-W$10)*1000)</f>
        <v>14094.149776820057</v>
      </c>
      <c r="X200" s="111">
        <f>SUM(W$200,'Statistics NZ'!X$200-'Statistics NZ'!W$200,$Q$14/16*(X$9-X$10)*1000)</f>
        <v>14726.063334219973</v>
      </c>
      <c r="Y200" s="111">
        <f>SUM(X$200,'Statistics NZ'!Y$200-'Statistics NZ'!X$200,$Q$14/16*(Y$9-Y$10)*1000)</f>
        <v>15487.657965386568</v>
      </c>
      <c r="Z200" s="111">
        <f>SUM(Y$200,'Statistics NZ'!Z$200-'Statistics NZ'!Y$200,$Q$14/16*(Z$9-Z$10)*1000)</f>
        <v>16528.933670319846</v>
      </c>
      <c r="AA200" s="111">
        <f>SUM(Z$200,'Statistics NZ'!AA$200-'Statistics NZ'!Z$200,$Q$14/16*(AA$9-AA$10)*1000)</f>
        <v>17799.890449019804</v>
      </c>
      <c r="AB200" s="111">
        <f>SUM(AA$200,'Statistics NZ'!AB$200-'Statistics NZ'!AA$200,$Q$14/16*(AB$9-AB$10)*1000)</f>
        <v>18970.528301486444</v>
      </c>
      <c r="AC200" s="111">
        <f>SUM(AB$200,'Statistics NZ'!AC$200-'Statistics NZ'!AB$200,$Q$14/16*(AC$9-AC$10)*1000)</f>
        <v>19520.847227719762</v>
      </c>
      <c r="AD200" s="111">
        <f>SUM(AC$200,'Statistics NZ'!AD$200-'Statistics NZ'!AC$200,$Q$14/16*(AD$9-AD$10)*1000)</f>
        <v>20630.847227719762</v>
      </c>
      <c r="AE200" s="111">
        <f>SUM(AD$200,'Statistics NZ'!AE$200-'Statistics NZ'!AD$200,$Q$14/16*(AE$9-AE$10)*1000)</f>
        <v>21760.847227719762</v>
      </c>
      <c r="AF200" s="111">
        <f>SUM(AE$200,'Statistics NZ'!AF$200-'Statistics NZ'!AE$200,$Q$14/16*(AF$9-AF$10)*1000)</f>
        <v>23080.847227719762</v>
      </c>
      <c r="AG200" s="111">
        <f>SUM(AF$200,'Statistics NZ'!AG$200-'Statistics NZ'!AF$200,$Q$14/16*(AG$9-AG$10)*1000)</f>
        <v>25270.847227719762</v>
      </c>
      <c r="AH200" s="111">
        <f>SUM(AG$200,'Statistics NZ'!AH$200-'Statistics NZ'!AG$200,$Q$14/16*(AH$9-AH$10)*1000)</f>
        <v>27200.847227719762</v>
      </c>
      <c r="AI200" s="111">
        <f>SUM(AH$200,'Statistics NZ'!AI$200-'Statistics NZ'!AH$200,$Q$14/16*(AI$9-AI$10)*1000)</f>
        <v>28890.847227719762</v>
      </c>
      <c r="AJ200" s="111">
        <f>SUM(AI$200,'Statistics NZ'!AJ$200-'Statistics NZ'!AI$200,$Q$14/16*(AJ$9-AJ$10)*1000)</f>
        <v>30390.847227719762</v>
      </c>
      <c r="AK200" s="111">
        <f>SUM(AJ$200,'Statistics NZ'!AK$200-'Statistics NZ'!AJ$200,$Q$14/16*(AK$9-AK$10)*1000)</f>
        <v>31750.847227719762</v>
      </c>
      <c r="AL200" s="111">
        <f>SUM(AK$200,'Statistics NZ'!AL$200-'Statistics NZ'!AK$200,$Q$14/16*(AL$9-AL$10)*1000)</f>
        <v>33070.847227719758</v>
      </c>
      <c r="AM200" s="111">
        <f>SUM(AL$200,'Statistics NZ'!AM$200-'Statistics NZ'!AL$200,$Q$14/16*(AM$9-AM$10)*1000)</f>
        <v>34330.847227719758</v>
      </c>
      <c r="AN200" s="111">
        <f>SUM(AM$200,'Statistics NZ'!AN$200-'Statistics NZ'!AM$200,$Q$14/16*(AN$9-AN$10)*1000)</f>
        <v>35690.847227719758</v>
      </c>
      <c r="AO200" s="111">
        <f>SUM(AN$200,'Statistics NZ'!AO$200-'Statistics NZ'!AN$200,$Q$14/16*(AO$9-AO$10)*1000)</f>
        <v>37080.847227719758</v>
      </c>
      <c r="AP200" s="111">
        <f>SUM(AO$200,'Statistics NZ'!AP$200-'Statistics NZ'!AO$200,$Q$14/16*(AP$9-AP$10)*1000)</f>
        <v>38600.847227719758</v>
      </c>
      <c r="AQ200" s="111">
        <f>SUM(AP$200,'Statistics NZ'!AQ$200-'Statistics NZ'!AP$200,$Q$14/16*(AQ$9-AQ$10)*1000)</f>
        <v>40150.847227719758</v>
      </c>
      <c r="AR200" s="111">
        <f>SUM(AQ$200,'Statistics NZ'!AR$200-'Statistics NZ'!AQ$200,$Q$14/16*(AR$9-AR$10)*1000)</f>
        <v>41750.847227719758</v>
      </c>
      <c r="AS200" s="111">
        <f>SUM(AR$200,'Statistics NZ'!AS$200-'Statistics NZ'!AR$200,$Q$14/16*(AS$9-AS$10)*1000)</f>
        <v>43660.847227719758</v>
      </c>
      <c r="AT200" s="111">
        <f>SUM(AS$200,'Statistics NZ'!AT$200-'Statistics NZ'!AS$200,$Q$14/16*(AT$9-AT$10)*1000)</f>
        <v>45530.847227719758</v>
      </c>
      <c r="AU200" s="111">
        <f>SUM(AT$200,'Statistics NZ'!AU$200-'Statistics NZ'!AT$200,$Q$14/16*(AU$9-AU$10)*1000)</f>
        <v>47490.847227719758</v>
      </c>
      <c r="AV200" s="111">
        <f>SUM(AU$200,'Statistics NZ'!AV$200-'Statistics NZ'!AU$200,$Q$14/16*(AV$9-AV$10)*1000)</f>
        <v>49600.847227719758</v>
      </c>
      <c r="AW200" s="111">
        <f>SUM(AV$200,'Statistics NZ'!AW$200-'Statistics NZ'!AV$200,$Q$14/16*(AW$9-AW$10)*1000)</f>
        <v>51570.847227719758</v>
      </c>
      <c r="AX200" s="111">
        <f>SUM(AW$200,'Statistics NZ'!AX$200-'Statistics NZ'!AW$200,$Q$14/16*(AX$9-AX$10)*1000)</f>
        <v>53240.847227719758</v>
      </c>
      <c r="AY200" s="111">
        <f>SUM(AX$200,'Statistics NZ'!AY$200-'Statistics NZ'!AX$200,$Q$14/16*(AY$9-AY$10)*1000)</f>
        <v>54500.847227719758</v>
      </c>
      <c r="AZ200" s="111">
        <f>SUM(AY$200,'Statistics NZ'!AZ$200-'Statistics NZ'!AY$200,$Q$14/16*(AZ$9-AZ$10)*1000)</f>
        <v>55500.847227719758</v>
      </c>
      <c r="BA200" s="111">
        <f>SUM(AZ$200,'Statistics NZ'!BA$200-'Statistics NZ'!AZ$200,$Q$14/16*(BA$9-BA$10)*1000)</f>
        <v>56470.847227719758</v>
      </c>
      <c r="BB200" s="111">
        <f>SUM(BA$200,'Statistics NZ'!BB$200-'Statistics NZ'!BA$200,$Q$14/16*(BB$9-BB$10)*1000)</f>
        <v>57640.847227719758</v>
      </c>
      <c r="BC200" s="111">
        <f>SUM(BB$200,'Statistics NZ'!BC$200-'Statistics NZ'!BB$200,$Q$14/16*(BC$9-BC$10)*1000)</f>
        <v>59020.847227719758</v>
      </c>
      <c r="BD200" s="111">
        <f>SUM(BC$200,'Statistics NZ'!BD$200-'Statistics NZ'!BC$200,$Q$14/16*(BD$9-BD$10)*1000)</f>
        <v>60330.847227719758</v>
      </c>
      <c r="BE200" s="111">
        <f>SUM(BD$200,'Statistics NZ'!BE$200-'Statistics NZ'!BD$200,$Q$14/16*(BE$9-BE$10)*1000)</f>
        <v>61860.847227719758</v>
      </c>
      <c r="BF200" s="111">
        <f>SUM(BE$200,'Statistics NZ'!BF$200-'Statistics NZ'!BE$200,$Q$14/16*(BF$9-BF$10)*1000)</f>
        <v>63300.847227719758</v>
      </c>
      <c r="BG200" s="111">
        <f>SUM(BF$200,'Statistics NZ'!BG$200-'Statistics NZ'!BF$200,$Q$14/16*(BG$9-BG$10)*1000)</f>
        <v>64290.847227719758</v>
      </c>
      <c r="BH200" s="111">
        <f>SUM(BG$200,'Statistics NZ'!BH$200-'Statistics NZ'!BG$200,$Q$14/16*(BH$9-BH$10)*1000)</f>
        <v>64780.847227719758</v>
      </c>
      <c r="BI200" s="111">
        <f>SUM(BH$200,'Statistics NZ'!BI$200-'Statistics NZ'!BH$200,$Q$14/16*(BI$9-BI$10)*1000)</f>
        <v>64930.847227719758</v>
      </c>
      <c r="BJ200" s="111">
        <f>SUM(BI$200,'Statistics NZ'!BJ$200-'Statistics NZ'!BI$200,$Q$14/16*(BJ$9-BJ$10)*1000)</f>
        <v>64970.847227719758</v>
      </c>
      <c r="BK200" s="111">
        <f>SUM(BJ$200,'Statistics NZ'!BK$200-'Statistics NZ'!BJ$200,$Q$14/16*(BK$9-BK$10)*1000)</f>
        <v>65190.847227719758</v>
      </c>
      <c r="BL200" s="111">
        <f>SUM(BK$200,'Statistics NZ'!BL$200-'Statistics NZ'!BK$200,$Q$14/16*(BL$9-BL$10)*1000)</f>
        <v>65380.847227719758</v>
      </c>
      <c r="BM200" s="195">
        <f>SUM(BL$200,'Statistics NZ'!BM$200-'Statistics NZ'!BL$200,$Q$14/16*(BM$9-BM$10)*1000)</f>
        <v>66180.847227719758</v>
      </c>
      <c r="BN200" s="195">
        <f>SUM(BM$200,'Statistics NZ'!BN$200-'Statistics NZ'!BM$200,$Q$14/16*(BN$9-BN$10)*1000)</f>
        <v>67340.847227719758</v>
      </c>
      <c r="BO200" s="195">
        <f>SUM(BN$200,'Statistics NZ'!BO$200-'Statistics NZ'!BN$200,$Q$14/16*(BO$9-BO$10)*1000)</f>
        <v>68820.847227719758</v>
      </c>
      <c r="BP200" s="195">
        <f>SUM(BO$200,'Statistics NZ'!BP$200-'Statistics NZ'!BO$200,$Q$14/16*(BP$9-BP$10)*1000)</f>
        <v>70600.847227719758</v>
      </c>
      <c r="BQ200" s="195">
        <f>SUM(BP$200,'Statistics NZ'!BQ$200-'Statistics NZ'!BP$200,$Q$14/16*(BQ$9-BQ$10)*1000)</f>
        <v>72720.847227719758</v>
      </c>
    </row>
    <row r="201" spans="1:69">
      <c r="A201" s="108" t="s">
        <v>3</v>
      </c>
      <c r="B201" s="119">
        <f t="shared" ref="B201:BM201" si="16">SUM(B$110:B$200)</f>
        <v>2050740.5345199322</v>
      </c>
      <c r="C201" s="119">
        <f t="shared" si="16"/>
        <v>2068856.8103190451</v>
      </c>
      <c r="D201" s="119">
        <f t="shared" si="16"/>
        <v>2085981.8588019186</v>
      </c>
      <c r="E201" s="119">
        <f t="shared" si="16"/>
        <v>2107389.0704153175</v>
      </c>
      <c r="F201" s="119">
        <f t="shared" si="16"/>
        <v>2130564.0958993072</v>
      </c>
      <c r="G201" s="119">
        <f t="shared" si="16"/>
        <v>2146364.4042477077</v>
      </c>
      <c r="H201" s="119">
        <f t="shared" si="16"/>
        <v>2157868.8370672781</v>
      </c>
      <c r="I201" s="119">
        <f t="shared" si="16"/>
        <v>2175085.1079362347</v>
      </c>
      <c r="J201" s="119">
        <f t="shared" si="16"/>
        <v>2218667.8834353834</v>
      </c>
      <c r="K201" s="119">
        <f t="shared" si="16"/>
        <v>2272930.5741752265</v>
      </c>
      <c r="L201" s="119">
        <f t="shared" si="16"/>
        <v>2331125.0114298826</v>
      </c>
      <c r="M201" s="119">
        <f t="shared" si="16"/>
        <v>2385217.0945131774</v>
      </c>
      <c r="N201" s="119">
        <f t="shared" si="16"/>
        <v>2432491.0041488907</v>
      </c>
      <c r="O201" s="119">
        <f t="shared" si="16"/>
        <v>2473370.0873136972</v>
      </c>
      <c r="P201" s="156">
        <f t="shared" si="16"/>
        <v>2531916.2619814058</v>
      </c>
      <c r="Q201" s="122">
        <f t="shared" si="16"/>
        <v>2548376.2684431337</v>
      </c>
      <c r="R201" s="157">
        <f t="shared" si="16"/>
        <v>2570041.6946901553</v>
      </c>
      <c r="S201" s="157">
        <f t="shared" si="16"/>
        <v>2596752.1756715528</v>
      </c>
      <c r="T201" s="157">
        <f t="shared" si="16"/>
        <v>2627275.8789091539</v>
      </c>
      <c r="U201" s="157">
        <f t="shared" si="16"/>
        <v>2661769.0180630055</v>
      </c>
      <c r="V201" s="114">
        <f t="shared" si="16"/>
        <v>2693638.1408907808</v>
      </c>
      <c r="W201" s="114">
        <f t="shared" si="16"/>
        <v>2724124.8733650832</v>
      </c>
      <c r="X201" s="114">
        <f t="shared" si="16"/>
        <v>2753209.2154859165</v>
      </c>
      <c r="Y201" s="114">
        <f t="shared" si="16"/>
        <v>2780831.1672532759</v>
      </c>
      <c r="Z201" s="114">
        <f t="shared" si="16"/>
        <v>2807000.7286671619</v>
      </c>
      <c r="AA201" s="114">
        <f t="shared" si="16"/>
        <v>2831737.8997275783</v>
      </c>
      <c r="AB201" s="114">
        <f t="shared" si="16"/>
        <v>2854942.6804345204</v>
      </c>
      <c r="AC201" s="114">
        <f t="shared" si="16"/>
        <v>2876705.0707879923</v>
      </c>
      <c r="AD201" s="114">
        <f t="shared" si="16"/>
        <v>2897025.0707879923</v>
      </c>
      <c r="AE201" s="114">
        <f t="shared" si="16"/>
        <v>2917045.0707879919</v>
      </c>
      <c r="AF201" s="114">
        <f t="shared" si="16"/>
        <v>2936615.0707879919</v>
      </c>
      <c r="AG201" s="114">
        <f t="shared" si="16"/>
        <v>2955885.0707879919</v>
      </c>
      <c r="AH201" s="114">
        <f t="shared" si="16"/>
        <v>2974795.0707879923</v>
      </c>
      <c r="AI201" s="114">
        <f t="shared" si="16"/>
        <v>2993505.0707879923</v>
      </c>
      <c r="AJ201" s="114">
        <f t="shared" si="16"/>
        <v>3011915.0707879923</v>
      </c>
      <c r="AK201" s="114">
        <f t="shared" si="16"/>
        <v>3030055.0707879923</v>
      </c>
      <c r="AL201" s="114">
        <f t="shared" si="16"/>
        <v>3047895.0707879923</v>
      </c>
      <c r="AM201" s="114">
        <f t="shared" si="16"/>
        <v>3065385.0707879919</v>
      </c>
      <c r="AN201" s="114">
        <f t="shared" si="16"/>
        <v>3082645.0707879919</v>
      </c>
      <c r="AO201" s="114">
        <f t="shared" si="16"/>
        <v>3099515.0707879919</v>
      </c>
      <c r="AP201" s="114">
        <f t="shared" si="16"/>
        <v>3116095.0707879919</v>
      </c>
      <c r="AQ201" s="114">
        <f t="shared" si="16"/>
        <v>3132245.0707879919</v>
      </c>
      <c r="AR201" s="114">
        <f t="shared" si="16"/>
        <v>3147955.0707879919</v>
      </c>
      <c r="AS201" s="114">
        <f t="shared" si="16"/>
        <v>3163305.0707879919</v>
      </c>
      <c r="AT201" s="114">
        <f t="shared" si="16"/>
        <v>3178275.0707879919</v>
      </c>
      <c r="AU201" s="114">
        <f t="shared" si="16"/>
        <v>3192785.0707879919</v>
      </c>
      <c r="AV201" s="114">
        <f t="shared" si="16"/>
        <v>3207035.0707879919</v>
      </c>
      <c r="AW201" s="114">
        <f t="shared" si="16"/>
        <v>3220895.0707879919</v>
      </c>
      <c r="AX201" s="114">
        <f t="shared" si="16"/>
        <v>3234385.0707879919</v>
      </c>
      <c r="AY201" s="114">
        <f t="shared" si="16"/>
        <v>3247715.0707879919</v>
      </c>
      <c r="AZ201" s="114">
        <f t="shared" si="16"/>
        <v>3260695.0707879919</v>
      </c>
      <c r="BA201" s="114">
        <f t="shared" si="16"/>
        <v>3273555.0707879919</v>
      </c>
      <c r="BB201" s="114">
        <f t="shared" si="16"/>
        <v>3286265.0707879919</v>
      </c>
      <c r="BC201" s="114">
        <f t="shared" si="16"/>
        <v>3298875.0707879919</v>
      </c>
      <c r="BD201" s="114">
        <f t="shared" si="16"/>
        <v>3311335.0707879919</v>
      </c>
      <c r="BE201" s="114">
        <f t="shared" si="16"/>
        <v>3323765.0707879919</v>
      </c>
      <c r="BF201" s="114">
        <f t="shared" si="16"/>
        <v>3336165.0707879919</v>
      </c>
      <c r="BG201" s="114">
        <f t="shared" si="16"/>
        <v>3348355.0707879919</v>
      </c>
      <c r="BH201" s="114">
        <f t="shared" si="16"/>
        <v>3360605.0707879919</v>
      </c>
      <c r="BI201" s="114">
        <f t="shared" si="16"/>
        <v>3372815.0707879919</v>
      </c>
      <c r="BJ201" s="114">
        <f t="shared" si="16"/>
        <v>3384995.0707879919</v>
      </c>
      <c r="BK201" s="114">
        <f t="shared" si="16"/>
        <v>3397035.0707879919</v>
      </c>
      <c r="BL201" s="114">
        <f t="shared" si="16"/>
        <v>3408975.0707879919</v>
      </c>
      <c r="BM201" s="200">
        <f t="shared" si="16"/>
        <v>3420785.0707879919</v>
      </c>
      <c r="BN201" s="200">
        <f t="shared" ref="BN201:BQ201" si="17">SUM(BN$110:BN$200)</f>
        <v>3432425.0707879919</v>
      </c>
      <c r="BO201" s="200">
        <f t="shared" si="17"/>
        <v>3443835.0707879919</v>
      </c>
      <c r="BP201" s="200">
        <f t="shared" si="17"/>
        <v>3454965.0707879919</v>
      </c>
      <c r="BQ201" s="200">
        <f t="shared" si="17"/>
        <v>3465795.0707879919</v>
      </c>
    </row>
    <row r="202" spans="1:69">
      <c r="A202" s="108"/>
      <c r="B202" s="114"/>
      <c r="C202" s="114"/>
      <c r="D202" s="114"/>
      <c r="E202" s="114"/>
      <c r="F202" s="114"/>
      <c r="G202" s="114"/>
      <c r="H202" s="114"/>
      <c r="I202" s="114"/>
      <c r="J202" s="114"/>
      <c r="K202" s="114"/>
      <c r="L202" s="114"/>
      <c r="M202" s="114"/>
      <c r="N202" s="114"/>
      <c r="O202" s="114"/>
      <c r="P202" s="200"/>
      <c r="Q202" s="114"/>
      <c r="R202" s="114"/>
      <c r="S202" s="114"/>
      <c r="T202" s="114"/>
      <c r="U202" s="114"/>
      <c r="V202" s="114"/>
      <c r="W202" s="114"/>
      <c r="X202" s="114"/>
      <c r="Y202" s="114"/>
      <c r="Z202" s="114"/>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c r="AU202" s="114"/>
      <c r="AV202" s="114"/>
      <c r="AW202" s="114"/>
      <c r="AX202" s="114"/>
      <c r="AY202" s="114"/>
      <c r="AZ202" s="114"/>
      <c r="BA202" s="114"/>
      <c r="BB202" s="114"/>
      <c r="BC202" s="114"/>
      <c r="BD202" s="114"/>
      <c r="BE202" s="114"/>
      <c r="BF202" s="114"/>
      <c r="BG202" s="114"/>
      <c r="BH202" s="114"/>
      <c r="BI202" s="114"/>
      <c r="BJ202" s="114"/>
      <c r="BK202" s="114"/>
      <c r="BL202" s="114"/>
      <c r="BM202" s="200"/>
      <c r="BN202" s="200"/>
      <c r="BO202" s="200"/>
      <c r="BP202" s="200"/>
      <c r="BQ202" s="200"/>
    </row>
    <row r="203" spans="1:69">
      <c r="A203" s="191" t="s">
        <v>1311</v>
      </c>
      <c r="C203" s="110">
        <f>SUM(C$82:C$107,C$175:C$200)/SUM(B$82:B$107,B$175:B$200)-1</f>
        <v>2.7497350832474954E-2</v>
      </c>
      <c r="D203" s="125">
        <f t="shared" ref="D203:BL203" si="18">SUM(D$82:D$107,D$175:D$200)/SUM(C$82:C$107,C$175:C$200)-1</f>
        <v>1.8285852589356777E-2</v>
      </c>
      <c r="E203" s="125">
        <f t="shared" si="18"/>
        <v>2.4086903242273472E-2</v>
      </c>
      <c r="F203" s="125">
        <f t="shared" si="18"/>
        <v>2.7880993292995759E-2</v>
      </c>
      <c r="G203" s="125">
        <f t="shared" si="18"/>
        <v>2.959252010279112E-2</v>
      </c>
      <c r="H203" s="125">
        <f t="shared" si="18"/>
        <v>3.9174987071177503E-2</v>
      </c>
      <c r="I203" s="125">
        <f t="shared" si="18"/>
        <v>3.7261360770903806E-2</v>
      </c>
      <c r="J203" s="125">
        <f t="shared" si="18"/>
        <v>3.4671297887518771E-2</v>
      </c>
      <c r="K203" s="125">
        <f t="shared" si="18"/>
        <v>3.290132244761157E-2</v>
      </c>
      <c r="L203" s="125">
        <f t="shared" si="18"/>
        <v>3.4765479419180068E-2</v>
      </c>
      <c r="M203" s="125">
        <f t="shared" si="18"/>
        <v>3.1938897661989873E-2</v>
      </c>
      <c r="N203" s="125">
        <f t="shared" si="18"/>
        <v>3.1626407241967636E-2</v>
      </c>
      <c r="O203" s="125">
        <f t="shared" si="18"/>
        <v>3.3837976289129212E-2</v>
      </c>
      <c r="P203" s="193">
        <f t="shared" si="18"/>
        <v>4.3524815529245364E-2</v>
      </c>
      <c r="Q203" s="125">
        <f t="shared" si="18"/>
        <v>3.5550922664526308E-2</v>
      </c>
      <c r="R203" s="125">
        <f t="shared" si="18"/>
        <v>3.3846803578520435E-2</v>
      </c>
      <c r="S203" s="125">
        <f t="shared" si="18"/>
        <v>3.3632389920929873E-2</v>
      </c>
      <c r="T203" s="125">
        <f t="shared" si="18"/>
        <v>3.50610554948243E-2</v>
      </c>
      <c r="U203" s="125">
        <f t="shared" si="18"/>
        <v>3.5575148305944548E-2</v>
      </c>
      <c r="V203" s="125">
        <f t="shared" si="18"/>
        <v>3.5131345743338871E-2</v>
      </c>
      <c r="W203" s="125">
        <f t="shared" si="18"/>
        <v>3.4888300416785034E-2</v>
      </c>
      <c r="X203" s="125">
        <f t="shared" si="18"/>
        <v>3.3553166775838195E-2</v>
      </c>
      <c r="Y203" s="125">
        <f t="shared" si="18"/>
        <v>3.0529152865729881E-2</v>
      </c>
      <c r="Z203" s="125">
        <f t="shared" si="18"/>
        <v>2.7294012345747909E-2</v>
      </c>
      <c r="AA203" s="125">
        <f t="shared" si="18"/>
        <v>2.4824026354701711E-2</v>
      </c>
      <c r="AB203" s="125">
        <f t="shared" si="18"/>
        <v>2.3668329170444702E-2</v>
      </c>
      <c r="AC203" s="125">
        <f t="shared" si="18"/>
        <v>2.3385677381515535E-2</v>
      </c>
      <c r="AD203" s="125">
        <f t="shared" si="18"/>
        <v>2.2989951186962454E-2</v>
      </c>
      <c r="AE203" s="125">
        <f t="shared" si="18"/>
        <v>2.1435418644979887E-2</v>
      </c>
      <c r="AF203" s="125">
        <f t="shared" si="18"/>
        <v>2.1788624563956249E-2</v>
      </c>
      <c r="AG203" s="125">
        <f t="shared" si="18"/>
        <v>2.0145128872085749E-2</v>
      </c>
      <c r="AH203" s="125">
        <f t="shared" si="18"/>
        <v>1.7216012511001466E-2</v>
      </c>
      <c r="AI203" s="125">
        <f t="shared" si="18"/>
        <v>1.4691203806449948E-2</v>
      </c>
      <c r="AJ203" s="125">
        <f t="shared" si="18"/>
        <v>1.2109842520504399E-2</v>
      </c>
      <c r="AK203" s="125">
        <f t="shared" si="18"/>
        <v>9.8127631015936245E-3</v>
      </c>
      <c r="AL203" s="125">
        <f t="shared" si="18"/>
        <v>9.3075484542703979E-3</v>
      </c>
      <c r="AM203" s="125">
        <f t="shared" si="18"/>
        <v>8.2618904611968524E-3</v>
      </c>
      <c r="AN203" s="125">
        <f t="shared" si="18"/>
        <v>8.9777284258536483E-3</v>
      </c>
      <c r="AO203" s="125">
        <f t="shared" si="18"/>
        <v>9.0865441829426352E-3</v>
      </c>
      <c r="AP203" s="125">
        <f t="shared" si="18"/>
        <v>9.1701445913834334E-3</v>
      </c>
      <c r="AQ203" s="125">
        <f t="shared" si="18"/>
        <v>9.7852548755508195E-3</v>
      </c>
      <c r="AR203" s="125">
        <f t="shared" si="18"/>
        <v>1.0276233293706305E-2</v>
      </c>
      <c r="AS203" s="125">
        <f t="shared" si="18"/>
        <v>1.0604842317297747E-2</v>
      </c>
      <c r="AT203" s="125">
        <f t="shared" si="18"/>
        <v>1.0749331649049898E-2</v>
      </c>
      <c r="AU203" s="125">
        <f t="shared" si="18"/>
        <v>1.1195829746724728E-2</v>
      </c>
      <c r="AV203" s="125">
        <f t="shared" si="18"/>
        <v>1.2363701968831187E-2</v>
      </c>
      <c r="AW203" s="125">
        <f t="shared" si="18"/>
        <v>1.4310514153994758E-2</v>
      </c>
      <c r="AX203" s="125">
        <f t="shared" si="18"/>
        <v>1.4549918464204614E-2</v>
      </c>
      <c r="AY203" s="125">
        <f t="shared" si="18"/>
        <v>1.6308388867477541E-2</v>
      </c>
      <c r="AZ203" s="125">
        <f t="shared" si="18"/>
        <v>1.6602450442294359E-2</v>
      </c>
      <c r="BA203" s="125">
        <f t="shared" si="18"/>
        <v>1.5960572948211071E-2</v>
      </c>
      <c r="BB203" s="125">
        <f t="shared" si="18"/>
        <v>1.4837753590315472E-2</v>
      </c>
      <c r="BC203" s="125">
        <f t="shared" si="18"/>
        <v>1.3060610030047215E-2</v>
      </c>
      <c r="BD203" s="125">
        <f t="shared" si="18"/>
        <v>1.250119141616679E-2</v>
      </c>
      <c r="BE203" s="125">
        <f t="shared" si="18"/>
        <v>1.1948747658905745E-2</v>
      </c>
      <c r="BF203" s="125">
        <f t="shared" si="18"/>
        <v>1.078601346113417E-2</v>
      </c>
      <c r="BG203" s="125">
        <f t="shared" si="18"/>
        <v>1.0455988163214691E-2</v>
      </c>
      <c r="BH203" s="125">
        <f t="shared" si="18"/>
        <v>9.4912245668674622E-3</v>
      </c>
      <c r="BI203" s="125">
        <f t="shared" si="18"/>
        <v>1.0108133876123748E-2</v>
      </c>
      <c r="BJ203" s="125">
        <f t="shared" si="18"/>
        <v>9.4995856942143853E-3</v>
      </c>
      <c r="BK203" s="125">
        <f t="shared" si="18"/>
        <v>8.0922073066280742E-3</v>
      </c>
      <c r="BL203" s="125">
        <f t="shared" si="18"/>
        <v>8.0272491424653314E-3</v>
      </c>
      <c r="BM203" s="193">
        <f t="shared" ref="BM203" si="19">SUM(BM$82:BM$107,BM$175:BM$200)/SUM(BL$82:BL$107,BL$175:BL$200)-1</f>
        <v>8.3919931719631524E-3</v>
      </c>
      <c r="BN203" s="193">
        <f t="shared" ref="BN203" si="20">SUM(BN$82:BN$107,BN$175:BN$200)/SUM(BM$82:BM$107,BM$175:BM$200)-1</f>
        <v>8.4039037513035098E-3</v>
      </c>
      <c r="BO203" s="193">
        <f t="shared" ref="BO203" si="21">SUM(BO$82:BO$107,BO$175:BO$200)/SUM(BN$82:BN$107,BN$175:BN$200)-1</f>
        <v>9.0796991691153295E-3</v>
      </c>
      <c r="BP203" s="193">
        <f t="shared" ref="BP203" si="22">SUM(BP$82:BP$107,BP$175:BP$200)/SUM(BO$82:BO$107,BO$175:BO$200)-1</f>
        <v>1.0529802422692081E-2</v>
      </c>
      <c r="BQ203" s="193">
        <f t="shared" ref="BQ203" si="23">SUM(BQ$82:BQ$107,BQ$175:BQ$200)/SUM(BP$82:BP$107,BP$175:BP$200)-1</f>
        <v>1.1273404042247526E-2</v>
      </c>
    </row>
    <row r="204" spans="1:69">
      <c r="A204" s="108" t="s">
        <v>1166</v>
      </c>
    </row>
    <row r="205" spans="1:69">
      <c r="A205" s="105" t="s">
        <v>1167</v>
      </c>
      <c r="C205" s="111">
        <f>SUM(C$35:C$81,C$128:C$174)/1000</f>
        <v>2576.7385545946645</v>
      </c>
      <c r="D205" s="111">
        <f t="shared" ref="D205:BO205" si="24">SUM(D$35:D$81,D$128:D$174)/1000</f>
        <v>2599.3503611514047</v>
      </c>
      <c r="E205" s="111">
        <f t="shared" si="24"/>
        <v>2624.2720079495971</v>
      </c>
      <c r="F205" s="111">
        <f t="shared" si="24"/>
        <v>2651.0908485910068</v>
      </c>
      <c r="G205" s="111">
        <f t="shared" si="24"/>
        <v>2666.1685323874403</v>
      </c>
      <c r="H205" s="111">
        <f t="shared" si="24"/>
        <v>2667.8012622599804</v>
      </c>
      <c r="I205" s="111">
        <f t="shared" si="24"/>
        <v>2677.6297035923826</v>
      </c>
      <c r="J205" s="111">
        <f t="shared" si="24"/>
        <v>2723.1054518013798</v>
      </c>
      <c r="K205" s="111">
        <f t="shared" si="24"/>
        <v>2786.2327750352724</v>
      </c>
      <c r="L205" s="111">
        <f t="shared" si="24"/>
        <v>2864.6589452626017</v>
      </c>
      <c r="M205" s="111">
        <f t="shared" si="24"/>
        <v>2928.7733138308031</v>
      </c>
      <c r="N205" s="111">
        <f t="shared" si="24"/>
        <v>2990.9917761727011</v>
      </c>
      <c r="O205" s="111">
        <f t="shared" si="24"/>
        <v>3035.6973898086867</v>
      </c>
      <c r="P205" s="195">
        <f t="shared" si="24"/>
        <v>3105.6504777114046</v>
      </c>
      <c r="Q205" s="111">
        <f t="shared" si="24"/>
        <v>3116.4997682767744</v>
      </c>
      <c r="R205" s="111">
        <f t="shared" si="24"/>
        <v>3130.1578797158709</v>
      </c>
      <c r="S205" s="111">
        <f t="shared" si="24"/>
        <v>3147.9770438057872</v>
      </c>
      <c r="T205" s="111">
        <f t="shared" si="24"/>
        <v>3170.0900303100161</v>
      </c>
      <c r="U205" s="111">
        <f t="shared" si="24"/>
        <v>3199.0995121423321</v>
      </c>
      <c r="V205" s="111">
        <f t="shared" si="24"/>
        <v>3229.8804663349019</v>
      </c>
      <c r="W205" s="111">
        <f t="shared" si="24"/>
        <v>3258.0063012534024</v>
      </c>
      <c r="X205" s="111">
        <f t="shared" si="24"/>
        <v>3285.5470168978281</v>
      </c>
      <c r="Y205" s="111">
        <f t="shared" si="24"/>
        <v>3312.4726132681853</v>
      </c>
      <c r="Z205" s="111">
        <f t="shared" si="24"/>
        <v>3339.2130903644711</v>
      </c>
      <c r="AA205" s="111">
        <f t="shared" si="24"/>
        <v>3365.2484481866845</v>
      </c>
      <c r="AB205" s="111">
        <f t="shared" si="24"/>
        <v>3387.9286867348274</v>
      </c>
      <c r="AC205" s="111">
        <f t="shared" si="24"/>
        <v>3407.9338060088985</v>
      </c>
      <c r="AD205" s="111">
        <f t="shared" si="24"/>
        <v>3424.7338060088987</v>
      </c>
      <c r="AE205" s="111">
        <f t="shared" si="24"/>
        <v>3441.7838060088984</v>
      </c>
      <c r="AF205" s="111">
        <f t="shared" si="24"/>
        <v>3455.1738060088983</v>
      </c>
      <c r="AG205" s="111">
        <f t="shared" si="24"/>
        <v>3468.6238060088981</v>
      </c>
      <c r="AH205" s="111">
        <f t="shared" si="24"/>
        <v>3483.7538060088982</v>
      </c>
      <c r="AI205" s="111">
        <f t="shared" si="24"/>
        <v>3499.9838060088982</v>
      </c>
      <c r="AJ205" s="111">
        <f t="shared" si="24"/>
        <v>3518.3638060088983</v>
      </c>
      <c r="AK205" s="111">
        <f t="shared" si="24"/>
        <v>3538.453806008898</v>
      </c>
      <c r="AL205" s="111">
        <f t="shared" si="24"/>
        <v>3557.9638060088982</v>
      </c>
      <c r="AM205" s="111">
        <f t="shared" si="24"/>
        <v>3578.0838060088986</v>
      </c>
      <c r="AN205" s="111">
        <f t="shared" si="24"/>
        <v>3596.3438060088988</v>
      </c>
      <c r="AO205" s="111">
        <f t="shared" si="24"/>
        <v>3613.6438060088985</v>
      </c>
      <c r="AP205" s="111">
        <f t="shared" si="24"/>
        <v>3629.993806008898</v>
      </c>
      <c r="AQ205" s="111">
        <f t="shared" si="24"/>
        <v>3644.433806008898</v>
      </c>
      <c r="AR205" s="111">
        <f t="shared" si="24"/>
        <v>3657.3038060088984</v>
      </c>
      <c r="AS205" s="111">
        <f t="shared" si="24"/>
        <v>3668.953806008898</v>
      </c>
      <c r="AT205" s="111">
        <f t="shared" si="24"/>
        <v>3679.5038060088982</v>
      </c>
      <c r="AU205" s="111">
        <f t="shared" si="24"/>
        <v>3688.6138060088983</v>
      </c>
      <c r="AV205" s="111">
        <f t="shared" si="24"/>
        <v>3695.3238060088984</v>
      </c>
      <c r="AW205" s="111">
        <f t="shared" si="24"/>
        <v>3698.5538060088984</v>
      </c>
      <c r="AX205" s="111">
        <f t="shared" si="24"/>
        <v>3700.6638060088981</v>
      </c>
      <c r="AY205" s="111">
        <f t="shared" si="24"/>
        <v>3699.6638060088981</v>
      </c>
      <c r="AZ205" s="111">
        <f t="shared" si="24"/>
        <v>3697.5738060088984</v>
      </c>
      <c r="BA205" s="111">
        <f t="shared" si="24"/>
        <v>3696.1638060088981</v>
      </c>
      <c r="BB205" s="111">
        <f t="shared" si="24"/>
        <v>3696.0638060088982</v>
      </c>
      <c r="BC205" s="111">
        <f t="shared" si="24"/>
        <v>3698.703806008898</v>
      </c>
      <c r="BD205" s="111">
        <f t="shared" si="24"/>
        <v>3701.8538060088981</v>
      </c>
      <c r="BE205" s="111">
        <f t="shared" si="24"/>
        <v>3705.8538060088981</v>
      </c>
      <c r="BF205" s="111">
        <f t="shared" si="24"/>
        <v>3711.513806008898</v>
      </c>
      <c r="BG205" s="111">
        <f t="shared" si="24"/>
        <v>3717.3438060088984</v>
      </c>
      <c r="BH205" s="111">
        <f t="shared" si="24"/>
        <v>3724.6738060088983</v>
      </c>
      <c r="BI205" s="111">
        <f t="shared" si="24"/>
        <v>3730.453806008898</v>
      </c>
      <c r="BJ205" s="111">
        <f t="shared" si="24"/>
        <v>3736.9438060088983</v>
      </c>
      <c r="BK205" s="111">
        <f t="shared" si="24"/>
        <v>3745.3938060088981</v>
      </c>
      <c r="BL205" s="111">
        <f t="shared" si="24"/>
        <v>3753.5338060088984</v>
      </c>
      <c r="BM205" s="195">
        <f t="shared" si="24"/>
        <v>3760.3238060088984</v>
      </c>
      <c r="BN205" s="195">
        <f t="shared" si="24"/>
        <v>3766.3938060088981</v>
      </c>
      <c r="BO205" s="195">
        <f t="shared" si="24"/>
        <v>3770.493806008898</v>
      </c>
      <c r="BP205" s="195">
        <f t="shared" ref="BP205:BQ205" si="25">SUM(BP$35:BP$81,BP$128:BP$174)/1000</f>
        <v>3771.0738060088984</v>
      </c>
      <c r="BQ205" s="195">
        <f t="shared" si="25"/>
        <v>3769.203806008898</v>
      </c>
    </row>
    <row r="206" spans="1:69">
      <c r="A206" s="124" t="s">
        <v>1168</v>
      </c>
      <c r="C206" s="111">
        <f>SUM(C$37:C$76)/1000</f>
        <v>1160.4910786902562</v>
      </c>
      <c r="D206" s="111">
        <f t="shared" ref="D206:BO206" si="26">SUM(D$37:D$76)/1000</f>
        <v>1164.8830995113312</v>
      </c>
      <c r="E206" s="111">
        <f t="shared" si="26"/>
        <v>1171.7061726979534</v>
      </c>
      <c r="F206" s="111">
        <f t="shared" si="26"/>
        <v>1181.9777550231954</v>
      </c>
      <c r="G206" s="111">
        <f t="shared" si="26"/>
        <v>1188.3061066548428</v>
      </c>
      <c r="H206" s="111">
        <f t="shared" si="26"/>
        <v>1190.5584672557366</v>
      </c>
      <c r="I206" s="111">
        <f t="shared" si="26"/>
        <v>1194.8906560703704</v>
      </c>
      <c r="J206" s="111">
        <f t="shared" si="26"/>
        <v>1209.2218153620793</v>
      </c>
      <c r="K206" s="111">
        <f t="shared" si="26"/>
        <v>1230.5909730861194</v>
      </c>
      <c r="L206" s="111">
        <f t="shared" si="26"/>
        <v>1260.1079846925309</v>
      </c>
      <c r="M206" s="111">
        <f t="shared" si="26"/>
        <v>1284.6271195587683</v>
      </c>
      <c r="N206" s="111">
        <f t="shared" si="26"/>
        <v>1307.1409231889777</v>
      </c>
      <c r="O206" s="111">
        <f t="shared" si="26"/>
        <v>1322.4037674455597</v>
      </c>
      <c r="P206" s="195">
        <f t="shared" si="26"/>
        <v>1349.9213718966196</v>
      </c>
      <c r="Q206" s="111">
        <f t="shared" si="26"/>
        <v>1351.3670824315332</v>
      </c>
      <c r="R206" s="111">
        <f t="shared" si="26"/>
        <v>1352.6210700656247</v>
      </c>
      <c r="S206" s="111">
        <f t="shared" si="26"/>
        <v>1355.5494871055459</v>
      </c>
      <c r="T206" s="111">
        <f t="shared" si="26"/>
        <v>1361.9487076002272</v>
      </c>
      <c r="U206" s="111">
        <f t="shared" si="26"/>
        <v>1371.2294083660852</v>
      </c>
      <c r="V206" s="111">
        <f t="shared" si="26"/>
        <v>1382.5441447520111</v>
      </c>
      <c r="W206" s="111">
        <f t="shared" si="26"/>
        <v>1394.4207890896967</v>
      </c>
      <c r="X206" s="111">
        <f t="shared" si="26"/>
        <v>1406.2793413791412</v>
      </c>
      <c r="Y206" s="111">
        <f t="shared" si="26"/>
        <v>1416.8398016203448</v>
      </c>
      <c r="Z206" s="111">
        <f t="shared" si="26"/>
        <v>1427.9721698133083</v>
      </c>
      <c r="AA206" s="111">
        <f t="shared" si="26"/>
        <v>1437.1064459580309</v>
      </c>
      <c r="AB206" s="111">
        <f t="shared" si="26"/>
        <v>1445.9926300545121</v>
      </c>
      <c r="AC206" s="111">
        <f t="shared" si="26"/>
        <v>1455.420722102753</v>
      </c>
      <c r="AD206" s="111">
        <f t="shared" si="26"/>
        <v>1463.910722102753</v>
      </c>
      <c r="AE206" s="111">
        <f t="shared" si="26"/>
        <v>1473.7707221027529</v>
      </c>
      <c r="AF206" s="111">
        <f t="shared" si="26"/>
        <v>1484.5407221027529</v>
      </c>
      <c r="AG206" s="111">
        <f t="shared" si="26"/>
        <v>1495.3607221027528</v>
      </c>
      <c r="AH206" s="111">
        <f t="shared" si="26"/>
        <v>1505.5007221027529</v>
      </c>
      <c r="AI206" s="111">
        <f t="shared" si="26"/>
        <v>1514.1207221027528</v>
      </c>
      <c r="AJ206" s="111">
        <f t="shared" si="26"/>
        <v>1522.650722102753</v>
      </c>
      <c r="AK206" s="111">
        <f t="shared" si="26"/>
        <v>1530.2007221027529</v>
      </c>
      <c r="AL206" s="111">
        <f t="shared" si="26"/>
        <v>1536.5607221027528</v>
      </c>
      <c r="AM206" s="111">
        <f t="shared" si="26"/>
        <v>1542.180722102753</v>
      </c>
      <c r="AN206" s="111">
        <f t="shared" si="26"/>
        <v>1546.890722102753</v>
      </c>
      <c r="AO206" s="111">
        <f t="shared" si="26"/>
        <v>1550.9907221027529</v>
      </c>
      <c r="AP206" s="111">
        <f t="shared" si="26"/>
        <v>1554.5607221027528</v>
      </c>
      <c r="AQ206" s="111">
        <f t="shared" si="26"/>
        <v>1557.2807221027529</v>
      </c>
      <c r="AR206" s="111">
        <f t="shared" si="26"/>
        <v>1557.640722102753</v>
      </c>
      <c r="AS206" s="111">
        <f t="shared" si="26"/>
        <v>1557.7007221027529</v>
      </c>
      <c r="AT206" s="111">
        <f t="shared" si="26"/>
        <v>1556.1007221027528</v>
      </c>
      <c r="AU206" s="111">
        <f t="shared" si="26"/>
        <v>1553.9907221027529</v>
      </c>
      <c r="AV206" s="111">
        <f t="shared" si="26"/>
        <v>1552.2607221027529</v>
      </c>
      <c r="AW206" s="111">
        <f t="shared" si="26"/>
        <v>1551.3407221027528</v>
      </c>
      <c r="AX206" s="111">
        <f t="shared" si="26"/>
        <v>1551.630722102753</v>
      </c>
      <c r="AY206" s="111">
        <f t="shared" si="26"/>
        <v>1552.2807221027529</v>
      </c>
      <c r="AZ206" s="111">
        <f t="shared" si="26"/>
        <v>1553.380722102753</v>
      </c>
      <c r="BA206" s="111">
        <f t="shared" si="26"/>
        <v>1555.0407221027529</v>
      </c>
      <c r="BB206" s="111">
        <f t="shared" si="26"/>
        <v>1556.8007221027528</v>
      </c>
      <c r="BC206" s="111">
        <f t="shared" si="26"/>
        <v>1559.3407221027528</v>
      </c>
      <c r="BD206" s="111">
        <f t="shared" si="26"/>
        <v>1561.2907221027529</v>
      </c>
      <c r="BE206" s="111">
        <f t="shared" si="26"/>
        <v>1563.7807221027529</v>
      </c>
      <c r="BF206" s="111">
        <f t="shared" si="26"/>
        <v>1567.2607221027529</v>
      </c>
      <c r="BG206" s="111">
        <f t="shared" si="26"/>
        <v>1571.1907221027529</v>
      </c>
      <c r="BH206" s="111">
        <f t="shared" si="26"/>
        <v>1574.410722102753</v>
      </c>
      <c r="BI206" s="111">
        <f t="shared" si="26"/>
        <v>1577.4807221027529</v>
      </c>
      <c r="BJ206" s="111">
        <f t="shared" si="26"/>
        <v>1579.7407221027529</v>
      </c>
      <c r="BK206" s="111">
        <f t="shared" si="26"/>
        <v>1580.4807221027529</v>
      </c>
      <c r="BL206" s="111">
        <f t="shared" si="26"/>
        <v>1579.910722102753</v>
      </c>
      <c r="BM206" s="195">
        <f t="shared" si="26"/>
        <v>1579.400722102753</v>
      </c>
      <c r="BN206" s="195">
        <f t="shared" si="26"/>
        <v>1577.8207221027528</v>
      </c>
      <c r="BO206" s="195">
        <f t="shared" si="26"/>
        <v>1576.2207221027529</v>
      </c>
      <c r="BP206" s="195">
        <f t="shared" ref="BP206:BQ206" si="27">SUM(BP$37:BP$76)/1000</f>
        <v>1574.640722102753</v>
      </c>
      <c r="BQ206" s="195">
        <f t="shared" si="27"/>
        <v>1573.0407221027529</v>
      </c>
    </row>
    <row r="207" spans="1:69">
      <c r="A207" s="191" t="s">
        <v>1256</v>
      </c>
    </row>
    <row r="208" spans="1:69">
      <c r="A208" s="184" t="s">
        <v>1289</v>
      </c>
      <c r="C208" s="193">
        <f>SUM(C$33:C$36)/SUM(B$33:B$36)-1</f>
        <v>2.3294472002203914E-2</v>
      </c>
      <c r="D208" s="193">
        <f t="shared" ref="D208:BO208" si="28">SUM(D$33:D$36)/SUM(C$33:C$36)-1</f>
        <v>6.0925200111734412E-3</v>
      </c>
      <c r="E208" s="193">
        <f t="shared" si="28"/>
        <v>5.8290066551731634E-3</v>
      </c>
      <c r="F208" s="193">
        <f t="shared" si="28"/>
        <v>-4.7449100895252672E-3</v>
      </c>
      <c r="G208" s="193">
        <f t="shared" si="28"/>
        <v>-1.2349346131479866E-2</v>
      </c>
      <c r="H208" s="193">
        <f t="shared" si="28"/>
        <v>-1.078280905073925E-2</v>
      </c>
      <c r="I208" s="193">
        <f t="shared" si="28"/>
        <v>-5.5946809367831696E-3</v>
      </c>
      <c r="J208" s="193">
        <f t="shared" si="28"/>
        <v>1.3372033445560039E-3</v>
      </c>
      <c r="K208" s="193">
        <f t="shared" si="28"/>
        <v>-4.8055090361487363E-4</v>
      </c>
      <c r="L208" s="193">
        <f t="shared" si="28"/>
        <v>1.1379470691398774E-2</v>
      </c>
      <c r="M208" s="193">
        <f t="shared" si="28"/>
        <v>7.266927402709511E-3</v>
      </c>
      <c r="N208" s="193">
        <f t="shared" si="28"/>
        <v>1.4371693643329131E-3</v>
      </c>
      <c r="O208" s="193">
        <f t="shared" si="28"/>
        <v>3.1814192299295385E-4</v>
      </c>
      <c r="P208" s="193">
        <f t="shared" si="28"/>
        <v>-1.3671430836850185E-3</v>
      </c>
      <c r="Q208" s="193">
        <f t="shared" si="28"/>
        <v>-9.5138773028038415E-3</v>
      </c>
      <c r="R208" s="193">
        <f t="shared" si="28"/>
        <v>4.7379296949556782E-3</v>
      </c>
      <c r="S208" s="193">
        <f t="shared" si="28"/>
        <v>2.2206219556193174E-2</v>
      </c>
      <c r="T208" s="193">
        <f t="shared" si="28"/>
        <v>3.310903013828792E-2</v>
      </c>
      <c r="U208" s="193">
        <f t="shared" si="28"/>
        <v>3.115109423282969E-2</v>
      </c>
      <c r="V208" s="193">
        <f t="shared" si="28"/>
        <v>3.3970752487940237E-2</v>
      </c>
      <c r="W208" s="193">
        <f t="shared" si="28"/>
        <v>2.0258211552544036E-2</v>
      </c>
      <c r="X208" s="193">
        <f t="shared" si="28"/>
        <v>9.2183421789282516E-3</v>
      </c>
      <c r="Y208" s="193">
        <f t="shared" si="28"/>
        <v>8.8933652476632652E-3</v>
      </c>
      <c r="Z208" s="193">
        <f t="shared" si="28"/>
        <v>-6.9467902940921755E-3</v>
      </c>
      <c r="AA208" s="193">
        <f t="shared" si="28"/>
        <v>-6.6019906236488568E-3</v>
      </c>
      <c r="AB208" s="193">
        <f t="shared" si="28"/>
        <v>-9.3686214135857426E-3</v>
      </c>
      <c r="AC208" s="193">
        <f t="shared" si="28"/>
        <v>-7.8410948925297097E-3</v>
      </c>
      <c r="AD208" s="193">
        <f t="shared" si="28"/>
        <v>-6.4183971902220804E-3</v>
      </c>
      <c r="AE208" s="193">
        <f t="shared" si="28"/>
        <v>-9.9438281019499364E-3</v>
      </c>
      <c r="AF208" s="193">
        <f t="shared" si="28"/>
        <v>-6.304804968116251E-3</v>
      </c>
      <c r="AG208" s="193">
        <f t="shared" si="28"/>
        <v>-1.2246954481638039E-2</v>
      </c>
      <c r="AH208" s="193">
        <f t="shared" si="28"/>
        <v>-6.5728589159100848E-3</v>
      </c>
      <c r="AI208" s="193">
        <f t="shared" si="28"/>
        <v>-3.7592882004602313E-3</v>
      </c>
      <c r="AJ208" s="193">
        <f t="shared" si="28"/>
        <v>-5.5092717128151225E-3</v>
      </c>
      <c r="AK208" s="193">
        <f t="shared" si="28"/>
        <v>-4.5532536425751946E-4</v>
      </c>
      <c r="AL208" s="193">
        <f t="shared" si="28"/>
        <v>5.3145490986761246E-4</v>
      </c>
      <c r="AM208" s="193">
        <f t="shared" si="28"/>
        <v>1.4417542422695551E-3</v>
      </c>
      <c r="AN208" s="193">
        <f t="shared" si="28"/>
        <v>2.1216315909451389E-3</v>
      </c>
      <c r="AO208" s="193">
        <f t="shared" si="28"/>
        <v>1.4366305787496536E-3</v>
      </c>
      <c r="AP208" s="193">
        <f t="shared" si="28"/>
        <v>1.0570513078991262E-3</v>
      </c>
      <c r="AQ208" s="193">
        <f t="shared" si="28"/>
        <v>8.2966331665534909E-4</v>
      </c>
      <c r="AR208" s="193">
        <f t="shared" si="28"/>
        <v>6.7825271949906174E-4</v>
      </c>
      <c r="AS208" s="193">
        <f t="shared" si="28"/>
        <v>1.0543446737449891E-3</v>
      </c>
      <c r="AT208" s="193">
        <f t="shared" si="28"/>
        <v>1.2789272451327882E-3</v>
      </c>
      <c r="AU208" s="193">
        <f t="shared" si="28"/>
        <v>1.7281032133682483E-3</v>
      </c>
      <c r="AV208" s="193">
        <f t="shared" si="28"/>
        <v>2.250159162331844E-3</v>
      </c>
      <c r="AW208" s="193">
        <f t="shared" si="28"/>
        <v>2.9934764180530316E-3</v>
      </c>
      <c r="AX208" s="193">
        <f t="shared" si="28"/>
        <v>3.5814507134106499E-3</v>
      </c>
      <c r="AY208" s="193">
        <f t="shared" si="28"/>
        <v>4.0891006965095844E-3</v>
      </c>
      <c r="AZ208" s="193">
        <f t="shared" si="28"/>
        <v>4.5167151059704036E-3</v>
      </c>
      <c r="BA208" s="193">
        <f t="shared" si="28"/>
        <v>4.4964061205232664E-3</v>
      </c>
      <c r="BB208" s="193">
        <f t="shared" si="28"/>
        <v>4.2561340859306185E-3</v>
      </c>
      <c r="BC208" s="193">
        <f t="shared" si="28"/>
        <v>3.726601813728081E-3</v>
      </c>
      <c r="BD208" s="193">
        <f t="shared" si="28"/>
        <v>3.1303711764356645E-3</v>
      </c>
      <c r="BE208" s="193">
        <f t="shared" si="28"/>
        <v>2.2497367092717546E-3</v>
      </c>
      <c r="BF208" s="193">
        <f t="shared" si="28"/>
        <v>1.3033665029484887E-3</v>
      </c>
      <c r="BG208" s="193">
        <f t="shared" si="28"/>
        <v>5.7851997775015818E-4</v>
      </c>
      <c r="BH208" s="193">
        <f t="shared" si="28"/>
        <v>-5.0591230015872846E-4</v>
      </c>
      <c r="BI208" s="193">
        <f t="shared" si="28"/>
        <v>-1.2292660583475001E-3</v>
      </c>
      <c r="BJ208" s="193">
        <f t="shared" si="28"/>
        <v>-1.8099691370790927E-3</v>
      </c>
      <c r="BK208" s="193">
        <f t="shared" si="28"/>
        <v>-2.3934914065200097E-3</v>
      </c>
      <c r="BL208" s="193">
        <f t="shared" si="28"/>
        <v>-2.6173461298552025E-3</v>
      </c>
      <c r="BM208" s="193">
        <f t="shared" si="28"/>
        <v>-2.8428991584531493E-3</v>
      </c>
      <c r="BN208" s="193">
        <f t="shared" si="28"/>
        <v>-2.7779016023640191E-3</v>
      </c>
      <c r="BO208" s="193">
        <f t="shared" si="28"/>
        <v>-2.6390272127941872E-3</v>
      </c>
      <c r="BP208" s="193">
        <f t="shared" ref="BP208:BQ208" si="29">SUM(BP$33:BP$36)/SUM(BO$33:BO$36)-1</f>
        <v>-2.1315081405157699E-3</v>
      </c>
      <c r="BQ208" s="193">
        <f t="shared" si="29"/>
        <v>-1.8414320450803601E-3</v>
      </c>
    </row>
    <row r="209" spans="1:69">
      <c r="A209" s="184" t="s">
        <v>1290</v>
      </c>
      <c r="C209" s="193">
        <f>SUM(C$37:C$41)/SUM(B$37:B$41)-1</f>
        <v>-4.8184264007068434E-3</v>
      </c>
      <c r="D209" s="193">
        <f t="shared" ref="D209:BO209" si="30">SUM(D$37:D$41)/SUM(C$37:C$41)-1</f>
        <v>-1.477628507693618E-3</v>
      </c>
      <c r="E209" s="193">
        <f t="shared" si="30"/>
        <v>8.7118207565766159E-3</v>
      </c>
      <c r="F209" s="193">
        <f t="shared" si="30"/>
        <v>2.4958771307795224E-2</v>
      </c>
      <c r="G209" s="193">
        <f t="shared" si="30"/>
        <v>2.2967182337956027E-2</v>
      </c>
      <c r="H209" s="193">
        <f t="shared" si="30"/>
        <v>9.9502598214831206E-3</v>
      </c>
      <c r="I209" s="193">
        <f t="shared" si="30"/>
        <v>8.4416025140707784E-3</v>
      </c>
      <c r="J209" s="193">
        <f t="shared" si="30"/>
        <v>1.7387340588370659E-2</v>
      </c>
      <c r="K209" s="193">
        <f t="shared" si="30"/>
        <v>1.6506523294383291E-2</v>
      </c>
      <c r="L209" s="193">
        <f t="shared" si="30"/>
        <v>1.4447627531720686E-2</v>
      </c>
      <c r="M209" s="193">
        <f t="shared" si="30"/>
        <v>3.8332667980365276E-3</v>
      </c>
      <c r="N209" s="193">
        <f t="shared" si="30"/>
        <v>-1.707182629477999E-3</v>
      </c>
      <c r="O209" s="193">
        <f t="shared" si="30"/>
        <v>-6.065994479132808E-3</v>
      </c>
      <c r="P209" s="193">
        <f t="shared" si="30"/>
        <v>8.8626815177672569E-3</v>
      </c>
      <c r="Q209" s="193">
        <f t="shared" si="30"/>
        <v>-1.1389172576868334E-2</v>
      </c>
      <c r="R209" s="193">
        <f t="shared" si="30"/>
        <v>-8.6863709587381432E-3</v>
      </c>
      <c r="S209" s="193">
        <f t="shared" si="30"/>
        <v>-6.4323885046256857E-3</v>
      </c>
      <c r="T209" s="193">
        <f t="shared" si="30"/>
        <v>-3.5104201573032956E-4</v>
      </c>
      <c r="U209" s="193">
        <f t="shared" si="30"/>
        <v>-3.0152764488967643E-3</v>
      </c>
      <c r="V209" s="193">
        <f t="shared" si="30"/>
        <v>3.430587990617795E-3</v>
      </c>
      <c r="W209" s="193">
        <f t="shared" si="30"/>
        <v>1.942915860734673E-2</v>
      </c>
      <c r="X209" s="193">
        <f t="shared" si="30"/>
        <v>2.9090487149058708E-2</v>
      </c>
      <c r="Y209" s="193">
        <f t="shared" si="30"/>
        <v>2.2143164596740483E-2</v>
      </c>
      <c r="Z209" s="193">
        <f t="shared" si="30"/>
        <v>2.7051325044426644E-2</v>
      </c>
      <c r="AA209" s="193">
        <f t="shared" si="30"/>
        <v>2.0966039406472792E-2</v>
      </c>
      <c r="AB209" s="193">
        <f t="shared" si="30"/>
        <v>1.1146684823194475E-2</v>
      </c>
      <c r="AC209" s="193">
        <f t="shared" si="30"/>
        <v>3.3037632513579496E-3</v>
      </c>
      <c r="AD209" s="193">
        <f t="shared" si="30"/>
        <v>-2.1172912790734522E-3</v>
      </c>
      <c r="AE209" s="193">
        <f t="shared" si="30"/>
        <v>-7.4820794097953947E-3</v>
      </c>
      <c r="AF209" s="193">
        <f t="shared" si="30"/>
        <v>-9.0574309923895369E-3</v>
      </c>
      <c r="AG209" s="193">
        <f t="shared" si="30"/>
        <v>-7.4370716953620075E-3</v>
      </c>
      <c r="AH209" s="193">
        <f t="shared" si="30"/>
        <v>-1.1382186529460769E-2</v>
      </c>
      <c r="AI209" s="193">
        <f t="shared" si="30"/>
        <v>-7.6947733374808092E-3</v>
      </c>
      <c r="AJ209" s="193">
        <f t="shared" si="30"/>
        <v>-7.0547931078565052E-3</v>
      </c>
      <c r="AK209" s="193">
        <f t="shared" si="30"/>
        <v>-8.3380015645295735E-3</v>
      </c>
      <c r="AL209" s="193">
        <f t="shared" si="30"/>
        <v>-1.0066045250128886E-2</v>
      </c>
      <c r="AM209" s="193">
        <f t="shared" si="30"/>
        <v>-5.5028992743486604E-3</v>
      </c>
      <c r="AN209" s="193">
        <f t="shared" si="30"/>
        <v>-3.5485606018497151E-3</v>
      </c>
      <c r="AO209" s="193">
        <f t="shared" si="30"/>
        <v>-3.5611977278020568E-3</v>
      </c>
      <c r="AP209" s="193">
        <f t="shared" si="30"/>
        <v>1.8172500925617285E-4</v>
      </c>
      <c r="AQ209" s="193">
        <f t="shared" si="30"/>
        <v>7.2676796510973141E-4</v>
      </c>
      <c r="AR209" s="193">
        <f t="shared" si="30"/>
        <v>1.3314402878858989E-3</v>
      </c>
      <c r="AS209" s="193">
        <f t="shared" si="30"/>
        <v>1.8131862433579116E-3</v>
      </c>
      <c r="AT209" s="193">
        <f t="shared" si="30"/>
        <v>1.3272633361733899E-3</v>
      </c>
      <c r="AU209" s="193">
        <f t="shared" si="30"/>
        <v>1.0242531243331854E-3</v>
      </c>
      <c r="AV209" s="193">
        <f t="shared" si="30"/>
        <v>8.4263949684304507E-4</v>
      </c>
      <c r="AW209" s="193">
        <f t="shared" si="30"/>
        <v>9.0206791427838162E-4</v>
      </c>
      <c r="AX209" s="193">
        <f t="shared" si="30"/>
        <v>1.2016732281752152E-3</v>
      </c>
      <c r="AY209" s="193">
        <f t="shared" si="30"/>
        <v>1.5603002256188159E-3</v>
      </c>
      <c r="AZ209" s="193">
        <f t="shared" si="30"/>
        <v>2.0372139373661113E-3</v>
      </c>
      <c r="BA209" s="193">
        <f t="shared" si="30"/>
        <v>2.6908307662210085E-3</v>
      </c>
      <c r="BB209" s="193">
        <f t="shared" si="30"/>
        <v>3.1606957827610138E-3</v>
      </c>
      <c r="BC209" s="193">
        <f t="shared" si="30"/>
        <v>3.8046638620838902E-3</v>
      </c>
      <c r="BD209" s="193">
        <f t="shared" si="30"/>
        <v>4.2640236680873134E-3</v>
      </c>
      <c r="BE209" s="193">
        <f t="shared" si="30"/>
        <v>4.3638611626966028E-3</v>
      </c>
      <c r="BF209" s="193">
        <f t="shared" si="30"/>
        <v>4.3449006196270012E-3</v>
      </c>
      <c r="BG209" s="193">
        <f t="shared" si="30"/>
        <v>3.9753389276278028E-3</v>
      </c>
      <c r="BH209" s="193">
        <f t="shared" si="30"/>
        <v>3.4355337174587497E-3</v>
      </c>
      <c r="BI209" s="193">
        <f t="shared" si="30"/>
        <v>2.6113509426637371E-3</v>
      </c>
      <c r="BJ209" s="193">
        <f t="shared" si="30"/>
        <v>1.7942452453776347E-3</v>
      </c>
      <c r="BK209" s="193">
        <f t="shared" si="30"/>
        <v>8.6662823964878122E-4</v>
      </c>
      <c r="BL209" s="193">
        <f t="shared" si="30"/>
        <v>5.7725189697155344E-5</v>
      </c>
      <c r="BM209" s="193">
        <f t="shared" si="30"/>
        <v>-6.9266229230247056E-4</v>
      </c>
      <c r="BN209" s="193">
        <f t="shared" si="30"/>
        <v>-1.5018085461387942E-3</v>
      </c>
      <c r="BO209" s="193">
        <f t="shared" si="30"/>
        <v>-2.0825548163515561E-3</v>
      </c>
      <c r="BP209" s="193">
        <f t="shared" ref="BP209:BQ209" si="31">SUM(BP$37:BP$41)/SUM(BO$37:BO$41)-1</f>
        <v>-2.4347177188553948E-3</v>
      </c>
      <c r="BQ209" s="193">
        <f t="shared" si="31"/>
        <v>-2.6731038501498494E-3</v>
      </c>
    </row>
    <row r="210" spans="1:69">
      <c r="A210" s="184" t="s">
        <v>1291</v>
      </c>
      <c r="C210" s="193">
        <f>SUM(C$42:C$46)/SUM(B$42:B$46)-1</f>
        <v>1.4841086847972917E-2</v>
      </c>
      <c r="D210" s="193">
        <f t="shared" ref="D210:BO210" si="32">SUM(D$42:D$46)/SUM(C$42:C$46)-1</f>
        <v>1.4157332531278266E-2</v>
      </c>
      <c r="E210" s="193">
        <f t="shared" si="32"/>
        <v>1.0644163912330029E-2</v>
      </c>
      <c r="F210" s="193">
        <f t="shared" si="32"/>
        <v>1.1470986309850328E-2</v>
      </c>
      <c r="G210" s="193">
        <f t="shared" si="32"/>
        <v>1.9063652724895519E-3</v>
      </c>
      <c r="H210" s="193">
        <f t="shared" si="32"/>
        <v>-2.0299575365501088E-3</v>
      </c>
      <c r="I210" s="193">
        <f t="shared" si="32"/>
        <v>1.0419281474287834E-2</v>
      </c>
      <c r="J210" s="193">
        <f t="shared" si="32"/>
        <v>4.0951579752001921E-2</v>
      </c>
      <c r="K210" s="193">
        <f t="shared" si="32"/>
        <v>5.8249074671092638E-2</v>
      </c>
      <c r="L210" s="193">
        <f t="shared" si="32"/>
        <v>7.2632157395777108E-2</v>
      </c>
      <c r="M210" s="193">
        <f t="shared" si="32"/>
        <v>5.361293017290425E-2</v>
      </c>
      <c r="N210" s="193">
        <f t="shared" si="32"/>
        <v>3.0511473065073957E-2</v>
      </c>
      <c r="O210" s="193">
        <f t="shared" si="32"/>
        <v>1.0939645323173153E-2</v>
      </c>
      <c r="P210" s="193">
        <f t="shared" si="32"/>
        <v>1.7402670605058734E-2</v>
      </c>
      <c r="Q210" s="193">
        <f t="shared" si="32"/>
        <v>-3.0044248239547766E-2</v>
      </c>
      <c r="R210" s="193">
        <f t="shared" si="32"/>
        <v>-2.7103478509351242E-2</v>
      </c>
      <c r="S210" s="193">
        <f t="shared" si="32"/>
        <v>-1.8474462106050527E-2</v>
      </c>
      <c r="T210" s="193">
        <f t="shared" si="32"/>
        <v>-4.4903458811164088E-3</v>
      </c>
      <c r="U210" s="193">
        <f t="shared" si="32"/>
        <v>2.715609551233733E-3</v>
      </c>
      <c r="V210" s="193">
        <f t="shared" si="32"/>
        <v>6.7219646124947463E-3</v>
      </c>
      <c r="W210" s="193">
        <f t="shared" si="32"/>
        <v>2.0156379058302587E-3</v>
      </c>
      <c r="X210" s="193">
        <f t="shared" si="32"/>
        <v>-1.0140941876243259E-3</v>
      </c>
      <c r="Y210" s="193">
        <f t="shared" si="32"/>
        <v>5.8988017686052441E-3</v>
      </c>
      <c r="Z210" s="193">
        <f t="shared" si="32"/>
        <v>9.4571258511444434E-4</v>
      </c>
      <c r="AA210" s="193">
        <f t="shared" si="32"/>
        <v>6.5412340120034607E-3</v>
      </c>
      <c r="AB210" s="193">
        <f t="shared" si="32"/>
        <v>1.9517313959370952E-2</v>
      </c>
      <c r="AC210" s="193">
        <f t="shared" si="32"/>
        <v>2.7017114780949925E-2</v>
      </c>
      <c r="AD210" s="193">
        <f t="shared" si="32"/>
        <v>1.9890470465401044E-2</v>
      </c>
      <c r="AE210" s="193">
        <f t="shared" si="32"/>
        <v>2.4176721647088284E-2</v>
      </c>
      <c r="AF210" s="193">
        <f t="shared" si="32"/>
        <v>1.8832346861533233E-2</v>
      </c>
      <c r="AG210" s="193">
        <f t="shared" si="32"/>
        <v>1.0143165163396972E-2</v>
      </c>
      <c r="AH210" s="193">
        <f t="shared" si="32"/>
        <v>2.9563260824467807E-3</v>
      </c>
      <c r="AI210" s="193">
        <f t="shared" si="32"/>
        <v>-1.9311940560380325E-3</v>
      </c>
      <c r="AJ210" s="193">
        <f t="shared" si="32"/>
        <v>-6.823176971154421E-3</v>
      </c>
      <c r="AK210" s="193">
        <f t="shared" si="32"/>
        <v>-8.2543168764348529E-3</v>
      </c>
      <c r="AL210" s="193">
        <f t="shared" si="32"/>
        <v>-6.6170575518327279E-3</v>
      </c>
      <c r="AM210" s="193">
        <f t="shared" si="32"/>
        <v>-1.0460063025900523E-2</v>
      </c>
      <c r="AN210" s="193">
        <f t="shared" si="32"/>
        <v>-6.8893177043228837E-3</v>
      </c>
      <c r="AO210" s="193">
        <f t="shared" si="32"/>
        <v>-6.4605143367718609E-3</v>
      </c>
      <c r="AP210" s="193">
        <f t="shared" si="32"/>
        <v>-7.5152121479966638E-3</v>
      </c>
      <c r="AQ210" s="193">
        <f t="shared" si="32"/>
        <v>-9.0758012741974925E-3</v>
      </c>
      <c r="AR210" s="193">
        <f t="shared" si="32"/>
        <v>-4.9859241396548182E-3</v>
      </c>
      <c r="AS210" s="193">
        <f t="shared" si="32"/>
        <v>-3.1590507886724017E-3</v>
      </c>
      <c r="AT210" s="193">
        <f t="shared" si="32"/>
        <v>-3.2783400171052524E-3</v>
      </c>
      <c r="AU210" s="193">
        <f t="shared" si="32"/>
        <v>2.1927485868422636E-4</v>
      </c>
      <c r="AV210" s="193">
        <f t="shared" si="32"/>
        <v>6.5768036328428536E-4</v>
      </c>
      <c r="AW210" s="193">
        <f t="shared" si="32"/>
        <v>1.2049548575392421E-3</v>
      </c>
      <c r="AX210" s="193">
        <f t="shared" si="32"/>
        <v>1.6411427573435056E-3</v>
      </c>
      <c r="AY210" s="193">
        <f t="shared" si="32"/>
        <v>1.3107630565778461E-3</v>
      </c>
      <c r="AZ210" s="193">
        <f t="shared" si="32"/>
        <v>8.181545036631821E-4</v>
      </c>
      <c r="BA210" s="193">
        <f t="shared" si="32"/>
        <v>8.7198471901572816E-4</v>
      </c>
      <c r="BB210" s="193">
        <f t="shared" si="32"/>
        <v>7.6232189609437562E-4</v>
      </c>
      <c r="BC210" s="193">
        <f t="shared" si="32"/>
        <v>1.1426118061430568E-3</v>
      </c>
      <c r="BD210" s="193">
        <f t="shared" si="32"/>
        <v>1.3043516965156599E-3</v>
      </c>
      <c r="BE210" s="193">
        <f t="shared" si="32"/>
        <v>2.0082560599297139E-3</v>
      </c>
      <c r="BF210" s="193">
        <f t="shared" si="32"/>
        <v>2.3292414914428683E-3</v>
      </c>
      <c r="BG210" s="193">
        <f t="shared" si="32"/>
        <v>2.9723390772702363E-3</v>
      </c>
      <c r="BH210" s="193">
        <f t="shared" si="32"/>
        <v>3.3945894358600182E-3</v>
      </c>
      <c r="BI210" s="193">
        <f t="shared" si="32"/>
        <v>3.9201060054043779E-3</v>
      </c>
      <c r="BJ210" s="193">
        <f t="shared" si="32"/>
        <v>3.9047987802560691E-3</v>
      </c>
      <c r="BK210" s="193">
        <f t="shared" si="32"/>
        <v>3.9961753082866647E-3</v>
      </c>
      <c r="BL210" s="193">
        <f t="shared" si="32"/>
        <v>3.6087776380895331E-3</v>
      </c>
      <c r="BM210" s="193">
        <f t="shared" si="32"/>
        <v>3.0141274690604902E-3</v>
      </c>
      <c r="BN210" s="193">
        <f t="shared" si="32"/>
        <v>2.4251440536524616E-3</v>
      </c>
      <c r="BO210" s="193">
        <f t="shared" si="32"/>
        <v>1.6303822981347249E-3</v>
      </c>
      <c r="BP210" s="193">
        <f t="shared" ref="BP210:BQ210" si="33">SUM(BP$42:BP$46)/SUM(BO$42:BO$46)-1</f>
        <v>8.9262529462685869E-4</v>
      </c>
      <c r="BQ210" s="193">
        <f t="shared" si="33"/>
        <v>5.2460542664833909E-5</v>
      </c>
    </row>
    <row r="211" spans="1:69">
      <c r="A211" s="184" t="s">
        <v>1292</v>
      </c>
      <c r="C211" s="193">
        <f>SUM(C$47:C$51)/SUM(B$47:B$51)-1</f>
        <v>-2.6184171917463583E-2</v>
      </c>
      <c r="D211" s="193">
        <f t="shared" ref="D211:BO211" si="34">SUM(D$47:D$51)/SUM(C$47:C$51)-1</f>
        <v>-2.5010566702518111E-2</v>
      </c>
      <c r="E211" s="193">
        <f t="shared" si="34"/>
        <v>-1.2025980574429163E-2</v>
      </c>
      <c r="F211" s="193">
        <f t="shared" si="34"/>
        <v>-3.60084406844563E-3</v>
      </c>
      <c r="G211" s="193">
        <f t="shared" si="34"/>
        <v>8.4229956598380618E-4</v>
      </c>
      <c r="H211" s="193">
        <f t="shared" si="34"/>
        <v>1.6733803558013349E-3</v>
      </c>
      <c r="I211" s="193">
        <f t="shared" si="34"/>
        <v>8.3763708503792333E-3</v>
      </c>
      <c r="J211" s="193">
        <f t="shared" si="34"/>
        <v>2.0100220461985119E-2</v>
      </c>
      <c r="K211" s="193">
        <f t="shared" si="34"/>
        <v>3.3624977216102581E-2</v>
      </c>
      <c r="L211" s="193">
        <f t="shared" si="34"/>
        <v>4.6237702168826722E-2</v>
      </c>
      <c r="M211" s="193">
        <f t="shared" si="34"/>
        <v>4.3737418743899914E-2</v>
      </c>
      <c r="N211" s="193">
        <f t="shared" si="34"/>
        <v>5.2035456215559384E-2</v>
      </c>
      <c r="O211" s="193">
        <f t="shared" si="34"/>
        <v>4.0109347780289628E-2</v>
      </c>
      <c r="P211" s="193">
        <f t="shared" si="34"/>
        <v>5.4473408298410186E-2</v>
      </c>
      <c r="Q211" s="193">
        <f t="shared" si="34"/>
        <v>2.6660803476838746E-2</v>
      </c>
      <c r="R211" s="193">
        <f t="shared" si="34"/>
        <v>2.0558876753431488E-2</v>
      </c>
      <c r="S211" s="193">
        <f t="shared" si="34"/>
        <v>5.7366706425094893E-3</v>
      </c>
      <c r="T211" s="193">
        <f t="shared" si="34"/>
        <v>3.0932049513869853E-3</v>
      </c>
      <c r="U211" s="193">
        <f t="shared" si="34"/>
        <v>-5.2072460840083545E-3</v>
      </c>
      <c r="V211" s="193">
        <f t="shared" si="34"/>
        <v>-7.9844367284189754E-3</v>
      </c>
      <c r="W211" s="193">
        <f t="shared" si="34"/>
        <v>-9.0235812152044126E-3</v>
      </c>
      <c r="X211" s="193">
        <f t="shared" si="34"/>
        <v>-6.3789316522397943E-3</v>
      </c>
      <c r="Y211" s="193">
        <f t="shared" si="34"/>
        <v>-3.8333531150740452E-3</v>
      </c>
      <c r="Z211" s="193">
        <f t="shared" si="34"/>
        <v>3.3236471193975881E-4</v>
      </c>
      <c r="AA211" s="193">
        <f t="shared" si="34"/>
        <v>-3.9738834243896459E-4</v>
      </c>
      <c r="AB211" s="193">
        <f t="shared" si="34"/>
        <v>-4.4012617209985283E-3</v>
      </c>
      <c r="AC211" s="193">
        <f t="shared" si="34"/>
        <v>-6.9571146891223012E-3</v>
      </c>
      <c r="AD211" s="193">
        <f t="shared" si="34"/>
        <v>-5.3407939002247939E-4</v>
      </c>
      <c r="AE211" s="193">
        <f t="shared" si="34"/>
        <v>-3.7939899610037742E-3</v>
      </c>
      <c r="AF211" s="193">
        <f t="shared" si="34"/>
        <v>2.5210794312811036E-3</v>
      </c>
      <c r="AG211" s="193">
        <f t="shared" si="34"/>
        <v>1.5837508800600641E-2</v>
      </c>
      <c r="AH211" s="193">
        <f t="shared" si="34"/>
        <v>2.4175952795233435E-2</v>
      </c>
      <c r="AI211" s="193">
        <f t="shared" si="34"/>
        <v>1.8513939477248886E-2</v>
      </c>
      <c r="AJ211" s="193">
        <f t="shared" si="34"/>
        <v>2.2772247936169165E-2</v>
      </c>
      <c r="AK211" s="193">
        <f t="shared" si="34"/>
        <v>1.7772680236721961E-2</v>
      </c>
      <c r="AL211" s="193">
        <f t="shared" si="34"/>
        <v>9.5072673944442965E-3</v>
      </c>
      <c r="AM211" s="193">
        <f t="shared" si="34"/>
        <v>2.786879437288281E-3</v>
      </c>
      <c r="AN211" s="193">
        <f t="shared" si="34"/>
        <v>-1.7728960349039369E-3</v>
      </c>
      <c r="AO211" s="193">
        <f t="shared" si="34"/>
        <v>-6.3841609574918357E-3</v>
      </c>
      <c r="AP211" s="193">
        <f t="shared" si="34"/>
        <v>-7.7778498888733116E-3</v>
      </c>
      <c r="AQ211" s="193">
        <f t="shared" si="34"/>
        <v>-6.1834162666710712E-3</v>
      </c>
      <c r="AR211" s="193">
        <f t="shared" si="34"/>
        <v>-9.847241321308875E-3</v>
      </c>
      <c r="AS211" s="193">
        <f t="shared" si="34"/>
        <v>-6.4322019913564121E-3</v>
      </c>
      <c r="AT211" s="193">
        <f t="shared" si="34"/>
        <v>-6.0754527155592042E-3</v>
      </c>
      <c r="AU211" s="193">
        <f t="shared" si="34"/>
        <v>-7.0645501180170989E-3</v>
      </c>
      <c r="AV211" s="193">
        <f t="shared" si="34"/>
        <v>-8.5276837524147497E-3</v>
      </c>
      <c r="AW211" s="193">
        <f t="shared" si="34"/>
        <v>-4.6313241808075833E-3</v>
      </c>
      <c r="AX211" s="193">
        <f t="shared" si="34"/>
        <v>-2.8633065505925259E-3</v>
      </c>
      <c r="AY211" s="193">
        <f t="shared" si="34"/>
        <v>-3.1791923977169123E-3</v>
      </c>
      <c r="AZ211" s="193">
        <f t="shared" si="34"/>
        <v>2.0576334822197673E-4</v>
      </c>
      <c r="BA211" s="193">
        <f t="shared" si="34"/>
        <v>7.2002356431721815E-4</v>
      </c>
      <c r="BB211" s="193">
        <f t="shared" si="34"/>
        <v>1.1306515053428612E-3</v>
      </c>
      <c r="BC211" s="193">
        <f t="shared" si="34"/>
        <v>1.5400562403793394E-3</v>
      </c>
      <c r="BD211" s="193">
        <f t="shared" si="34"/>
        <v>1.1276379504157052E-3</v>
      </c>
      <c r="BE211" s="193">
        <f t="shared" si="34"/>
        <v>9.2157366708089938E-4</v>
      </c>
      <c r="BF211" s="193">
        <f t="shared" si="34"/>
        <v>8.1842235646845118E-4</v>
      </c>
      <c r="BG211" s="193">
        <f t="shared" si="34"/>
        <v>7.1553395292611732E-4</v>
      </c>
      <c r="BH211" s="193">
        <f t="shared" si="34"/>
        <v>1.0725334952574883E-3</v>
      </c>
      <c r="BI211" s="193">
        <f t="shared" si="34"/>
        <v>1.3264759233175827E-3</v>
      </c>
      <c r="BJ211" s="193">
        <f t="shared" si="34"/>
        <v>1.7323244745546251E-3</v>
      </c>
      <c r="BK211" s="193">
        <f t="shared" si="34"/>
        <v>2.2888174183612886E-3</v>
      </c>
      <c r="BL211" s="193">
        <f t="shared" si="34"/>
        <v>2.740308835439409E-3</v>
      </c>
      <c r="BM211" s="193">
        <f t="shared" si="34"/>
        <v>3.2895056331594397E-3</v>
      </c>
      <c r="BN211" s="193">
        <f t="shared" si="34"/>
        <v>3.6318132159289807E-3</v>
      </c>
      <c r="BO211" s="193">
        <f t="shared" si="34"/>
        <v>3.7694488325059616E-3</v>
      </c>
      <c r="BP211" s="193">
        <f t="shared" ref="BP211:BQ211" si="35">SUM(BP$47:BP$51)/SUM(BO$47:BO$51)-1</f>
        <v>3.6050817081698661E-3</v>
      </c>
      <c r="BQ211" s="193">
        <f t="shared" si="35"/>
        <v>3.4424596221145354E-3</v>
      </c>
    </row>
    <row r="212" spans="1:69">
      <c r="A212" s="184" t="s">
        <v>1293</v>
      </c>
      <c r="C212" s="193">
        <f>SUM(C$52:C$56)/SUM(B$52:B$56)-1</f>
        <v>1.1107852313330557E-2</v>
      </c>
      <c r="D212" s="193">
        <f t="shared" ref="D212:BO212" si="36">SUM(D$52:D$56)/SUM(C$52:C$56)-1</f>
        <v>-1.9885844463269908E-3</v>
      </c>
      <c r="E212" s="193">
        <f t="shared" si="36"/>
        <v>-1.1077355236956299E-2</v>
      </c>
      <c r="F212" s="193">
        <f t="shared" si="36"/>
        <v>-1.6241089064215397E-2</v>
      </c>
      <c r="G212" s="193">
        <f t="shared" si="36"/>
        <v>-3.5471188487235183E-2</v>
      </c>
      <c r="H212" s="193">
        <f t="shared" si="36"/>
        <v>-3.6252459981673479E-2</v>
      </c>
      <c r="I212" s="193">
        <f t="shared" si="36"/>
        <v>-2.9687220220331767E-2</v>
      </c>
      <c r="J212" s="193">
        <f t="shared" si="36"/>
        <v>-1.0030367457395939E-2</v>
      </c>
      <c r="K212" s="193">
        <f t="shared" si="36"/>
        <v>4.4169013043120486E-3</v>
      </c>
      <c r="L212" s="193">
        <f t="shared" si="36"/>
        <v>2.5045227230725109E-2</v>
      </c>
      <c r="M212" s="193">
        <f t="shared" si="36"/>
        <v>2.9581943588356197E-2</v>
      </c>
      <c r="N212" s="193">
        <f t="shared" si="36"/>
        <v>3.6605765926465139E-2</v>
      </c>
      <c r="O212" s="193">
        <f t="shared" si="36"/>
        <v>3.3727130582580589E-2</v>
      </c>
      <c r="P212" s="193">
        <f t="shared" si="36"/>
        <v>4.0207028970267844E-2</v>
      </c>
      <c r="Q212" s="193">
        <f t="shared" si="36"/>
        <v>2.2478187339171729E-2</v>
      </c>
      <c r="R212" s="193">
        <f t="shared" si="36"/>
        <v>2.1153528098336816E-2</v>
      </c>
      <c r="S212" s="193">
        <f t="shared" si="36"/>
        <v>3.2239990826061327E-2</v>
      </c>
      <c r="T212" s="193">
        <f t="shared" si="36"/>
        <v>3.0340683408600855E-2</v>
      </c>
      <c r="U212" s="193">
        <f t="shared" si="36"/>
        <v>3.565374233507157E-2</v>
      </c>
      <c r="V212" s="193">
        <f t="shared" si="36"/>
        <v>3.541179455658594E-2</v>
      </c>
      <c r="W212" s="193">
        <f t="shared" si="36"/>
        <v>2.7501778305367708E-2</v>
      </c>
      <c r="X212" s="193">
        <f t="shared" si="36"/>
        <v>1.0344614765100291E-2</v>
      </c>
      <c r="Y212" s="193">
        <f t="shared" si="36"/>
        <v>2.0392960522537251E-3</v>
      </c>
      <c r="Z212" s="193">
        <f t="shared" si="36"/>
        <v>-7.7937309664399823E-3</v>
      </c>
      <c r="AA212" s="193">
        <f t="shared" si="36"/>
        <v>-1.2978946803648639E-2</v>
      </c>
      <c r="AB212" s="193">
        <f t="shared" si="36"/>
        <v>-1.3693775599452285E-2</v>
      </c>
      <c r="AC212" s="193">
        <f t="shared" si="36"/>
        <v>-1.0876749986250323E-2</v>
      </c>
      <c r="AD212" s="193">
        <f t="shared" si="36"/>
        <v>-8.2601945496233453E-3</v>
      </c>
      <c r="AE212" s="193">
        <f t="shared" si="36"/>
        <v>-3.1680834771383726E-3</v>
      </c>
      <c r="AF212" s="193">
        <f t="shared" si="36"/>
        <v>-3.1781521283841263E-3</v>
      </c>
      <c r="AG212" s="193">
        <f t="shared" si="36"/>
        <v>-6.0680262581371824E-3</v>
      </c>
      <c r="AH212" s="193">
        <f t="shared" si="36"/>
        <v>-7.6572089432733748E-3</v>
      </c>
      <c r="AI212" s="193">
        <f t="shared" si="36"/>
        <v>-5.2137123110718164E-4</v>
      </c>
      <c r="AJ212" s="193">
        <f t="shared" si="36"/>
        <v>-3.7036667261417522E-3</v>
      </c>
      <c r="AK212" s="193">
        <f t="shared" si="36"/>
        <v>2.5131954023400738E-3</v>
      </c>
      <c r="AL212" s="193">
        <f t="shared" si="36"/>
        <v>1.5459186358351085E-2</v>
      </c>
      <c r="AM212" s="193">
        <f t="shared" si="36"/>
        <v>2.3607235597130849E-2</v>
      </c>
      <c r="AN212" s="193">
        <f t="shared" si="36"/>
        <v>1.808846035453171E-2</v>
      </c>
      <c r="AO212" s="193">
        <f t="shared" si="36"/>
        <v>2.2208851513050964E-2</v>
      </c>
      <c r="AP212" s="193">
        <f t="shared" si="36"/>
        <v>1.7381067659649307E-2</v>
      </c>
      <c r="AQ212" s="193">
        <f t="shared" si="36"/>
        <v>9.2539022806541471E-3</v>
      </c>
      <c r="AR212" s="193">
        <f t="shared" si="36"/>
        <v>2.8212470038107007E-3</v>
      </c>
      <c r="AS212" s="193">
        <f t="shared" si="36"/>
        <v>-1.7348744762651913E-3</v>
      </c>
      <c r="AT212" s="193">
        <f t="shared" si="36"/>
        <v>-6.2000382033552404E-3</v>
      </c>
      <c r="AU212" s="193">
        <f t="shared" si="36"/>
        <v>-7.6566090637301132E-3</v>
      </c>
      <c r="AV212" s="193">
        <f t="shared" si="36"/>
        <v>-6.001088370511054E-3</v>
      </c>
      <c r="AW212" s="193">
        <f t="shared" si="36"/>
        <v>-9.5351305717545909E-3</v>
      </c>
      <c r="AX212" s="193">
        <f t="shared" si="36"/>
        <v>-6.337322194092665E-3</v>
      </c>
      <c r="AY212" s="193">
        <f t="shared" si="36"/>
        <v>-5.7935195304136267E-3</v>
      </c>
      <c r="AZ212" s="193">
        <f t="shared" si="36"/>
        <v>-6.9045922580658337E-3</v>
      </c>
      <c r="BA212" s="193">
        <f t="shared" si="36"/>
        <v>-8.2839454882607244E-3</v>
      </c>
      <c r="BB212" s="193">
        <f t="shared" si="36"/>
        <v>-4.5743399213628022E-3</v>
      </c>
      <c r="BC212" s="193">
        <f t="shared" si="36"/>
        <v>-2.7971760557982117E-3</v>
      </c>
      <c r="BD212" s="193">
        <f t="shared" si="36"/>
        <v>-2.9552912429758882E-3</v>
      </c>
      <c r="BE212" s="193">
        <f t="shared" si="36"/>
        <v>2.5119075225221721E-4</v>
      </c>
      <c r="BF212" s="193">
        <f t="shared" si="36"/>
        <v>6.0270641112825096E-4</v>
      </c>
      <c r="BG212" s="193">
        <f t="shared" si="36"/>
        <v>1.1042961873433121E-3</v>
      </c>
      <c r="BH212" s="193">
        <f t="shared" si="36"/>
        <v>1.604477181737618E-3</v>
      </c>
      <c r="BI212" s="193">
        <f t="shared" si="36"/>
        <v>1.1513706264760781E-3</v>
      </c>
      <c r="BJ212" s="193">
        <f t="shared" si="36"/>
        <v>8.5003436714137237E-4</v>
      </c>
      <c r="BK212" s="193">
        <f t="shared" si="36"/>
        <v>7.4939331387691155E-4</v>
      </c>
      <c r="BL212" s="193">
        <f t="shared" si="36"/>
        <v>7.9875428701337015E-4</v>
      </c>
      <c r="BM212" s="193">
        <f t="shared" si="36"/>
        <v>9.976459847593766E-4</v>
      </c>
      <c r="BN212" s="193">
        <f t="shared" si="36"/>
        <v>1.3454797669381069E-3</v>
      </c>
      <c r="BO212" s="193">
        <f t="shared" si="36"/>
        <v>1.6920312608363908E-3</v>
      </c>
      <c r="BP212" s="193">
        <f t="shared" ref="BP212:BQ212" si="37">SUM(BP$52:BP$56)/SUM(BO$52:BO$56)-1</f>
        <v>2.2853518778416237E-3</v>
      </c>
      <c r="BQ212" s="193">
        <f t="shared" si="37"/>
        <v>2.7262554877989231E-3</v>
      </c>
    </row>
    <row r="213" spans="1:69">
      <c r="A213" s="184" t="s">
        <v>1294</v>
      </c>
      <c r="C213" s="193">
        <f>SUM(C$57:C$61)/SUM(B$57:B$61)-1</f>
        <v>-7.8945740393786545E-3</v>
      </c>
      <c r="D213" s="193">
        <f t="shared" ref="D213:BO213" si="38">SUM(D$57:D$61)/SUM(C$57:C$61)-1</f>
        <v>-1.1193090963491414E-2</v>
      </c>
      <c r="E213" s="193">
        <f t="shared" si="38"/>
        <v>-2.0560894674048757E-3</v>
      </c>
      <c r="F213" s="193">
        <f t="shared" si="38"/>
        <v>5.7755500246383651E-3</v>
      </c>
      <c r="G213" s="193">
        <f t="shared" si="38"/>
        <v>1.2082341329904267E-2</v>
      </c>
      <c r="H213" s="193">
        <f t="shared" si="38"/>
        <v>4.554017623322304E-3</v>
      </c>
      <c r="I213" s="193">
        <f t="shared" si="38"/>
        <v>-2.9199326105913137E-3</v>
      </c>
      <c r="J213" s="193">
        <f t="shared" si="38"/>
        <v>-8.4161779011956428E-3</v>
      </c>
      <c r="K213" s="193">
        <f t="shared" si="38"/>
        <v>-1.145143284876482E-2</v>
      </c>
      <c r="L213" s="193">
        <f t="shared" si="38"/>
        <v>-2.2395258979934662E-2</v>
      </c>
      <c r="M213" s="193">
        <f t="shared" si="38"/>
        <v>-2.0118016646972436E-2</v>
      </c>
      <c r="N213" s="193">
        <f t="shared" si="38"/>
        <v>-1.2408872005969185E-2</v>
      </c>
      <c r="O213" s="193">
        <f t="shared" si="38"/>
        <v>-1.6924307267494054E-3</v>
      </c>
      <c r="P213" s="193">
        <f t="shared" si="38"/>
        <v>1.4871643344576357E-2</v>
      </c>
      <c r="Q213" s="193">
        <f t="shared" si="38"/>
        <v>1.3870667894051225E-2</v>
      </c>
      <c r="R213" s="193">
        <f t="shared" si="38"/>
        <v>1.9145646132352256E-2</v>
      </c>
      <c r="S213" s="193">
        <f t="shared" si="38"/>
        <v>2.4773564457467812E-2</v>
      </c>
      <c r="T213" s="193">
        <f t="shared" si="38"/>
        <v>2.2332179877281089E-2</v>
      </c>
      <c r="U213" s="193">
        <f t="shared" si="38"/>
        <v>2.5668316729342999E-2</v>
      </c>
      <c r="V213" s="193">
        <f t="shared" si="38"/>
        <v>2.6844417204205717E-2</v>
      </c>
      <c r="W213" s="193">
        <f t="shared" si="38"/>
        <v>2.447104817112522E-2</v>
      </c>
      <c r="X213" s="193">
        <f t="shared" si="38"/>
        <v>3.3050375490572659E-2</v>
      </c>
      <c r="Y213" s="193">
        <f t="shared" si="38"/>
        <v>2.933620650635449E-2</v>
      </c>
      <c r="Z213" s="193">
        <f t="shared" si="38"/>
        <v>3.2774471547516448E-2</v>
      </c>
      <c r="AA213" s="193">
        <f t="shared" si="38"/>
        <v>3.1312733093846079E-2</v>
      </c>
      <c r="AB213" s="193">
        <f t="shared" si="38"/>
        <v>2.400815165292336E-2</v>
      </c>
      <c r="AC213" s="193">
        <f t="shared" si="38"/>
        <v>7.4523850172176775E-3</v>
      </c>
      <c r="AD213" s="193">
        <f t="shared" si="38"/>
        <v>-3.3337805233013551E-4</v>
      </c>
      <c r="AE213" s="193">
        <f t="shared" si="38"/>
        <v>-9.4806224048173959E-3</v>
      </c>
      <c r="AF213" s="193">
        <f t="shared" si="38"/>
        <v>-1.4140609452239383E-2</v>
      </c>
      <c r="AG213" s="193">
        <f t="shared" si="38"/>
        <v>-1.4392221547352646E-2</v>
      </c>
      <c r="AH213" s="193">
        <f t="shared" si="38"/>
        <v>-1.1186909805371958E-2</v>
      </c>
      <c r="AI213" s="193">
        <f t="shared" si="38"/>
        <v>-8.1597169658566004E-3</v>
      </c>
      <c r="AJ213" s="193">
        <f t="shared" si="38"/>
        <v>-3.028286760101695E-3</v>
      </c>
      <c r="AK213" s="193">
        <f t="shared" si="38"/>
        <v>-3.0374851361234523E-3</v>
      </c>
      <c r="AL213" s="193">
        <f t="shared" si="38"/>
        <v>-5.9919211391062932E-3</v>
      </c>
      <c r="AM213" s="193">
        <f t="shared" si="38"/>
        <v>-7.5095083091123449E-3</v>
      </c>
      <c r="AN213" s="193">
        <f t="shared" si="38"/>
        <v>-3.6030131952002886E-4</v>
      </c>
      <c r="AO213" s="193">
        <f t="shared" si="38"/>
        <v>-3.6558020025594384E-3</v>
      </c>
      <c r="AP213" s="193">
        <f t="shared" si="38"/>
        <v>2.4805966847341043E-3</v>
      </c>
      <c r="AQ213" s="193">
        <f t="shared" si="38"/>
        <v>1.5259161064843596E-2</v>
      </c>
      <c r="AR213" s="193">
        <f t="shared" si="38"/>
        <v>2.3255597762736002E-2</v>
      </c>
      <c r="AS213" s="193">
        <f t="shared" si="38"/>
        <v>1.7963314373583117E-2</v>
      </c>
      <c r="AT213" s="193">
        <f t="shared" si="38"/>
        <v>2.1887296131885892E-2</v>
      </c>
      <c r="AU213" s="193">
        <f t="shared" si="38"/>
        <v>1.7125261875114539E-2</v>
      </c>
      <c r="AV213" s="193">
        <f t="shared" si="38"/>
        <v>9.1923045240913659E-3</v>
      </c>
      <c r="AW213" s="193">
        <f t="shared" si="38"/>
        <v>2.7418671817041051E-3</v>
      </c>
      <c r="AX213" s="193">
        <f t="shared" si="38"/>
        <v>-1.6684290931152645E-3</v>
      </c>
      <c r="AY213" s="193">
        <f t="shared" si="38"/>
        <v>-6.1277971364417372E-3</v>
      </c>
      <c r="AZ213" s="193">
        <f t="shared" si="38"/>
        <v>-7.4734285467045192E-3</v>
      </c>
      <c r="BA213" s="193">
        <f t="shared" si="38"/>
        <v>-5.8825790865868477E-3</v>
      </c>
      <c r="BB213" s="193">
        <f t="shared" si="38"/>
        <v>-9.3258044225225101E-3</v>
      </c>
      <c r="BC213" s="193">
        <f t="shared" si="38"/>
        <v>-6.1642314448157043E-3</v>
      </c>
      <c r="BD213" s="193">
        <f t="shared" si="38"/>
        <v>-5.7697347663500098E-3</v>
      </c>
      <c r="BE213" s="193">
        <f t="shared" si="38"/>
        <v>-6.7704207594470045E-3</v>
      </c>
      <c r="BF213" s="193">
        <f t="shared" si="38"/>
        <v>-8.1311963838509582E-3</v>
      </c>
      <c r="BG213" s="193">
        <f t="shared" si="38"/>
        <v>-4.3689166036960936E-3</v>
      </c>
      <c r="BH213" s="193">
        <f t="shared" si="38"/>
        <v>-2.7117396475541122E-3</v>
      </c>
      <c r="BI213" s="193">
        <f t="shared" si="38"/>
        <v>-3.0157437026890888E-3</v>
      </c>
      <c r="BJ213" s="193">
        <f t="shared" si="38"/>
        <v>2.9752779570957344E-4</v>
      </c>
      <c r="BK213" s="193">
        <f t="shared" si="38"/>
        <v>5.9487859850104741E-4</v>
      </c>
      <c r="BL213" s="193">
        <f t="shared" si="38"/>
        <v>1.1890498566899943E-3</v>
      </c>
      <c r="BM213" s="193">
        <f t="shared" si="38"/>
        <v>1.5340320243326655E-3</v>
      </c>
      <c r="BN213" s="193">
        <f t="shared" si="38"/>
        <v>1.1364095036754396E-3</v>
      </c>
      <c r="BO213" s="193">
        <f t="shared" si="38"/>
        <v>9.3770744859722477E-4</v>
      </c>
      <c r="BP213" s="193">
        <f t="shared" ref="BP213:BQ213" si="39">SUM(BP$57:BP$61)/SUM(BO$57:BO$61)-1</f>
        <v>7.8890861228408937E-4</v>
      </c>
      <c r="BQ213" s="193">
        <f t="shared" si="39"/>
        <v>7.8828672609687622E-4</v>
      </c>
    </row>
    <row r="214" spans="1:69">
      <c r="A214" s="184" t="s">
        <v>1295</v>
      </c>
      <c r="C214" s="193">
        <f>SUM(C$62:C$66)/SUM(B$62:B$66)-1</f>
        <v>3.064343208891418E-2</v>
      </c>
      <c r="D214" s="193">
        <f t="shared" ref="D214:BO214" si="40">SUM(D$62:D$66)/SUM(C$62:C$66)-1</f>
        <v>2.5833154221985843E-2</v>
      </c>
      <c r="E214" s="193">
        <f t="shared" si="40"/>
        <v>1.0984609428400294E-2</v>
      </c>
      <c r="F214" s="193">
        <f t="shared" si="40"/>
        <v>3.2542539687259175E-3</v>
      </c>
      <c r="G214" s="193">
        <f t="shared" si="40"/>
        <v>-9.4357495641991251E-3</v>
      </c>
      <c r="H214" s="193">
        <f t="shared" si="40"/>
        <v>-1.3234327264101231E-2</v>
      </c>
      <c r="I214" s="193">
        <f t="shared" si="40"/>
        <v>-1.1204216213354434E-2</v>
      </c>
      <c r="J214" s="193">
        <f t="shared" si="40"/>
        <v>3.3003845453416503E-4</v>
      </c>
      <c r="K214" s="193">
        <f t="shared" si="40"/>
        <v>1.0162513198890055E-2</v>
      </c>
      <c r="L214" s="193">
        <f t="shared" si="40"/>
        <v>2.4537959198799086E-2</v>
      </c>
      <c r="M214" s="193">
        <f t="shared" si="40"/>
        <v>1.6520308524437644E-2</v>
      </c>
      <c r="N214" s="193">
        <f t="shared" si="40"/>
        <v>6.1353875803327185E-3</v>
      </c>
      <c r="O214" s="193">
        <f t="shared" si="40"/>
        <v>-3.2201131608544653E-3</v>
      </c>
      <c r="P214" s="193">
        <f t="shared" si="40"/>
        <v>-4.3946129296885683E-3</v>
      </c>
      <c r="Q214" s="193">
        <f t="shared" si="40"/>
        <v>-2.66137435185545E-2</v>
      </c>
      <c r="R214" s="193">
        <f t="shared" si="40"/>
        <v>-2.4233901275800607E-2</v>
      </c>
      <c r="S214" s="193">
        <f t="shared" si="40"/>
        <v>-1.7416584268432178E-2</v>
      </c>
      <c r="T214" s="193">
        <f t="shared" si="40"/>
        <v>-9.8724961303828795E-3</v>
      </c>
      <c r="U214" s="193">
        <f t="shared" si="40"/>
        <v>2.3127218715495168E-3</v>
      </c>
      <c r="V214" s="193">
        <f t="shared" si="40"/>
        <v>1.2555276170203911E-2</v>
      </c>
      <c r="W214" s="193">
        <f t="shared" si="40"/>
        <v>1.8229876215609897E-2</v>
      </c>
      <c r="X214" s="193">
        <f t="shared" si="40"/>
        <v>2.3191538603624551E-2</v>
      </c>
      <c r="Y214" s="193">
        <f t="shared" si="40"/>
        <v>2.1537341717635217E-2</v>
      </c>
      <c r="Z214" s="193">
        <f t="shared" si="40"/>
        <v>2.3269956339180276E-2</v>
      </c>
      <c r="AA214" s="193">
        <f t="shared" si="40"/>
        <v>2.4117459705222277E-2</v>
      </c>
      <c r="AB214" s="193">
        <f t="shared" si="40"/>
        <v>2.209556270164903E-2</v>
      </c>
      <c r="AC214" s="193">
        <f t="shared" si="40"/>
        <v>3.1090366321925522E-2</v>
      </c>
      <c r="AD214" s="193">
        <f t="shared" si="40"/>
        <v>2.7743730362459473E-2</v>
      </c>
      <c r="AE214" s="193">
        <f t="shared" si="40"/>
        <v>3.1739972720369769E-2</v>
      </c>
      <c r="AF214" s="193">
        <f t="shared" si="40"/>
        <v>3.045692549301493E-2</v>
      </c>
      <c r="AG214" s="193">
        <f t="shared" si="40"/>
        <v>2.3456926092973118E-2</v>
      </c>
      <c r="AH214" s="193">
        <f t="shared" si="40"/>
        <v>7.3651903816580599E-3</v>
      </c>
      <c r="AI214" s="193">
        <f t="shared" si="40"/>
        <v>-2.8860556434928686E-4</v>
      </c>
      <c r="AJ214" s="193">
        <f t="shared" si="40"/>
        <v>-9.4305034645195684E-3</v>
      </c>
      <c r="AK214" s="193">
        <f t="shared" si="40"/>
        <v>-1.4280426811298041E-2</v>
      </c>
      <c r="AL214" s="193">
        <f t="shared" si="40"/>
        <v>-1.4339482094935074E-2</v>
      </c>
      <c r="AM214" s="193">
        <f t="shared" si="40"/>
        <v>-1.1098546114894248E-2</v>
      </c>
      <c r="AN214" s="193">
        <f t="shared" si="40"/>
        <v>-8.1392797778027104E-3</v>
      </c>
      <c r="AO214" s="193">
        <f t="shared" si="40"/>
        <v>-3.0071938259974562E-3</v>
      </c>
      <c r="AP214" s="193">
        <f t="shared" si="40"/>
        <v>-3.016264317430406E-3</v>
      </c>
      <c r="AQ214" s="193">
        <f t="shared" si="40"/>
        <v>-5.9482238020185374E-3</v>
      </c>
      <c r="AR214" s="193">
        <f t="shared" si="40"/>
        <v>-7.4797711050438309E-3</v>
      </c>
      <c r="AS214" s="193">
        <f t="shared" si="40"/>
        <v>-3.1184026365738138E-4</v>
      </c>
      <c r="AT214" s="193">
        <f t="shared" si="40"/>
        <v>-3.6392712806517791E-3</v>
      </c>
      <c r="AU214" s="193">
        <f t="shared" si="40"/>
        <v>2.6089742512442893E-3</v>
      </c>
      <c r="AV214" s="193">
        <f t="shared" si="40"/>
        <v>1.5404936484735732E-2</v>
      </c>
      <c r="AW214" s="193">
        <f t="shared" si="40"/>
        <v>2.35256491611191E-2</v>
      </c>
      <c r="AX214" s="193">
        <f t="shared" si="40"/>
        <v>1.8027383635432548E-2</v>
      </c>
      <c r="AY214" s="193">
        <f t="shared" si="40"/>
        <v>2.2086000671558192E-2</v>
      </c>
      <c r="AZ214" s="193">
        <f t="shared" si="40"/>
        <v>1.7277374568704928E-2</v>
      </c>
      <c r="BA214" s="193">
        <f t="shared" si="40"/>
        <v>9.3198761454877932E-3</v>
      </c>
      <c r="BB214" s="193">
        <f t="shared" si="40"/>
        <v>2.8123303871283589E-3</v>
      </c>
      <c r="BC214" s="193">
        <f t="shared" si="40"/>
        <v>-1.5891845739712807E-3</v>
      </c>
      <c r="BD214" s="193">
        <f t="shared" si="40"/>
        <v>-6.0859656820816399E-3</v>
      </c>
      <c r="BE214" s="193">
        <f t="shared" si="40"/>
        <v>-7.4891830916749003E-3</v>
      </c>
      <c r="BF214" s="193">
        <f t="shared" si="40"/>
        <v>-5.8372351179943882E-3</v>
      </c>
      <c r="BG214" s="193">
        <f t="shared" si="40"/>
        <v>-9.4039607579921025E-3</v>
      </c>
      <c r="BH214" s="193">
        <f t="shared" si="40"/>
        <v>-6.1200041379653181E-3</v>
      </c>
      <c r="BI214" s="193">
        <f t="shared" si="40"/>
        <v>-5.7698032862697479E-3</v>
      </c>
      <c r="BJ214" s="193">
        <f t="shared" si="40"/>
        <v>-6.7786294829654814E-3</v>
      </c>
      <c r="BK214" s="193">
        <f t="shared" si="40"/>
        <v>-8.0523916268174789E-3</v>
      </c>
      <c r="BL214" s="193">
        <f t="shared" si="40"/>
        <v>-4.4053692141902134E-3</v>
      </c>
      <c r="BM214" s="193">
        <f t="shared" si="40"/>
        <v>-2.8339006168350833E-3</v>
      </c>
      <c r="BN214" s="193">
        <f t="shared" si="40"/>
        <v>-2.8419544332565216E-3</v>
      </c>
      <c r="BO214" s="193">
        <f t="shared" si="40"/>
        <v>3.0000570076893496E-4</v>
      </c>
      <c r="BP214" s="193">
        <f t="shared" ref="BP214:BQ214" si="41">SUM(BP$62:BP$66)/SUM(BO$62:BO$66)-1</f>
        <v>7.4978931085434297E-4</v>
      </c>
      <c r="BQ214" s="193">
        <f t="shared" si="41"/>
        <v>1.1987640768760244E-3</v>
      </c>
    </row>
    <row r="215" spans="1:69">
      <c r="A215" s="184" t="s">
        <v>1296</v>
      </c>
      <c r="C215" s="193">
        <f>SUM(C$67:C$71)/SUM(B$67:B$71)-1</f>
        <v>2.7998226831911444E-2</v>
      </c>
      <c r="D215" s="193">
        <f t="shared" ref="D215:BO215" si="42">SUM(D$67:D$71)/SUM(C$67:C$71)-1</f>
        <v>2.7205157671416291E-2</v>
      </c>
      <c r="E215" s="193">
        <f t="shared" si="42"/>
        <v>2.8184950809138742E-2</v>
      </c>
      <c r="F215" s="193">
        <f t="shared" si="42"/>
        <v>2.9727320050551675E-2</v>
      </c>
      <c r="G215" s="193">
        <f t="shared" si="42"/>
        <v>2.9495702106128618E-2</v>
      </c>
      <c r="H215" s="193">
        <f t="shared" si="42"/>
        <v>2.6892397326635287E-2</v>
      </c>
      <c r="I215" s="193">
        <f t="shared" si="42"/>
        <v>2.3893054192171359E-2</v>
      </c>
      <c r="J215" s="193">
        <f t="shared" si="42"/>
        <v>1.3028899504134772E-2</v>
      </c>
      <c r="K215" s="193">
        <f t="shared" si="42"/>
        <v>6.4961738367583788E-3</v>
      </c>
      <c r="L215" s="193">
        <f t="shared" si="42"/>
        <v>-3.3346669261957729E-4</v>
      </c>
      <c r="M215" s="193">
        <f t="shared" si="42"/>
        <v>-3.6008273394302348E-3</v>
      </c>
      <c r="N215" s="193">
        <f t="shared" si="42"/>
        <v>-1.4523789758879024E-3</v>
      </c>
      <c r="O215" s="193">
        <f t="shared" si="42"/>
        <v>2.7439347808271286E-3</v>
      </c>
      <c r="P215" s="193">
        <f t="shared" si="42"/>
        <v>1.5825616058655845E-2</v>
      </c>
      <c r="Q215" s="193">
        <f t="shared" si="42"/>
        <v>2.0019804685691422E-2</v>
      </c>
      <c r="R215" s="193">
        <f t="shared" si="42"/>
        <v>1.3470591579336944E-2</v>
      </c>
      <c r="S215" s="193">
        <f t="shared" si="42"/>
        <v>1.9981579327719157E-3</v>
      </c>
      <c r="T215" s="193">
        <f t="shared" si="42"/>
        <v>-7.6857119477484748E-3</v>
      </c>
      <c r="U215" s="193">
        <f t="shared" si="42"/>
        <v>-1.2821302417503233E-2</v>
      </c>
      <c r="V215" s="193">
        <f t="shared" si="42"/>
        <v>-3.1075311016804275E-2</v>
      </c>
      <c r="W215" s="193">
        <f t="shared" si="42"/>
        <v>-2.7923996799534612E-2</v>
      </c>
      <c r="X215" s="193">
        <f t="shared" si="42"/>
        <v>-2.1091585391023626E-2</v>
      </c>
      <c r="Y215" s="193">
        <f t="shared" si="42"/>
        <v>-1.0112253508466673E-2</v>
      </c>
      <c r="Z215" s="193">
        <f t="shared" si="42"/>
        <v>6.1376244266431179E-4</v>
      </c>
      <c r="AA215" s="193">
        <f t="shared" si="42"/>
        <v>1.209134656498323E-2</v>
      </c>
      <c r="AB215" s="193">
        <f t="shared" si="42"/>
        <v>1.7849094361332751E-2</v>
      </c>
      <c r="AC215" s="193">
        <f t="shared" si="42"/>
        <v>2.3016740066503338E-2</v>
      </c>
      <c r="AD215" s="193">
        <f t="shared" si="42"/>
        <v>2.1327425726915594E-2</v>
      </c>
      <c r="AE215" s="193">
        <f t="shared" si="42"/>
        <v>2.3439052591247789E-2</v>
      </c>
      <c r="AF215" s="193">
        <f t="shared" si="42"/>
        <v>2.421094540246127E-2</v>
      </c>
      <c r="AG215" s="193">
        <f t="shared" si="42"/>
        <v>2.2244707546396958E-2</v>
      </c>
      <c r="AH215" s="193">
        <f t="shared" si="42"/>
        <v>3.1533054309391906E-2</v>
      </c>
      <c r="AI215" s="193">
        <f t="shared" si="42"/>
        <v>2.8090539663411462E-2</v>
      </c>
      <c r="AJ215" s="193">
        <f t="shared" si="42"/>
        <v>3.2091156332326509E-2</v>
      </c>
      <c r="AK215" s="193">
        <f t="shared" si="42"/>
        <v>3.0989517769961283E-2</v>
      </c>
      <c r="AL215" s="193">
        <f t="shared" si="42"/>
        <v>2.3663778701521698E-2</v>
      </c>
      <c r="AM215" s="193">
        <f t="shared" si="42"/>
        <v>7.574424162475335E-3</v>
      </c>
      <c r="AN215" s="193">
        <f t="shared" si="42"/>
        <v>-1.9525931307551314E-4</v>
      </c>
      <c r="AO215" s="193">
        <f t="shared" si="42"/>
        <v>-9.423101804278855E-3</v>
      </c>
      <c r="AP215" s="193">
        <f t="shared" si="42"/>
        <v>-1.4145889963455671E-2</v>
      </c>
      <c r="AQ215" s="193">
        <f t="shared" si="42"/>
        <v>-1.4498855625338702E-2</v>
      </c>
      <c r="AR215" s="193">
        <f t="shared" si="42"/>
        <v>-1.1160952898420673E-2</v>
      </c>
      <c r="AS215" s="193">
        <f t="shared" si="42"/>
        <v>-8.0034564373840933E-3</v>
      </c>
      <c r="AT215" s="193">
        <f t="shared" si="42"/>
        <v>-2.947933509545031E-3</v>
      </c>
      <c r="AU215" s="193">
        <f t="shared" si="42"/>
        <v>-2.9047784715928726E-3</v>
      </c>
      <c r="AV215" s="193">
        <f t="shared" si="42"/>
        <v>-5.8785037384259109E-3</v>
      </c>
      <c r="AW215" s="193">
        <f t="shared" si="42"/>
        <v>-7.4831582213218395E-3</v>
      </c>
      <c r="AX215" s="193">
        <f t="shared" si="42"/>
        <v>-2.6362161108373083E-4</v>
      </c>
      <c r="AY215" s="193">
        <f t="shared" si="42"/>
        <v>-3.5334610852256754E-3</v>
      </c>
      <c r="AZ215" s="193">
        <f t="shared" si="42"/>
        <v>2.7521121892593037E-3</v>
      </c>
      <c r="BA215" s="193">
        <f t="shared" si="42"/>
        <v>1.5675653462454253E-2</v>
      </c>
      <c r="BB215" s="193">
        <f t="shared" si="42"/>
        <v>2.3696216287659277E-2</v>
      </c>
      <c r="BC215" s="193">
        <f t="shared" si="42"/>
        <v>1.8325265115361367E-2</v>
      </c>
      <c r="BD215" s="193">
        <f t="shared" si="42"/>
        <v>2.2382205895990381E-2</v>
      </c>
      <c r="BE215" s="193">
        <f t="shared" si="42"/>
        <v>1.7552774121091463E-2</v>
      </c>
      <c r="BF215" s="193">
        <f t="shared" si="42"/>
        <v>9.4395772926911814E-3</v>
      </c>
      <c r="BG215" s="193">
        <f t="shared" si="42"/>
        <v>2.8955817286788754E-3</v>
      </c>
      <c r="BH215" s="193">
        <f t="shared" si="42"/>
        <v>-1.5146080224173186E-3</v>
      </c>
      <c r="BI215" s="193">
        <f t="shared" si="42"/>
        <v>-6.0676221588682466E-3</v>
      </c>
      <c r="BJ215" s="193">
        <f t="shared" si="42"/>
        <v>-7.3923652874289258E-3</v>
      </c>
      <c r="BK215" s="193">
        <f t="shared" si="42"/>
        <v>-5.8618397319506466E-3</v>
      </c>
      <c r="BL215" s="193">
        <f t="shared" si="42"/>
        <v>-9.4245793716073445E-3</v>
      </c>
      <c r="BM215" s="193">
        <f t="shared" si="42"/>
        <v>-6.0500853665591547E-3</v>
      </c>
      <c r="BN215" s="193">
        <f t="shared" si="42"/>
        <v>-5.8414717139919636E-3</v>
      </c>
      <c r="BO215" s="193">
        <f t="shared" si="42"/>
        <v>-6.7151942906363837E-3</v>
      </c>
      <c r="BP215" s="193">
        <f t="shared" ref="BP215:BQ215" si="43">SUM(BP$67:BP$71)/SUM(BO$67:BO$71)-1</f>
        <v>-8.1027695347603013E-3</v>
      </c>
      <c r="BQ215" s="193">
        <f t="shared" si="43"/>
        <v>-4.3601201500952369E-3</v>
      </c>
    </row>
    <row r="216" spans="1:69">
      <c r="A216" s="184" t="s">
        <v>1297</v>
      </c>
      <c r="C216" s="193">
        <f>SUM(C$72:C$76)/SUM(B$72:B$76)-1</f>
        <v>2.875185441980177E-3</v>
      </c>
      <c r="D216" s="193">
        <f t="shared" ref="D216:BO216" si="44">SUM(D$72:D$76)/SUM(C$72:C$76)-1</f>
        <v>5.5295261703798282E-3</v>
      </c>
      <c r="E216" s="193">
        <f t="shared" si="44"/>
        <v>1.8423203322499582E-2</v>
      </c>
      <c r="F216" s="193">
        <f t="shared" si="44"/>
        <v>2.0199132702206413E-2</v>
      </c>
      <c r="G216" s="193">
        <f t="shared" si="44"/>
        <v>2.7073930730509232E-2</v>
      </c>
      <c r="H216" s="193">
        <f t="shared" si="44"/>
        <v>2.8169201667734178E-2</v>
      </c>
      <c r="I216" s="193">
        <f t="shared" si="44"/>
        <v>2.5191520709165083E-2</v>
      </c>
      <c r="J216" s="193">
        <f t="shared" si="44"/>
        <v>2.7776363684415273E-2</v>
      </c>
      <c r="K216" s="193">
        <f t="shared" si="44"/>
        <v>2.9052041361043335E-2</v>
      </c>
      <c r="L216" s="193">
        <f t="shared" si="44"/>
        <v>3.7103277410148072E-2</v>
      </c>
      <c r="M216" s="193">
        <f t="shared" si="44"/>
        <v>3.3435134116476251E-2</v>
      </c>
      <c r="N216" s="193">
        <f t="shared" si="44"/>
        <v>3.0613202814700369E-2</v>
      </c>
      <c r="O216" s="193">
        <f t="shared" si="44"/>
        <v>1.6416801106665435E-2</v>
      </c>
      <c r="P216" s="193">
        <f t="shared" si="44"/>
        <v>1.7488199500637736E-2</v>
      </c>
      <c r="Q216" s="193">
        <f t="shared" si="44"/>
        <v>-4.9804901288257319E-3</v>
      </c>
      <c r="R216" s="193">
        <f t="shared" si="44"/>
        <v>-7.9887641616592786E-3</v>
      </c>
      <c r="S216" s="193">
        <f t="shared" si="44"/>
        <v>-6.527858688563648E-3</v>
      </c>
      <c r="T216" s="193">
        <f t="shared" si="44"/>
        <v>2.3462332387458318E-3</v>
      </c>
      <c r="U216" s="193">
        <f t="shared" si="44"/>
        <v>7.6471021768429459E-3</v>
      </c>
      <c r="V216" s="193">
        <f t="shared" si="44"/>
        <v>1.8576078294963771E-2</v>
      </c>
      <c r="W216" s="193">
        <f t="shared" si="44"/>
        <v>1.2672604150687938E-2</v>
      </c>
      <c r="X216" s="193">
        <f t="shared" si="44"/>
        <v>8.8499168915556758E-4</v>
      </c>
      <c r="Y216" s="193">
        <f t="shared" si="44"/>
        <v>-7.1399090284821609E-3</v>
      </c>
      <c r="Z216" s="193">
        <f t="shared" si="44"/>
        <v>-1.361121756385042E-2</v>
      </c>
      <c r="AA216" s="193">
        <f t="shared" si="44"/>
        <v>-3.0356161657600467E-2</v>
      </c>
      <c r="AB216" s="193">
        <f t="shared" si="44"/>
        <v>-2.7283336140673797E-2</v>
      </c>
      <c r="AC216" s="193">
        <f t="shared" si="44"/>
        <v>-2.0531425537208881E-2</v>
      </c>
      <c r="AD216" s="193">
        <f t="shared" si="44"/>
        <v>-9.8350281644176141E-3</v>
      </c>
      <c r="AE216" s="193">
        <f t="shared" si="44"/>
        <v>9.866937132159137E-4</v>
      </c>
      <c r="AF216" s="193">
        <f t="shared" si="44"/>
        <v>1.2157227003541049E-2</v>
      </c>
      <c r="AG216" s="193">
        <f t="shared" si="44"/>
        <v>1.7984343389930491E-2</v>
      </c>
      <c r="AH216" s="193">
        <f t="shared" si="44"/>
        <v>2.3151564461088903E-2</v>
      </c>
      <c r="AI216" s="193">
        <f t="shared" si="44"/>
        <v>2.1318657483769154E-2</v>
      </c>
      <c r="AJ216" s="193">
        <f t="shared" si="44"/>
        <v>2.3498125004704162E-2</v>
      </c>
      <c r="AK216" s="193">
        <f t="shared" si="44"/>
        <v>2.4270562298156273E-2</v>
      </c>
      <c r="AL216" s="193">
        <f t="shared" si="44"/>
        <v>2.2181745256834251E-2</v>
      </c>
      <c r="AM216" s="193">
        <f t="shared" si="44"/>
        <v>3.1496895404273806E-2</v>
      </c>
      <c r="AN216" s="193">
        <f t="shared" si="44"/>
        <v>2.8160792195558892E-2</v>
      </c>
      <c r="AO216" s="193">
        <f t="shared" si="44"/>
        <v>3.2061806179449759E-2</v>
      </c>
      <c r="AP216" s="193">
        <f t="shared" si="44"/>
        <v>3.0909671673273964E-2</v>
      </c>
      <c r="AQ216" s="193">
        <f t="shared" si="44"/>
        <v>2.3774327448868426E-2</v>
      </c>
      <c r="AR216" s="193">
        <f t="shared" si="44"/>
        <v>7.5928324930805147E-3</v>
      </c>
      <c r="AS216" s="193">
        <f t="shared" si="44"/>
        <v>4.8932570288373611E-5</v>
      </c>
      <c r="AT216" s="193">
        <f t="shared" si="44"/>
        <v>-9.2967334417090042E-3</v>
      </c>
      <c r="AU216" s="193">
        <f t="shared" si="44"/>
        <v>-1.3927792609861767E-2</v>
      </c>
      <c r="AV216" s="193">
        <f t="shared" si="44"/>
        <v>-1.4174602874521214E-2</v>
      </c>
      <c r="AW216" s="193">
        <f t="shared" si="44"/>
        <v>-1.0872720793216883E-2</v>
      </c>
      <c r="AX216" s="193">
        <f t="shared" si="44"/>
        <v>-7.8589353053925004E-3</v>
      </c>
      <c r="AY216" s="193">
        <f t="shared" si="44"/>
        <v>-2.7957132016758202E-3</v>
      </c>
      <c r="AZ216" s="193">
        <f t="shared" si="44"/>
        <v>-2.7516335131169134E-3</v>
      </c>
      <c r="BA216" s="193">
        <f t="shared" si="44"/>
        <v>-5.7266952466140664E-3</v>
      </c>
      <c r="BB216" s="193">
        <f t="shared" si="44"/>
        <v>-7.3305007668602595E-3</v>
      </c>
      <c r="BC216" s="193">
        <f t="shared" si="44"/>
        <v>-1.5824215351756266E-4</v>
      </c>
      <c r="BD216" s="193">
        <f t="shared" si="44"/>
        <v>-3.3236111592562789E-3</v>
      </c>
      <c r="BE216" s="193">
        <f t="shared" si="44"/>
        <v>2.858309474342402E-3</v>
      </c>
      <c r="BF216" s="193">
        <f t="shared" si="44"/>
        <v>1.5623114755027867E-2</v>
      </c>
      <c r="BG216" s="193">
        <f t="shared" si="44"/>
        <v>2.3853714706714602E-2</v>
      </c>
      <c r="BH216" s="193">
        <f t="shared" si="44"/>
        <v>1.8323676963104329E-2</v>
      </c>
      <c r="BI216" s="193">
        <f t="shared" si="44"/>
        <v>2.2330456285686973E-2</v>
      </c>
      <c r="BJ216" s="193">
        <f t="shared" si="44"/>
        <v>1.7503412697553511E-2</v>
      </c>
      <c r="BK216" s="193">
        <f t="shared" si="44"/>
        <v>9.4876269470054453E-3</v>
      </c>
      <c r="BL216" s="193">
        <f t="shared" si="44"/>
        <v>3.0378853768786573E-3</v>
      </c>
      <c r="BM216" s="193">
        <f t="shared" si="44"/>
        <v>-1.4670190935736072E-3</v>
      </c>
      <c r="BN216" s="193">
        <f t="shared" si="44"/>
        <v>-5.8766976018834738E-3</v>
      </c>
      <c r="BO216" s="193">
        <f t="shared" si="44"/>
        <v>-7.2939509009304349E-3</v>
      </c>
      <c r="BP216" s="193">
        <f t="shared" ref="BP216:BQ216" si="45">SUM(BP$72:BP$76)/SUM(BO$72:BO$76)-1</f>
        <v>-5.7147560731543035E-3</v>
      </c>
      <c r="BQ216" s="193">
        <f t="shared" si="45"/>
        <v>-9.2734422338174305E-3</v>
      </c>
    </row>
    <row r="217" spans="1:69">
      <c r="A217" s="184" t="s">
        <v>1298</v>
      </c>
      <c r="C217" s="193">
        <f>SUM(C$77:C$81)/SUM(B$77:B$81)-1</f>
        <v>5.9166944826737566E-2</v>
      </c>
      <c r="D217" s="193">
        <f t="shared" ref="D217:BO217" si="46">SUM(D$77:D$81)/SUM(C$77:C$81)-1</f>
        <v>7.304513899118259E-2</v>
      </c>
      <c r="E217" s="193">
        <f t="shared" si="46"/>
        <v>4.6391319414421206E-2</v>
      </c>
      <c r="F217" s="193">
        <f t="shared" si="46"/>
        <v>4.3005774855911172E-2</v>
      </c>
      <c r="G217" s="193">
        <f t="shared" si="46"/>
        <v>3.178563186042771E-2</v>
      </c>
      <c r="H217" s="193">
        <f t="shared" si="46"/>
        <v>5.1160057431507422E-3</v>
      </c>
      <c r="I217" s="193">
        <f t="shared" si="46"/>
        <v>9.034778272245525E-3</v>
      </c>
      <c r="J217" s="193">
        <f t="shared" si="46"/>
        <v>1.8196082045620177E-2</v>
      </c>
      <c r="K217" s="193">
        <f t="shared" si="46"/>
        <v>1.9355825882040101E-2</v>
      </c>
      <c r="L217" s="193">
        <f t="shared" si="46"/>
        <v>3.1921283757906815E-2</v>
      </c>
      <c r="M217" s="193">
        <f t="shared" si="46"/>
        <v>2.8321398090730421E-2</v>
      </c>
      <c r="N217" s="193">
        <f t="shared" si="46"/>
        <v>3.0608706457882162E-2</v>
      </c>
      <c r="O217" s="193">
        <f t="shared" si="46"/>
        <v>3.3151028698476859E-2</v>
      </c>
      <c r="P217" s="193">
        <f t="shared" si="46"/>
        <v>4.0992538933061651E-2</v>
      </c>
      <c r="Q217" s="193">
        <f t="shared" si="46"/>
        <v>3.0414399080965548E-2</v>
      </c>
      <c r="R217" s="193">
        <f t="shared" si="46"/>
        <v>2.9864032735530177E-2</v>
      </c>
      <c r="S217" s="193">
        <f t="shared" si="46"/>
        <v>2.6651719343941505E-2</v>
      </c>
      <c r="T217" s="193">
        <f t="shared" si="46"/>
        <v>1.6287633857807293E-2</v>
      </c>
      <c r="U217" s="193">
        <f t="shared" si="46"/>
        <v>8.8907952790160394E-3</v>
      </c>
      <c r="V217" s="193">
        <f t="shared" si="46"/>
        <v>-3.611813232303418E-3</v>
      </c>
      <c r="W217" s="193">
        <f t="shared" si="46"/>
        <v>-5.8826377832567056E-3</v>
      </c>
      <c r="X217" s="193">
        <f t="shared" si="46"/>
        <v>-4.8887781685567067E-3</v>
      </c>
      <c r="Y217" s="193">
        <f t="shared" si="46"/>
        <v>3.059908167435843E-3</v>
      </c>
      <c r="Z217" s="193">
        <f t="shared" si="46"/>
        <v>7.0196835580866868E-3</v>
      </c>
      <c r="AA217" s="193">
        <f t="shared" si="46"/>
        <v>1.8572090341285818E-2</v>
      </c>
      <c r="AB217" s="193">
        <f t="shared" si="46"/>
        <v>1.2553533756607616E-2</v>
      </c>
      <c r="AC217" s="193">
        <f t="shared" si="46"/>
        <v>8.3500689378834814E-4</v>
      </c>
      <c r="AD217" s="193">
        <f t="shared" si="46"/>
        <v>-7.0674278086647613E-3</v>
      </c>
      <c r="AE217" s="193">
        <f t="shared" si="46"/>
        <v>-1.328643281425701E-2</v>
      </c>
      <c r="AF217" s="193">
        <f t="shared" si="46"/>
        <v>-2.9816108091365034E-2</v>
      </c>
      <c r="AG217" s="193">
        <f t="shared" si="46"/>
        <v>-2.6643033667034688E-2</v>
      </c>
      <c r="AH217" s="193">
        <f t="shared" si="46"/>
        <v>-1.9924499190598688E-2</v>
      </c>
      <c r="AI217" s="193">
        <f t="shared" si="46"/>
        <v>-9.2879438412261095E-3</v>
      </c>
      <c r="AJ217" s="193">
        <f t="shared" si="46"/>
        <v>1.1145126871989763E-3</v>
      </c>
      <c r="AK217" s="193">
        <f t="shared" si="46"/>
        <v>1.2376964414989811E-2</v>
      </c>
      <c r="AL217" s="193">
        <f t="shared" si="46"/>
        <v>1.798269918149531E-2</v>
      </c>
      <c r="AM217" s="193">
        <f t="shared" si="46"/>
        <v>2.293912712603885E-2</v>
      </c>
      <c r="AN217" s="193">
        <f t="shared" si="46"/>
        <v>2.136871162999654E-2</v>
      </c>
      <c r="AO217" s="193">
        <f t="shared" si="46"/>
        <v>2.3354392266817792E-2</v>
      </c>
      <c r="AP217" s="193">
        <f t="shared" si="46"/>
        <v>2.406945802944005E-2</v>
      </c>
      <c r="AQ217" s="193">
        <f t="shared" si="46"/>
        <v>2.228502361691076E-2</v>
      </c>
      <c r="AR217" s="193">
        <f t="shared" si="46"/>
        <v>3.1222851631965476E-2</v>
      </c>
      <c r="AS217" s="193">
        <f t="shared" si="46"/>
        <v>2.796540155997107E-2</v>
      </c>
      <c r="AT217" s="193">
        <f t="shared" si="46"/>
        <v>3.1863671459589016E-2</v>
      </c>
      <c r="AU217" s="193">
        <f t="shared" si="46"/>
        <v>3.0775932480163304E-2</v>
      </c>
      <c r="AV217" s="193">
        <f t="shared" si="46"/>
        <v>2.3613757564928894E-2</v>
      </c>
      <c r="AW217" s="193">
        <f t="shared" si="46"/>
        <v>7.8208375940789221E-3</v>
      </c>
      <c r="AX217" s="193">
        <f t="shared" si="46"/>
        <v>1.9522381752623552E-4</v>
      </c>
      <c r="AY217" s="193">
        <f t="shared" si="46"/>
        <v>-8.9297463526517573E-3</v>
      </c>
      <c r="AZ217" s="193">
        <f t="shared" si="46"/>
        <v>-1.363839803447342E-2</v>
      </c>
      <c r="BA217" s="193">
        <f t="shared" si="46"/>
        <v>-1.3777058954248522E-2</v>
      </c>
      <c r="BB217" s="193">
        <f t="shared" si="46"/>
        <v>-1.0527752563680992E-2</v>
      </c>
      <c r="BC217" s="193">
        <f t="shared" si="46"/>
        <v>-7.5194495721117027E-3</v>
      </c>
      <c r="BD217" s="193">
        <f t="shared" si="46"/>
        <v>-2.6285539055999063E-3</v>
      </c>
      <c r="BE217" s="193">
        <f t="shared" si="46"/>
        <v>-2.4804530922868384E-3</v>
      </c>
      <c r="BF217" s="193">
        <f t="shared" si="46"/>
        <v>-5.4912881280847481E-3</v>
      </c>
      <c r="BG217" s="193">
        <f t="shared" si="46"/>
        <v>-7.0843283657932021E-3</v>
      </c>
      <c r="BH217" s="193">
        <f t="shared" si="46"/>
        <v>1.573869299376085E-4</v>
      </c>
      <c r="BI217" s="193">
        <f t="shared" si="46"/>
        <v>-3.1996973181935839E-3</v>
      </c>
      <c r="BJ217" s="193">
        <f t="shared" si="46"/>
        <v>2.9468560937506716E-3</v>
      </c>
      <c r="BK217" s="193">
        <f t="shared" si="46"/>
        <v>1.5687876728284422E-2</v>
      </c>
      <c r="BL217" s="193">
        <f t="shared" si="46"/>
        <v>2.3659098318380867E-2</v>
      </c>
      <c r="BM217" s="193">
        <f t="shared" si="46"/>
        <v>1.8267786646769313E-2</v>
      </c>
      <c r="BN217" s="193">
        <f t="shared" si="46"/>
        <v>2.2152506795988236E-2</v>
      </c>
      <c r="BO217" s="193">
        <f t="shared" si="46"/>
        <v>1.7454288818914421E-2</v>
      </c>
      <c r="BP217" s="193">
        <f t="shared" ref="BP217:BQ217" si="47">SUM(BP$77:BP$81)/SUM(BO$77:BO$81)-1</f>
        <v>9.5781317788141696E-3</v>
      </c>
      <c r="BQ217" s="193">
        <f t="shared" si="47"/>
        <v>3.068019900214658E-3</v>
      </c>
    </row>
    <row r="218" spans="1:69">
      <c r="A218" s="184" t="s">
        <v>1299</v>
      </c>
      <c r="C218" s="193">
        <f>SUM(C$82:C$107)/SUM(B$82:B$107)-1</f>
        <v>2.3522379375981561E-2</v>
      </c>
      <c r="D218" s="193">
        <f t="shared" ref="D218:BO218" si="48">SUM(D$82:D$107)/SUM(C$82:C$107)-1</f>
        <v>1.5190478013546338E-2</v>
      </c>
      <c r="E218" s="193">
        <f t="shared" si="48"/>
        <v>2.0127792103852515E-2</v>
      </c>
      <c r="F218" s="193">
        <f t="shared" si="48"/>
        <v>2.4580835100357357E-2</v>
      </c>
      <c r="G218" s="193">
        <f t="shared" si="48"/>
        <v>2.599558490098941E-2</v>
      </c>
      <c r="H218" s="193">
        <f t="shared" si="48"/>
        <v>3.5036564743029963E-2</v>
      </c>
      <c r="I218" s="193">
        <f t="shared" si="48"/>
        <v>3.3988117130989481E-2</v>
      </c>
      <c r="J218" s="193">
        <f t="shared" si="48"/>
        <v>3.1608585754257401E-2</v>
      </c>
      <c r="K218" s="193">
        <f t="shared" si="48"/>
        <v>3.1116938233933578E-2</v>
      </c>
      <c r="L218" s="193">
        <f t="shared" si="48"/>
        <v>3.183666765674853E-2</v>
      </c>
      <c r="M218" s="193">
        <f t="shared" si="48"/>
        <v>2.9832305755586708E-2</v>
      </c>
      <c r="N218" s="193">
        <f t="shared" si="48"/>
        <v>2.9944584152172604E-2</v>
      </c>
      <c r="O218" s="193">
        <f t="shared" si="48"/>
        <v>3.2365509565013051E-2</v>
      </c>
      <c r="P218" s="193">
        <f t="shared" si="48"/>
        <v>4.2682668240074273E-2</v>
      </c>
      <c r="Q218" s="193">
        <f t="shared" si="48"/>
        <v>3.5834898504265134E-2</v>
      </c>
      <c r="R218" s="193">
        <f t="shared" si="48"/>
        <v>3.4373166824843704E-2</v>
      </c>
      <c r="S218" s="193">
        <f t="shared" si="48"/>
        <v>3.4364412748294937E-2</v>
      </c>
      <c r="T218" s="193">
        <f t="shared" si="48"/>
        <v>3.5406996600422236E-2</v>
      </c>
      <c r="U218" s="193">
        <f t="shared" si="48"/>
        <v>3.6056064845592983E-2</v>
      </c>
      <c r="V218" s="193">
        <f t="shared" si="48"/>
        <v>3.6171605843150934E-2</v>
      </c>
      <c r="W218" s="193">
        <f t="shared" si="48"/>
        <v>3.570497716287746E-2</v>
      </c>
      <c r="X218" s="193">
        <f t="shared" si="48"/>
        <v>3.4545829290351104E-2</v>
      </c>
      <c r="Y218" s="193">
        <f t="shared" si="48"/>
        <v>3.1222290990177592E-2</v>
      </c>
      <c r="Z218" s="193">
        <f t="shared" si="48"/>
        <v>2.7925534259353402E-2</v>
      </c>
      <c r="AA218" s="193">
        <f t="shared" si="48"/>
        <v>2.5377402618218525E-2</v>
      </c>
      <c r="AB218" s="193">
        <f t="shared" si="48"/>
        <v>2.456188542996518E-2</v>
      </c>
      <c r="AC218" s="193">
        <f t="shared" si="48"/>
        <v>2.4280565427618805E-2</v>
      </c>
      <c r="AD218" s="193">
        <f t="shared" si="48"/>
        <v>2.3749834412662096E-2</v>
      </c>
      <c r="AE218" s="193">
        <f t="shared" si="48"/>
        <v>2.1889251847097446E-2</v>
      </c>
      <c r="AF218" s="193">
        <f t="shared" si="48"/>
        <v>2.2701936793579236E-2</v>
      </c>
      <c r="AG218" s="193">
        <f t="shared" si="48"/>
        <v>2.0706198195639125E-2</v>
      </c>
      <c r="AH218" s="193">
        <f t="shared" si="48"/>
        <v>1.7596919020916646E-2</v>
      </c>
      <c r="AI218" s="193">
        <f t="shared" si="48"/>
        <v>1.5482929133672219E-2</v>
      </c>
      <c r="AJ218" s="193">
        <f t="shared" si="48"/>
        <v>1.2729291957725541E-2</v>
      </c>
      <c r="AK218" s="193">
        <f t="shared" si="48"/>
        <v>9.8878444150194422E-3</v>
      </c>
      <c r="AL218" s="193">
        <f t="shared" si="48"/>
        <v>9.348499682497291E-3</v>
      </c>
      <c r="AM218" s="193">
        <f t="shared" si="48"/>
        <v>8.4535523005127011E-3</v>
      </c>
      <c r="AN218" s="193">
        <f t="shared" si="48"/>
        <v>8.858205995302848E-3</v>
      </c>
      <c r="AO218" s="193">
        <f t="shared" si="48"/>
        <v>8.7265595114629502E-3</v>
      </c>
      <c r="AP218" s="193">
        <f t="shared" si="48"/>
        <v>8.5042109672694988E-3</v>
      </c>
      <c r="AQ218" s="193">
        <f t="shared" si="48"/>
        <v>9.1473421625434259E-3</v>
      </c>
      <c r="AR218" s="193">
        <f t="shared" si="48"/>
        <v>9.4579619195820364E-3</v>
      </c>
      <c r="AS218" s="193">
        <f t="shared" si="48"/>
        <v>9.8111747286397932E-3</v>
      </c>
      <c r="AT218" s="193">
        <f t="shared" si="48"/>
        <v>1.0140517145792449E-2</v>
      </c>
      <c r="AU218" s="193">
        <f t="shared" si="48"/>
        <v>1.0293509171170889E-2</v>
      </c>
      <c r="AV218" s="193">
        <f t="shared" si="48"/>
        <v>1.0768678293624045E-2</v>
      </c>
      <c r="AW218" s="193">
        <f t="shared" si="48"/>
        <v>1.323634689741926E-2</v>
      </c>
      <c r="AX218" s="193">
        <f t="shared" si="48"/>
        <v>1.3063434743482816E-2</v>
      </c>
      <c r="AY218" s="193">
        <f t="shared" si="48"/>
        <v>1.4560026787318714E-2</v>
      </c>
      <c r="AZ218" s="193">
        <f t="shared" si="48"/>
        <v>1.4722429777328516E-2</v>
      </c>
      <c r="BA218" s="193">
        <f t="shared" si="48"/>
        <v>1.3835917380987661E-2</v>
      </c>
      <c r="BB218" s="193">
        <f t="shared" si="48"/>
        <v>1.2575823423475629E-2</v>
      </c>
      <c r="BC218" s="193">
        <f t="shared" si="48"/>
        <v>1.0959179042616229E-2</v>
      </c>
      <c r="BD218" s="193">
        <f t="shared" si="48"/>
        <v>1.0374002302237617E-2</v>
      </c>
      <c r="BE218" s="193">
        <f t="shared" si="48"/>
        <v>9.7946425518311564E-3</v>
      </c>
      <c r="BF218" s="193">
        <f t="shared" si="48"/>
        <v>9.2759757118854314E-3</v>
      </c>
      <c r="BG218" s="193">
        <f t="shared" si="48"/>
        <v>9.0139781214579884E-3</v>
      </c>
      <c r="BH218" s="193">
        <f t="shared" si="48"/>
        <v>8.364163559719584E-3</v>
      </c>
      <c r="BI218" s="193">
        <f t="shared" si="48"/>
        <v>8.9787786445054696E-3</v>
      </c>
      <c r="BJ218" s="193">
        <f t="shared" si="48"/>
        <v>8.5330228909166195E-3</v>
      </c>
      <c r="BK218" s="193">
        <f t="shared" si="48"/>
        <v>7.4579037818980343E-3</v>
      </c>
      <c r="BL218" s="193">
        <f t="shared" si="48"/>
        <v>7.0002596893417035E-3</v>
      </c>
      <c r="BM218" s="193">
        <f t="shared" si="48"/>
        <v>7.7193222133704609E-3</v>
      </c>
      <c r="BN218" s="193">
        <f t="shared" si="48"/>
        <v>7.6497545057310212E-3</v>
      </c>
      <c r="BO218" s="193">
        <f t="shared" si="48"/>
        <v>8.316669923467801E-3</v>
      </c>
      <c r="BP218" s="193">
        <f t="shared" ref="BP218:BQ218" si="49">SUM(BP$82:BP$107)/SUM(BO$82:BO$107)-1</f>
        <v>9.5731063845827524E-3</v>
      </c>
      <c r="BQ218" s="193">
        <f t="shared" si="49"/>
        <v>1.0479400162632713E-2</v>
      </c>
    </row>
    <row r="219" spans="1:69">
      <c r="A219" s="184" t="s">
        <v>1300</v>
      </c>
      <c r="C219" s="193">
        <f>SUM(C$126:C$129)/SUM(B$126:B$129)-1</f>
        <v>1.579141011527585E-2</v>
      </c>
      <c r="D219" s="193">
        <f t="shared" ref="D219:BO219" si="50">SUM(D$126:D$129)/SUM(C$126:C$129)-1</f>
        <v>5.169021081199654E-3</v>
      </c>
      <c r="E219" s="193">
        <f t="shared" si="50"/>
        <v>2.4196588549718623E-3</v>
      </c>
      <c r="F219" s="193">
        <f t="shared" si="50"/>
        <v>2.3354946340470306E-3</v>
      </c>
      <c r="G219" s="193">
        <f t="shared" si="50"/>
        <v>-5.2192052420330093E-3</v>
      </c>
      <c r="H219" s="193">
        <f t="shared" si="50"/>
        <v>8.4205772231160658E-4</v>
      </c>
      <c r="I219" s="193">
        <f t="shared" si="50"/>
        <v>-8.8262958828100313E-4</v>
      </c>
      <c r="J219" s="193">
        <f t="shared" si="50"/>
        <v>1.084793782453275E-2</v>
      </c>
      <c r="K219" s="193">
        <f t="shared" si="50"/>
        <v>4.8310146431036483E-3</v>
      </c>
      <c r="L219" s="193">
        <f t="shared" si="50"/>
        <v>8.0658276986913524E-3</v>
      </c>
      <c r="M219" s="193">
        <f t="shared" si="50"/>
        <v>3.9604487621616169E-3</v>
      </c>
      <c r="N219" s="193">
        <f t="shared" si="50"/>
        <v>-2.9425705467915897E-3</v>
      </c>
      <c r="O219" s="193">
        <f t="shared" si="50"/>
        <v>2.737536797707163E-3</v>
      </c>
      <c r="P219" s="193">
        <f t="shared" si="50"/>
        <v>-2.6353062252021386E-3</v>
      </c>
      <c r="Q219" s="193">
        <f t="shared" si="50"/>
        <v>-1.3133101952802706E-2</v>
      </c>
      <c r="R219" s="193">
        <f t="shared" si="50"/>
        <v>7.2099801185154799E-3</v>
      </c>
      <c r="S219" s="193">
        <f t="shared" si="50"/>
        <v>2.1647952555517325E-2</v>
      </c>
      <c r="T219" s="193">
        <f t="shared" si="50"/>
        <v>3.7901844662913797E-2</v>
      </c>
      <c r="U219" s="193">
        <f t="shared" si="50"/>
        <v>3.901054918501301E-2</v>
      </c>
      <c r="V219" s="193">
        <f t="shared" si="50"/>
        <v>3.6687511918008564E-2</v>
      </c>
      <c r="W219" s="193">
        <f t="shared" si="50"/>
        <v>1.9051034617062035E-2</v>
      </c>
      <c r="X219" s="193">
        <f t="shared" si="50"/>
        <v>9.328895023024808E-3</v>
      </c>
      <c r="Y219" s="193">
        <f t="shared" si="50"/>
        <v>2.7373953514180371E-3</v>
      </c>
      <c r="Z219" s="193">
        <f t="shared" si="50"/>
        <v>-3.691723743099673E-3</v>
      </c>
      <c r="AA219" s="193">
        <f t="shared" si="50"/>
        <v>-3.2087980093632451E-3</v>
      </c>
      <c r="AB219" s="193">
        <f t="shared" si="50"/>
        <v>-4.9760607549904634E-3</v>
      </c>
      <c r="AC219" s="193">
        <f t="shared" si="50"/>
        <v>-5.5667986885077347E-3</v>
      </c>
      <c r="AD219" s="193">
        <f t="shared" si="50"/>
        <v>-8.9823432883251453E-3</v>
      </c>
      <c r="AE219" s="193">
        <f t="shared" si="50"/>
        <v>-8.5226372409497042E-3</v>
      </c>
      <c r="AF219" s="193">
        <f t="shared" si="50"/>
        <v>-1.098364610589031E-2</v>
      </c>
      <c r="AG219" s="193">
        <f t="shared" si="50"/>
        <v>-1.07607311467246E-2</v>
      </c>
      <c r="AH219" s="193">
        <f t="shared" si="50"/>
        <v>-6.0664564930078546E-3</v>
      </c>
      <c r="AI219" s="193">
        <f t="shared" si="50"/>
        <v>-6.4542578925934624E-3</v>
      </c>
      <c r="AJ219" s="193">
        <f t="shared" si="50"/>
        <v>-2.6125965241925453E-3</v>
      </c>
      <c r="AK219" s="193">
        <f t="shared" si="50"/>
        <v>-4.2477406446483901E-4</v>
      </c>
      <c r="AL219" s="193">
        <f t="shared" si="50"/>
        <v>4.249545741463745E-4</v>
      </c>
      <c r="AM219" s="193">
        <f t="shared" si="50"/>
        <v>1.203526515983544E-3</v>
      </c>
      <c r="AN219" s="193">
        <f t="shared" si="50"/>
        <v>2.1213172607519315E-3</v>
      </c>
      <c r="AO219" s="193">
        <f t="shared" si="50"/>
        <v>1.4112178663492347E-3</v>
      </c>
      <c r="AP219" s="193">
        <f t="shared" si="50"/>
        <v>1.0569218527600732E-3</v>
      </c>
      <c r="AQ219" s="193">
        <f t="shared" si="50"/>
        <v>9.1503182193020116E-4</v>
      </c>
      <c r="AR219" s="193">
        <f t="shared" si="50"/>
        <v>7.7354987272992837E-4</v>
      </c>
      <c r="AS219" s="193">
        <f t="shared" si="50"/>
        <v>9.1348867508700415E-4</v>
      </c>
      <c r="AT219" s="193">
        <f t="shared" si="50"/>
        <v>1.3338803482274564E-3</v>
      </c>
      <c r="AU219" s="193">
        <f t="shared" si="50"/>
        <v>1.6826570293535514E-3</v>
      </c>
      <c r="AV219" s="193">
        <f t="shared" si="50"/>
        <v>2.3097668699014751E-3</v>
      </c>
      <c r="AW219" s="193">
        <f t="shared" si="50"/>
        <v>2.8630972663028498E-3</v>
      </c>
      <c r="AX219" s="193">
        <f t="shared" si="50"/>
        <v>3.5512461096895986E-3</v>
      </c>
      <c r="AY219" s="193">
        <f t="shared" si="50"/>
        <v>4.0243804807873484E-3</v>
      </c>
      <c r="AZ219" s="193">
        <f t="shared" si="50"/>
        <v>4.3537885309976598E-3</v>
      </c>
      <c r="BA219" s="193">
        <f t="shared" si="50"/>
        <v>4.472531583206818E-3</v>
      </c>
      <c r="BB219" s="193">
        <f t="shared" si="50"/>
        <v>4.2471117073488163E-3</v>
      </c>
      <c r="BC219" s="193">
        <f t="shared" si="50"/>
        <v>3.7516653533842259E-3</v>
      </c>
      <c r="BD219" s="193">
        <f t="shared" si="50"/>
        <v>3.0580715190753338E-3</v>
      </c>
      <c r="BE219" s="193">
        <f t="shared" si="50"/>
        <v>2.235748701228335E-3</v>
      </c>
      <c r="BF219" s="193">
        <f t="shared" si="50"/>
        <v>1.3519765330876066E-3</v>
      </c>
      <c r="BG219" s="193">
        <f t="shared" si="50"/>
        <v>4.7255290614089951E-4</v>
      </c>
      <c r="BH219" s="193">
        <f t="shared" si="50"/>
        <v>-4.048540331709205E-4</v>
      </c>
      <c r="BI219" s="193">
        <f t="shared" si="50"/>
        <v>-1.1475510179753678E-3</v>
      </c>
      <c r="BJ219" s="193">
        <f t="shared" si="50"/>
        <v>-1.8246749361294778E-3</v>
      </c>
      <c r="BK219" s="193">
        <f t="shared" si="50"/>
        <v>-2.2342350078897733E-3</v>
      </c>
      <c r="BL219" s="193">
        <f t="shared" si="50"/>
        <v>-2.7142278688508936E-3</v>
      </c>
      <c r="BM219" s="193">
        <f t="shared" si="50"/>
        <v>-2.6535745782019227E-3</v>
      </c>
      <c r="BN219" s="193">
        <f t="shared" si="50"/>
        <v>-2.7970775797608871E-3</v>
      </c>
      <c r="BO219" s="193">
        <f t="shared" si="50"/>
        <v>-2.4628593665551035E-3</v>
      </c>
      <c r="BP219" s="193">
        <f t="shared" ref="BP219:BQ219" si="51">SUM(BP$126:BP$129)/SUM(BO$126:BO$129)-1</f>
        <v>-2.2631950170549642E-3</v>
      </c>
      <c r="BQ219" s="193">
        <f t="shared" si="51"/>
        <v>-1.7184308236644075E-3</v>
      </c>
    </row>
    <row r="220" spans="1:69">
      <c r="A220" s="184" t="s">
        <v>1301</v>
      </c>
      <c r="C220" s="193">
        <f>SUM(C$130:C$134)/SUM(B$130:B$134)-1</f>
        <v>-7.4753159832259275E-3</v>
      </c>
      <c r="D220" s="193">
        <f t="shared" ref="D220:BO220" si="52">SUM(D$130:D$134)/SUM(C$130:C$134)-1</f>
        <v>-2.029612182138596E-3</v>
      </c>
      <c r="E220" s="193">
        <f t="shared" si="52"/>
        <v>1.4661349343213281E-2</v>
      </c>
      <c r="F220" s="193">
        <f t="shared" si="52"/>
        <v>2.6446591537205411E-2</v>
      </c>
      <c r="G220" s="193">
        <f t="shared" si="52"/>
        <v>2.6917132855231785E-2</v>
      </c>
      <c r="H220" s="193">
        <f t="shared" si="52"/>
        <v>1.177521328801201E-2</v>
      </c>
      <c r="I220" s="193">
        <f t="shared" si="52"/>
        <v>1.7265712797195576E-2</v>
      </c>
      <c r="J220" s="193">
        <f t="shared" si="52"/>
        <v>4.327013156719306E-2</v>
      </c>
      <c r="K220" s="193">
        <f t="shared" si="52"/>
        <v>5.1743524103069705E-2</v>
      </c>
      <c r="L220" s="193">
        <f t="shared" si="52"/>
        <v>3.0296201070167061E-2</v>
      </c>
      <c r="M220" s="193">
        <f t="shared" si="52"/>
        <v>-2.5121883309110471E-3</v>
      </c>
      <c r="N220" s="193">
        <f t="shared" si="52"/>
        <v>-1.2350153704533962E-2</v>
      </c>
      <c r="O220" s="193">
        <f t="shared" si="52"/>
        <v>-1.2333089316638901E-2</v>
      </c>
      <c r="P220" s="193">
        <f t="shared" si="52"/>
        <v>8.7290352648168312E-3</v>
      </c>
      <c r="Q220" s="193">
        <f t="shared" si="52"/>
        <v>-1.662882503062757E-2</v>
      </c>
      <c r="R220" s="193">
        <f t="shared" si="52"/>
        <v>-1.2631228076516732E-2</v>
      </c>
      <c r="S220" s="193">
        <f t="shared" si="52"/>
        <v>-5.8411170925819489E-3</v>
      </c>
      <c r="T220" s="193">
        <f t="shared" si="52"/>
        <v>-6.733099799164366E-4</v>
      </c>
      <c r="U220" s="193">
        <f t="shared" si="52"/>
        <v>-1.1416494998115478E-3</v>
      </c>
      <c r="V220" s="193">
        <f t="shared" si="52"/>
        <v>7.4770944672648554E-3</v>
      </c>
      <c r="W220" s="193">
        <f t="shared" si="52"/>
        <v>2.6850699247429999E-2</v>
      </c>
      <c r="X220" s="193">
        <f t="shared" si="52"/>
        <v>2.8909939334064827E-2</v>
      </c>
      <c r="Y220" s="193">
        <f t="shared" si="52"/>
        <v>2.9659566453923869E-2</v>
      </c>
      <c r="Z220" s="193">
        <f t="shared" si="52"/>
        <v>2.8960255289898873E-2</v>
      </c>
      <c r="AA220" s="193">
        <f t="shared" si="52"/>
        <v>2.0989752121490568E-2</v>
      </c>
      <c r="AB220" s="193">
        <f t="shared" si="52"/>
        <v>9.1423187351344914E-3</v>
      </c>
      <c r="AC220" s="193">
        <f t="shared" si="52"/>
        <v>1.8577539282078614E-3</v>
      </c>
      <c r="AD220" s="193">
        <f t="shared" si="52"/>
        <v>-3.1286411386947099E-3</v>
      </c>
      <c r="AE220" s="193">
        <f t="shared" si="52"/>
        <v>-5.9682195004733263E-3</v>
      </c>
      <c r="AF220" s="193">
        <f t="shared" si="52"/>
        <v>-6.1075711619980044E-3</v>
      </c>
      <c r="AG220" s="193">
        <f t="shared" si="52"/>
        <v>-6.613797097216656E-3</v>
      </c>
      <c r="AH220" s="193">
        <f t="shared" si="52"/>
        <v>-8.702361306578088E-3</v>
      </c>
      <c r="AI220" s="193">
        <f t="shared" si="52"/>
        <v>-7.0335825949418007E-3</v>
      </c>
      <c r="AJ220" s="193">
        <f t="shared" si="52"/>
        <v>-1.0225666363912422E-2</v>
      </c>
      <c r="AK220" s="193">
        <f t="shared" si="52"/>
        <v>-9.4703683271094574E-3</v>
      </c>
      <c r="AL220" s="193">
        <f t="shared" si="52"/>
        <v>-8.6374163552470629E-3</v>
      </c>
      <c r="AM220" s="193">
        <f t="shared" si="52"/>
        <v>-5.1508874500283408E-3</v>
      </c>
      <c r="AN220" s="193">
        <f t="shared" si="52"/>
        <v>-5.5080387878969628E-3</v>
      </c>
      <c r="AO220" s="193">
        <f t="shared" si="52"/>
        <v>-1.2738654213677592E-3</v>
      </c>
      <c r="AP220" s="193">
        <f t="shared" si="52"/>
        <v>1.1091219341397007E-4</v>
      </c>
      <c r="AQ220" s="193">
        <f t="shared" si="52"/>
        <v>6.0994941294922889E-4</v>
      </c>
      <c r="AR220" s="193">
        <f t="shared" si="52"/>
        <v>1.219155202897948E-3</v>
      </c>
      <c r="AS220" s="193">
        <f t="shared" si="52"/>
        <v>1.8265060100417507E-3</v>
      </c>
      <c r="AT220" s="193">
        <f t="shared" si="52"/>
        <v>1.3811939152867936E-3</v>
      </c>
      <c r="AU220" s="193">
        <f t="shared" si="52"/>
        <v>9.3791641794549463E-4</v>
      </c>
      <c r="AV220" s="193">
        <f t="shared" si="52"/>
        <v>8.8191769885970217E-4</v>
      </c>
      <c r="AW220" s="193">
        <f t="shared" si="52"/>
        <v>9.3621189319992304E-4</v>
      </c>
      <c r="AX220" s="193">
        <f t="shared" si="52"/>
        <v>1.1554153309665249E-3</v>
      </c>
      <c r="AY220" s="193">
        <f t="shared" si="52"/>
        <v>1.5937321297510021E-3</v>
      </c>
      <c r="AZ220" s="193">
        <f t="shared" si="52"/>
        <v>1.9752780280462012E-3</v>
      </c>
      <c r="BA220" s="193">
        <f t="shared" si="52"/>
        <v>2.5737513288330849E-3</v>
      </c>
      <c r="BB220" s="193">
        <f t="shared" si="52"/>
        <v>3.1679651067100245E-3</v>
      </c>
      <c r="BC220" s="193">
        <f t="shared" si="52"/>
        <v>3.702436796595876E-3</v>
      </c>
      <c r="BD220" s="193">
        <f t="shared" si="52"/>
        <v>4.1227533624428325E-3</v>
      </c>
      <c r="BE220" s="193">
        <f t="shared" si="52"/>
        <v>4.2678981353616585E-3</v>
      </c>
      <c r="BF220" s="193">
        <f t="shared" si="52"/>
        <v>4.1959661522146252E-3</v>
      </c>
      <c r="BG220" s="193">
        <f t="shared" si="52"/>
        <v>3.8570156181390036E-3</v>
      </c>
      <c r="BH220" s="193">
        <f t="shared" si="52"/>
        <v>3.3085578452261011E-3</v>
      </c>
      <c r="BI220" s="193">
        <f t="shared" si="52"/>
        <v>2.5530173327144023E-3</v>
      </c>
      <c r="BJ220" s="193">
        <f t="shared" si="52"/>
        <v>1.7507297727863413E-3</v>
      </c>
      <c r="BK220" s="193">
        <f t="shared" si="52"/>
        <v>9.0031488699415796E-4</v>
      </c>
      <c r="BL220" s="193">
        <f t="shared" si="52"/>
        <v>5.2912061718091152E-5</v>
      </c>
      <c r="BM220" s="193">
        <f t="shared" si="52"/>
        <v>-7.4072967051919125E-4</v>
      </c>
      <c r="BN220" s="193">
        <f t="shared" si="52"/>
        <v>-1.3237120673019742E-3</v>
      </c>
      <c r="BO220" s="193">
        <f t="shared" si="52"/>
        <v>-1.961690573090813E-3</v>
      </c>
      <c r="BP220" s="193">
        <f t="shared" ref="BP220:BQ220" si="53">SUM(BP$130:BP$134)/SUM(BO$130:BO$134)-1</f>
        <v>-2.3374064903315395E-3</v>
      </c>
      <c r="BQ220" s="193">
        <f t="shared" si="53"/>
        <v>-2.5026247660433487E-3</v>
      </c>
    </row>
    <row r="221" spans="1:69">
      <c r="A221" s="184" t="s">
        <v>1302</v>
      </c>
      <c r="C221" s="193">
        <f>SUM(C$135:C$139)/SUM(B$135:B$139)-1</f>
        <v>1.8124614191209698E-2</v>
      </c>
      <c r="D221" s="193">
        <f t="shared" ref="D221:BO221" si="54">SUM(D$135:D$139)/SUM(C$135:C$139)-1</f>
        <v>1.6510299199603118E-2</v>
      </c>
      <c r="E221" s="193">
        <f t="shared" si="54"/>
        <v>1.5001461678302297E-2</v>
      </c>
      <c r="F221" s="193">
        <f t="shared" si="54"/>
        <v>9.9283074776310709E-3</v>
      </c>
      <c r="G221" s="193">
        <f t="shared" si="54"/>
        <v>-2.9215300096441243E-3</v>
      </c>
      <c r="H221" s="193">
        <f t="shared" si="54"/>
        <v>-1.295222065865298E-3</v>
      </c>
      <c r="I221" s="193">
        <f t="shared" si="54"/>
        <v>9.4106288750874789E-3</v>
      </c>
      <c r="J221" s="193">
        <f t="shared" si="54"/>
        <v>5.9315393686641738E-2</v>
      </c>
      <c r="K221" s="193">
        <f t="shared" si="54"/>
        <v>8.6529514673323815E-2</v>
      </c>
      <c r="L221" s="193">
        <f t="shared" si="54"/>
        <v>9.2731158415741977E-2</v>
      </c>
      <c r="M221" s="193">
        <f t="shared" si="54"/>
        <v>6.7905055700317796E-2</v>
      </c>
      <c r="N221" s="193">
        <f t="shared" si="54"/>
        <v>4.4595978083260768E-2</v>
      </c>
      <c r="O221" s="193">
        <f t="shared" si="54"/>
        <v>1.4521288514009578E-2</v>
      </c>
      <c r="P221" s="193">
        <f t="shared" si="54"/>
        <v>1.7614195897098561E-2</v>
      </c>
      <c r="Q221" s="193">
        <f t="shared" si="54"/>
        <v>-2.067403954408642E-2</v>
      </c>
      <c r="R221" s="193">
        <f t="shared" si="54"/>
        <v>-2.452441027805996E-2</v>
      </c>
      <c r="S221" s="193">
        <f t="shared" si="54"/>
        <v>-1.8490373923484404E-2</v>
      </c>
      <c r="T221" s="193">
        <f t="shared" si="54"/>
        <v>-1.1530031351518311E-2</v>
      </c>
      <c r="U221" s="193">
        <f t="shared" si="54"/>
        <v>-5.7802318783910511E-3</v>
      </c>
      <c r="V221" s="193">
        <f t="shared" si="54"/>
        <v>-5.396506056532413E-3</v>
      </c>
      <c r="W221" s="193">
        <f t="shared" si="54"/>
        <v>-6.4020155799203726E-3</v>
      </c>
      <c r="X221" s="193">
        <f t="shared" si="54"/>
        <v>-3.2131922323115347E-3</v>
      </c>
      <c r="Y221" s="193">
        <f t="shared" si="54"/>
        <v>2.644015356722651E-3</v>
      </c>
      <c r="Z221" s="193">
        <f t="shared" si="54"/>
        <v>-5.4839190122168979E-5</v>
      </c>
      <c r="AA221" s="193">
        <f t="shared" si="54"/>
        <v>7.620385743678737E-3</v>
      </c>
      <c r="AB221" s="193">
        <f t="shared" si="54"/>
        <v>2.5525321577674287E-2</v>
      </c>
      <c r="AC221" s="193">
        <f t="shared" si="54"/>
        <v>2.7025579892872242E-2</v>
      </c>
      <c r="AD221" s="193">
        <f t="shared" si="54"/>
        <v>2.7212965598962136E-2</v>
      </c>
      <c r="AE221" s="193">
        <f t="shared" si="54"/>
        <v>2.6962311537861661E-2</v>
      </c>
      <c r="AF221" s="193">
        <f t="shared" si="54"/>
        <v>1.9436420129971044E-2</v>
      </c>
      <c r="AG221" s="193">
        <f t="shared" si="54"/>
        <v>8.4848015961054291E-3</v>
      </c>
      <c r="AH221" s="193">
        <f t="shared" si="54"/>
        <v>1.5342110499829698E-3</v>
      </c>
      <c r="AI221" s="193">
        <f t="shared" si="54"/>
        <v>-2.9648919718773259E-3</v>
      </c>
      <c r="AJ221" s="193">
        <f t="shared" si="54"/>
        <v>-5.6996083357623295E-3</v>
      </c>
      <c r="AK221" s="193">
        <f t="shared" si="54"/>
        <v>-5.8818178285332534E-3</v>
      </c>
      <c r="AL221" s="193">
        <f t="shared" si="54"/>
        <v>-6.1673224647664782E-3</v>
      </c>
      <c r="AM221" s="193">
        <f t="shared" si="54"/>
        <v>-8.3750297951813435E-3</v>
      </c>
      <c r="AN221" s="193">
        <f t="shared" si="54"/>
        <v>-6.7159081778619401E-3</v>
      </c>
      <c r="AO221" s="193">
        <f t="shared" si="54"/>
        <v>-9.7834201725414127E-3</v>
      </c>
      <c r="AP221" s="193">
        <f t="shared" si="54"/>
        <v>-9.1041585538280678E-3</v>
      </c>
      <c r="AQ221" s="193">
        <f t="shared" si="54"/>
        <v>-8.1437369542542992E-3</v>
      </c>
      <c r="AR221" s="193">
        <f t="shared" si="54"/>
        <v>-4.9474139874762235E-3</v>
      </c>
      <c r="AS221" s="193">
        <f t="shared" si="54"/>
        <v>-5.2364813470203719E-3</v>
      </c>
      <c r="AT221" s="193">
        <f t="shared" si="54"/>
        <v>-1.2229602812409146E-3</v>
      </c>
      <c r="AU221" s="193">
        <f t="shared" si="54"/>
        <v>1.5971187970809098E-4</v>
      </c>
      <c r="AV221" s="193">
        <f t="shared" si="54"/>
        <v>6.9197429555289958E-4</v>
      </c>
      <c r="AW221" s="193">
        <f t="shared" si="54"/>
        <v>1.1702236585513504E-3</v>
      </c>
      <c r="AX221" s="193">
        <f t="shared" si="54"/>
        <v>1.7532837536984314E-3</v>
      </c>
      <c r="AY221" s="193">
        <f t="shared" si="54"/>
        <v>1.2198469087498776E-3</v>
      </c>
      <c r="AZ221" s="193">
        <f t="shared" si="54"/>
        <v>1.0064718786617632E-3</v>
      </c>
      <c r="BA221" s="193">
        <f t="shared" si="54"/>
        <v>8.9962202611082454E-4</v>
      </c>
      <c r="BB221" s="193">
        <f t="shared" si="54"/>
        <v>9.5168481220442303E-4</v>
      </c>
      <c r="BC221" s="193">
        <f t="shared" si="54"/>
        <v>1.162064406980523E-3</v>
      </c>
      <c r="BD221" s="193">
        <f t="shared" si="54"/>
        <v>1.4772743754587481E-3</v>
      </c>
      <c r="BE221" s="193">
        <f t="shared" si="54"/>
        <v>1.9492330155848059E-3</v>
      </c>
      <c r="BF221" s="193">
        <f t="shared" si="54"/>
        <v>2.4712357352421055E-3</v>
      </c>
      <c r="BG221" s="193">
        <f t="shared" si="54"/>
        <v>3.0420923289831148E-3</v>
      </c>
      <c r="BH221" s="193">
        <f t="shared" si="54"/>
        <v>3.5557740135436777E-3</v>
      </c>
      <c r="BI221" s="193">
        <f t="shared" si="54"/>
        <v>3.9600194338820227E-3</v>
      </c>
      <c r="BJ221" s="193">
        <f t="shared" si="54"/>
        <v>4.1519995105980811E-3</v>
      </c>
      <c r="BK221" s="193">
        <f t="shared" si="54"/>
        <v>3.9797755030099857E-3</v>
      </c>
      <c r="BL221" s="193">
        <f t="shared" si="54"/>
        <v>3.8610386437134547E-3</v>
      </c>
      <c r="BM221" s="193">
        <f t="shared" si="54"/>
        <v>3.1282332009450187E-3</v>
      </c>
      <c r="BN221" s="193">
        <f t="shared" si="54"/>
        <v>2.5050068175589413E-3</v>
      </c>
      <c r="BO221" s="193">
        <f t="shared" si="54"/>
        <v>1.7338247530302997E-3</v>
      </c>
      <c r="BP221" s="193">
        <f t="shared" ref="BP221:BQ221" si="55">SUM(BP$135:BP$139)/SUM(BO$135:BO$139)-1</f>
        <v>9.1631848651907433E-4</v>
      </c>
      <c r="BQ221" s="193">
        <f t="shared" si="55"/>
        <v>5.0859978645734216E-5</v>
      </c>
    </row>
    <row r="222" spans="1:69">
      <c r="A222" s="184" t="s">
        <v>1303</v>
      </c>
      <c r="C222" s="193">
        <f>SUM(C$140:C$144)/SUM(B$140:B$144)-1</f>
        <v>-2.4642152395299211E-2</v>
      </c>
      <c r="D222" s="193">
        <f t="shared" ref="D222:BO222" si="56">SUM(D$140:D$144)/SUM(C$140:C$144)-1</f>
        <v>-2.2882745525584336E-2</v>
      </c>
      <c r="E222" s="193">
        <f t="shared" si="56"/>
        <v>-1.1390478662530068E-2</v>
      </c>
      <c r="F222" s="193">
        <f t="shared" si="56"/>
        <v>-4.3554494530454457E-3</v>
      </c>
      <c r="G222" s="193">
        <f t="shared" si="56"/>
        <v>2.082771973382469E-3</v>
      </c>
      <c r="H222" s="193">
        <f t="shared" si="56"/>
        <v>-9.5017878108261122E-4</v>
      </c>
      <c r="I222" s="193">
        <f t="shared" si="56"/>
        <v>1.0588024383174854E-2</v>
      </c>
      <c r="J222" s="193">
        <f t="shared" si="56"/>
        <v>3.9057694906635021E-2</v>
      </c>
      <c r="K222" s="193">
        <f t="shared" si="56"/>
        <v>4.6275848379313533E-2</v>
      </c>
      <c r="L222" s="193">
        <f t="shared" si="56"/>
        <v>5.7196993937822072E-2</v>
      </c>
      <c r="M222" s="193">
        <f t="shared" si="56"/>
        <v>6.195712486988092E-2</v>
      </c>
      <c r="N222" s="193">
        <f t="shared" si="56"/>
        <v>6.0647487868148442E-2</v>
      </c>
      <c r="O222" s="193">
        <f t="shared" si="56"/>
        <v>4.5932825569838132E-2</v>
      </c>
      <c r="P222" s="193">
        <f t="shared" si="56"/>
        <v>6.7932392106338835E-2</v>
      </c>
      <c r="Q222" s="193">
        <f t="shared" si="56"/>
        <v>3.0602383535814237E-2</v>
      </c>
      <c r="R222" s="193">
        <f t="shared" si="56"/>
        <v>2.2310830970859064E-2</v>
      </c>
      <c r="S222" s="193">
        <f t="shared" si="56"/>
        <v>1.5177292862236458E-2</v>
      </c>
      <c r="T222" s="193">
        <f t="shared" si="56"/>
        <v>9.1796723667656455E-3</v>
      </c>
      <c r="U222" s="193">
        <f t="shared" si="56"/>
        <v>5.7343938460086008E-4</v>
      </c>
      <c r="V222" s="193">
        <f t="shared" si="56"/>
        <v>-2.6232253792095594E-3</v>
      </c>
      <c r="W222" s="193">
        <f t="shared" si="56"/>
        <v>-1.0757742976962636E-2</v>
      </c>
      <c r="X222" s="193">
        <f t="shared" si="56"/>
        <v>-1.0332341019075986E-2</v>
      </c>
      <c r="Y222" s="193">
        <f t="shared" si="56"/>
        <v>-9.4290880336241889E-3</v>
      </c>
      <c r="Z222" s="193">
        <f t="shared" si="56"/>
        <v>-6.1087473630041522E-3</v>
      </c>
      <c r="AA222" s="193">
        <f t="shared" si="56"/>
        <v>-8.3594854520077089E-3</v>
      </c>
      <c r="AB222" s="193">
        <f t="shared" si="56"/>
        <v>-9.3969541890698283E-3</v>
      </c>
      <c r="AC222" s="193">
        <f t="shared" si="56"/>
        <v>-6.7381236809024303E-3</v>
      </c>
      <c r="AD222" s="193">
        <f t="shared" si="56"/>
        <v>-1.2855108193685627E-3</v>
      </c>
      <c r="AE222" s="193">
        <f t="shared" si="56"/>
        <v>-3.0033861305588383E-3</v>
      </c>
      <c r="AF222" s="193">
        <f t="shared" si="56"/>
        <v>4.9489981096293434E-3</v>
      </c>
      <c r="AG222" s="193">
        <f t="shared" si="56"/>
        <v>2.2642574554086803E-2</v>
      </c>
      <c r="AH222" s="193">
        <f t="shared" si="56"/>
        <v>2.4810751070530657E-2</v>
      </c>
      <c r="AI222" s="193">
        <f t="shared" si="56"/>
        <v>2.5895592736065343E-2</v>
      </c>
      <c r="AJ222" s="193">
        <f t="shared" si="56"/>
        <v>2.5540658952393436E-2</v>
      </c>
      <c r="AK222" s="193">
        <f t="shared" si="56"/>
        <v>1.8593477541446468E-2</v>
      </c>
      <c r="AL222" s="193">
        <f t="shared" si="56"/>
        <v>8.1023291131876451E-3</v>
      </c>
      <c r="AM222" s="193">
        <f t="shared" si="56"/>
        <v>1.5128864001341391E-3</v>
      </c>
      <c r="AN222" s="193">
        <f t="shared" si="56"/>
        <v>-2.785170653443636E-3</v>
      </c>
      <c r="AO222" s="193">
        <f t="shared" si="56"/>
        <v>-5.3965464807282926E-3</v>
      </c>
      <c r="AP222" s="193">
        <f t="shared" si="56"/>
        <v>-5.5210171605036829E-3</v>
      </c>
      <c r="AQ222" s="193">
        <f t="shared" si="56"/>
        <v>-5.9345416710822052E-3</v>
      </c>
      <c r="AR222" s="193">
        <f t="shared" si="56"/>
        <v>-7.8476227895148964E-3</v>
      </c>
      <c r="AS222" s="193">
        <f t="shared" si="56"/>
        <v>-6.4539229899813755E-3</v>
      </c>
      <c r="AT222" s="193">
        <f t="shared" si="56"/>
        <v>-9.1332581199410345E-3</v>
      </c>
      <c r="AU222" s="193">
        <f t="shared" si="56"/>
        <v>-8.7245319975195468E-3</v>
      </c>
      <c r="AV222" s="193">
        <f t="shared" si="56"/>
        <v>-7.6576451191217032E-3</v>
      </c>
      <c r="AW222" s="193">
        <f t="shared" si="56"/>
        <v>-4.6601075019233607E-3</v>
      </c>
      <c r="AX222" s="193">
        <f t="shared" si="56"/>
        <v>-4.9839855070725747E-3</v>
      </c>
      <c r="AY222" s="193">
        <f t="shared" si="56"/>
        <v>-1.1636954641833785E-3</v>
      </c>
      <c r="AZ222" s="193">
        <f t="shared" si="56"/>
        <v>2.0261760504602933E-4</v>
      </c>
      <c r="BA222" s="193">
        <f t="shared" si="56"/>
        <v>7.0901795814015678E-4</v>
      </c>
      <c r="BB222" s="193">
        <f t="shared" si="56"/>
        <v>1.1133816694794962E-3</v>
      </c>
      <c r="BC222" s="193">
        <f t="shared" si="56"/>
        <v>1.7693190921816981E-3</v>
      </c>
      <c r="BD222" s="193">
        <f t="shared" si="56"/>
        <v>1.211104547098163E-3</v>
      </c>
      <c r="BE222" s="193">
        <f t="shared" si="56"/>
        <v>9.0722966035672314E-4</v>
      </c>
      <c r="BF222" s="193">
        <f t="shared" si="56"/>
        <v>9.5676330410698895E-4</v>
      </c>
      <c r="BG222" s="193">
        <f t="shared" si="56"/>
        <v>8.5523312169155652E-4</v>
      </c>
      <c r="BH222" s="193">
        <f t="shared" si="56"/>
        <v>1.1058265356500563E-3</v>
      </c>
      <c r="BI222" s="193">
        <f t="shared" si="56"/>
        <v>1.5062795919436045E-3</v>
      </c>
      <c r="BJ222" s="193">
        <f t="shared" si="56"/>
        <v>1.8549507555964961E-3</v>
      </c>
      <c r="BK222" s="193">
        <f t="shared" si="56"/>
        <v>2.4019670712214225E-3</v>
      </c>
      <c r="BL222" s="193">
        <f t="shared" si="56"/>
        <v>2.8954221690185022E-3</v>
      </c>
      <c r="BM222" s="193">
        <f t="shared" si="56"/>
        <v>3.3848323691347826E-3</v>
      </c>
      <c r="BN222" s="193">
        <f t="shared" si="56"/>
        <v>3.8198951837145056E-3</v>
      </c>
      <c r="BO222" s="193">
        <f t="shared" si="56"/>
        <v>3.9536198553506985E-3</v>
      </c>
      <c r="BP222" s="193">
        <f t="shared" ref="BP222:BQ222" si="57">SUM(BP$140:BP$144)/SUM(BO$140:BO$144)-1</f>
        <v>3.8395990439501482E-3</v>
      </c>
      <c r="BQ222" s="193">
        <f t="shared" si="57"/>
        <v>3.5797261868624197E-3</v>
      </c>
    </row>
    <row r="223" spans="1:69">
      <c r="A223" s="184" t="s">
        <v>1304</v>
      </c>
      <c r="C223" s="193">
        <f>SUM(C$145:C$149)/SUM(B$145:B$149)-1</f>
        <v>7.871363491495309E-3</v>
      </c>
      <c r="D223" s="193">
        <f t="shared" ref="D223:BO223" si="58">SUM(D$145:D$149)/SUM(C$145:C$149)-1</f>
        <v>-5.8238306606068768E-3</v>
      </c>
      <c r="E223" s="193">
        <f t="shared" si="58"/>
        <v>-1.4017365745599752E-2</v>
      </c>
      <c r="F223" s="193">
        <f t="shared" si="58"/>
        <v>-1.9027505181845705E-2</v>
      </c>
      <c r="G223" s="193">
        <f t="shared" si="58"/>
        <v>-3.3641506157836121E-2</v>
      </c>
      <c r="H223" s="193">
        <f t="shared" si="58"/>
        <v>-3.3612643327500691E-2</v>
      </c>
      <c r="I223" s="193">
        <f t="shared" si="58"/>
        <v>-2.6785672524881066E-2</v>
      </c>
      <c r="J223" s="193">
        <f t="shared" si="58"/>
        <v>-1.881435481587812E-3</v>
      </c>
      <c r="K223" s="193">
        <f t="shared" si="58"/>
        <v>2.0448865690599449E-2</v>
      </c>
      <c r="L223" s="193">
        <f t="shared" si="58"/>
        <v>3.9529800678205218E-2</v>
      </c>
      <c r="M223" s="193">
        <f t="shared" si="58"/>
        <v>4.473043287550027E-2</v>
      </c>
      <c r="N223" s="193">
        <f t="shared" si="58"/>
        <v>5.4371363077495349E-2</v>
      </c>
      <c r="O223" s="193">
        <f t="shared" si="58"/>
        <v>4.2039705887513934E-2</v>
      </c>
      <c r="P223" s="193">
        <f t="shared" si="58"/>
        <v>4.5364235396990527E-2</v>
      </c>
      <c r="Q223" s="193">
        <f t="shared" si="58"/>
        <v>1.8440635839251485E-2</v>
      </c>
      <c r="R223" s="193">
        <f t="shared" si="58"/>
        <v>2.5061916699302467E-2</v>
      </c>
      <c r="S223" s="193">
        <f t="shared" si="58"/>
        <v>2.8890567819540136E-2</v>
      </c>
      <c r="T223" s="193">
        <f t="shared" si="58"/>
        <v>3.3155126387391265E-2</v>
      </c>
      <c r="U223" s="193">
        <f t="shared" si="58"/>
        <v>4.1896464493672791E-2</v>
      </c>
      <c r="V223" s="193">
        <f t="shared" si="58"/>
        <v>4.0849696220013776E-2</v>
      </c>
      <c r="W223" s="193">
        <f t="shared" si="58"/>
        <v>3.0392168858154101E-2</v>
      </c>
      <c r="X223" s="193">
        <f t="shared" si="58"/>
        <v>2.0363022166649314E-2</v>
      </c>
      <c r="Y223" s="193">
        <f t="shared" si="58"/>
        <v>8.4103451798638318E-3</v>
      </c>
      <c r="Z223" s="193">
        <f t="shared" si="58"/>
        <v>-1.6796885101912906E-3</v>
      </c>
      <c r="AA223" s="193">
        <f t="shared" si="58"/>
        <v>-7.0397061172868813E-3</v>
      </c>
      <c r="AB223" s="193">
        <f t="shared" si="58"/>
        <v>-1.4552618715560461E-2</v>
      </c>
      <c r="AC223" s="193">
        <f t="shared" si="58"/>
        <v>-1.4093662093211945E-2</v>
      </c>
      <c r="AD223" s="193">
        <f t="shared" si="58"/>
        <v>-1.2968177916583667E-2</v>
      </c>
      <c r="AE223" s="193">
        <f t="shared" si="58"/>
        <v>-9.126786728522851E-3</v>
      </c>
      <c r="AF223" s="193">
        <f t="shared" si="58"/>
        <v>-1.0476079164484453E-2</v>
      </c>
      <c r="AG223" s="193">
        <f t="shared" si="58"/>
        <v>-1.0740423930104326E-2</v>
      </c>
      <c r="AH223" s="193">
        <f t="shared" si="58"/>
        <v>-7.2380220452509247E-3</v>
      </c>
      <c r="AI223" s="193">
        <f t="shared" si="58"/>
        <v>-1.2498502226506725E-3</v>
      </c>
      <c r="AJ223" s="193">
        <f t="shared" si="58"/>
        <v>-2.8678244445951018E-3</v>
      </c>
      <c r="AK223" s="193">
        <f t="shared" si="58"/>
        <v>4.8631771628431242E-3</v>
      </c>
      <c r="AL223" s="193">
        <f t="shared" si="58"/>
        <v>2.1960522119589099E-2</v>
      </c>
      <c r="AM223" s="193">
        <f t="shared" si="58"/>
        <v>2.4136507709144883E-2</v>
      </c>
      <c r="AN223" s="193">
        <f t="shared" si="58"/>
        <v>2.5158732639713133E-2</v>
      </c>
      <c r="AO223" s="193">
        <f t="shared" si="58"/>
        <v>2.4832308131565117E-2</v>
      </c>
      <c r="AP223" s="193">
        <f t="shared" si="58"/>
        <v>1.8172954688195686E-2</v>
      </c>
      <c r="AQ223" s="193">
        <f t="shared" si="58"/>
        <v>7.7622787335498433E-3</v>
      </c>
      <c r="AR223" s="193">
        <f t="shared" si="58"/>
        <v>1.6142942821013584E-3</v>
      </c>
      <c r="AS223" s="193">
        <f t="shared" si="58"/>
        <v>-2.6708047740353624E-3</v>
      </c>
      <c r="AT223" s="193">
        <f t="shared" si="58"/>
        <v>-5.2173991280508591E-3</v>
      </c>
      <c r="AU223" s="193">
        <f t="shared" si="58"/>
        <v>-5.2911769839326661E-3</v>
      </c>
      <c r="AV223" s="193">
        <f t="shared" si="58"/>
        <v>-5.7859296938835847E-3</v>
      </c>
      <c r="AW223" s="193">
        <f t="shared" si="58"/>
        <v>-7.6499600349799746E-3</v>
      </c>
      <c r="AX223" s="193">
        <f t="shared" si="58"/>
        <v>-6.1955228926001693E-3</v>
      </c>
      <c r="AY223" s="193">
        <f t="shared" si="58"/>
        <v>-8.851536523299397E-3</v>
      </c>
      <c r="AZ223" s="193">
        <f t="shared" si="58"/>
        <v>-8.4024329994468738E-3</v>
      </c>
      <c r="BA223" s="193">
        <f t="shared" si="58"/>
        <v>-7.4567962705671675E-3</v>
      </c>
      <c r="BB223" s="193">
        <f t="shared" si="58"/>
        <v>-4.390607818336778E-3</v>
      </c>
      <c r="BC223" s="193">
        <f t="shared" si="58"/>
        <v>-4.8019676254553723E-3</v>
      </c>
      <c r="BD223" s="193">
        <f t="shared" si="58"/>
        <v>-1.0339580959001227E-3</v>
      </c>
      <c r="BE223" s="193">
        <f t="shared" si="58"/>
        <v>1.9714824224026373E-4</v>
      </c>
      <c r="BF223" s="193">
        <f t="shared" si="58"/>
        <v>6.4060549303390779E-4</v>
      </c>
      <c r="BG223" s="193">
        <f t="shared" si="58"/>
        <v>1.1326533652462611E-3</v>
      </c>
      <c r="BH223" s="193">
        <f t="shared" si="58"/>
        <v>1.672462827974508E-3</v>
      </c>
      <c r="BI223" s="193">
        <f t="shared" si="58"/>
        <v>1.227698798788035E-3</v>
      </c>
      <c r="BJ223" s="193">
        <f t="shared" si="58"/>
        <v>1.0790501943060971E-3</v>
      </c>
      <c r="BK223" s="193">
        <f t="shared" si="58"/>
        <v>8.3291275910757356E-4</v>
      </c>
      <c r="BL223" s="193">
        <f t="shared" si="58"/>
        <v>8.8117368648377159E-4</v>
      </c>
      <c r="BM223" s="193">
        <f t="shared" si="58"/>
        <v>1.1249528760786109E-3</v>
      </c>
      <c r="BN223" s="193">
        <f t="shared" si="58"/>
        <v>1.4168249824124679E-3</v>
      </c>
      <c r="BO223" s="193">
        <f t="shared" si="58"/>
        <v>1.8051157203740065E-3</v>
      </c>
      <c r="BP223" s="193">
        <f t="shared" ref="BP223:BQ223" si="59">SUM(BP$145:BP$149)/SUM(BO$145:BO$149)-1</f>
        <v>2.4349502011864477E-3</v>
      </c>
      <c r="BQ223" s="193">
        <f t="shared" si="59"/>
        <v>2.8662620320882848E-3</v>
      </c>
    </row>
    <row r="224" spans="1:69">
      <c r="A224" s="184" t="s">
        <v>1305</v>
      </c>
      <c r="C224" s="193">
        <f>SUM(C$150:C$154)/SUM(B$150:B$154)-1</f>
        <v>-1.2589169268246048E-2</v>
      </c>
      <c r="D224" s="193">
        <f t="shared" ref="D224:BO224" si="60">SUM(D$150:D$154)/SUM(C$150:C$154)-1</f>
        <v>-1.3812323575305374E-2</v>
      </c>
      <c r="E224" s="193">
        <f t="shared" si="60"/>
        <v>-8.2761054888953467E-3</v>
      </c>
      <c r="F224" s="193">
        <f t="shared" si="60"/>
        <v>-1.6093493543236637E-3</v>
      </c>
      <c r="G224" s="193">
        <f t="shared" si="60"/>
        <v>2.4556103752511049E-3</v>
      </c>
      <c r="H224" s="193">
        <f t="shared" si="60"/>
        <v>1.3324165518218134E-3</v>
      </c>
      <c r="I224" s="193">
        <f t="shared" si="60"/>
        <v>-6.0453427311835117E-3</v>
      </c>
      <c r="J224" s="193">
        <f t="shared" si="60"/>
        <v>1.8929470898343403E-4</v>
      </c>
      <c r="K224" s="193">
        <f t="shared" si="60"/>
        <v>-3.6412631684100694E-3</v>
      </c>
      <c r="L224" s="193">
        <f t="shared" si="60"/>
        <v>-6.3007201517361056E-3</v>
      </c>
      <c r="M224" s="193">
        <f t="shared" si="60"/>
        <v>-6.8426596750013058E-3</v>
      </c>
      <c r="N224" s="193">
        <f t="shared" si="60"/>
        <v>1.4147677222831057E-4</v>
      </c>
      <c r="O224" s="193">
        <f t="shared" si="60"/>
        <v>1.0248352086506873E-2</v>
      </c>
      <c r="P224" s="193">
        <f t="shared" si="60"/>
        <v>2.8379868549787357E-2</v>
      </c>
      <c r="Q224" s="193">
        <f t="shared" si="60"/>
        <v>1.5446253275502642E-2</v>
      </c>
      <c r="R224" s="193">
        <f t="shared" si="60"/>
        <v>1.9768066154979058E-2</v>
      </c>
      <c r="S224" s="193">
        <f t="shared" si="60"/>
        <v>2.8895385830994602E-2</v>
      </c>
      <c r="T224" s="193">
        <f t="shared" si="60"/>
        <v>2.497046518188939E-2</v>
      </c>
      <c r="U224" s="193">
        <f t="shared" si="60"/>
        <v>2.3414805963767771E-2</v>
      </c>
      <c r="V224" s="193">
        <f t="shared" si="60"/>
        <v>2.5441086034559524E-2</v>
      </c>
      <c r="W224" s="193">
        <f t="shared" si="60"/>
        <v>2.9898669671516886E-2</v>
      </c>
      <c r="X224" s="193">
        <f t="shared" si="60"/>
        <v>3.0717903821825265E-2</v>
      </c>
      <c r="Y224" s="193">
        <f t="shared" si="60"/>
        <v>3.1874794342726886E-2</v>
      </c>
      <c r="Z224" s="193">
        <f t="shared" si="60"/>
        <v>3.875346827513515E-2</v>
      </c>
      <c r="AA224" s="193">
        <f t="shared" si="60"/>
        <v>3.5991201498825731E-2</v>
      </c>
      <c r="AB224" s="193">
        <f t="shared" si="60"/>
        <v>2.6362890144300266E-2</v>
      </c>
      <c r="AC224" s="193">
        <f t="shared" si="60"/>
        <v>1.694991115878719E-2</v>
      </c>
      <c r="AD224" s="193">
        <f t="shared" si="60"/>
        <v>5.6352384485394147E-3</v>
      </c>
      <c r="AE224" s="193">
        <f t="shared" si="60"/>
        <v>-3.5956821448746012E-3</v>
      </c>
      <c r="AF224" s="193">
        <f t="shared" si="60"/>
        <v>-8.4358232673780176E-3</v>
      </c>
      <c r="AG224" s="193">
        <f t="shared" si="60"/>
        <v>-1.5266400856011941E-2</v>
      </c>
      <c r="AH224" s="193">
        <f t="shared" si="60"/>
        <v>-1.42071541957417E-2</v>
      </c>
      <c r="AI224" s="193">
        <f t="shared" si="60"/>
        <v>-1.2659106948220922E-2</v>
      </c>
      <c r="AJ224" s="193">
        <f t="shared" si="60"/>
        <v>-8.9256770917668371E-3</v>
      </c>
      <c r="AK224" s="193">
        <f t="shared" si="60"/>
        <v>-1.0200236301744381E-2</v>
      </c>
      <c r="AL224" s="193">
        <f t="shared" si="60"/>
        <v>-1.0405893373590547E-2</v>
      </c>
      <c r="AM224" s="193">
        <f t="shared" si="60"/>
        <v>-7.0610083655195943E-3</v>
      </c>
      <c r="AN224" s="193">
        <f t="shared" si="60"/>
        <v>-1.1766768155354601E-3</v>
      </c>
      <c r="AO224" s="193">
        <f t="shared" si="60"/>
        <v>-2.6634468164594693E-3</v>
      </c>
      <c r="AP224" s="193">
        <f t="shared" si="60"/>
        <v>4.7761933278895885E-3</v>
      </c>
      <c r="AQ224" s="193">
        <f t="shared" si="60"/>
        <v>2.1518485820859468E-2</v>
      </c>
      <c r="AR224" s="193">
        <f t="shared" si="60"/>
        <v>2.3767143694152004E-2</v>
      </c>
      <c r="AS224" s="193">
        <f t="shared" si="60"/>
        <v>2.4632740479243909E-2</v>
      </c>
      <c r="AT224" s="193">
        <f t="shared" si="60"/>
        <v>2.4422151831848149E-2</v>
      </c>
      <c r="AU224" s="193">
        <f t="shared" si="60"/>
        <v>1.7786822366843813E-2</v>
      </c>
      <c r="AV224" s="193">
        <f t="shared" si="60"/>
        <v>7.8230173196471853E-3</v>
      </c>
      <c r="AW224" s="193">
        <f t="shared" si="60"/>
        <v>1.5887733737465215E-3</v>
      </c>
      <c r="AX224" s="193">
        <f t="shared" si="60"/>
        <v>-2.5833266024370971E-3</v>
      </c>
      <c r="AY224" s="193">
        <f t="shared" si="60"/>
        <v>-5.043718218299631E-3</v>
      </c>
      <c r="AZ224" s="193">
        <f t="shared" si="60"/>
        <v>-5.2062940068344776E-3</v>
      </c>
      <c r="BA224" s="193">
        <f t="shared" si="60"/>
        <v>-5.5548991647825785E-3</v>
      </c>
      <c r="BB224" s="193">
        <f t="shared" si="60"/>
        <v>-7.4786810438342011E-3</v>
      </c>
      <c r="BC224" s="193">
        <f t="shared" si="60"/>
        <v>-6.0001189925569243E-3</v>
      </c>
      <c r="BD224" s="193">
        <f t="shared" si="60"/>
        <v>-8.6567634216515588E-3</v>
      </c>
      <c r="BE224" s="193">
        <f t="shared" si="60"/>
        <v>-8.118732260811945E-3</v>
      </c>
      <c r="BF224" s="193">
        <f t="shared" si="60"/>
        <v>-7.3285964013617422E-3</v>
      </c>
      <c r="BG224" s="193">
        <f t="shared" si="60"/>
        <v>-4.362505277647033E-3</v>
      </c>
      <c r="BH224" s="193">
        <f t="shared" si="60"/>
        <v>-4.57421880506792E-3</v>
      </c>
      <c r="BI224" s="193">
        <f t="shared" si="60"/>
        <v>-1.0157895479303569E-3</v>
      </c>
      <c r="BJ224" s="193">
        <f t="shared" si="60"/>
        <v>2.4210057750528868E-4</v>
      </c>
      <c r="BK224" s="193">
        <f t="shared" si="60"/>
        <v>6.7771754120671268E-4</v>
      </c>
      <c r="BL224" s="193">
        <f t="shared" si="60"/>
        <v>1.1610146592113679E-3</v>
      </c>
      <c r="BM224" s="193">
        <f t="shared" si="60"/>
        <v>1.7878219121694183E-3</v>
      </c>
      <c r="BN224" s="193">
        <f t="shared" si="60"/>
        <v>1.254065244309599E-3</v>
      </c>
      <c r="BO224" s="193">
        <f t="shared" si="60"/>
        <v>9.1528446747912717E-4</v>
      </c>
      <c r="BP224" s="193">
        <f t="shared" ref="BP224:BQ224" si="61">SUM(BP$150:BP$154)/SUM(BO$150:BO$154)-1</f>
        <v>9.1444748789726304E-4</v>
      </c>
      <c r="BQ224" s="193">
        <f t="shared" si="61"/>
        <v>1.0097817258396535E-3</v>
      </c>
    </row>
    <row r="225" spans="1:69">
      <c r="A225" s="184" t="s">
        <v>1306</v>
      </c>
      <c r="C225" s="193">
        <f>SUM(C$155:C$159)/SUM(B$155:B$159)-1</f>
        <v>2.3643391813444881E-2</v>
      </c>
      <c r="D225" s="193">
        <f t="shared" ref="D225:BO225" si="62">SUM(D$155:D$159)/SUM(C$155:C$159)-1</f>
        <v>1.8972279860335561E-2</v>
      </c>
      <c r="E225" s="193">
        <f t="shared" si="62"/>
        <v>7.9704603814745312E-3</v>
      </c>
      <c r="F225" s="193">
        <f t="shared" si="62"/>
        <v>-1.0869469245802232E-3</v>
      </c>
      <c r="G225" s="193">
        <f t="shared" si="62"/>
        <v>-1.104897968973817E-2</v>
      </c>
      <c r="H225" s="193">
        <f t="shared" si="62"/>
        <v>-1.9112221722132117E-2</v>
      </c>
      <c r="I225" s="193">
        <f t="shared" si="62"/>
        <v>-1.3047741706628257E-2</v>
      </c>
      <c r="J225" s="193">
        <f t="shared" si="62"/>
        <v>3.0513727799927892E-3</v>
      </c>
      <c r="K225" s="193">
        <f t="shared" si="62"/>
        <v>1.3211307425129437E-2</v>
      </c>
      <c r="L225" s="193">
        <f t="shared" si="62"/>
        <v>2.5684692727945491E-2</v>
      </c>
      <c r="M225" s="193">
        <f t="shared" si="62"/>
        <v>2.4980771529749868E-2</v>
      </c>
      <c r="N225" s="193">
        <f t="shared" si="62"/>
        <v>1.6846819605016661E-2</v>
      </c>
      <c r="O225" s="193">
        <f t="shared" si="62"/>
        <v>2.4317945304397348E-4</v>
      </c>
      <c r="P225" s="193">
        <f t="shared" si="62"/>
        <v>-9.9765689095343557E-4</v>
      </c>
      <c r="Q225" s="193">
        <f t="shared" si="62"/>
        <v>-1.9222430226056963E-2</v>
      </c>
      <c r="R225" s="193">
        <f t="shared" si="62"/>
        <v>-1.9052320493931019E-2</v>
      </c>
      <c r="S225" s="193">
        <f t="shared" si="62"/>
        <v>-1.5050866148411335E-2</v>
      </c>
      <c r="T225" s="193">
        <f t="shared" si="62"/>
        <v>-2.9350537420105294E-3</v>
      </c>
      <c r="U225" s="193">
        <f t="shared" si="62"/>
        <v>9.7754016185003234E-3</v>
      </c>
      <c r="V225" s="193">
        <f t="shared" si="62"/>
        <v>1.7362401496506363E-2</v>
      </c>
      <c r="W225" s="193">
        <f t="shared" si="62"/>
        <v>2.1068743886636154E-2</v>
      </c>
      <c r="X225" s="193">
        <f t="shared" si="62"/>
        <v>2.8392474743654139E-2</v>
      </c>
      <c r="Y225" s="193">
        <f t="shared" si="62"/>
        <v>2.4077944532118423E-2</v>
      </c>
      <c r="Z225" s="193">
        <f t="shared" si="62"/>
        <v>2.0960417777992735E-2</v>
      </c>
      <c r="AA225" s="193">
        <f t="shared" si="62"/>
        <v>2.2069094486922403E-2</v>
      </c>
      <c r="AB225" s="193">
        <f t="shared" si="62"/>
        <v>2.68201318692316E-2</v>
      </c>
      <c r="AC225" s="193">
        <f t="shared" si="62"/>
        <v>2.7976376322002894E-2</v>
      </c>
      <c r="AD225" s="193">
        <f t="shared" si="62"/>
        <v>2.961794115171279E-2</v>
      </c>
      <c r="AE225" s="193">
        <f t="shared" si="62"/>
        <v>3.6826741839205202E-2</v>
      </c>
      <c r="AF225" s="193">
        <f t="shared" si="62"/>
        <v>3.4705686168948091E-2</v>
      </c>
      <c r="AG225" s="193">
        <f t="shared" si="62"/>
        <v>2.5585907129809238E-2</v>
      </c>
      <c r="AH225" s="193">
        <f t="shared" si="62"/>
        <v>1.6615772076390645E-2</v>
      </c>
      <c r="AI225" s="193">
        <f t="shared" si="62"/>
        <v>5.6992745486132979E-3</v>
      </c>
      <c r="AJ225" s="193">
        <f t="shared" si="62"/>
        <v>-3.5594235020666165E-3</v>
      </c>
      <c r="AK225" s="193">
        <f t="shared" si="62"/>
        <v>-8.2723201692973536E-3</v>
      </c>
      <c r="AL225" s="193">
        <f t="shared" si="62"/>
        <v>-1.502385883905899E-2</v>
      </c>
      <c r="AM225" s="193">
        <f t="shared" si="62"/>
        <v>-1.4146332178123666E-2</v>
      </c>
      <c r="AN225" s="193">
        <f t="shared" si="62"/>
        <v>-1.2543455347841181E-2</v>
      </c>
      <c r="AO225" s="193">
        <f t="shared" si="62"/>
        <v>-8.7486156777666357E-3</v>
      </c>
      <c r="AP225" s="193">
        <f t="shared" si="62"/>
        <v>-1.0072415550843261E-2</v>
      </c>
      <c r="AQ225" s="193">
        <f t="shared" si="62"/>
        <v>-1.0275642983668898E-2</v>
      </c>
      <c r="AR225" s="193">
        <f t="shared" si="62"/>
        <v>-6.9724458186745109E-3</v>
      </c>
      <c r="AS225" s="193">
        <f t="shared" si="62"/>
        <v>-9.7377110315299831E-4</v>
      </c>
      <c r="AT225" s="193">
        <f t="shared" si="62"/>
        <v>-2.7189565079680511E-3</v>
      </c>
      <c r="AU225" s="193">
        <f t="shared" si="62"/>
        <v>4.8354475933822805E-3</v>
      </c>
      <c r="AV225" s="193">
        <f t="shared" si="62"/>
        <v>2.1654803502737519E-2</v>
      </c>
      <c r="AW225" s="193">
        <f t="shared" si="62"/>
        <v>2.3701227522727297E-2</v>
      </c>
      <c r="AX225" s="193">
        <f t="shared" si="62"/>
        <v>2.4669878525195754E-2</v>
      </c>
      <c r="AY225" s="193">
        <f t="shared" si="62"/>
        <v>2.4410316191723069E-2</v>
      </c>
      <c r="AZ225" s="193">
        <f t="shared" si="62"/>
        <v>1.7859830606798521E-2</v>
      </c>
      <c r="BA225" s="193">
        <f t="shared" si="62"/>
        <v>7.7424300552426661E-3</v>
      </c>
      <c r="BB225" s="193">
        <f t="shared" si="62"/>
        <v>1.6366037512809406E-3</v>
      </c>
      <c r="BC225" s="193">
        <f t="shared" si="62"/>
        <v>-2.4508944838153024E-3</v>
      </c>
      <c r="BD225" s="193">
        <f t="shared" si="62"/>
        <v>-5.0048291455467853E-3</v>
      </c>
      <c r="BE225" s="193">
        <f t="shared" si="62"/>
        <v>-5.0300034534327409E-3</v>
      </c>
      <c r="BF225" s="193">
        <f t="shared" si="62"/>
        <v>-5.4690585740462261E-3</v>
      </c>
      <c r="BG225" s="193">
        <f t="shared" si="62"/>
        <v>-7.393793153786965E-3</v>
      </c>
      <c r="BH225" s="193">
        <f t="shared" si="62"/>
        <v>-5.9590948376428976E-3</v>
      </c>
      <c r="BI225" s="193">
        <f t="shared" si="62"/>
        <v>-8.5707171168183383E-3</v>
      </c>
      <c r="BJ225" s="193">
        <f t="shared" si="62"/>
        <v>-8.030697193784686E-3</v>
      </c>
      <c r="BK225" s="193">
        <f t="shared" si="62"/>
        <v>-7.1908965970135519E-3</v>
      </c>
      <c r="BL225" s="193">
        <f t="shared" si="62"/>
        <v>-4.2210745059108046E-3</v>
      </c>
      <c r="BM225" s="193">
        <f t="shared" si="62"/>
        <v>-4.5761581004465368E-3</v>
      </c>
      <c r="BN225" s="193">
        <f t="shared" si="62"/>
        <v>-9.678306514325774E-4</v>
      </c>
      <c r="BO225" s="193">
        <f t="shared" si="62"/>
        <v>3.390688892654925E-4</v>
      </c>
      <c r="BP225" s="193">
        <f t="shared" ref="BP225:BQ225" si="63">SUM(BP$155:BP$159)/SUM(BO$155:BO$159)-1</f>
        <v>7.2632991540522163E-4</v>
      </c>
      <c r="BQ225" s="193">
        <f t="shared" si="63"/>
        <v>1.258058088144498E-3</v>
      </c>
    </row>
    <row r="226" spans="1:69">
      <c r="A226" s="184" t="s">
        <v>1307</v>
      </c>
      <c r="C226" s="193">
        <f>SUM(C$160:C$164)/SUM(B$160:B$164)-1</f>
        <v>2.4173518253382875E-2</v>
      </c>
      <c r="D226" s="193">
        <f t="shared" ref="D226:BO226" si="64">SUM(D$160:D$164)/SUM(C$160:C$164)-1</f>
        <v>2.0970270406062363E-2</v>
      </c>
      <c r="E226" s="193">
        <f t="shared" si="64"/>
        <v>2.5499299486472671E-2</v>
      </c>
      <c r="F226" s="193">
        <f t="shared" si="64"/>
        <v>2.500845974653676E-2</v>
      </c>
      <c r="G226" s="193">
        <f t="shared" si="64"/>
        <v>2.1068455363950411E-2</v>
      </c>
      <c r="H226" s="193">
        <f t="shared" si="64"/>
        <v>1.9970589912331693E-2</v>
      </c>
      <c r="I226" s="193">
        <f t="shared" si="64"/>
        <v>1.8730296271229685E-2</v>
      </c>
      <c r="J226" s="193">
        <f t="shared" si="64"/>
        <v>1.4266430995575785E-2</v>
      </c>
      <c r="K226" s="193">
        <f t="shared" si="64"/>
        <v>9.4825412084107441E-3</v>
      </c>
      <c r="L226" s="193">
        <f t="shared" si="64"/>
        <v>6.3242677372197242E-3</v>
      </c>
      <c r="M226" s="193">
        <f t="shared" si="64"/>
        <v>-1.1875043438104305E-3</v>
      </c>
      <c r="N226" s="193">
        <f t="shared" si="64"/>
        <v>4.4729847729834127E-3</v>
      </c>
      <c r="O226" s="193">
        <f t="shared" si="64"/>
        <v>3.9626437843796047E-3</v>
      </c>
      <c r="P226" s="193">
        <f t="shared" si="64"/>
        <v>1.6986475550700098E-2</v>
      </c>
      <c r="Q226" s="193">
        <f t="shared" si="64"/>
        <v>1.6668926300113851E-2</v>
      </c>
      <c r="R226" s="193">
        <f t="shared" si="64"/>
        <v>1.5598090367174855E-2</v>
      </c>
      <c r="S226" s="193">
        <f t="shared" si="64"/>
        <v>6.1331154892720896E-3</v>
      </c>
      <c r="T226" s="193">
        <f t="shared" si="64"/>
        <v>-8.7452874623556998E-3</v>
      </c>
      <c r="U226" s="193">
        <f t="shared" si="64"/>
        <v>-1.37522168253712E-2</v>
      </c>
      <c r="V226" s="193">
        <f t="shared" si="64"/>
        <v>-2.2668934069915325E-2</v>
      </c>
      <c r="W226" s="193">
        <f t="shared" si="64"/>
        <v>-2.2157971056062209E-2</v>
      </c>
      <c r="X226" s="193">
        <f t="shared" si="64"/>
        <v>-1.8395199413301366E-2</v>
      </c>
      <c r="Y226" s="193">
        <f t="shared" si="64"/>
        <v>-3.3352215704192112E-3</v>
      </c>
      <c r="Z226" s="193">
        <f t="shared" si="64"/>
        <v>7.8315406059150661E-3</v>
      </c>
      <c r="AA226" s="193">
        <f t="shared" si="64"/>
        <v>1.5943252017029952E-2</v>
      </c>
      <c r="AB226" s="193">
        <f t="shared" si="64"/>
        <v>1.9754769041804732E-2</v>
      </c>
      <c r="AC226" s="193">
        <f t="shared" si="64"/>
        <v>2.7516653300462268E-2</v>
      </c>
      <c r="AD226" s="193">
        <f t="shared" si="64"/>
        <v>2.3241334822076354E-2</v>
      </c>
      <c r="AE226" s="193">
        <f t="shared" si="64"/>
        <v>2.0521261794755219E-2</v>
      </c>
      <c r="AF226" s="193">
        <f t="shared" si="64"/>
        <v>2.1719683191539385E-2</v>
      </c>
      <c r="AG226" s="193">
        <f t="shared" si="64"/>
        <v>2.6806062638571548E-2</v>
      </c>
      <c r="AH226" s="193">
        <f t="shared" si="64"/>
        <v>2.8267558983064545E-2</v>
      </c>
      <c r="AI226" s="193">
        <f t="shared" si="64"/>
        <v>3.0090172927528025E-2</v>
      </c>
      <c r="AJ226" s="193">
        <f t="shared" si="64"/>
        <v>3.7426853567418483E-2</v>
      </c>
      <c r="AK226" s="193">
        <f t="shared" si="64"/>
        <v>3.5144941825141496E-2</v>
      </c>
      <c r="AL226" s="193">
        <f t="shared" si="64"/>
        <v>2.5901305237933769E-2</v>
      </c>
      <c r="AM226" s="193">
        <f t="shared" si="64"/>
        <v>1.6912810491264141E-2</v>
      </c>
      <c r="AN226" s="193">
        <f t="shared" si="64"/>
        <v>5.8953243053811999E-3</v>
      </c>
      <c r="AO226" s="193">
        <f t="shared" si="64"/>
        <v>-3.3830479141215841E-3</v>
      </c>
      <c r="AP226" s="193">
        <f t="shared" si="64"/>
        <v>-8.1755624506898439E-3</v>
      </c>
      <c r="AQ226" s="193">
        <f t="shared" si="64"/>
        <v>-1.5039774313649668E-2</v>
      </c>
      <c r="AR226" s="193">
        <f t="shared" si="64"/>
        <v>-1.4045911531831878E-2</v>
      </c>
      <c r="AS226" s="193">
        <f t="shared" si="64"/>
        <v>-1.2607966794149661E-2</v>
      </c>
      <c r="AT226" s="193">
        <f t="shared" si="64"/>
        <v>-8.7472385234824701E-3</v>
      </c>
      <c r="AU226" s="193">
        <f t="shared" si="64"/>
        <v>-9.9908752651292065E-3</v>
      </c>
      <c r="AV226" s="193">
        <f t="shared" si="64"/>
        <v>-1.0245380896314105E-2</v>
      </c>
      <c r="AW226" s="193">
        <f t="shared" si="64"/>
        <v>-6.8837044703249362E-3</v>
      </c>
      <c r="AX226" s="193">
        <f t="shared" si="64"/>
        <v>-9.3808668796246941E-4</v>
      </c>
      <c r="AY226" s="193">
        <f t="shared" si="64"/>
        <v>-2.5039133890512044E-3</v>
      </c>
      <c r="AZ226" s="193">
        <f t="shared" si="64"/>
        <v>5.0203974184168665E-3</v>
      </c>
      <c r="BA226" s="193">
        <f t="shared" si="64"/>
        <v>2.2010624044767058E-2</v>
      </c>
      <c r="BB226" s="193">
        <f t="shared" si="64"/>
        <v>2.4031372575999743E-2</v>
      </c>
      <c r="BC226" s="193">
        <f t="shared" si="64"/>
        <v>2.500871060717702E-2</v>
      </c>
      <c r="BD226" s="193">
        <f t="shared" si="64"/>
        <v>2.4689570912656444E-2</v>
      </c>
      <c r="BE226" s="193">
        <f t="shared" si="64"/>
        <v>1.8082846960465915E-2</v>
      </c>
      <c r="BF226" s="193">
        <f t="shared" si="64"/>
        <v>8.0438956239545778E-3</v>
      </c>
      <c r="BG226" s="193">
        <f t="shared" si="64"/>
        <v>1.7527681627262925E-3</v>
      </c>
      <c r="BH226" s="193">
        <f t="shared" si="64"/>
        <v>-2.4403729242565841E-3</v>
      </c>
      <c r="BI226" s="193">
        <f t="shared" si="64"/>
        <v>-4.9388432399890547E-3</v>
      </c>
      <c r="BJ226" s="193">
        <f t="shared" si="64"/>
        <v>-5.0097429887409062E-3</v>
      </c>
      <c r="BK226" s="193">
        <f t="shared" si="64"/>
        <v>-5.4079273882980949E-3</v>
      </c>
      <c r="BL226" s="193">
        <f t="shared" si="64"/>
        <v>-7.3122741838165251E-3</v>
      </c>
      <c r="BM226" s="193">
        <f t="shared" si="64"/>
        <v>-5.9023536860274284E-3</v>
      </c>
      <c r="BN226" s="193">
        <f t="shared" si="64"/>
        <v>-8.549853567599186E-3</v>
      </c>
      <c r="BO226" s="193">
        <f t="shared" si="64"/>
        <v>-8.0007695513648613E-3</v>
      </c>
      <c r="BP226" s="193">
        <f t="shared" ref="BP226:BQ226" si="65">SUM(BP$160:BP$164)/SUM(BO$160:BO$164)-1</f>
        <v>-7.2442797693156313E-3</v>
      </c>
      <c r="BQ226" s="193">
        <f t="shared" si="65"/>
        <v>-4.1350473088435091E-3</v>
      </c>
    </row>
    <row r="227" spans="1:69">
      <c r="A227" s="184" t="s">
        <v>1308</v>
      </c>
      <c r="C227" s="193">
        <f>SUM(C$165:C$169)/SUM(B$165:B$169)-1</f>
        <v>2.0920120369631867E-3</v>
      </c>
      <c r="D227" s="193">
        <f t="shared" ref="D227:BO227" si="66">SUM(D$165:D$169)/SUM(C$165:C$169)-1</f>
        <v>3.0933180828285334E-3</v>
      </c>
      <c r="E227" s="193">
        <f t="shared" si="66"/>
        <v>1.0659146722185264E-2</v>
      </c>
      <c r="F227" s="193">
        <f t="shared" si="66"/>
        <v>1.6056482859342802E-2</v>
      </c>
      <c r="G227" s="193">
        <f t="shared" si="66"/>
        <v>2.1027283095238491E-2</v>
      </c>
      <c r="H227" s="193">
        <f t="shared" si="66"/>
        <v>2.219099263287716E-2</v>
      </c>
      <c r="I227" s="193">
        <f t="shared" si="66"/>
        <v>2.0662721033520626E-2</v>
      </c>
      <c r="J227" s="193">
        <f t="shared" si="66"/>
        <v>2.8573837941068048E-2</v>
      </c>
      <c r="K227" s="193">
        <f t="shared" si="66"/>
        <v>2.9426078432041702E-2</v>
      </c>
      <c r="L227" s="193">
        <f t="shared" si="66"/>
        <v>3.4287711576175495E-2</v>
      </c>
      <c r="M227" s="193">
        <f t="shared" si="66"/>
        <v>3.3005168698290621E-2</v>
      </c>
      <c r="N227" s="193">
        <f t="shared" si="66"/>
        <v>3.1683512740631192E-2</v>
      </c>
      <c r="O227" s="193">
        <f t="shared" si="66"/>
        <v>1.3973621106442069E-2</v>
      </c>
      <c r="P227" s="193">
        <f t="shared" si="66"/>
        <v>1.5167006410077954E-2</v>
      </c>
      <c r="Q227" s="193">
        <f t="shared" si="66"/>
        <v>-1.1075192262310907E-4</v>
      </c>
      <c r="R227" s="193">
        <f t="shared" si="66"/>
        <v>-6.2815009794368049E-3</v>
      </c>
      <c r="S227" s="193">
        <f t="shared" si="66"/>
        <v>-3.7016963719324059E-3</v>
      </c>
      <c r="T227" s="193">
        <f t="shared" si="66"/>
        <v>2.2983920261712143E-3</v>
      </c>
      <c r="U227" s="193">
        <f t="shared" si="66"/>
        <v>8.3790594108910099E-3</v>
      </c>
      <c r="V227" s="193">
        <f t="shared" si="66"/>
        <v>1.4066101965442224E-2</v>
      </c>
      <c r="W227" s="193">
        <f t="shared" si="66"/>
        <v>1.3430139881427605E-2</v>
      </c>
      <c r="X227" s="193">
        <f t="shared" si="66"/>
        <v>3.6681072880220267E-3</v>
      </c>
      <c r="Y227" s="193">
        <f t="shared" si="66"/>
        <v>-8.436774422658333E-3</v>
      </c>
      <c r="Z227" s="193">
        <f t="shared" si="66"/>
        <v>-1.4824291183457849E-2</v>
      </c>
      <c r="AA227" s="193">
        <f t="shared" si="66"/>
        <v>-2.2600757498219104E-2</v>
      </c>
      <c r="AB227" s="193">
        <f t="shared" si="66"/>
        <v>-2.1953620185224176E-2</v>
      </c>
      <c r="AC227" s="193">
        <f t="shared" si="66"/>
        <v>-1.8394972585905611E-2</v>
      </c>
      <c r="AD227" s="193">
        <f t="shared" si="66"/>
        <v>-3.3148361212377297E-3</v>
      </c>
      <c r="AE227" s="193">
        <f t="shared" si="66"/>
        <v>8.07709052586425E-3</v>
      </c>
      <c r="AF227" s="193">
        <f t="shared" si="66"/>
        <v>1.6092078586537051E-2</v>
      </c>
      <c r="AG227" s="193">
        <f t="shared" si="66"/>
        <v>1.9945626113968551E-2</v>
      </c>
      <c r="AH227" s="193">
        <f t="shared" si="66"/>
        <v>2.7676665024387148E-2</v>
      </c>
      <c r="AI227" s="193">
        <f t="shared" si="66"/>
        <v>2.3580689233683838E-2</v>
      </c>
      <c r="AJ227" s="193">
        <f t="shared" si="66"/>
        <v>2.0752234030533279E-2</v>
      </c>
      <c r="AK227" s="193">
        <f t="shared" si="66"/>
        <v>2.2024528692570877E-2</v>
      </c>
      <c r="AL227" s="193">
        <f t="shared" si="66"/>
        <v>2.7114986899617E-2</v>
      </c>
      <c r="AM227" s="193">
        <f t="shared" si="66"/>
        <v>2.8531857986207942E-2</v>
      </c>
      <c r="AN227" s="193">
        <f t="shared" si="66"/>
        <v>3.048639036582701E-2</v>
      </c>
      <c r="AO227" s="193">
        <f t="shared" si="66"/>
        <v>3.7470032352802551E-2</v>
      </c>
      <c r="AP227" s="193">
        <f t="shared" si="66"/>
        <v>3.5487708245184768E-2</v>
      </c>
      <c r="AQ227" s="193">
        <f t="shared" si="66"/>
        <v>2.6121255008511479E-2</v>
      </c>
      <c r="AR227" s="193">
        <f t="shared" si="66"/>
        <v>1.7118871363020371E-2</v>
      </c>
      <c r="AS227" s="193">
        <f t="shared" si="66"/>
        <v>6.1114531475092715E-3</v>
      </c>
      <c r="AT227" s="193">
        <f t="shared" si="66"/>
        <v>-3.1817919903072145E-3</v>
      </c>
      <c r="AU227" s="193">
        <f t="shared" si="66"/>
        <v>-8.0282331131337203E-3</v>
      </c>
      <c r="AV227" s="193">
        <f t="shared" si="66"/>
        <v>-1.4918803758553145E-2</v>
      </c>
      <c r="AW227" s="193">
        <f t="shared" si="66"/>
        <v>-1.385793682162284E-2</v>
      </c>
      <c r="AX227" s="193">
        <f t="shared" si="66"/>
        <v>-1.23462813371783E-2</v>
      </c>
      <c r="AY227" s="193">
        <f t="shared" si="66"/>
        <v>-8.4353760213642381E-3</v>
      </c>
      <c r="AZ227" s="193">
        <f t="shared" si="66"/>
        <v>-9.8908278649947334E-3</v>
      </c>
      <c r="BA227" s="193">
        <f t="shared" si="66"/>
        <v>-1.0041393371125196E-2</v>
      </c>
      <c r="BB227" s="193">
        <f t="shared" si="66"/>
        <v>-6.6924507653082221E-3</v>
      </c>
      <c r="BC227" s="193">
        <f t="shared" si="66"/>
        <v>-7.3691859386304515E-4</v>
      </c>
      <c r="BD227" s="193">
        <f t="shared" si="66"/>
        <v>-2.4230895710237732E-3</v>
      </c>
      <c r="BE227" s="193">
        <f t="shared" si="66"/>
        <v>5.2803808597570168E-3</v>
      </c>
      <c r="BF227" s="193">
        <f t="shared" si="66"/>
        <v>2.2166161453501587E-2</v>
      </c>
      <c r="BG227" s="193">
        <f t="shared" si="66"/>
        <v>2.4152072269355784E-2</v>
      </c>
      <c r="BH227" s="193">
        <f t="shared" si="66"/>
        <v>2.518812330479725E-2</v>
      </c>
      <c r="BI227" s="193">
        <f t="shared" si="66"/>
        <v>2.4960811658412352E-2</v>
      </c>
      <c r="BJ227" s="193">
        <f t="shared" si="66"/>
        <v>1.8240831402694946E-2</v>
      </c>
      <c r="BK227" s="193">
        <f t="shared" si="66"/>
        <v>8.1598092482839668E-3</v>
      </c>
      <c r="BL227" s="193">
        <f t="shared" si="66"/>
        <v>1.9536675741564924E-3</v>
      </c>
      <c r="BM227" s="193">
        <f t="shared" si="66"/>
        <v>-2.3212597612118913E-3</v>
      </c>
      <c r="BN227" s="193">
        <f t="shared" si="66"/>
        <v>-4.7929207221074632E-3</v>
      </c>
      <c r="BO227" s="193">
        <f t="shared" si="66"/>
        <v>-4.8627607598140665E-3</v>
      </c>
      <c r="BP227" s="193">
        <f t="shared" ref="BP227:BQ227" si="67">SUM(BP$165:BP$169)/SUM(BO$165:BO$169)-1</f>
        <v>-5.2624091163528952E-3</v>
      </c>
      <c r="BQ227" s="193">
        <f t="shared" si="67"/>
        <v>-7.2268574196714397E-3</v>
      </c>
    </row>
    <row r="228" spans="1:69">
      <c r="A228" s="184" t="s">
        <v>1309</v>
      </c>
      <c r="C228" s="193">
        <f>SUM(C$170:C$174)/SUM(B$170:B$174)-1</f>
        <v>5.90181675391519E-2</v>
      </c>
      <c r="D228" s="193">
        <f t="shared" ref="D228:BO228" si="68">SUM(D$170:D$174)/SUM(C$170:C$174)-1</f>
        <v>7.1730104739982758E-2</v>
      </c>
      <c r="E228" s="193">
        <f t="shared" si="68"/>
        <v>4.5907584559734316E-2</v>
      </c>
      <c r="F228" s="193">
        <f t="shared" si="68"/>
        <v>4.1660100521514476E-2</v>
      </c>
      <c r="G228" s="193">
        <f t="shared" si="68"/>
        <v>3.1285126186273216E-2</v>
      </c>
      <c r="H228" s="193">
        <f t="shared" si="68"/>
        <v>1.3803974568609156E-3</v>
      </c>
      <c r="I228" s="193">
        <f t="shared" si="68"/>
        <v>3.6290190980801107E-3</v>
      </c>
      <c r="J228" s="193">
        <f t="shared" si="68"/>
        <v>1.2449109370106015E-2</v>
      </c>
      <c r="K228" s="193">
        <f t="shared" si="68"/>
        <v>1.8836257395005829E-2</v>
      </c>
      <c r="L228" s="193">
        <f t="shared" si="68"/>
        <v>2.7738851417970611E-2</v>
      </c>
      <c r="M228" s="193">
        <f t="shared" si="68"/>
        <v>2.6985399595743642E-2</v>
      </c>
      <c r="N228" s="193">
        <f t="shared" si="68"/>
        <v>2.800986629119917E-2</v>
      </c>
      <c r="O228" s="193">
        <f t="shared" si="68"/>
        <v>3.1914422159215583E-2</v>
      </c>
      <c r="P228" s="193">
        <f t="shared" si="68"/>
        <v>3.9380790646227126E-2</v>
      </c>
      <c r="Q228" s="193">
        <f t="shared" si="68"/>
        <v>2.6885795896146591E-2</v>
      </c>
      <c r="R228" s="193">
        <f t="shared" si="68"/>
        <v>2.7957653577647568E-2</v>
      </c>
      <c r="S228" s="193">
        <f t="shared" si="68"/>
        <v>2.5136439971191971E-2</v>
      </c>
      <c r="T228" s="193">
        <f t="shared" si="68"/>
        <v>1.5270344488796939E-2</v>
      </c>
      <c r="U228" s="193">
        <f t="shared" si="68"/>
        <v>8.9868551291338861E-3</v>
      </c>
      <c r="V228" s="193">
        <f t="shared" si="68"/>
        <v>8.3053589448955911E-4</v>
      </c>
      <c r="W228" s="193">
        <f t="shared" si="68"/>
        <v>-5.0739154743505432E-3</v>
      </c>
      <c r="X228" s="193">
        <f t="shared" si="68"/>
        <v>-3.0982366378190518E-3</v>
      </c>
      <c r="Y228" s="193">
        <f t="shared" si="68"/>
        <v>3.4671728520707656E-3</v>
      </c>
      <c r="Z228" s="193">
        <f t="shared" si="68"/>
        <v>7.7967934882010592E-3</v>
      </c>
      <c r="AA228" s="193">
        <f t="shared" si="68"/>
        <v>1.4238102310308198E-2</v>
      </c>
      <c r="AB228" s="193">
        <f t="shared" si="68"/>
        <v>1.3578440349550025E-2</v>
      </c>
      <c r="AC228" s="193">
        <f t="shared" si="68"/>
        <v>3.7171569814626881E-3</v>
      </c>
      <c r="AD228" s="193">
        <f t="shared" si="68"/>
        <v>-8.0660873922221432E-3</v>
      </c>
      <c r="AE228" s="193">
        <f t="shared" si="68"/>
        <v>-1.449834101130687E-2</v>
      </c>
      <c r="AF228" s="193">
        <f t="shared" si="68"/>
        <v>-2.2003489343636384E-2</v>
      </c>
      <c r="AG228" s="193">
        <f t="shared" si="68"/>
        <v>-2.1190481235428771E-2</v>
      </c>
      <c r="AH228" s="193">
        <f t="shared" si="68"/>
        <v>-1.7840576607091818E-2</v>
      </c>
      <c r="AI228" s="193">
        <f t="shared" si="68"/>
        <v>-2.7212950315965712E-3</v>
      </c>
      <c r="AJ228" s="193">
        <f t="shared" si="68"/>
        <v>8.3225980912051689E-3</v>
      </c>
      <c r="AK228" s="193">
        <f t="shared" si="68"/>
        <v>1.6237188519665935E-2</v>
      </c>
      <c r="AL228" s="193">
        <f t="shared" si="68"/>
        <v>2.0105341336381866E-2</v>
      </c>
      <c r="AM228" s="193">
        <f t="shared" si="68"/>
        <v>2.7801554850377608E-2</v>
      </c>
      <c r="AN228" s="193">
        <f t="shared" si="68"/>
        <v>2.3493728190087548E-2</v>
      </c>
      <c r="AO228" s="193">
        <f t="shared" si="68"/>
        <v>2.0845115579588569E-2</v>
      </c>
      <c r="AP228" s="193">
        <f t="shared" si="68"/>
        <v>2.2060319598341316E-2</v>
      </c>
      <c r="AQ228" s="193">
        <f t="shared" si="68"/>
        <v>2.7113993650578871E-2</v>
      </c>
      <c r="AR228" s="193">
        <f t="shared" si="68"/>
        <v>2.8598084830935733E-2</v>
      </c>
      <c r="AS228" s="193">
        <f t="shared" si="68"/>
        <v>3.0391913859367126E-2</v>
      </c>
      <c r="AT228" s="193">
        <f t="shared" si="68"/>
        <v>3.7470195899711012E-2</v>
      </c>
      <c r="AU228" s="193">
        <f t="shared" si="68"/>
        <v>3.532716110037315E-2</v>
      </c>
      <c r="AV228" s="193">
        <f t="shared" si="68"/>
        <v>2.6137962471197707E-2</v>
      </c>
      <c r="AW228" s="193">
        <f t="shared" si="68"/>
        <v>1.7196193803137749E-2</v>
      </c>
      <c r="AX228" s="193">
        <f t="shared" si="68"/>
        <v>6.3334665633973941E-3</v>
      </c>
      <c r="AY228" s="193">
        <f t="shared" si="68"/>
        <v>-2.9047413317755399E-3</v>
      </c>
      <c r="AZ228" s="193">
        <f t="shared" si="68"/>
        <v>-7.6228823194867124E-3</v>
      </c>
      <c r="BA228" s="193">
        <f t="shared" si="68"/>
        <v>-1.4482199712852251E-2</v>
      </c>
      <c r="BB228" s="193">
        <f t="shared" si="68"/>
        <v>-1.340423744664021E-2</v>
      </c>
      <c r="BC228" s="193">
        <f t="shared" si="68"/>
        <v>-1.1976117809400111E-2</v>
      </c>
      <c r="BD228" s="193">
        <f t="shared" si="68"/>
        <v>-8.0978324087711551E-3</v>
      </c>
      <c r="BE228" s="193">
        <f t="shared" si="68"/>
        <v>-9.3962358780370625E-3</v>
      </c>
      <c r="BF228" s="193">
        <f t="shared" si="68"/>
        <v>-9.6926929119152128E-3</v>
      </c>
      <c r="BG228" s="193">
        <f t="shared" si="68"/>
        <v>-6.3854674297277869E-3</v>
      </c>
      <c r="BH228" s="193">
        <f t="shared" si="68"/>
        <v>-4.7408633553924773E-4</v>
      </c>
      <c r="BI228" s="193">
        <f t="shared" si="68"/>
        <v>-2.1080497777689056E-3</v>
      </c>
      <c r="BJ228" s="193">
        <f t="shared" si="68"/>
        <v>5.4396953262787484E-3</v>
      </c>
      <c r="BK228" s="193">
        <f t="shared" si="68"/>
        <v>2.2061275296857197E-2</v>
      </c>
      <c r="BL228" s="193">
        <f t="shared" si="68"/>
        <v>2.4308912520651482E-2</v>
      </c>
      <c r="BM228" s="193">
        <f t="shared" si="68"/>
        <v>2.5187041377227937E-2</v>
      </c>
      <c r="BN228" s="193">
        <f t="shared" si="68"/>
        <v>2.4812943683957478E-2</v>
      </c>
      <c r="BO228" s="193">
        <f t="shared" si="68"/>
        <v>1.8194943200007474E-2</v>
      </c>
      <c r="BP228" s="193">
        <f t="shared" ref="BP228:BQ228" si="69">SUM(BP$170:BP$174)/SUM(BO$170:BO$174)-1</f>
        <v>8.3017195721155623E-3</v>
      </c>
      <c r="BQ228" s="193">
        <f t="shared" si="69"/>
        <v>2.0932292684896492E-3</v>
      </c>
    </row>
    <row r="229" spans="1:69">
      <c r="A229" s="184" t="s">
        <v>1310</v>
      </c>
      <c r="C229" s="193">
        <f>SUM(C$175:C$200)/SUM(B$175:B$200)-1</f>
        <v>3.2405168833443465E-2</v>
      </c>
      <c r="D229" s="193">
        <f t="shared" ref="D229:BO229" si="70">SUM(D$175:D$200)/SUM(C$175:C$200)-1</f>
        <v>2.2074767207301838E-2</v>
      </c>
      <c r="E229" s="193">
        <f t="shared" si="70"/>
        <v>2.8900438639053005E-2</v>
      </c>
      <c r="F229" s="193">
        <f t="shared" si="70"/>
        <v>3.1859155268282757E-2</v>
      </c>
      <c r="G229" s="193">
        <f t="shared" si="70"/>
        <v>3.38978469178155E-2</v>
      </c>
      <c r="H229" s="193">
        <f t="shared" si="70"/>
        <v>4.4090583041381359E-2</v>
      </c>
      <c r="I229" s="193">
        <f t="shared" si="70"/>
        <v>4.1115587130481357E-2</v>
      </c>
      <c r="J229" s="193">
        <f t="shared" si="70"/>
        <v>3.8252935670389121E-2</v>
      </c>
      <c r="K229" s="193">
        <f t="shared" si="70"/>
        <v>3.4974686842977887E-2</v>
      </c>
      <c r="L229" s="193">
        <f t="shared" si="70"/>
        <v>3.8155926085562175E-2</v>
      </c>
      <c r="M229" s="193">
        <f t="shared" si="70"/>
        <v>3.4362683468489363E-2</v>
      </c>
      <c r="N229" s="193">
        <f t="shared" si="70"/>
        <v>3.3552990600453914E-2</v>
      </c>
      <c r="O229" s="193">
        <f t="shared" si="70"/>
        <v>3.5518846162675866E-2</v>
      </c>
      <c r="P229" s="193">
        <f t="shared" si="70"/>
        <v>4.4483227299524586E-2</v>
      </c>
      <c r="Q229" s="193">
        <f t="shared" si="70"/>
        <v>3.5228299044123945E-2</v>
      </c>
      <c r="R229" s="193">
        <f t="shared" si="70"/>
        <v>3.3248454359974255E-2</v>
      </c>
      <c r="S229" s="193">
        <f t="shared" si="70"/>
        <v>3.2799349111845455E-2</v>
      </c>
      <c r="T229" s="193">
        <f t="shared" si="70"/>
        <v>3.4666778500964224E-2</v>
      </c>
      <c r="U229" s="193">
        <f t="shared" si="70"/>
        <v>3.5026644593106004E-2</v>
      </c>
      <c r="V229" s="193">
        <f t="shared" si="70"/>
        <v>3.3943709270418232E-2</v>
      </c>
      <c r="W229" s="193">
        <f t="shared" si="70"/>
        <v>3.3953913890827359E-2</v>
      </c>
      <c r="X229" s="193">
        <f t="shared" si="70"/>
        <v>3.2415505747039663E-2</v>
      </c>
      <c r="Y229" s="193">
        <f t="shared" si="70"/>
        <v>2.9733128682595034E-2</v>
      </c>
      <c r="Z229" s="193">
        <f t="shared" si="70"/>
        <v>2.6567701537440591E-2</v>
      </c>
      <c r="AA229" s="193">
        <f t="shared" si="70"/>
        <v>2.4186748735243402E-2</v>
      </c>
      <c r="AB229" s="193">
        <f t="shared" si="70"/>
        <v>2.2638098128893613E-2</v>
      </c>
      <c r="AC229" s="193">
        <f t="shared" si="70"/>
        <v>2.235196988893029E-2</v>
      </c>
      <c r="AD229" s="193">
        <f t="shared" si="70"/>
        <v>2.2110535295237765E-2</v>
      </c>
      <c r="AE229" s="193">
        <f t="shared" si="70"/>
        <v>2.0909353295508248E-2</v>
      </c>
      <c r="AF229" s="193">
        <f t="shared" si="70"/>
        <v>2.0728933302143204E-2</v>
      </c>
      <c r="AG229" s="193">
        <f t="shared" si="70"/>
        <v>1.9492877115319107E-2</v>
      </c>
      <c r="AH229" s="193">
        <f t="shared" si="70"/>
        <v>1.6772675810834414E-2</v>
      </c>
      <c r="AI229" s="193">
        <f t="shared" si="70"/>
        <v>1.3768968500643686E-2</v>
      </c>
      <c r="AJ229" s="193">
        <f t="shared" si="70"/>
        <v>1.1387061562279754E-2</v>
      </c>
      <c r="AK229" s="193">
        <f t="shared" si="70"/>
        <v>9.7250410704019519E-3</v>
      </c>
      <c r="AL229" s="193">
        <f t="shared" si="70"/>
        <v>9.2596949476440038E-3</v>
      </c>
      <c r="AM229" s="193">
        <f t="shared" si="70"/>
        <v>8.0379045513290226E-3</v>
      </c>
      <c r="AN229" s="193">
        <f t="shared" si="70"/>
        <v>9.1174660970110288E-3</v>
      </c>
      <c r="AO229" s="193">
        <f t="shared" si="70"/>
        <v>9.5073061736097308E-3</v>
      </c>
      <c r="AP229" s="193">
        <f t="shared" si="70"/>
        <v>9.9479078544446597E-3</v>
      </c>
      <c r="AQ229" s="193">
        <f t="shared" si="70"/>
        <v>1.0529226688223092E-2</v>
      </c>
      <c r="AR229" s="193">
        <f t="shared" si="70"/>
        <v>1.1229245107859498E-2</v>
      </c>
      <c r="AS229" s="193">
        <f t="shared" si="70"/>
        <v>1.1527579854190062E-2</v>
      </c>
      <c r="AT229" s="193">
        <f t="shared" si="70"/>
        <v>1.1455953358948223E-2</v>
      </c>
      <c r="AU229" s="193">
        <f t="shared" si="70"/>
        <v>1.2241747810228798E-2</v>
      </c>
      <c r="AV229" s="193">
        <f t="shared" si="70"/>
        <v>1.4209003127706454E-2</v>
      </c>
      <c r="AW229" s="193">
        <f t="shared" si="70"/>
        <v>1.5549015105639663E-2</v>
      </c>
      <c r="AX229" s="193">
        <f t="shared" si="70"/>
        <v>1.6259911979020103E-2</v>
      </c>
      <c r="AY229" s="193">
        <f t="shared" si="70"/>
        <v>1.8313311093807627E-2</v>
      </c>
      <c r="AZ229" s="193">
        <f t="shared" si="70"/>
        <v>1.8750405060272257E-2</v>
      </c>
      <c r="BA229" s="193">
        <f t="shared" si="70"/>
        <v>1.8378429214034986E-2</v>
      </c>
      <c r="BB229" s="193">
        <f t="shared" si="70"/>
        <v>1.7400346488119389E-2</v>
      </c>
      <c r="BC229" s="193">
        <f t="shared" si="70"/>
        <v>1.5430080115497846E-2</v>
      </c>
      <c r="BD229" s="193">
        <f t="shared" si="70"/>
        <v>1.4889144529470988E-2</v>
      </c>
      <c r="BE229" s="193">
        <f t="shared" si="70"/>
        <v>1.4356158099287253E-2</v>
      </c>
      <c r="BF229" s="193">
        <f t="shared" si="70"/>
        <v>1.2466030342392687E-2</v>
      </c>
      <c r="BG229" s="193">
        <f t="shared" si="70"/>
        <v>1.2055264829137435E-2</v>
      </c>
      <c r="BH229" s="193">
        <f t="shared" si="70"/>
        <v>1.0737447374093545E-2</v>
      </c>
      <c r="BI229" s="193">
        <f t="shared" si="70"/>
        <v>1.135396129452837E-2</v>
      </c>
      <c r="BJ229" s="193">
        <f t="shared" si="70"/>
        <v>1.0563327546877943E-2</v>
      </c>
      <c r="BK229" s="193">
        <f t="shared" si="70"/>
        <v>8.788881755353195E-3</v>
      </c>
      <c r="BL229" s="193">
        <f t="shared" si="70"/>
        <v>9.1537340117751054E-3</v>
      </c>
      <c r="BM229" s="193">
        <f t="shared" si="70"/>
        <v>9.1282584307121883E-3</v>
      </c>
      <c r="BN229" s="193">
        <f t="shared" si="70"/>
        <v>9.2281977714738783E-3</v>
      </c>
      <c r="BO229" s="193">
        <f t="shared" si="70"/>
        <v>9.9123947495918241E-3</v>
      </c>
      <c r="BP229" s="193">
        <f t="shared" ref="BP229:BQ229" si="71">SUM(BP$175:BP$200)/SUM(BO$175:BO$200)-1</f>
        <v>1.1572197365840253E-2</v>
      </c>
      <c r="BQ229" s="193">
        <f t="shared" si="71"/>
        <v>1.2136823503838157E-2</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F144"/>
  <sheetViews>
    <sheetView zoomScaleNormal="100" workbookViewId="0">
      <pane xSplit="1" ySplit="8" topLeftCell="B9" activePane="bottomRight" state="frozen"/>
      <selection pane="topRight" activeCell="B1" sqref="B1"/>
      <selection pane="bottomLeft" activeCell="A16" sqref="A16"/>
      <selection pane="bottomRight" activeCell="J8" sqref="J8"/>
    </sheetView>
  </sheetViews>
  <sheetFormatPr defaultRowHeight="12.75"/>
  <cols>
    <col min="1" max="1" width="40.7109375" style="124" customWidth="1"/>
    <col min="2" max="4" width="10.7109375" style="124" customWidth="1"/>
    <col min="5" max="5" width="10.7109375" style="184" customWidth="1"/>
    <col min="6" max="9" width="10.7109375" style="124" customWidth="1"/>
    <col min="10" max="10" width="10.7109375" style="184" customWidth="1"/>
    <col min="11" max="53" width="10.7109375" style="124" customWidth="1"/>
    <col min="54" max="58" width="10.7109375" style="184" customWidth="1"/>
    <col min="59" max="16384" width="9.140625" style="124"/>
  </cols>
  <sheetData>
    <row r="1" spans="1:58">
      <c r="A1" s="108" t="s">
        <v>1044</v>
      </c>
    </row>
    <row r="2" spans="1:58">
      <c r="A2" s="108" t="s">
        <v>4</v>
      </c>
      <c r="B2" s="109" t="s">
        <v>16</v>
      </c>
      <c r="C2" s="109" t="s">
        <v>17</v>
      </c>
      <c r="D2" s="109" t="s">
        <v>18</v>
      </c>
      <c r="E2" s="192" t="s">
        <v>19</v>
      </c>
      <c r="F2" s="109" t="s">
        <v>20</v>
      </c>
      <c r="G2" s="109" t="s">
        <v>21</v>
      </c>
      <c r="H2" s="109" t="s">
        <v>22</v>
      </c>
      <c r="I2" s="109" t="s">
        <v>23</v>
      </c>
      <c r="J2" s="192" t="s">
        <v>24</v>
      </c>
      <c r="K2" s="109" t="s">
        <v>25</v>
      </c>
      <c r="L2" s="109" t="s">
        <v>26</v>
      </c>
      <c r="M2" s="109" t="s">
        <v>27</v>
      </c>
      <c r="N2" s="109" t="s">
        <v>28</v>
      </c>
      <c r="O2" s="109" t="s">
        <v>29</v>
      </c>
      <c r="P2" s="109" t="s">
        <v>30</v>
      </c>
      <c r="Q2" s="109" t="s">
        <v>31</v>
      </c>
      <c r="R2" s="109" t="s">
        <v>32</v>
      </c>
      <c r="S2" s="109" t="s">
        <v>33</v>
      </c>
      <c r="T2" s="109" t="s">
        <v>34</v>
      </c>
      <c r="U2" s="109" t="s">
        <v>35</v>
      </c>
      <c r="V2" s="109" t="s">
        <v>36</v>
      </c>
      <c r="W2" s="109" t="s">
        <v>37</v>
      </c>
      <c r="X2" s="109" t="s">
        <v>38</v>
      </c>
      <c r="Y2" s="109" t="s">
        <v>39</v>
      </c>
      <c r="Z2" s="109" t="s">
        <v>40</v>
      </c>
      <c r="AA2" s="109" t="s">
        <v>41</v>
      </c>
      <c r="AB2" s="109" t="s">
        <v>42</v>
      </c>
      <c r="AC2" s="109" t="s">
        <v>43</v>
      </c>
      <c r="AD2" s="109" t="s">
        <v>44</v>
      </c>
      <c r="AE2" s="109" t="s">
        <v>45</v>
      </c>
      <c r="AF2" s="109" t="s">
        <v>46</v>
      </c>
      <c r="AG2" s="109" t="s">
        <v>47</v>
      </c>
      <c r="AH2" s="109" t="s">
        <v>48</v>
      </c>
      <c r="AI2" s="109" t="s">
        <v>49</v>
      </c>
      <c r="AJ2" s="109" t="s">
        <v>50</v>
      </c>
      <c r="AK2" s="109" t="s">
        <v>51</v>
      </c>
      <c r="AL2" s="109" t="s">
        <v>52</v>
      </c>
      <c r="AM2" s="109" t="s">
        <v>53</v>
      </c>
      <c r="AN2" s="109" t="s">
        <v>54</v>
      </c>
      <c r="AO2" s="109" t="s">
        <v>55</v>
      </c>
      <c r="AP2" s="109" t="s">
        <v>56</v>
      </c>
      <c r="AQ2" s="109" t="s">
        <v>57</v>
      </c>
      <c r="AR2" s="109" t="s">
        <v>58</v>
      </c>
      <c r="AS2" s="109" t="s">
        <v>59</v>
      </c>
      <c r="AT2" s="109" t="s">
        <v>60</v>
      </c>
      <c r="AU2" s="109" t="s">
        <v>61</v>
      </c>
      <c r="AV2" s="109" t="s">
        <v>62</v>
      </c>
      <c r="AW2" s="109" t="s">
        <v>63</v>
      </c>
      <c r="AX2" s="109" t="s">
        <v>64</v>
      </c>
      <c r="AY2" s="109" t="s">
        <v>65</v>
      </c>
      <c r="AZ2" s="109" t="s">
        <v>66</v>
      </c>
      <c r="BA2" s="109" t="s">
        <v>67</v>
      </c>
      <c r="BB2" s="192" t="s">
        <v>1216</v>
      </c>
      <c r="BC2" s="192" t="s">
        <v>1215</v>
      </c>
      <c r="BD2" s="192" t="s">
        <v>1214</v>
      </c>
      <c r="BE2" s="192" t="s">
        <v>1213</v>
      </c>
      <c r="BF2" s="192" t="s">
        <v>1212</v>
      </c>
    </row>
    <row r="3" spans="1:58">
      <c r="B3" s="108">
        <v>2017</v>
      </c>
      <c r="C3" s="108">
        <v>2018</v>
      </c>
      <c r="D3" s="108">
        <v>2019</v>
      </c>
      <c r="E3" s="191">
        <v>2020</v>
      </c>
      <c r="F3" s="108">
        <v>2021</v>
      </c>
      <c r="G3" s="108">
        <v>2022</v>
      </c>
      <c r="H3" s="108">
        <v>2023</v>
      </c>
      <c r="I3" s="108">
        <v>2024</v>
      </c>
      <c r="J3" s="191">
        <v>2025</v>
      </c>
      <c r="K3" s="108">
        <v>2026</v>
      </c>
      <c r="L3" s="108">
        <v>2027</v>
      </c>
      <c r="M3" s="108">
        <v>2028</v>
      </c>
      <c r="N3" s="108">
        <v>2029</v>
      </c>
      <c r="O3" s="108">
        <v>2030</v>
      </c>
      <c r="P3" s="108">
        <v>2031</v>
      </c>
      <c r="Q3" s="108">
        <v>2032</v>
      </c>
      <c r="R3" s="108">
        <v>2033</v>
      </c>
      <c r="S3" s="108">
        <v>2034</v>
      </c>
      <c r="T3" s="108">
        <v>2035</v>
      </c>
      <c r="U3" s="108">
        <v>2036</v>
      </c>
      <c r="V3" s="108">
        <v>2037</v>
      </c>
      <c r="W3" s="108">
        <v>2038</v>
      </c>
      <c r="X3" s="108">
        <v>2039</v>
      </c>
      <c r="Y3" s="108">
        <v>2040</v>
      </c>
      <c r="Z3" s="108">
        <v>2041</v>
      </c>
      <c r="AA3" s="108">
        <v>2042</v>
      </c>
      <c r="AB3" s="108">
        <v>2043</v>
      </c>
      <c r="AC3" s="108">
        <v>2044</v>
      </c>
      <c r="AD3" s="108">
        <v>2045</v>
      </c>
      <c r="AE3" s="108">
        <v>2046</v>
      </c>
      <c r="AF3" s="108">
        <v>2047</v>
      </c>
      <c r="AG3" s="108">
        <v>2048</v>
      </c>
      <c r="AH3" s="108">
        <v>2049</v>
      </c>
      <c r="AI3" s="108">
        <v>2050</v>
      </c>
      <c r="AJ3" s="108">
        <v>2051</v>
      </c>
      <c r="AK3" s="108">
        <v>2052</v>
      </c>
      <c r="AL3" s="108">
        <v>2053</v>
      </c>
      <c r="AM3" s="108">
        <v>2054</v>
      </c>
      <c r="AN3" s="108">
        <v>2055</v>
      </c>
      <c r="AO3" s="108">
        <v>2056</v>
      </c>
      <c r="AP3" s="108">
        <v>2057</v>
      </c>
      <c r="AQ3" s="108">
        <v>2058</v>
      </c>
      <c r="AR3" s="108">
        <v>2059</v>
      </c>
      <c r="AS3" s="108">
        <v>2060</v>
      </c>
      <c r="AT3" s="108">
        <v>2061</v>
      </c>
      <c r="AU3" s="108">
        <v>2062</v>
      </c>
      <c r="AV3" s="108">
        <v>2063</v>
      </c>
      <c r="AW3" s="108">
        <v>2064</v>
      </c>
      <c r="AX3" s="108">
        <v>2065</v>
      </c>
      <c r="AY3" s="108">
        <v>2066</v>
      </c>
      <c r="AZ3" s="108">
        <v>2067</v>
      </c>
      <c r="BA3" s="108">
        <v>2068</v>
      </c>
      <c r="BB3" s="191">
        <v>2069</v>
      </c>
      <c r="BC3" s="191">
        <v>2070</v>
      </c>
      <c r="BD3" s="191">
        <v>2071</v>
      </c>
      <c r="BE3" s="191">
        <v>2072</v>
      </c>
      <c r="BF3" s="191">
        <v>2073</v>
      </c>
    </row>
    <row r="4" spans="1:58">
      <c r="A4" s="108" t="s">
        <v>1045</v>
      </c>
      <c r="B4" s="112">
        <f t="shared" ref="B4:AG4" si="0">SUM(B$10:B$75,B$78:B$143)/1000000</f>
        <v>2.6870000000000021</v>
      </c>
      <c r="C4" s="112">
        <f t="shared" si="0"/>
        <v>2.7780000000000009</v>
      </c>
      <c r="D4" s="112">
        <f t="shared" si="0"/>
        <v>2.8019999999999987</v>
      </c>
      <c r="E4" s="197">
        <f t="shared" si="0"/>
        <v>2.8500000000000005</v>
      </c>
      <c r="F4" s="112">
        <f t="shared" si="0"/>
        <v>2.8835700000000002</v>
      </c>
      <c r="G4" s="112">
        <f t="shared" si="0"/>
        <v>2.9372899999999995</v>
      </c>
      <c r="H4" s="112">
        <f t="shared" si="0"/>
        <v>2.986149999999999</v>
      </c>
      <c r="I4" s="112">
        <f t="shared" si="0"/>
        <v>3.0346799999999998</v>
      </c>
      <c r="J4" s="197">
        <f t="shared" si="0"/>
        <v>3.0835299999999983</v>
      </c>
      <c r="K4" s="112">
        <f t="shared" si="0"/>
        <v>3.1249453198696657</v>
      </c>
      <c r="L4" s="112">
        <f t="shared" si="0"/>
        <v>3.1645204057272722</v>
      </c>
      <c r="M4" s="112">
        <f t="shared" si="0"/>
        <v>3.2021599836832335</v>
      </c>
      <c r="N4" s="112">
        <f t="shared" si="0"/>
        <v>3.2376842973686641</v>
      </c>
      <c r="O4" s="112">
        <f t="shared" si="0"/>
        <v>3.2710944381019158</v>
      </c>
      <c r="P4" s="112">
        <f t="shared" si="0"/>
        <v>3.3023896038746892</v>
      </c>
      <c r="Q4" s="112">
        <f t="shared" si="0"/>
        <v>3.3315790137624153</v>
      </c>
      <c r="R4" s="112">
        <f t="shared" si="0"/>
        <v>3.3583553496366774</v>
      </c>
      <c r="S4" s="112">
        <f t="shared" si="0"/>
        <v>3.3826760144316173</v>
      </c>
      <c r="T4" s="112">
        <f t="shared" si="0"/>
        <v>3.4062179687885537</v>
      </c>
      <c r="U4" s="112">
        <f t="shared" si="0"/>
        <v>3.4282788654219742</v>
      </c>
      <c r="V4" s="112">
        <f t="shared" si="0"/>
        <v>3.4495645741655729</v>
      </c>
      <c r="W4" s="112">
        <f t="shared" si="0"/>
        <v>3.4700751184426464</v>
      </c>
      <c r="X4" s="112">
        <f t="shared" si="0"/>
        <v>3.4897836577821795</v>
      </c>
      <c r="Y4" s="112">
        <f t="shared" si="0"/>
        <v>3.5091004510775301</v>
      </c>
      <c r="Z4" s="112">
        <f t="shared" si="0"/>
        <v>3.5282012585573019</v>
      </c>
      <c r="AA4" s="112">
        <f t="shared" si="0"/>
        <v>3.5467320561226421</v>
      </c>
      <c r="AB4" s="112">
        <f t="shared" si="0"/>
        <v>3.5652242302932851</v>
      </c>
      <c r="AC4" s="112">
        <f t="shared" si="0"/>
        <v>3.5829870318068924</v>
      </c>
      <c r="AD4" s="112">
        <f t="shared" si="0"/>
        <v>3.6004932720557878</v>
      </c>
      <c r="AE4" s="112">
        <f t="shared" si="0"/>
        <v>3.6177991964022107</v>
      </c>
      <c r="AF4" s="112">
        <f t="shared" si="0"/>
        <v>3.6343842413390628</v>
      </c>
      <c r="AG4" s="112">
        <f t="shared" si="0"/>
        <v>3.6500711010614908</v>
      </c>
      <c r="AH4" s="112">
        <f t="shared" ref="AH4:BF4" si="1">SUM(AH$10:AH$75,AH$78:AH$143)/1000000</f>
        <v>3.6650841034591561</v>
      </c>
      <c r="AI4" s="112">
        <f t="shared" si="1"/>
        <v>3.6792542070085354</v>
      </c>
      <c r="AJ4" s="112">
        <f t="shared" si="1"/>
        <v>3.6926219640529148</v>
      </c>
      <c r="AK4" s="112">
        <f t="shared" si="1"/>
        <v>3.7048322884326899</v>
      </c>
      <c r="AL4" s="112">
        <f t="shared" si="1"/>
        <v>3.716106160533049</v>
      </c>
      <c r="AM4" s="112">
        <f t="shared" si="1"/>
        <v>3.7264574691905179</v>
      </c>
      <c r="AN4" s="112">
        <f t="shared" si="1"/>
        <v>3.7360045823033472</v>
      </c>
      <c r="AO4" s="112">
        <f t="shared" si="1"/>
        <v>3.7447768134365731</v>
      </c>
      <c r="AP4" s="112">
        <f t="shared" si="1"/>
        <v>3.7527876623686311</v>
      </c>
      <c r="AQ4" s="112">
        <f t="shared" si="1"/>
        <v>3.760337587585497</v>
      </c>
      <c r="AR4" s="112">
        <f t="shared" si="1"/>
        <v>3.7675097621763562</v>
      </c>
      <c r="AS4" s="112">
        <f t="shared" si="1"/>
        <v>3.7742544474004034</v>
      </c>
      <c r="AT4" s="112">
        <f t="shared" si="1"/>
        <v>3.7809648540270144</v>
      </c>
      <c r="AU4" s="112">
        <f t="shared" si="1"/>
        <v>3.7876059792860275</v>
      </c>
      <c r="AV4" s="112">
        <f t="shared" si="1"/>
        <v>3.7941573897327214</v>
      </c>
      <c r="AW4" s="112">
        <f t="shared" si="1"/>
        <v>3.8008338677247573</v>
      </c>
      <c r="AX4" s="112">
        <f t="shared" si="1"/>
        <v>3.8073214600094478</v>
      </c>
      <c r="AY4" s="112">
        <f t="shared" si="1"/>
        <v>3.8139512358553005</v>
      </c>
      <c r="AZ4" s="112">
        <f t="shared" si="1"/>
        <v>3.8204407055964364</v>
      </c>
      <c r="BA4" s="112">
        <f t="shared" si="1"/>
        <v>3.8267672062512221</v>
      </c>
      <c r="BB4" s="197">
        <f t="shared" si="1"/>
        <v>3.8326179728989098</v>
      </c>
      <c r="BC4" s="197">
        <f t="shared" si="1"/>
        <v>3.8382769086203883</v>
      </c>
      <c r="BD4" s="197">
        <f t="shared" si="1"/>
        <v>3.8431933078132272</v>
      </c>
      <c r="BE4" s="197">
        <f t="shared" si="1"/>
        <v>3.8476390321479337</v>
      </c>
      <c r="BF4" s="197">
        <f t="shared" si="1"/>
        <v>3.851331765868133</v>
      </c>
    </row>
    <row r="5" spans="1:58">
      <c r="A5" s="106" t="s">
        <v>69</v>
      </c>
      <c r="B5" s="125"/>
      <c r="C5" s="125">
        <f t="shared" ref="C5:BA5" si="2">C$4/B$4-1</f>
        <v>3.3866765909936314E-2</v>
      </c>
      <c r="D5" s="125">
        <f t="shared" si="2"/>
        <v>8.6393088552907393E-3</v>
      </c>
      <c r="E5" s="193">
        <f t="shared" si="2"/>
        <v>1.713062098501128E-2</v>
      </c>
      <c r="F5" s="125">
        <f t="shared" si="2"/>
        <v>1.1778947368420889E-2</v>
      </c>
      <c r="G5" s="125">
        <f t="shared" si="2"/>
        <v>1.8629684731079621E-2</v>
      </c>
      <c r="H5" s="125">
        <f t="shared" si="2"/>
        <v>1.6634380670617954E-2</v>
      </c>
      <c r="I5" s="125">
        <f t="shared" si="2"/>
        <v>1.6251695326758853E-2</v>
      </c>
      <c r="J5" s="193">
        <f t="shared" si="2"/>
        <v>1.609724913335131E-2</v>
      </c>
      <c r="K5" s="125">
        <f t="shared" si="2"/>
        <v>1.3431138944543175E-2</v>
      </c>
      <c r="L5" s="125">
        <f t="shared" si="2"/>
        <v>1.2664249068926825E-2</v>
      </c>
      <c r="M5" s="125">
        <f t="shared" si="2"/>
        <v>1.1894244033895163E-2</v>
      </c>
      <c r="N5" s="125">
        <f t="shared" si="2"/>
        <v>1.1093859727948185E-2</v>
      </c>
      <c r="O5" s="125">
        <f t="shared" si="2"/>
        <v>1.0319147163423192E-2</v>
      </c>
      <c r="P5" s="125">
        <f t="shared" si="2"/>
        <v>9.5671850400420588E-3</v>
      </c>
      <c r="Q5" s="125">
        <f t="shared" si="2"/>
        <v>8.8388752960819605E-3</v>
      </c>
      <c r="R5" s="125">
        <f t="shared" si="2"/>
        <v>8.0371306709676738E-3</v>
      </c>
      <c r="S5" s="125">
        <f t="shared" si="2"/>
        <v>7.241837823257935E-3</v>
      </c>
      <c r="T5" s="125">
        <f t="shared" si="2"/>
        <v>6.9595652248393147E-3</v>
      </c>
      <c r="U5" s="125">
        <f t="shared" si="2"/>
        <v>6.4766544113048496E-3</v>
      </c>
      <c r="V5" s="125">
        <f t="shared" si="2"/>
        <v>6.2088615247402057E-3</v>
      </c>
      <c r="W5" s="125">
        <f t="shared" si="2"/>
        <v>5.9458357239290383E-3</v>
      </c>
      <c r="X5" s="125">
        <f t="shared" si="2"/>
        <v>5.679571382990245E-3</v>
      </c>
      <c r="Y5" s="125">
        <f t="shared" si="2"/>
        <v>5.5352409173772266E-3</v>
      </c>
      <c r="Z5" s="125">
        <f t="shared" si="2"/>
        <v>5.4432204908545501E-3</v>
      </c>
      <c r="AA5" s="125">
        <f t="shared" si="2"/>
        <v>5.2521940239083076E-3</v>
      </c>
      <c r="AB5" s="125">
        <f t="shared" si="2"/>
        <v>5.2138627553555139E-3</v>
      </c>
      <c r="AC5" s="125">
        <f t="shared" si="2"/>
        <v>4.9822396478400588E-3</v>
      </c>
      <c r="AD5" s="125">
        <f t="shared" si="2"/>
        <v>4.8859345829301848E-3</v>
      </c>
      <c r="AE5" s="125">
        <f t="shared" si="2"/>
        <v>4.8065426147960721E-3</v>
      </c>
      <c r="AF5" s="125">
        <f t="shared" si="2"/>
        <v>4.5842911771734052E-3</v>
      </c>
      <c r="AG5" s="125">
        <f t="shared" si="2"/>
        <v>4.3162358960284752E-3</v>
      </c>
      <c r="AH5" s="125">
        <f t="shared" si="2"/>
        <v>4.1130712202563924E-3</v>
      </c>
      <c r="AI5" s="125">
        <f t="shared" si="2"/>
        <v>3.8662423970039494E-3</v>
      </c>
      <c r="AJ5" s="125">
        <f t="shared" si="2"/>
        <v>3.6332789995634496E-3</v>
      </c>
      <c r="AK5" s="125">
        <f t="shared" si="2"/>
        <v>3.3066814037940873E-3</v>
      </c>
      <c r="AL5" s="125">
        <f t="shared" si="2"/>
        <v>3.043018205050485E-3</v>
      </c>
      <c r="AM5" s="125">
        <f t="shared" si="2"/>
        <v>2.7855255502129417E-3</v>
      </c>
      <c r="AN5" s="125">
        <f t="shared" si="2"/>
        <v>2.5619809676515892E-3</v>
      </c>
      <c r="AO5" s="125">
        <f t="shared" si="2"/>
        <v>2.3480247253384601E-3</v>
      </c>
      <c r="AP5" s="125">
        <f t="shared" si="2"/>
        <v>2.1392059743892133E-3</v>
      </c>
      <c r="AQ5" s="125">
        <f t="shared" si="2"/>
        <v>2.0118178527852582E-3</v>
      </c>
      <c r="AR5" s="125">
        <f t="shared" si="2"/>
        <v>1.9073219953809062E-3</v>
      </c>
      <c r="AS5" s="125">
        <f t="shared" si="2"/>
        <v>1.7902236888036605E-3</v>
      </c>
      <c r="AT5" s="125">
        <f t="shared" si="2"/>
        <v>1.7779422983081883E-3</v>
      </c>
      <c r="AU5" s="125">
        <f t="shared" si="2"/>
        <v>1.756463102781769E-3</v>
      </c>
      <c r="AV5" s="125">
        <f t="shared" si="2"/>
        <v>1.7296969332403211E-3</v>
      </c>
      <c r="AW5" s="125">
        <f t="shared" si="2"/>
        <v>1.7596734416192028E-3</v>
      </c>
      <c r="AX5" s="125">
        <f t="shared" si="2"/>
        <v>1.7068865702816183E-3</v>
      </c>
      <c r="AY5" s="125">
        <f t="shared" si="2"/>
        <v>1.7413228474372211E-3</v>
      </c>
      <c r="AZ5" s="125">
        <f t="shared" si="2"/>
        <v>1.7015083150848653E-3</v>
      </c>
      <c r="BA5" s="125">
        <f t="shared" si="2"/>
        <v>1.655960959037639E-3</v>
      </c>
      <c r="BB5" s="193">
        <f t="shared" ref="BB5" si="3">BB$4/BA$4-1</f>
        <v>1.5289058185012916E-3</v>
      </c>
      <c r="BC5" s="193">
        <f t="shared" ref="BC5" si="4">BC$4/BB$4-1</f>
        <v>1.4765196430988059E-3</v>
      </c>
      <c r="BD5" s="193">
        <f t="shared" ref="BD5" si="5">BD$4/BC$4-1</f>
        <v>1.2808870516343163E-3</v>
      </c>
      <c r="BE5" s="193">
        <f t="shared" ref="BE5" si="6">BE$4/BD$4-1</f>
        <v>1.1567787458590661E-3</v>
      </c>
      <c r="BF5" s="193">
        <f t="shared" ref="BF5" si="7">BF$4/BE$4-1</f>
        <v>9.59740165162426E-4</v>
      </c>
    </row>
    <row r="6" spans="1:58">
      <c r="A6" s="108" t="s">
        <v>917</v>
      </c>
      <c r="B6" s="116">
        <f>100*(1000000*B$4/SUM('Population Treasury'!M$32:M$107,'Population Treasury'!M$125:M$200))</f>
        <v>70.3694198123832</v>
      </c>
      <c r="C6" s="116">
        <f>100*(1000000*C$4/SUM('Population Treasury'!N$32:N$107,'Population Treasury'!N$125:N$200))</f>
        <v>71.192069951718565</v>
      </c>
      <c r="D6" s="116">
        <f>100*(1000000*D$4/SUM('Population Treasury'!O$32:O$107,'Population Treasury'!O$125:O$200))</f>
        <v>70.573834284980236</v>
      </c>
      <c r="E6" s="154">
        <f>100*(1000000*E$4/SUM('Population Treasury'!P$32:P$107,'Population Treasury'!P$125:P$200))</f>
        <v>69.952039899661798</v>
      </c>
      <c r="F6" s="116">
        <f>100*(1000000*F$4/SUM('Population Treasury'!Q$32:Q$107,'Population Treasury'!Q$125:Q$200))</f>
        <v>70.099987601829142</v>
      </c>
      <c r="G6" s="116">
        <f>100*(1000000*G$4/SUM('Population Treasury'!R$32:R$107,'Population Treasury'!R$125:R$200))</f>
        <v>70.63476031762066</v>
      </c>
      <c r="H6" s="116">
        <f>100*(1000000*H$4/SUM('Population Treasury'!S$32:S$107,'Population Treasury'!S$125:S$200))</f>
        <v>70.91055887346684</v>
      </c>
      <c r="I6" s="116">
        <f>100*(1000000*I$4/SUM('Population Treasury'!T$32:T$107,'Population Treasury'!T$125:T$200))</f>
        <v>71.060636217817375</v>
      </c>
      <c r="J6" s="154">
        <f>100*(1000000*J$4/SUM('Population Treasury'!U$32:U$107,'Population Treasury'!U$125:U$200))</f>
        <v>71.103634816575791</v>
      </c>
      <c r="K6" s="116">
        <f>100*(1000000*K$4/SUM('Population Treasury'!V$32:V$107,'Population Treasury'!V$125:V$200))</f>
        <v>70.97310235030551</v>
      </c>
      <c r="L6" s="116">
        <f>100*(1000000*L$4/SUM('Population Treasury'!W$32:W$107,'Population Treasury'!W$125:W$200))</f>
        <v>70.845571019668526</v>
      </c>
      <c r="M6" s="116">
        <f>100*(1000000*M$4/SUM('Population Treasury'!X$32:X$107,'Population Treasury'!X$125:X$200))</f>
        <v>70.723436977819347</v>
      </c>
      <c r="N6" s="116">
        <f>100*(1000000*N$4/SUM('Population Treasury'!Y$32:Y$107,'Population Treasury'!Y$125:Y$200))</f>
        <v>70.618198608316661</v>
      </c>
      <c r="O6" s="116">
        <f>100*(1000000*O$4/SUM('Population Treasury'!Z$32:Z$107,'Population Treasury'!Z$125:Z$200))</f>
        <v>70.508924175892929</v>
      </c>
      <c r="P6" s="116">
        <f>100*(1000000*P$4/SUM('Population Treasury'!AA$32:AA$107,'Population Treasury'!AA$125:AA$200))</f>
        <v>70.403362096534011</v>
      </c>
      <c r="Q6" s="116">
        <f>100*(1000000*Q$4/SUM('Population Treasury'!AB$32:AB$107,'Population Treasury'!AB$125:AB$200))</f>
        <v>70.295298425262004</v>
      </c>
      <c r="R6" s="116">
        <f>100*(1000000*R$4/SUM('Population Treasury'!AC$32:AC$107,'Population Treasury'!AC$125:AC$200))</f>
        <v>70.198890187697799</v>
      </c>
      <c r="S6" s="116">
        <f>100*(1000000*S$4/SUM('Population Treasury'!AD$32:AD$107,'Population Treasury'!AD$125:AD$200))</f>
        <v>70.096704296933765</v>
      </c>
      <c r="T6" s="116">
        <f>100*(1000000*T$4/SUM('Population Treasury'!AE$32:AE$107,'Population Treasury'!AE$125:AE$200))</f>
        <v>70.001266771608542</v>
      </c>
      <c r="U6" s="116">
        <f>100*(1000000*U$4/SUM('Population Treasury'!AF$32:AF$107,'Population Treasury'!AF$125:AF$200))</f>
        <v>69.904705226805476</v>
      </c>
      <c r="V6" s="116">
        <f>100*(1000000*V$4/SUM('Population Treasury'!AG$32:AG$107,'Population Treasury'!AG$125:AG$200))</f>
        <v>69.808361889900567</v>
      </c>
      <c r="W6" s="116">
        <f>100*(1000000*W$4/SUM('Population Treasury'!AH$32:AH$107,'Population Treasury'!AH$125:AH$200))</f>
        <v>69.714133839015403</v>
      </c>
      <c r="X6" s="116">
        <f>100*(1000000*X$4/SUM('Population Treasury'!AI$32:AI$107,'Population Treasury'!AI$125:AI$200))</f>
        <v>69.621930068187112</v>
      </c>
      <c r="Y6" s="116">
        <f>100*(1000000*Y$4/SUM('Population Treasury'!AJ$32:AJ$107,'Population Treasury'!AJ$125:AJ$200))</f>
        <v>69.532607673217939</v>
      </c>
      <c r="Z6" s="116">
        <f>100*(1000000*Z$4/SUM('Population Treasury'!AK$32:AK$107,'Population Treasury'!AK$125:AK$200))</f>
        <v>69.451993027623047</v>
      </c>
      <c r="AA6" s="116">
        <f>100*(1000000*AA$4/SUM('Population Treasury'!AL$32:AL$107,'Population Treasury'!AL$125:AL$200))</f>
        <v>69.372679012758155</v>
      </c>
      <c r="AB6" s="116">
        <f>100*(1000000*AB$4/SUM('Population Treasury'!AM$32:AM$107,'Population Treasury'!AM$125:AM$200))</f>
        <v>69.305201258685727</v>
      </c>
      <c r="AC6" s="116">
        <f>100*(1000000*AC$4/SUM('Population Treasury'!AN$32:AN$107,'Population Treasury'!AN$125:AN$200))</f>
        <v>69.23649633048926</v>
      </c>
      <c r="AD6" s="116">
        <f>100*(1000000*AD$4/SUM('Population Treasury'!AO$32:AO$107,'Population Treasury'!AO$125:AO$200))</f>
        <v>69.173906652215251</v>
      </c>
      <c r="AE6" s="116">
        <f>100*(1000000*AE$4/SUM('Population Treasury'!AP$32:AP$107,'Population Treasury'!AP$125:AP$200))</f>
        <v>69.117845858812387</v>
      </c>
      <c r="AF6" s="116">
        <f>100*(1000000*AF$4/SUM('Population Treasury'!AQ$32:AQ$107,'Population Treasury'!AQ$125:AQ$200))</f>
        <v>69.060783576891822</v>
      </c>
      <c r="AG6" s="116">
        <f>100*(1000000*AG$4/SUM('Population Treasury'!AR$32:AR$107,'Population Treasury'!AR$125:AR$200))</f>
        <v>68.996485003982727</v>
      </c>
      <c r="AH6" s="116">
        <f>100*(1000000*AH$4/SUM('Population Treasury'!AS$32:AS$107,'Population Treasury'!AS$125:AS$200))</f>
        <v>68.926923173437828</v>
      </c>
      <c r="AI6" s="116">
        <f>100*(1000000*AI$4/SUM('Population Treasury'!AT$32:AT$107,'Population Treasury'!AT$125:AT$200))</f>
        <v>68.85028305588834</v>
      </c>
      <c r="AJ6" s="116">
        <f>100*(1000000*AJ$4/SUM('Population Treasury'!AU$32:AU$107,'Population Treasury'!AU$125:AU$200))</f>
        <v>68.765477182011352</v>
      </c>
      <c r="AK6" s="116">
        <f>100*(1000000*AK$4/SUM('Population Treasury'!AV$32:AV$107,'Population Treasury'!AV$125:AV$200))</f>
        <v>68.664620438561627</v>
      </c>
      <c r="AL6" s="116">
        <f>100*(1000000*AL$4/SUM('Population Treasury'!AW$32:AW$107,'Population Treasury'!AW$125:AW$200))</f>
        <v>68.550226848211949</v>
      </c>
      <c r="AM6" s="116">
        <f>100*(1000000*AM$4/SUM('Population Treasury'!AX$32:AX$107,'Population Treasury'!AX$125:AX$200))</f>
        <v>68.424234969372307</v>
      </c>
      <c r="AN6" s="116">
        <f>100*(1000000*AN$4/SUM('Population Treasury'!AY$32:AY$107,'Population Treasury'!AY$125:AY$200))</f>
        <v>68.284950520495386</v>
      </c>
      <c r="AO6" s="116">
        <f>100*(1000000*AO$4/SUM('Population Treasury'!AZ$32:AZ$107,'Population Treasury'!AZ$125:AZ$200))</f>
        <v>68.135938611296837</v>
      </c>
      <c r="AP6" s="116">
        <f>100*(1000000*AP$4/SUM('Population Treasury'!BA$32:BA$107,'Population Treasury'!BA$125:BA$200))</f>
        <v>67.97423038857707</v>
      </c>
      <c r="AQ6" s="116">
        <f>100*(1000000*AQ$4/SUM('Population Treasury'!BB$32:BB$107,'Population Treasury'!BB$125:BB$200))</f>
        <v>67.808595168435431</v>
      </c>
      <c r="AR6" s="116">
        <f>100*(1000000*AR$4/SUM('Population Treasury'!BC$32:BC$107,'Population Treasury'!BC$125:BC$200))</f>
        <v>67.637278167176333</v>
      </c>
      <c r="AS6" s="116">
        <f>100*(1000000*AS$4/SUM('Population Treasury'!BD$32:BD$107,'Population Treasury'!BD$125:BD$200))</f>
        <v>67.463809183078226</v>
      </c>
      <c r="AT6" s="116">
        <f>100*(1000000*AT$4/SUM('Population Treasury'!BE$32:BE$107,'Population Treasury'!BE$125:BE$200))</f>
        <v>67.291351549706249</v>
      </c>
      <c r="AU6" s="116">
        <f>100*(1000000*AU$4/SUM('Population Treasury'!BF$32:BF$107,'Population Treasury'!BF$125:BF$200))</f>
        <v>67.122482550448808</v>
      </c>
      <c r="AV6" s="116">
        <f>100*(1000000*AV$4/SUM('Population Treasury'!BG$32:BG$107,'Population Treasury'!BG$125:BG$200))</f>
        <v>66.957952531719485</v>
      </c>
      <c r="AW6" s="116">
        <f>100*(1000000*AW$4/SUM('Population Treasury'!BH$32:BH$107,'Population Treasury'!BH$125:BH$200))</f>
        <v>66.798749078376375</v>
      </c>
      <c r="AX6" s="116">
        <f>100*(1000000*AX$4/SUM('Population Treasury'!BI$32:BI$107,'Population Treasury'!BI$125:BI$200))</f>
        <v>66.642681503503525</v>
      </c>
      <c r="AY6" s="116">
        <f>100*(1000000*AY$4/SUM('Population Treasury'!BJ$32:BJ$107,'Population Treasury'!BJ$125:BJ$200))</f>
        <v>66.49347738079355</v>
      </c>
      <c r="AZ6" s="116">
        <f>100*(1000000*AZ$4/SUM('Population Treasury'!BK$32:BK$107,'Population Treasury'!BK$125:BK$200))</f>
        <v>66.348087241457193</v>
      </c>
      <c r="BA6" s="116">
        <f>100*(1000000*BA$4/SUM('Population Treasury'!BL$32:BL$107,'Population Treasury'!BL$125:BL$200))</f>
        <v>66.204781619198926</v>
      </c>
      <c r="BB6" s="154">
        <f>100*(1000000*BB$4/SUM('Population Treasury'!BM$32:BM$107,'Population Treasury'!BM$125:BM$200))</f>
        <v>66.060398786438284</v>
      </c>
      <c r="BC6" s="154">
        <f>100*(1000000*BC$4/SUM('Population Treasury'!BN$32:BN$107,'Population Treasury'!BN$125:BN$200))</f>
        <v>65.919560660510058</v>
      </c>
      <c r="BD6" s="154">
        <f>100*(1000000*BD$4/SUM('Population Treasury'!BO$32:BO$107,'Population Treasury'!BO$125:BO$200))</f>
        <v>65.772879918837603</v>
      </c>
      <c r="BE6" s="154">
        <f>100*(1000000*BE$4/SUM('Population Treasury'!BP$32:BP$107,'Population Treasury'!BP$125:BP$200))</f>
        <v>65.625351340148669</v>
      </c>
      <c r="BF6" s="154">
        <f>100*(1000000*BF$4/SUM('Population Treasury'!BQ$32:BQ$107,'Population Treasury'!BQ$125:BQ$200))</f>
        <v>65.474146314198236</v>
      </c>
    </row>
    <row r="7" spans="1:58">
      <c r="A7" s="108" t="s">
        <v>1048</v>
      </c>
      <c r="B7" s="112">
        <f>SUM(SUMPRODUCT('Population Treasury'!M$32:M$96,'Statistics NZ'!M$339:M$403),SUM('Population Treasury'!M$97:M$107)*'Statistics NZ'!M$404,SUMPRODUCT('Population Treasury'!M$125:M$189,'Statistics NZ'!M$407:M$471),SUM('Population Treasury'!M$190:M$200)*'Statistics NZ'!M$472)/1000000</f>
        <v>2.6240125235670662</v>
      </c>
      <c r="C7" s="112">
        <f>SUM(SUMPRODUCT('Population Treasury'!N$32:N$96,'Statistics NZ'!N$339:N$403),SUM('Population Treasury'!N$97:N$107)*'Statistics NZ'!N$404,SUMPRODUCT('Population Treasury'!N$125:N$189,'Statistics NZ'!N$407:N$471),SUM('Population Treasury'!N$190:N$200)*'Statistics NZ'!N$472)/1000000</f>
        <v>2.6905168904775358</v>
      </c>
      <c r="D7" s="112">
        <f>SUM(SUMPRODUCT('Population Treasury'!O$32:O$96,'Statistics NZ'!O$339:O$403),SUM('Population Treasury'!O$97:O$107)*'Statistics NZ'!O$404,SUMPRODUCT('Population Treasury'!O$125:O$189,'Statistics NZ'!O$407:O$471),SUM('Population Treasury'!O$190:O$200)*'Statistics NZ'!O$472)/1000000</f>
        <v>2.7421000391293235</v>
      </c>
      <c r="E7" s="197">
        <f>SUM(SUMPRODUCT('Population Treasury'!P$32:P$96,'Statistics NZ'!P$339:P$403),SUM('Population Treasury'!P$97:P$107)*'Statistics NZ'!P$404,SUMPRODUCT('Population Treasury'!P$125:P$189,'Statistics NZ'!P$407:P$471),SUM('Population Treasury'!P$190:P$200)*'Statistics NZ'!P$472)/1000000</f>
        <v>2.8180754688984471</v>
      </c>
      <c r="F7" s="112">
        <f>SUM(SUMPRODUCT('Population Treasury'!Q$32:Q$96,'Statistics NZ'!Q$339:Q$403),SUM('Population Treasury'!Q$97:Q$107)*'Statistics NZ'!Q$404,SUMPRODUCT('Population Treasury'!Q$125:Q$189,'Statistics NZ'!Q$407:Q$471),SUM('Population Treasury'!Q$190:Q$200)*'Statistics NZ'!Q$472)/1000000</f>
        <v>2.8424792486675523</v>
      </c>
      <c r="G7" s="112">
        <f>SUM(SUMPRODUCT('Population Treasury'!R$32:R$96,'Statistics NZ'!R$339:R$403),SUM('Population Treasury'!R$97:R$107)*'Statistics NZ'!R$404,SUMPRODUCT('Population Treasury'!R$125:R$189,'Statistics NZ'!R$407:R$471),SUM('Population Treasury'!R$190:R$200)*'Statistics NZ'!R$472)/1000000</f>
        <v>2.869092727705759</v>
      </c>
      <c r="H7" s="112">
        <f>SUM(SUMPRODUCT('Population Treasury'!S$32:S$96,'Statistics NZ'!S$339:S$403),SUM('Population Treasury'!S$97:S$107)*'Statistics NZ'!S$404,SUMPRODUCT('Population Treasury'!S$125:S$189,'Statistics NZ'!S$407:S$471),SUM('Population Treasury'!S$190:S$200)*'Statistics NZ'!S$472)/1000000</f>
        <v>2.9000185707193613</v>
      </c>
      <c r="I7" s="112">
        <f>SUM(SUMPRODUCT('Population Treasury'!T$32:T$96,'Statistics NZ'!T$339:T$403),SUM('Population Treasury'!T$97:T$107)*'Statistics NZ'!T$404,SUMPRODUCT('Population Treasury'!T$125:T$189,'Statistics NZ'!T$407:T$471),SUM('Population Treasury'!T$190:T$200)*'Statistics NZ'!T$472)/1000000</f>
        <v>2.9353277206392496</v>
      </c>
      <c r="J7" s="197">
        <f>SUM(SUMPRODUCT('Population Treasury'!U$32:U$96,'Statistics NZ'!U$339:U$403),SUM('Population Treasury'!U$97:U$107)*'Statistics NZ'!U$404,SUMPRODUCT('Population Treasury'!U$125:U$189,'Statistics NZ'!U$407:U$471),SUM('Population Treasury'!U$190:U$200)*'Statistics NZ'!U$472)/1000000</f>
        <v>2.9743920311016376</v>
      </c>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93"/>
      <c r="BC7" s="193"/>
      <c r="BD7" s="193"/>
      <c r="BE7" s="193"/>
      <c r="BF7" s="193"/>
    </row>
    <row r="8" spans="1:58" ht="14.25">
      <c r="A8" s="108" t="s">
        <v>918</v>
      </c>
      <c r="B8" s="104"/>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71"/>
      <c r="BD8" s="171"/>
      <c r="BE8" s="171"/>
      <c r="BF8" s="171"/>
    </row>
    <row r="9" spans="1:58" ht="14.25">
      <c r="A9" s="108" t="s">
        <v>1016</v>
      </c>
      <c r="B9" s="212"/>
      <c r="C9" s="212"/>
      <c r="D9" s="212"/>
      <c r="E9" s="212"/>
      <c r="F9" s="212"/>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row>
    <row r="10" spans="1:58">
      <c r="A10" s="124">
        <v>15</v>
      </c>
      <c r="B10" s="118">
        <f>'Population Treasury'!M$32*'Statistics NZ'!M$339*'Economic Forecasts'!O$8/B$7</f>
        <v>6023.9102027737217</v>
      </c>
      <c r="C10" s="118">
        <f>'Population Treasury'!N$32*'Statistics NZ'!N$339*'Economic Forecasts'!P$8/C$7</f>
        <v>5938.0838559323911</v>
      </c>
      <c r="D10" s="118">
        <f>'Population Treasury'!O$32*'Statistics NZ'!O$339*'Economic Forecasts'!Q$8/D$7</f>
        <v>5898.8948618806226</v>
      </c>
      <c r="E10" s="203">
        <f>'Population Treasury'!P$32*'Statistics NZ'!P$339*'Economic Forecasts'!R$8/E$7</f>
        <v>5806.545290738798</v>
      </c>
      <c r="F10" s="121">
        <f>'Population Treasury'!Q$32*'Statistics NZ'!Q$339*'Economic Forecasts'!S$8/F$7</f>
        <v>5827.8585310361286</v>
      </c>
      <c r="G10" s="121">
        <f>'Population Treasury'!R$32*'Statistics NZ'!R$339*'Economic Forecasts'!T$8/G$7</f>
        <v>6055.2144599841595</v>
      </c>
      <c r="H10" s="121">
        <f>'Population Treasury'!S$32*'Statistics NZ'!S$339*'Economic Forecasts'!U$8/H$7</f>
        <v>6221.7500226330603</v>
      </c>
      <c r="I10" s="121">
        <f>'Population Treasury'!T$32*'Statistics NZ'!T$339*'Economic Forecasts'!V$8/I$7</f>
        <v>6166.7225913895682</v>
      </c>
      <c r="J10" s="205">
        <f>'Population Treasury'!U$32*'Statistics NZ'!U$339*'Economic Forecasts'!W$8/J$7</f>
        <v>6328.628899480761</v>
      </c>
      <c r="K10" s="111">
        <f>J$10*'Population Treasury'!V$32*'Statistics NZ'!V$339/('Population Treasury'!U$32*'Statistics NZ'!U$339)</f>
        <v>6279.3967838424742</v>
      </c>
      <c r="L10" s="111">
        <f>K$10*'Population Treasury'!W$32*'Statistics NZ'!W$339/('Population Treasury'!V$32*'Statistics NZ'!V$339)</f>
        <v>6233.9908573645989</v>
      </c>
      <c r="M10" s="111">
        <f>L$10*'Population Treasury'!X$32*'Statistics NZ'!X$339/('Population Treasury'!W$32*'Statistics NZ'!W$339)</f>
        <v>6181.2975226239869</v>
      </c>
      <c r="N10" s="111">
        <f>M$10*'Population Treasury'!Y$32*'Statistics NZ'!Y$339/('Population Treasury'!X$32*'Statistics NZ'!X$339)</f>
        <v>5950.7931727166551</v>
      </c>
      <c r="O10" s="111">
        <f>N$10*'Population Treasury'!Z$32*'Statistics NZ'!Z$339/('Population Treasury'!Y$32*'Statistics NZ'!Y$339)</f>
        <v>5926.0819771235501</v>
      </c>
      <c r="P10" s="111">
        <f>O$10*'Population Treasury'!AA$32*'Statistics NZ'!AA$339/('Population Treasury'!Z$32*'Statistics NZ'!Z$339)</f>
        <v>5831.655178435467</v>
      </c>
      <c r="Q10" s="111">
        <f>P$10*'Population Treasury'!AB$32*'Statistics NZ'!AB$339/('Population Treasury'!AA$32*'Statistics NZ'!AA$339)</f>
        <v>5840.8293940195117</v>
      </c>
      <c r="R10" s="111">
        <f>Q$10*'Population Treasury'!AC$32*'Statistics NZ'!AC$339/('Population Treasury'!AB$32*'Statistics NZ'!AB$339)</f>
        <v>5662.4393179551698</v>
      </c>
      <c r="S10" s="111">
        <f>R$10*'Population Treasury'!AD$32*'Statistics NZ'!AD$339/('Population Treasury'!AC$32*'Statistics NZ'!AC$339)</f>
        <v>5553.2731336536681</v>
      </c>
      <c r="T10" s="111">
        <f>S$10*'Population Treasury'!AE$32*'Statistics NZ'!AE$339/('Population Treasury'!AD$32*'Statistics NZ'!AD$339)</f>
        <v>5557.1665857135049</v>
      </c>
      <c r="U10" s="111">
        <f>T$10*'Population Treasury'!AF$32*'Statistics NZ'!AF$339/('Population Treasury'!AE$32*'Statistics NZ'!AE$339)</f>
        <v>5421.7185654035757</v>
      </c>
      <c r="V10" s="111">
        <f>U$10*'Population Treasury'!AG$32*'Statistics NZ'!AG$339/('Population Treasury'!AF$32*'Statistics NZ'!AF$339)</f>
        <v>5399.0437389024146</v>
      </c>
      <c r="W10" s="111">
        <f>V$10*'Population Treasury'!AH$32*'Statistics NZ'!AH$339/('Population Treasury'!AG$32*'Statistics NZ'!AG$339)</f>
        <v>5356.5141800906122</v>
      </c>
      <c r="X10" s="111">
        <f>W$10*'Population Treasury'!AI$32*'Statistics NZ'!AI$339/('Population Treasury'!AH$32*'Statistics NZ'!AH$339)</f>
        <v>5325.3634950443784</v>
      </c>
      <c r="Y10" s="111">
        <f>X$10*'Population Treasury'!AJ$32*'Statistics NZ'!AJ$339/('Population Treasury'!AI$32*'Statistics NZ'!AI$339)</f>
        <v>5332.4363241801802</v>
      </c>
      <c r="Z10" s="111">
        <f>Y$10*'Population Treasury'!AK$32*'Statistics NZ'!AK$339/('Population Treasury'!AJ$32*'Statistics NZ'!AJ$339)</f>
        <v>5325.835084241141</v>
      </c>
      <c r="AA10" s="111">
        <f>Z$10*'Population Treasury'!AL$32*'Statistics NZ'!AL$339/('Population Treasury'!AK$32*'Statistics NZ'!AK$339)</f>
        <v>5315.368175225406</v>
      </c>
      <c r="AB10" s="111">
        <f>AA$10*'Population Treasury'!AM$32*'Statistics NZ'!AM$339/('Population Treasury'!AL$32*'Statistics NZ'!AL$339)</f>
        <v>5314.4570245163422</v>
      </c>
      <c r="AC10" s="111">
        <f>AB$10*'Population Treasury'!AN$32*'Statistics NZ'!AN$339/('Population Treasury'!AM$32*'Statistics NZ'!AM$339)</f>
        <v>5301.4409866992828</v>
      </c>
      <c r="AD10" s="111">
        <f>AC$10*'Population Treasury'!AO$32*'Statistics NZ'!AO$339/('Population Treasury'!AN$32*'Statistics NZ'!AN$339)</f>
        <v>5299.8564544103319</v>
      </c>
      <c r="AE10" s="111">
        <f>AD$10*'Population Treasury'!AP$32*'Statistics NZ'!AP$339/('Population Treasury'!AO$32*'Statistics NZ'!AO$339)</f>
        <v>5291.2843429951536</v>
      </c>
      <c r="AF10" s="111">
        <f>AE$10*'Population Treasury'!AQ$32*'Statistics NZ'!AQ$339/('Population Treasury'!AP$32*'Statistics NZ'!AP$339)</f>
        <v>5292.7714958311772</v>
      </c>
      <c r="AG10" s="111">
        <f>AF$10*'Population Treasury'!AR$32*'Statistics NZ'!AR$339/('Population Treasury'!AQ$32*'Statistics NZ'!AQ$339)</f>
        <v>5283.8440746563929</v>
      </c>
      <c r="AH10" s="111">
        <f>AG$10*'Population Treasury'!AS$32*'Statistics NZ'!AS$339/('Population Treasury'!AR$32*'Statistics NZ'!AR$339)</f>
        <v>5292.2014610263068</v>
      </c>
      <c r="AI10" s="111">
        <f>AH$10*'Population Treasury'!AT$32*'Statistics NZ'!AT$339/('Population Treasury'!AS$32*'Statistics NZ'!AS$339)</f>
        <v>5297.1580562908302</v>
      </c>
      <c r="AJ10" s="111">
        <f>AI$10*'Population Treasury'!AU$32*'Statistics NZ'!AU$339/('Population Treasury'!AT$32*'Statistics NZ'!AT$339)</f>
        <v>5310.7738815434304</v>
      </c>
      <c r="AK10" s="111">
        <f>AJ$10*'Population Treasury'!AV$32*'Statistics NZ'!AV$339/('Population Treasury'!AU$32*'Statistics NZ'!AU$339)</f>
        <v>5328.1822100359268</v>
      </c>
      <c r="AL10" s="111">
        <f>AK$10*'Population Treasury'!AW$32*'Statistics NZ'!AW$339/('Population Treasury'!AV$32*'Statistics NZ'!AV$339)</f>
        <v>5352.7586906766701</v>
      </c>
      <c r="AM10" s="111">
        <f>AL$10*'Population Treasury'!AX$32*'Statistics NZ'!AX$339/('Population Treasury'!AW$32*'Statistics NZ'!AW$339)</f>
        <v>5381.2223452126327</v>
      </c>
      <c r="AN10" s="111">
        <f>AM$10*'Population Treasury'!AY$32*'Statistics NZ'!AY$339/('Population Treasury'!AX$32*'Statistics NZ'!AX$339)</f>
        <v>5406.3006235904413</v>
      </c>
      <c r="AO10" s="111">
        <f>AN$10*'Population Treasury'!AZ$32*'Statistics NZ'!AZ$339/('Population Treasury'!AY$32*'Statistics NZ'!AY$339)</f>
        <v>5424.6938587860996</v>
      </c>
      <c r="AP10" s="111">
        <f>AO$10*'Population Treasury'!BA$32*'Statistics NZ'!BA$339/('Population Treasury'!AZ$32*'Statistics NZ'!AZ$339)</f>
        <v>5438.1028746839393</v>
      </c>
      <c r="AQ10" s="111">
        <f>AP$10*'Population Treasury'!BB$32*'Statistics NZ'!BB$339/('Population Treasury'!BA$32*'Statistics NZ'!BA$339)</f>
        <v>5459.0690500094779</v>
      </c>
      <c r="AR10" s="111">
        <f>AQ$10*'Population Treasury'!BC$32*'Statistics NZ'!BC$339/('Population Treasury'!BB$32*'Statistics NZ'!BB$339)</f>
        <v>5464.2980663002554</v>
      </c>
      <c r="AS10" s="111">
        <f>AR$10*'Population Treasury'!BD$32*'Statistics NZ'!BD$339/('Population Treasury'!BC$32*'Statistics NZ'!BC$339)</f>
        <v>5475.4329449761526</v>
      </c>
      <c r="AT10" s="111">
        <f>AS$10*'Population Treasury'!BE$32*'Statistics NZ'!BE$339/('Population Treasury'!BD$32*'Statistics NZ'!BD$339)</f>
        <v>5470.9203166058724</v>
      </c>
      <c r="AU10" s="111">
        <f>AT$10*'Population Treasury'!BF$32*'Statistics NZ'!BF$339/('Population Treasury'!BE$32*'Statistics NZ'!BE$339)</f>
        <v>5463.2111502620137</v>
      </c>
      <c r="AV10" s="111">
        <f>AU$10*'Population Treasury'!BG$32*'Statistics NZ'!BG$339/('Population Treasury'!BF$32*'Statistics NZ'!BF$339)</f>
        <v>5450.6176714020712</v>
      </c>
      <c r="AW10" s="111">
        <f>AV$10*'Population Treasury'!BH$32*'Statistics NZ'!BH$339/('Population Treasury'!BG$32*'Statistics NZ'!BG$339)</f>
        <v>5447.0240961464797</v>
      </c>
      <c r="AX10" s="111">
        <f>AW$10*'Population Treasury'!BI$32*'Statistics NZ'!BI$339/('Population Treasury'!BH$32*'Statistics NZ'!BH$339)</f>
        <v>5429.5173889725183</v>
      </c>
      <c r="AY10" s="111">
        <f>AX$10*'Population Treasury'!BJ$32*'Statistics NZ'!BJ$339/('Population Treasury'!BI$32*'Statistics NZ'!BI$339)</f>
        <v>5410.403663879476</v>
      </c>
      <c r="AZ10" s="111">
        <f>AY$10*'Population Treasury'!BK$32*'Statistics NZ'!BK$339/('Population Treasury'!BJ$32*'Statistics NZ'!BJ$339)</f>
        <v>5392.9616108431528</v>
      </c>
      <c r="BA10" s="111">
        <f>AZ$10*'Population Treasury'!BL$32*'Statistics NZ'!BL$339/('Population Treasury'!BK$32*'Statistics NZ'!BK$339)</f>
        <v>5377.1656484988125</v>
      </c>
      <c r="BB10" s="195">
        <f>BA$10*'Population Treasury'!BM$32*'Statistics NZ'!BM$339/('Population Treasury'!BL$32*'Statistics NZ'!BL$339)</f>
        <v>5363.0062977721782</v>
      </c>
      <c r="BC10" s="195">
        <f>BB$10*'Population Treasury'!BN$32*'Statistics NZ'!BN$339/('Population Treasury'!BM$32*'Statistics NZ'!BM$339)</f>
        <v>5353.7332252597143</v>
      </c>
      <c r="BD10" s="195">
        <f>BC$10*'Population Treasury'!BO$32*'Statistics NZ'!BO$339/('Population Treasury'!BN$32*'Statistics NZ'!BN$339)</f>
        <v>5339.0681093249896</v>
      </c>
      <c r="BE10" s="195">
        <f>BD$10*'Population Treasury'!BP$32*'Statistics NZ'!BP$339/('Population Treasury'!BO$32*'Statistics NZ'!BO$339)</f>
        <v>5341.1715297528417</v>
      </c>
      <c r="BF10" s="195">
        <f>BE$10*'Population Treasury'!BQ$32*'Statistics NZ'!BQ$339/('Population Treasury'!BP$32*'Statistics NZ'!BP$339)</f>
        <v>5337.8987538189349</v>
      </c>
    </row>
    <row r="11" spans="1:58">
      <c r="A11" s="124">
        <v>16</v>
      </c>
      <c r="B11" s="118">
        <f>'Population Treasury'!M$33*'Statistics NZ'!M$340*'Economic Forecasts'!O$8/B$7</f>
        <v>11306.300537492976</v>
      </c>
      <c r="C11" s="118">
        <f>'Population Treasury'!N$33*'Statistics NZ'!N$340*'Economic Forecasts'!P$8/C$7</f>
        <v>11138.965725303138</v>
      </c>
      <c r="D11" s="118">
        <f>'Population Treasury'!O$33*'Statistics NZ'!O$340*'Economic Forecasts'!Q$8/D$7</f>
        <v>10877.237936505035</v>
      </c>
      <c r="E11" s="203">
        <f>'Population Treasury'!P$33*'Statistics NZ'!P$340*'Economic Forecasts'!R$8/E$7</f>
        <v>10999.27446091172</v>
      </c>
      <c r="F11" s="121">
        <f>'Population Treasury'!Q$33*'Statistics NZ'!Q$340*'Economic Forecasts'!S$8/F$7</f>
        <v>10899.664024443524</v>
      </c>
      <c r="G11" s="121">
        <f>'Population Treasury'!R$33*'Statistics NZ'!R$340*'Economic Forecasts'!T$8/G$7</f>
        <v>11160.571678320059</v>
      </c>
      <c r="H11" s="121">
        <f>'Population Treasury'!S$33*'Statistics NZ'!S$340*'Economic Forecasts'!U$8/H$7</f>
        <v>11720.142271361834</v>
      </c>
      <c r="I11" s="121">
        <f>'Population Treasury'!T$33*'Statistics NZ'!T$340*'Economic Forecasts'!V$8/I$7</f>
        <v>12244.779942326943</v>
      </c>
      <c r="J11" s="205">
        <f>'Population Treasury'!U$33*'Statistics NZ'!U$340*'Economic Forecasts'!W$8/J$7</f>
        <v>12246.53181855239</v>
      </c>
      <c r="K11" s="111">
        <f>J$11*'Population Treasury'!V$33*'Statistics NZ'!V$340/('Population Treasury'!U$33*'Statistics NZ'!U$340)</f>
        <v>12673.954409650702</v>
      </c>
      <c r="L11" s="111">
        <f>K$11*'Population Treasury'!W$33*'Statistics NZ'!W$340/('Population Treasury'!V$33*'Statistics NZ'!V$340)</f>
        <v>12684.846203858588</v>
      </c>
      <c r="M11" s="111">
        <f>L$11*'Population Treasury'!X$33*'Statistics NZ'!X$340/('Population Treasury'!W$33*'Statistics NZ'!W$340)</f>
        <v>12689.404543049041</v>
      </c>
      <c r="N11" s="111">
        <f>M$11*'Population Treasury'!Y$33*'Statistics NZ'!Y$340/('Population Treasury'!X$33*'Statistics NZ'!X$340)</f>
        <v>12690.158001311675</v>
      </c>
      <c r="O11" s="111">
        <f>N$11*'Population Treasury'!Z$33*'Statistics NZ'!Z$340/('Population Treasury'!Y$33*'Statistics NZ'!Y$340)</f>
        <v>12293.991618716551</v>
      </c>
      <c r="P11" s="111">
        <f>O$11*'Population Treasury'!AA$33*'Statistics NZ'!AA$340/('Population Treasury'!Z$33*'Statistics NZ'!Z$340)</f>
        <v>12330.613065935209</v>
      </c>
      <c r="Q11" s="111">
        <f>P$11*'Population Treasury'!AB$33*'Statistics NZ'!AB$340/('Population Treasury'!AA$33*'Statistics NZ'!AA$340)</f>
        <v>12207.944138723427</v>
      </c>
      <c r="R11" s="111">
        <f>Q$11*'Population Treasury'!AC$33*'Statistics NZ'!AC$340/('Population Treasury'!AB$33*'Statistics NZ'!AB$340)</f>
        <v>12288.628131046305</v>
      </c>
      <c r="S11" s="111">
        <f>R$11*'Population Treasury'!AD$33*'Statistics NZ'!AD$340/('Population Treasury'!AC$33*'Statistics NZ'!AC$340)</f>
        <v>11981.692009229173</v>
      </c>
      <c r="T11" s="111">
        <f>S$11*'Population Treasury'!AE$33*'Statistics NZ'!AE$340/('Population Treasury'!AD$33*'Statistics NZ'!AD$340)</f>
        <v>11810.863421253782</v>
      </c>
      <c r="U11" s="111">
        <f>T$11*'Population Treasury'!AF$33*'Statistics NZ'!AF$340/('Population Treasury'!AE$33*'Statistics NZ'!AE$340)</f>
        <v>11861.57531775493</v>
      </c>
      <c r="V11" s="111">
        <f>U$11*'Population Treasury'!AG$33*'Statistics NZ'!AG$340/('Population Treasury'!AF$33*'Statistics NZ'!AF$340)</f>
        <v>11647.100751882368</v>
      </c>
      <c r="W11" s="111">
        <f>V$11*'Population Treasury'!AH$33*'Statistics NZ'!AH$340/('Population Treasury'!AG$33*'Statistics NZ'!AG$340)</f>
        <v>11626.233109861312</v>
      </c>
      <c r="X11" s="111">
        <f>W$11*'Population Treasury'!AI$33*'Statistics NZ'!AI$340/('Population Treasury'!AH$33*'Statistics NZ'!AH$340)</f>
        <v>11595.982461395197</v>
      </c>
      <c r="Y11" s="111">
        <f>X$11*'Population Treasury'!AJ$33*'Statistics NZ'!AJ$340/('Population Treasury'!AI$33*'Statistics NZ'!AI$340)</f>
        <v>11566.481337646504</v>
      </c>
      <c r="Z11" s="111">
        <f>Y$11*'Population Treasury'!AK$33*'Statistics NZ'!AK$340/('Population Treasury'!AJ$33*'Statistics NZ'!AJ$340)</f>
        <v>11596.26043666545</v>
      </c>
      <c r="AA11" s="111">
        <f>Z$11*'Population Treasury'!AL$33*'Statistics NZ'!AL$340/('Population Treasury'!AK$33*'Statistics NZ'!AK$340)</f>
        <v>11625.895531302152</v>
      </c>
      <c r="AB11" s="111">
        <f>AA$11*'Population Treasury'!AM$33*'Statistics NZ'!AM$340/('Population Treasury'!AL$33*'Statistics NZ'!AL$340)</f>
        <v>11635.76226474503</v>
      </c>
      <c r="AC11" s="111">
        <f>AB$11*'Population Treasury'!AN$33*'Statistics NZ'!AN$340/('Population Treasury'!AM$33*'Statistics NZ'!AM$340)</f>
        <v>11642.067144369355</v>
      </c>
      <c r="AD11" s="111">
        <f>AC$11*'Population Treasury'!AO$33*'Statistics NZ'!AO$340/('Population Treasury'!AN$33*'Statistics NZ'!AN$340)</f>
        <v>11648.725284887305</v>
      </c>
      <c r="AE11" s="111">
        <f>AD$11*'Population Treasury'!AP$33*'Statistics NZ'!AP$340/('Population Treasury'!AO$33*'Statistics NZ'!AO$340)</f>
        <v>11652.139321130779</v>
      </c>
      <c r="AF11" s="111">
        <f>AE$11*'Population Treasury'!AQ$33*'Statistics NZ'!AQ$340/('Population Treasury'!AP$33*'Statistics NZ'!AP$340)</f>
        <v>11662.635243718047</v>
      </c>
      <c r="AG11" s="111">
        <f>AF$11*'Population Treasury'!AR$33*'Statistics NZ'!AR$340/('Population Treasury'!AQ$33*'Statistics NZ'!AQ$340)</f>
        <v>11673.126634775799</v>
      </c>
      <c r="AH11" s="111">
        <f>AG$11*'Population Treasury'!AS$33*'Statistics NZ'!AS$340/('Population Treasury'!AR$33*'Statistics NZ'!AR$340)</f>
        <v>11683.603783412422</v>
      </c>
      <c r="AI11" s="111">
        <f>AH$11*'Population Treasury'!AT$33*'Statistics NZ'!AT$340/('Population Treasury'!AS$33*'Statistics NZ'!AS$340)</f>
        <v>11711.227670684741</v>
      </c>
      <c r="AJ11" s="111">
        <f>AI$11*'Population Treasury'!AU$33*'Statistics NZ'!AU$340/('Population Treasury'!AT$33*'Statistics NZ'!AT$340)</f>
        <v>11738.40699101793</v>
      </c>
      <c r="AK11" s="111">
        <f>AJ$11*'Population Treasury'!AV$33*'Statistics NZ'!AV$340/('Population Treasury'!AU$33*'Statistics NZ'!AU$340)</f>
        <v>11782.773433009614</v>
      </c>
      <c r="AL11" s="111">
        <f>AK$11*'Population Treasury'!AW$33*'Statistics NZ'!AW$340/('Population Treasury'!AV$33*'Statistics NZ'!AV$340)</f>
        <v>11822.928445014422</v>
      </c>
      <c r="AM11" s="111">
        <f>AL$11*'Population Treasury'!AX$33*'Statistics NZ'!AX$340/('Population Treasury'!AW$33*'Statistics NZ'!AW$340)</f>
        <v>11873.076998153372</v>
      </c>
      <c r="AN11" s="111">
        <f>AM$11*'Population Treasury'!AY$33*'Statistics NZ'!AY$340/('Population Treasury'!AX$33*'Statistics NZ'!AX$340)</f>
        <v>11937.123576027632</v>
      </c>
      <c r="AO11" s="111">
        <f>AN$11*'Population Treasury'!AZ$33*'Statistics NZ'!AZ$340/('Population Treasury'!AY$33*'Statistics NZ'!AY$340)</f>
        <v>11986.271782164848</v>
      </c>
      <c r="AP11" s="111">
        <f>AO$11*'Population Treasury'!BA$33*'Statistics NZ'!BA$340/('Population Treasury'!AZ$33*'Statistics NZ'!AZ$340)</f>
        <v>12039.005999482453</v>
      </c>
      <c r="AQ11" s="111">
        <f>AP$11*'Population Treasury'!BB$33*'Statistics NZ'!BB$340/('Population Treasury'!BA$33*'Statistics NZ'!BA$340)</f>
        <v>12087.887246396214</v>
      </c>
      <c r="AR11" s="111">
        <f>AQ$11*'Population Treasury'!BC$33*'Statistics NZ'!BC$340/('Population Treasury'!BB$33*'Statistics NZ'!BB$340)</f>
        <v>12115.196385122959</v>
      </c>
      <c r="AS11" s="111">
        <f>AR$11*'Population Treasury'!BD$33*'Statistics NZ'!BD$340/('Population Treasury'!BC$33*'Statistics NZ'!BC$340)</f>
        <v>12135.332615931608</v>
      </c>
      <c r="AT11" s="111">
        <f>AS$11*'Population Treasury'!BE$33*'Statistics NZ'!BE$340/('Population Treasury'!BD$33*'Statistics NZ'!BD$340)</f>
        <v>12144.855955711901</v>
      </c>
      <c r="AU11" s="111">
        <f>AT$11*'Population Treasury'!BF$33*'Statistics NZ'!BF$340/('Population Treasury'!BE$33*'Statistics NZ'!BE$340)</f>
        <v>12147.337540454299</v>
      </c>
      <c r="AV11" s="111">
        <f>AU$11*'Population Treasury'!BG$33*'Statistics NZ'!BG$340/('Population Treasury'!BF$33*'Statistics NZ'!BF$340)</f>
        <v>12139.038061005176</v>
      </c>
      <c r="AW11" s="111">
        <f>AV$11*'Population Treasury'!BH$33*'Statistics NZ'!BH$340/('Population Treasury'!BG$33*'Statistics NZ'!BG$340)</f>
        <v>12119.951071600748</v>
      </c>
      <c r="AX11" s="111">
        <f>AW$11*'Population Treasury'!BI$33*'Statistics NZ'!BI$340/('Population Treasury'!BH$33*'Statistics NZ'!BH$340)</f>
        <v>12093.661284516333</v>
      </c>
      <c r="AY11" s="111">
        <f>AX$11*'Population Treasury'!BJ$33*'Statistics NZ'!BJ$340/('Population Treasury'!BI$33*'Statistics NZ'!BI$340)</f>
        <v>12053.20188248362</v>
      </c>
      <c r="AZ11" s="111">
        <f>AY$11*'Population Treasury'!BK$33*'Statistics NZ'!BK$340/('Population Treasury'!BJ$33*'Statistics NZ'!BJ$340)</f>
        <v>12023.372438128141</v>
      </c>
      <c r="BA11" s="111">
        <f>AZ$11*'Population Treasury'!BL$33*'Statistics NZ'!BL$340/('Population Treasury'!BK$33*'Statistics NZ'!BK$340)</f>
        <v>11979.418130749114</v>
      </c>
      <c r="BB11" s="195">
        <f>BA$11*'Population Treasury'!BM$33*'Statistics NZ'!BM$340/('Population Treasury'!BL$33*'Statistics NZ'!BL$340)</f>
        <v>11956.72577040752</v>
      </c>
      <c r="BC11" s="195">
        <f>BB$11*'Population Treasury'!BN$33*'Statistics NZ'!BN$340/('Population Treasury'!BM$33*'Statistics NZ'!BM$340)</f>
        <v>11923.596623909603</v>
      </c>
      <c r="BD11" s="195">
        <f>BC$11*'Population Treasury'!BO$33*'Statistics NZ'!BO$340/('Population Treasury'!BN$33*'Statistics NZ'!BN$340)</f>
        <v>11901.227510890367</v>
      </c>
      <c r="BE11" s="195">
        <f>BD$11*'Population Treasury'!BP$33*'Statistics NZ'!BP$340/('Population Treasury'!BO$33*'Statistics NZ'!BO$340)</f>
        <v>11879.302105488385</v>
      </c>
      <c r="BF11" s="195">
        <f>BE$11*'Population Treasury'!BQ$33*'Statistics NZ'!BQ$340/('Population Treasury'!BP$33*'Statistics NZ'!BP$340)</f>
        <v>11857.829585530941</v>
      </c>
    </row>
    <row r="12" spans="1:58">
      <c r="A12" s="124">
        <v>17</v>
      </c>
      <c r="B12" s="118">
        <f>'Population Treasury'!M$34*'Statistics NZ'!M$341*'Economic Forecasts'!O$8/B$7</f>
        <v>15299.555872708015</v>
      </c>
      <c r="C12" s="118">
        <f>'Population Treasury'!N$34*'Statistics NZ'!N$341*'Economic Forecasts'!P$8/C$7</f>
        <v>15368.732632147179</v>
      </c>
      <c r="D12" s="118">
        <f>'Population Treasury'!O$34*'Statistics NZ'!O$341*'Economic Forecasts'!Q$8/D$7</f>
        <v>14778.717032105347</v>
      </c>
      <c r="E12" s="203">
        <f>'Population Treasury'!P$34*'Statistics NZ'!P$341*'Economic Forecasts'!R$8/E$7</f>
        <v>14365.132989350494</v>
      </c>
      <c r="F12" s="121">
        <f>'Population Treasury'!Q$34*'Statistics NZ'!Q$341*'Economic Forecasts'!S$8/F$7</f>
        <v>14514.826255371157</v>
      </c>
      <c r="G12" s="121">
        <f>'Population Treasury'!R$34*'Statistics NZ'!R$341*'Economic Forecasts'!T$8/G$7</f>
        <v>14460.5554660422</v>
      </c>
      <c r="H12" s="121">
        <f>'Population Treasury'!S$34*'Statistics NZ'!S$341*'Economic Forecasts'!U$8/H$7</f>
        <v>14768.214059933762</v>
      </c>
      <c r="I12" s="121">
        <f>'Population Treasury'!T$34*'Statistics NZ'!T$341*'Economic Forecasts'!V$8/I$7</f>
        <v>15512.487897566216</v>
      </c>
      <c r="J12" s="205">
        <f>'Population Treasury'!U$34*'Statistics NZ'!U$341*'Economic Forecasts'!W$8/J$7</f>
        <v>16146.143235768466</v>
      </c>
      <c r="K12" s="111">
        <f>J$12*'Population Treasury'!V$34*'Statistics NZ'!V$341/('Population Treasury'!U$34*'Statistics NZ'!U$341)</f>
        <v>16083.552813513748</v>
      </c>
      <c r="L12" s="111">
        <f>K$12*'Population Treasury'!W$34*'Statistics NZ'!W$341/('Population Treasury'!V$34*'Statistics NZ'!V$341)</f>
        <v>16579.27355257126</v>
      </c>
      <c r="M12" s="111">
        <f>L$12*'Population Treasury'!X$34*'Statistics NZ'!X$341/('Population Treasury'!W$34*'Statistics NZ'!W$341)</f>
        <v>16541.420765553747</v>
      </c>
      <c r="N12" s="111">
        <f>M$12*'Population Treasury'!Y$34*'Statistics NZ'!Y$341/('Population Treasury'!X$34*'Statistics NZ'!X$341)</f>
        <v>16491.227445361714</v>
      </c>
      <c r="O12" s="111">
        <f>N$12*'Population Treasury'!Z$34*'Statistics NZ'!Z$341/('Population Treasury'!Y$34*'Statistics NZ'!Y$341)</f>
        <v>16435.28439767893</v>
      </c>
      <c r="P12" s="111">
        <f>O$12*'Population Treasury'!AA$34*'Statistics NZ'!AA$341/('Population Treasury'!Z$34*'Statistics NZ'!Z$341)</f>
        <v>15895.701972260013</v>
      </c>
      <c r="Q12" s="111">
        <f>P$12*'Population Treasury'!AB$34*'Statistics NZ'!AB$341/('Population Treasury'!AA$34*'Statistics NZ'!AA$341)</f>
        <v>15892.578695884225</v>
      </c>
      <c r="R12" s="111">
        <f>Q$12*'Population Treasury'!AC$34*'Statistics NZ'!AC$341/('Population Treasury'!AB$34*'Statistics NZ'!AB$341)</f>
        <v>15682.636737653716</v>
      </c>
      <c r="S12" s="111">
        <f>R$12*'Population Treasury'!AD$34*'Statistics NZ'!AD$341/('Population Treasury'!AC$34*'Statistics NZ'!AC$341)</f>
        <v>15750.041240853452</v>
      </c>
      <c r="T12" s="111">
        <f>S$12*'Population Treasury'!AE$34*'Statistics NZ'!AE$341/('Population Treasury'!AD$34*'Statistics NZ'!AD$341)</f>
        <v>15344.40250719392</v>
      </c>
      <c r="U12" s="111">
        <f>T$12*'Population Treasury'!AF$34*'Statistics NZ'!AF$341/('Population Treasury'!AE$34*'Statistics NZ'!AE$341)</f>
        <v>15115.603278116288</v>
      </c>
      <c r="V12" s="111">
        <f>U$12*'Population Treasury'!AG$34*'Statistics NZ'!AG$341/('Population Treasury'!AF$34*'Statistics NZ'!AF$341)</f>
        <v>15149.218543731437</v>
      </c>
      <c r="W12" s="111">
        <f>V$12*'Population Treasury'!AH$34*'Statistics NZ'!AH$341/('Population Treasury'!AG$34*'Statistics NZ'!AG$341)</f>
        <v>14860.079055487678</v>
      </c>
      <c r="X12" s="111">
        <f>W$12*'Population Treasury'!AI$34*'Statistics NZ'!AI$341/('Population Treasury'!AH$34*'Statistics NZ'!AH$341)</f>
        <v>14815.683054998453</v>
      </c>
      <c r="Y12" s="111">
        <f>X$12*'Population Treasury'!AJ$34*'Statistics NZ'!AJ$341/('Population Treasury'!AI$34*'Statistics NZ'!AI$341)</f>
        <v>14767.394201542647</v>
      </c>
      <c r="Z12" s="111">
        <f>Y$12*'Population Treasury'!AK$34*'Statistics NZ'!AK$341/('Population Treasury'!AJ$34*'Statistics NZ'!AJ$341)</f>
        <v>14715.367617066915</v>
      </c>
      <c r="AA12" s="111">
        <f>Z$12*'Population Treasury'!AL$34*'Statistics NZ'!AL$341/('Population Treasury'!AK$34*'Statistics NZ'!AK$341)</f>
        <v>14745.321368081046</v>
      </c>
      <c r="AB12" s="111">
        <f>AA$12*'Population Treasury'!AM$34*'Statistics NZ'!AM$341/('Population Treasury'!AL$34*'Statistics NZ'!AL$341)</f>
        <v>14767.684033430753</v>
      </c>
      <c r="AC12" s="111">
        <f>AB$12*'Population Treasury'!AN$34*'Statistics NZ'!AN$341/('Population Treasury'!AM$34*'Statistics NZ'!AM$341)</f>
        <v>14782.65905789152</v>
      </c>
      <c r="AD12" s="111">
        <f>AC$12*'Population Treasury'!AO$34*'Statistics NZ'!AO$341/('Population Treasury'!AN$34*'Statistics NZ'!AN$341)</f>
        <v>14785.734351067647</v>
      </c>
      <c r="AE12" s="111">
        <f>AD$12*'Population Treasury'!AP$34*'Statistics NZ'!AP$341/('Population Treasury'!AO$34*'Statistics NZ'!AO$341)</f>
        <v>14781.640721288151</v>
      </c>
      <c r="AF12" s="111">
        <f>AE$12*'Population Treasury'!AQ$34*'Statistics NZ'!AQ$341/('Population Treasury'!AP$34*'Statistics NZ'!AP$341)</f>
        <v>14786.076154988843</v>
      </c>
      <c r="AG12" s="111">
        <f>AF$12*'Population Treasury'!AR$34*'Statistics NZ'!AR$341/('Population Treasury'!AQ$34*'Statistics NZ'!AQ$341)</f>
        <v>14784.633335718299</v>
      </c>
      <c r="AH12" s="111">
        <f>AG$12*'Population Treasury'!AS$34*'Statistics NZ'!AS$341/('Population Treasury'!AR$34*'Statistics NZ'!AR$341)</f>
        <v>14792.018589880685</v>
      </c>
      <c r="AI12" s="111">
        <f>AH$12*'Population Treasury'!AT$34*'Statistics NZ'!AT$341/('Population Treasury'!AS$34*'Statistics NZ'!AS$341)</f>
        <v>14800.624342670479</v>
      </c>
      <c r="AJ12" s="111">
        <f>AI$12*'Population Treasury'!AU$34*'Statistics NZ'!AU$341/('Population Treasury'!AT$34*'Statistics NZ'!AT$341)</f>
        <v>14829.92069870086</v>
      </c>
      <c r="AK12" s="111">
        <f>AJ$12*'Population Treasury'!AV$34*'Statistics NZ'!AV$341/('Population Treasury'!AU$34*'Statistics NZ'!AU$341)</f>
        <v>14855.926898740699</v>
      </c>
      <c r="AL12" s="111">
        <f>AK$12*'Population Treasury'!AW$34*'Statistics NZ'!AW$341/('Population Treasury'!AV$34*'Statistics NZ'!AV$341)</f>
        <v>14904.165866434163</v>
      </c>
      <c r="AM12" s="111">
        <f>AL$12*'Population Treasury'!AX$34*'Statistics NZ'!AX$341/('Population Treasury'!AW$34*'Statistics NZ'!AW$341)</f>
        <v>14964.097648381918</v>
      </c>
      <c r="AN12" s="111">
        <f>AM$12*'Population Treasury'!AY$34*'Statistics NZ'!AY$341/('Population Treasury'!AX$34*'Statistics NZ'!AX$341)</f>
        <v>15031.381592530979</v>
      </c>
      <c r="AO12" s="111">
        <f>AN$12*'Population Treasury'!AZ$34*'Statistics NZ'!AZ$341/('Population Treasury'!AY$34*'Statistics NZ'!AY$341)</f>
        <v>15101.38840291359</v>
      </c>
      <c r="AP12" s="111">
        <f>AO$12*'Population Treasury'!BA$34*'Statistics NZ'!BA$341/('Population Treasury'!AZ$34*'Statistics NZ'!AZ$341)</f>
        <v>15172.842106949098</v>
      </c>
      <c r="AQ12" s="111">
        <f>AP$12*'Population Treasury'!BB$34*'Statistics NZ'!BB$341/('Population Treasury'!BA$34*'Statistics NZ'!BA$341)</f>
        <v>15225.954632450203</v>
      </c>
      <c r="AR12" s="111">
        <f>AQ$12*'Population Treasury'!BC$34*'Statistics NZ'!BC$341/('Population Treasury'!BB$34*'Statistics NZ'!BB$341)</f>
        <v>15291.757493351761</v>
      </c>
      <c r="AS12" s="111">
        <f>AR$12*'Population Treasury'!BD$34*'Statistics NZ'!BD$341/('Population Treasury'!BC$34*'Statistics NZ'!BC$341)</f>
        <v>15328.58720435945</v>
      </c>
      <c r="AT12" s="111">
        <f>AS$12*'Population Treasury'!BE$34*'Statistics NZ'!BE$341/('Population Treasury'!BD$34*'Statistics NZ'!BD$341)</f>
        <v>15356.452724693396</v>
      </c>
      <c r="AU12" s="111">
        <f>AT$12*'Population Treasury'!BF$34*'Statistics NZ'!BF$341/('Population Treasury'!BE$34*'Statistics NZ'!BE$341)</f>
        <v>15371.065666561171</v>
      </c>
      <c r="AV12" s="111">
        <f>AU$12*'Population Treasury'!BG$34*'Statistics NZ'!BG$341/('Population Treasury'!BF$34*'Statistics NZ'!BF$341)</f>
        <v>15372.221489921325</v>
      </c>
      <c r="AW12" s="111">
        <f>AV$12*'Population Treasury'!BH$34*'Statistics NZ'!BH$341/('Population Treasury'!BG$34*'Statistics NZ'!BG$341)</f>
        <v>15353.824939495209</v>
      </c>
      <c r="AX12" s="111">
        <f>AW$12*'Population Treasury'!BI$34*'Statistics NZ'!BI$341/('Population Treasury'!BH$34*'Statistics NZ'!BH$341)</f>
        <v>15322.016723393606</v>
      </c>
      <c r="AY12" s="111">
        <f>AX$12*'Population Treasury'!BJ$34*'Statistics NZ'!BJ$341/('Population Treasury'!BI$34*'Statistics NZ'!BI$341)</f>
        <v>15296.534228703149</v>
      </c>
      <c r="AZ12" s="111">
        <f>AY$12*'Population Treasury'!BK$34*'Statistics NZ'!BK$341/('Population Treasury'!BJ$34*'Statistics NZ'!BJ$341)</f>
        <v>15251.29643599665</v>
      </c>
      <c r="BA12" s="111">
        <f>AZ$12*'Population Treasury'!BL$34*'Statistics NZ'!BL$341/('Population Treasury'!BK$34*'Statistics NZ'!BK$341)</f>
        <v>15201.626203957878</v>
      </c>
      <c r="BB12" s="195">
        <f>BA$12*'Population Treasury'!BM$34*'Statistics NZ'!BM$341/('Population Treasury'!BL$34*'Statistics NZ'!BL$341)</f>
        <v>15156.537336393403</v>
      </c>
      <c r="BC12" s="195">
        <f>BB$12*'Population Treasury'!BN$34*'Statistics NZ'!BN$341/('Population Treasury'!BM$34*'Statistics NZ'!BM$341)</f>
        <v>15115.932628550861</v>
      </c>
      <c r="BD12" s="195">
        <f>BC$12*'Population Treasury'!BO$34*'Statistics NZ'!BO$341/('Population Treasury'!BN$34*'Statistics NZ'!BN$341)</f>
        <v>15079.81987421168</v>
      </c>
      <c r="BE12" s="195">
        <f>BD$12*'Population Treasury'!BP$34*'Statistics NZ'!BP$341/('Population Treasury'!BO$34*'Statistics NZ'!BO$341)</f>
        <v>15046.764772997574</v>
      </c>
      <c r="BF12" s="195">
        <f>BE$12*'Population Treasury'!BQ$34*'Statistics NZ'!BQ$341/('Population Treasury'!BP$34*'Statistics NZ'!BP$341)</f>
        <v>15027.14669977568</v>
      </c>
    </row>
    <row r="13" spans="1:58">
      <c r="A13" s="124">
        <v>18</v>
      </c>
      <c r="B13" s="118">
        <f>'Population Treasury'!M$35*'Statistics NZ'!M$342*'Economic Forecasts'!O$8/B$7</f>
        <v>17613.186278859874</v>
      </c>
      <c r="C13" s="118">
        <f>'Population Treasury'!N$35*'Statistics NZ'!N$342*'Economic Forecasts'!P$8/C$7</f>
        <v>18197.172239013831</v>
      </c>
      <c r="D13" s="118">
        <f>'Population Treasury'!O$35*'Statistics NZ'!O$342*'Economic Forecasts'!Q$8/D$7</f>
        <v>17913.651306898395</v>
      </c>
      <c r="E13" s="203">
        <f>'Population Treasury'!P$35*'Statistics NZ'!P$342*'Economic Forecasts'!R$8/E$7</f>
        <v>17263.305778308444</v>
      </c>
      <c r="F13" s="121">
        <f>'Population Treasury'!Q$35*'Statistics NZ'!Q$342*'Economic Forecasts'!S$8/F$7</f>
        <v>16923.010084387894</v>
      </c>
      <c r="G13" s="121">
        <f>'Population Treasury'!R$35*'Statistics NZ'!R$342*'Economic Forecasts'!T$8/G$7</f>
        <v>17287.629227666323</v>
      </c>
      <c r="H13" s="121">
        <f>'Population Treasury'!S$35*'Statistics NZ'!S$342*'Economic Forecasts'!U$8/H$7</f>
        <v>17242.356407278054</v>
      </c>
      <c r="I13" s="121">
        <f>'Population Treasury'!T$35*'Statistics NZ'!T$342*'Economic Forecasts'!V$8/I$7</f>
        <v>17724.370827113518</v>
      </c>
      <c r="J13" s="205">
        <f>'Population Treasury'!U$35*'Statistics NZ'!U$342*'Economic Forecasts'!W$8/J$7</f>
        <v>18610.04588936377</v>
      </c>
      <c r="K13" s="111">
        <f>J$13*'Population Treasury'!V$35*'Statistics NZ'!V$342/('Population Treasury'!U$35*'Statistics NZ'!U$342)</f>
        <v>19348.310656013302</v>
      </c>
      <c r="L13" s="111">
        <f>K$13*'Population Treasury'!W$35*'Statistics NZ'!W$342/('Population Treasury'!V$35*'Statistics NZ'!V$342)</f>
        <v>19260.793109765316</v>
      </c>
      <c r="M13" s="111">
        <f>L$13*'Population Treasury'!X$35*'Statistics NZ'!X$342/('Population Treasury'!W$35*'Statistics NZ'!W$342)</f>
        <v>19830.314394886347</v>
      </c>
      <c r="N13" s="111">
        <f>M$13*'Population Treasury'!Y$35*'Statistics NZ'!Y$342/('Population Treasury'!X$35*'Statistics NZ'!X$342)</f>
        <v>19780.092983768503</v>
      </c>
      <c r="O13" s="111">
        <f>N$13*'Population Treasury'!Z$35*'Statistics NZ'!Z$342/('Population Treasury'!Y$35*'Statistics NZ'!Y$342)</f>
        <v>19702.747567509341</v>
      </c>
      <c r="P13" s="111">
        <f>O$13*'Population Treasury'!AA$35*'Statistics NZ'!AA$342/('Population Treasury'!Z$35*'Statistics NZ'!Z$342)</f>
        <v>19623.622975999828</v>
      </c>
      <c r="Q13" s="111">
        <f>P$13*'Population Treasury'!AB$35*'Statistics NZ'!AB$342/('Population Treasury'!AA$35*'Statistics NZ'!AA$342)</f>
        <v>18977.999928081994</v>
      </c>
      <c r="R13" s="111">
        <f>Q$13*'Population Treasury'!AC$35*'Statistics NZ'!AC$342/('Population Treasury'!AB$35*'Statistics NZ'!AB$342)</f>
        <v>18963.695522656526</v>
      </c>
      <c r="S13" s="111">
        <f>R$13*'Population Treasury'!AD$35*'Statistics NZ'!AD$342/('Population Treasury'!AC$35*'Statistics NZ'!AC$342)</f>
        <v>18718.564943636382</v>
      </c>
      <c r="T13" s="111">
        <f>S$13*'Population Treasury'!AE$35*'Statistics NZ'!AE$342/('Population Treasury'!AD$35*'Statistics NZ'!AD$342)</f>
        <v>18797.755111953469</v>
      </c>
      <c r="U13" s="111">
        <f>T$13*'Population Treasury'!AF$35*'Statistics NZ'!AF$342/('Population Treasury'!AE$35*'Statistics NZ'!AE$342)</f>
        <v>18311.687315299205</v>
      </c>
      <c r="V13" s="111">
        <f>U$13*'Population Treasury'!AG$35*'Statistics NZ'!AG$342/('Population Treasury'!AF$35*'Statistics NZ'!AF$342)</f>
        <v>18039.349306668737</v>
      </c>
      <c r="W13" s="111">
        <f>V$13*'Population Treasury'!AH$35*'Statistics NZ'!AH$342/('Population Treasury'!AG$35*'Statistics NZ'!AG$342)</f>
        <v>18086.101311830218</v>
      </c>
      <c r="X13" s="111">
        <f>W$13*'Population Treasury'!AI$35*'Statistics NZ'!AI$342/('Population Treasury'!AH$35*'Statistics NZ'!AH$342)</f>
        <v>17760.615050511598</v>
      </c>
      <c r="Y13" s="111">
        <f>X$13*'Population Treasury'!AJ$35*'Statistics NZ'!AJ$342/('Population Treasury'!AI$35*'Statistics NZ'!AI$342)</f>
        <v>17705.394709698507</v>
      </c>
      <c r="Z13" s="111">
        <f>Y$13*'Population Treasury'!AK$35*'Statistics NZ'!AK$342/('Population Treasury'!AJ$35*'Statistics NZ'!AJ$342)</f>
        <v>17656.540146793577</v>
      </c>
      <c r="AA13" s="111">
        <f>Z$13*'Population Treasury'!AL$35*'Statistics NZ'!AL$342/('Population Treasury'!AK$35*'Statistics NZ'!AK$342)</f>
        <v>17593.408419816955</v>
      </c>
      <c r="AB13" s="111">
        <f>AA$13*'Population Treasury'!AM$35*'Statistics NZ'!AM$342/('Population Treasury'!AL$35*'Statistics NZ'!AL$342)</f>
        <v>17632.173879311362</v>
      </c>
      <c r="AC13" s="111">
        <f>AB$13*'Population Treasury'!AN$35*'Statistics NZ'!AN$342/('Population Treasury'!AM$35*'Statistics NZ'!AM$342)</f>
        <v>17655.385465167376</v>
      </c>
      <c r="AD13" s="111">
        <f>AC$13*'Population Treasury'!AO$35*'Statistics NZ'!AO$342/('Population Treasury'!AN$35*'Statistics NZ'!AN$342)</f>
        <v>17668.138347855089</v>
      </c>
      <c r="AE13" s="111">
        <f>AD$13*'Population Treasury'!AP$35*'Statistics NZ'!AP$342/('Population Treasury'!AO$35*'Statistics NZ'!AO$342)</f>
        <v>17681.088330513321</v>
      </c>
      <c r="AF13" s="111">
        <f>AE$13*'Population Treasury'!AQ$35*'Statistics NZ'!AQ$342/('Population Treasury'!AP$35*'Statistics NZ'!AP$342)</f>
        <v>17683.794753497092</v>
      </c>
      <c r="AG13" s="111">
        <f>AF$13*'Population Treasury'!AR$35*'Statistics NZ'!AR$342/('Population Treasury'!AQ$35*'Statistics NZ'!AQ$342)</f>
        <v>17671.11612165083</v>
      </c>
      <c r="AH13" s="111">
        <f>AG$13*'Population Treasury'!AS$35*'Statistics NZ'!AS$342/('Population Treasury'!AR$35*'Statistics NZ'!AR$342)</f>
        <v>17689.564594317948</v>
      </c>
      <c r="AI13" s="111">
        <f>AH$13*'Population Treasury'!AT$35*'Statistics NZ'!AT$342/('Population Treasury'!AS$35*'Statistics NZ'!AS$342)</f>
        <v>17697.594573294806</v>
      </c>
      <c r="AJ13" s="111">
        <f>AI$13*'Population Treasury'!AU$35*'Statistics NZ'!AU$342/('Population Treasury'!AT$35*'Statistics NZ'!AT$342)</f>
        <v>17715.714035161236</v>
      </c>
      <c r="AK13" s="111">
        <f>AJ$13*'Population Treasury'!AV$35*'Statistics NZ'!AV$342/('Population Treasury'!AU$35*'Statistics NZ'!AU$342)</f>
        <v>17738.753375116568</v>
      </c>
      <c r="AL13" s="111">
        <f>AK$13*'Population Treasury'!AW$35*'Statistics NZ'!AW$342/('Population Treasury'!AV$35*'Statistics NZ'!AV$342)</f>
        <v>17777.107002025878</v>
      </c>
      <c r="AM13" s="111">
        <f>AL$13*'Population Treasury'!AX$35*'Statistics NZ'!AX$342/('Population Treasury'!AW$35*'Statistics NZ'!AW$342)</f>
        <v>17830.757524628709</v>
      </c>
      <c r="AN13" s="111">
        <f>AM$13*'Population Treasury'!AY$35*'Statistics NZ'!AY$342/('Population Treasury'!AX$35*'Statistics NZ'!AX$342)</f>
        <v>17899.804168987739</v>
      </c>
      <c r="AO13" s="111">
        <f>AN$13*'Population Treasury'!AZ$35*'Statistics NZ'!AZ$342/('Population Treasury'!AY$35*'Statistics NZ'!AY$342)</f>
        <v>17973.498877659105</v>
      </c>
      <c r="AP13" s="111">
        <f>AO$13*'Population Treasury'!BA$35*'Statistics NZ'!BA$342/('Population Treasury'!AZ$35*'Statistics NZ'!AZ$342)</f>
        <v>18057.560311077901</v>
      </c>
      <c r="AQ13" s="111">
        <f>AP$13*'Population Treasury'!BB$35*'Statistics NZ'!BB$342/('Population Treasury'!BA$35*'Statistics NZ'!BA$342)</f>
        <v>18141.219629854451</v>
      </c>
      <c r="AR13" s="111">
        <f>AQ$13*'Population Treasury'!BC$35*'Statistics NZ'!BC$342/('Population Treasury'!BB$35*'Statistics NZ'!BB$342)</f>
        <v>18214.318970868862</v>
      </c>
      <c r="AS13" s="111">
        <f>AR$13*'Population Treasury'!BD$35*'Statistics NZ'!BD$342/('Population Treasury'!BC$35*'Statistics NZ'!BC$342)</f>
        <v>18281.938804775913</v>
      </c>
      <c r="AT13" s="111">
        <f>AS$13*'Population Treasury'!BE$35*'Statistics NZ'!BE$342/('Population Treasury'!BD$35*'Statistics NZ'!BD$342)</f>
        <v>18328.446615028268</v>
      </c>
      <c r="AU13" s="111">
        <f>AT$13*'Population Treasury'!BF$35*'Statistics NZ'!BF$342/('Population Treasury'!BE$35*'Statistics NZ'!BE$342)</f>
        <v>18359.12319306549</v>
      </c>
      <c r="AV13" s="111">
        <f>AU$13*'Population Treasury'!BG$35*'Statistics NZ'!BG$342/('Population Treasury'!BF$35*'Statistics NZ'!BF$342)</f>
        <v>18384.78240957396</v>
      </c>
      <c r="AW13" s="111">
        <f>AV$13*'Population Treasury'!BH$35*'Statistics NZ'!BH$342/('Population Treasury'!BG$35*'Statistics NZ'!BG$342)</f>
        <v>18378.707089769079</v>
      </c>
      <c r="AX13" s="111">
        <f>AW$13*'Population Treasury'!BI$35*'Statistics NZ'!BI$342/('Population Treasury'!BH$35*'Statistics NZ'!BH$342)</f>
        <v>18356.578692005653</v>
      </c>
      <c r="AY13" s="111">
        <f>AX$13*'Population Treasury'!BJ$35*'Statistics NZ'!BJ$342/('Population Treasury'!BI$35*'Statistics NZ'!BI$342)</f>
        <v>18334.901313066883</v>
      </c>
      <c r="AZ13" s="111">
        <f>AY$13*'Population Treasury'!BK$35*'Statistics NZ'!BK$342/('Population Treasury'!BJ$35*'Statistics NZ'!BJ$342)</f>
        <v>18291.895737855099</v>
      </c>
      <c r="BA13" s="111">
        <f>AZ$13*'Population Treasury'!BL$35*'Statistics NZ'!BL$342/('Population Treasury'!BK$35*'Statistics NZ'!BK$342)</f>
        <v>18243.619944492621</v>
      </c>
      <c r="BB13" s="195">
        <f>BA$13*'Population Treasury'!BM$35*'Statistics NZ'!BM$342/('Population Treasury'!BL$35*'Statistics NZ'!BL$342)</f>
        <v>18195.475404495166</v>
      </c>
      <c r="BC13" s="195">
        <f>BB$13*'Population Treasury'!BN$35*'Statistics NZ'!BN$342/('Population Treasury'!BM$35*'Statistics NZ'!BM$342)</f>
        <v>18141.909460075753</v>
      </c>
      <c r="BD13" s="195">
        <f>BC$13*'Population Treasury'!BO$35*'Statistics NZ'!BO$342/('Population Treasury'!BN$35*'Statistics NZ'!BN$342)</f>
        <v>18083.19726319156</v>
      </c>
      <c r="BE13" s="195">
        <f>BD$13*'Population Treasury'!BP$35*'Statistics NZ'!BP$342/('Population Treasury'!BO$35*'Statistics NZ'!BO$342)</f>
        <v>18040.416117529094</v>
      </c>
      <c r="BF13" s="195">
        <f>BE$13*'Population Treasury'!BQ$35*'Statistics NZ'!BQ$342/('Population Treasury'!BP$35*'Statistics NZ'!BP$342)</f>
        <v>18008.220547359906</v>
      </c>
    </row>
    <row r="14" spans="1:58">
      <c r="A14" s="124">
        <v>19</v>
      </c>
      <c r="B14" s="118">
        <f>'Population Treasury'!M$36*'Statistics NZ'!M$343*'Economic Forecasts'!O$8/B$7</f>
        <v>19895.771823244395</v>
      </c>
      <c r="C14" s="118">
        <f>'Population Treasury'!N$36*'Statistics NZ'!N$343*'Economic Forecasts'!P$8/C$7</f>
        <v>19711.76231768441</v>
      </c>
      <c r="D14" s="118">
        <f>'Population Treasury'!O$36*'Statistics NZ'!O$343*'Economic Forecasts'!Q$8/D$7</f>
        <v>20010.303163126981</v>
      </c>
      <c r="E14" s="203">
        <f>'Population Treasury'!P$36*'Statistics NZ'!P$343*'Economic Forecasts'!R$8/E$7</f>
        <v>19708.972579302306</v>
      </c>
      <c r="F14" s="121">
        <f>'Population Treasury'!Q$36*'Statistics NZ'!Q$343*'Economic Forecasts'!S$8/F$7</f>
        <v>19184.056259519311</v>
      </c>
      <c r="G14" s="121">
        <f>'Population Treasury'!R$36*'Statistics NZ'!R$343*'Economic Forecasts'!T$8/G$7</f>
        <v>19068.670717571033</v>
      </c>
      <c r="H14" s="121">
        <f>'Population Treasury'!S$36*'Statistics NZ'!S$343*'Economic Forecasts'!U$8/H$7</f>
        <v>19534.749043938751</v>
      </c>
      <c r="I14" s="121">
        <f>'Population Treasury'!T$36*'Statistics NZ'!T$343*'Economic Forecasts'!V$8/I$7</f>
        <v>19678.06164423166</v>
      </c>
      <c r="J14" s="205">
        <f>'Population Treasury'!U$36*'Statistics NZ'!U$343*'Economic Forecasts'!W$8/J$7</f>
        <v>20248.671130552248</v>
      </c>
      <c r="K14" s="111">
        <f>J$14*'Population Treasury'!V$36*'Statistics NZ'!V$343/('Population Treasury'!U$36*'Statistics NZ'!U$343)</f>
        <v>21269.966188507537</v>
      </c>
      <c r="L14" s="111">
        <f>K$14*'Population Treasury'!W$36*'Statistics NZ'!W$343/('Population Treasury'!V$36*'Statistics NZ'!V$343)</f>
        <v>22096.796922258804</v>
      </c>
      <c r="M14" s="111">
        <f>L$14*'Population Treasury'!X$36*'Statistics NZ'!X$343/('Population Treasury'!W$36*'Statistics NZ'!W$343)</f>
        <v>22023.374324219381</v>
      </c>
      <c r="N14" s="111">
        <f>M$14*'Population Treasury'!Y$36*'Statistics NZ'!Y$343/('Population Treasury'!X$36*'Statistics NZ'!X$343)</f>
        <v>22662.700090405298</v>
      </c>
      <c r="O14" s="111">
        <f>N$14*'Population Treasury'!Z$36*'Statistics NZ'!Z$343/('Population Treasury'!Y$36*'Statistics NZ'!Y$343)</f>
        <v>22616.305100138325</v>
      </c>
      <c r="P14" s="111">
        <f>O$14*'Population Treasury'!AA$36*'Statistics NZ'!AA$343/('Population Treasury'!Z$36*'Statistics NZ'!Z$343)</f>
        <v>22526.956528699171</v>
      </c>
      <c r="Q14" s="111">
        <f>P$14*'Population Treasury'!AB$36*'Statistics NZ'!AB$343/('Population Treasury'!AA$36*'Statistics NZ'!AA$343)</f>
        <v>22455.72316152748</v>
      </c>
      <c r="R14" s="111">
        <f>Q$14*'Population Treasury'!AC$36*'Statistics NZ'!AC$343/('Population Treasury'!AB$36*'Statistics NZ'!AB$343)</f>
        <v>21727.519763433676</v>
      </c>
      <c r="S14" s="111">
        <f>R$14*'Population Treasury'!AD$36*'Statistics NZ'!AD$343/('Population Treasury'!AC$36*'Statistics NZ'!AC$343)</f>
        <v>21726.074367188121</v>
      </c>
      <c r="T14" s="111">
        <f>S$14*'Population Treasury'!AE$36*'Statistics NZ'!AE$343/('Population Treasury'!AD$36*'Statistics NZ'!AD$343)</f>
        <v>21461.642775035947</v>
      </c>
      <c r="U14" s="111">
        <f>T$14*'Population Treasury'!AF$36*'Statistics NZ'!AF$343/('Population Treasury'!AE$36*'Statistics NZ'!AE$343)</f>
        <v>21573.727937174117</v>
      </c>
      <c r="V14" s="111">
        <f>U$14*'Population Treasury'!AG$36*'Statistics NZ'!AG$343/('Population Treasury'!AF$36*'Statistics NZ'!AF$343)</f>
        <v>21039.106159867359</v>
      </c>
      <c r="W14" s="111">
        <f>V$14*'Population Treasury'!AH$36*'Statistics NZ'!AH$343/('Population Treasury'!AG$36*'Statistics NZ'!AG$343)</f>
        <v>20748.701798119073</v>
      </c>
      <c r="X14" s="111">
        <f>W$14*'Population Treasury'!AI$36*'Statistics NZ'!AI$343/('Population Treasury'!AH$36*'Statistics NZ'!AH$343)</f>
        <v>20811.255011734</v>
      </c>
      <c r="Y14" s="111">
        <f>X$14*'Population Treasury'!AJ$36*'Statistics NZ'!AJ$343/('Population Treasury'!AI$36*'Statistics NZ'!AI$343)</f>
        <v>20443.969354540739</v>
      </c>
      <c r="Z14" s="111">
        <f>Y$14*'Population Treasury'!AK$36*'Statistics NZ'!AK$343/('Population Treasury'!AJ$36*'Statistics NZ'!AJ$343)</f>
        <v>20405.724482180965</v>
      </c>
      <c r="AA14" s="111">
        <f>Z$14*'Population Treasury'!AL$36*'Statistics NZ'!AL$343/('Population Treasury'!AK$36*'Statistics NZ'!AK$343)</f>
        <v>20353.908176110279</v>
      </c>
      <c r="AB14" s="111">
        <f>AA$14*'Population Treasury'!AM$36*'Statistics NZ'!AM$343/('Population Treasury'!AL$36*'Statistics NZ'!AL$343)</f>
        <v>20290.931166293147</v>
      </c>
      <c r="AC14" s="111">
        <f>AB$14*'Population Treasury'!AN$36*'Statistics NZ'!AN$343/('Population Treasury'!AM$36*'Statistics NZ'!AM$343)</f>
        <v>20347.02887483596</v>
      </c>
      <c r="AD14" s="111">
        <f>AC$14*'Population Treasury'!AO$36*'Statistics NZ'!AO$343/('Population Treasury'!AN$36*'Statistics NZ'!AN$343)</f>
        <v>20379.747179893391</v>
      </c>
      <c r="AE14" s="111">
        <f>AD$14*'Population Treasury'!AP$36*'Statistics NZ'!AP$343/('Population Treasury'!AO$36*'Statistics NZ'!AO$343)</f>
        <v>20393.268565456736</v>
      </c>
      <c r="AF14" s="111">
        <f>AE$14*'Population Treasury'!AQ$36*'Statistics NZ'!AQ$343/('Population Treasury'!AP$36*'Statistics NZ'!AP$343)</f>
        <v>20409.795402859512</v>
      </c>
      <c r="AG14" s="111">
        <f>AF$14*'Population Treasury'!AR$36*'Statistics NZ'!AR$343/('Population Treasury'!AQ$36*'Statistics NZ'!AQ$343)</f>
        <v>20411.516876060356</v>
      </c>
      <c r="AH14" s="111">
        <f>AG$14*'Population Treasury'!AS$36*'Statistics NZ'!AS$343/('Population Treasury'!AR$36*'Statistics NZ'!AR$343)</f>
        <v>20426.745840158743</v>
      </c>
      <c r="AI14" s="111">
        <f>AH$14*'Population Treasury'!AT$36*'Statistics NZ'!AT$343/('Population Treasury'!AS$36*'Statistics NZ'!AS$343)</f>
        <v>20431.526953877641</v>
      </c>
      <c r="AJ14" s="111">
        <f>AI$14*'Population Treasury'!AU$36*'Statistics NZ'!AU$343/('Population Treasury'!AT$36*'Statistics NZ'!AT$343)</f>
        <v>20448.190656242081</v>
      </c>
      <c r="AK14" s="111">
        <f>AJ$14*'Population Treasury'!AV$36*'Statistics NZ'!AV$343/('Population Treasury'!AU$36*'Statistics NZ'!AU$343)</f>
        <v>20463.076765946262</v>
      </c>
      <c r="AL14" s="111">
        <f>AK$14*'Population Treasury'!AW$36*'Statistics NZ'!AW$343/('Population Treasury'!AV$36*'Statistics NZ'!AV$343)</f>
        <v>20498.649888202573</v>
      </c>
      <c r="AM14" s="111">
        <f>AL$14*'Population Treasury'!AX$36*'Statistics NZ'!AX$343/('Population Treasury'!AW$36*'Statistics NZ'!AW$343)</f>
        <v>20547.54312475209</v>
      </c>
      <c r="AN14" s="111">
        <f>AM$14*'Population Treasury'!AY$36*'Statistics NZ'!AY$343/('Population Treasury'!AX$36*'Statistics NZ'!AX$343)</f>
        <v>20604.780933323978</v>
      </c>
      <c r="AO14" s="111">
        <f>AN$14*'Population Treasury'!AZ$36*'Statistics NZ'!AZ$343/('Population Treasury'!AY$36*'Statistics NZ'!AY$343)</f>
        <v>20692.001027346832</v>
      </c>
      <c r="AP14" s="111">
        <f>AO$14*'Population Treasury'!BA$36*'Statistics NZ'!BA$343/('Population Treasury'!AZ$36*'Statistics NZ'!AZ$343)</f>
        <v>20775.519843085705</v>
      </c>
      <c r="AQ14" s="111">
        <f>AP$14*'Population Treasury'!BB$36*'Statistics NZ'!BB$343/('Population Treasury'!BA$36*'Statistics NZ'!BA$343)</f>
        <v>20878.891270768807</v>
      </c>
      <c r="AR14" s="111">
        <f>AQ$14*'Population Treasury'!BC$36*'Statistics NZ'!BC$343/('Population Treasury'!BB$36*'Statistics NZ'!BB$343)</f>
        <v>20974.237455381652</v>
      </c>
      <c r="AS14" s="111">
        <f>AR$14*'Population Treasury'!BD$36*'Statistics NZ'!BD$343/('Population Treasury'!BC$36*'Statistics NZ'!BC$343)</f>
        <v>21055.889472122803</v>
      </c>
      <c r="AT14" s="111">
        <f>AS$14*'Population Treasury'!BE$36*'Statistics NZ'!BE$343/('Population Treasury'!BD$36*'Statistics NZ'!BD$343)</f>
        <v>21119.192493686551</v>
      </c>
      <c r="AU14" s="111">
        <f>AT$14*'Population Treasury'!BF$36*'Statistics NZ'!BF$343/('Population Treasury'!BE$36*'Statistics NZ'!BE$343)</f>
        <v>21175.554253316499</v>
      </c>
      <c r="AV14" s="111">
        <f>AU$14*'Population Treasury'!BG$36*'Statistics NZ'!BG$343/('Population Treasury'!BF$36*'Statistics NZ'!BF$343)</f>
        <v>21226.297027269233</v>
      </c>
      <c r="AW14" s="111">
        <f>AV$14*'Population Treasury'!BH$36*'Statistics NZ'!BH$343/('Population Treasury'!BG$36*'Statistics NZ'!BG$343)</f>
        <v>21235.722833320146</v>
      </c>
      <c r="AX14" s="111">
        <f>AW$14*'Population Treasury'!BI$36*'Statistics NZ'!BI$343/('Population Treasury'!BH$36*'Statistics NZ'!BH$343)</f>
        <v>21239.884700539831</v>
      </c>
      <c r="AY14" s="111">
        <f>AX$14*'Population Treasury'!BJ$36*'Statistics NZ'!BJ$343/('Population Treasury'!BI$36*'Statistics NZ'!BI$343)</f>
        <v>21226.058046364789</v>
      </c>
      <c r="AZ14" s="111">
        <f>AY$14*'Population Treasury'!BK$36*'Statistics NZ'!BK$343/('Population Treasury'!BJ$36*'Statistics NZ'!BJ$343)</f>
        <v>21183.352555091933</v>
      </c>
      <c r="BA14" s="111">
        <f>AZ$14*'Population Treasury'!BL$36*'Statistics NZ'!BL$343/('Population Treasury'!BK$36*'Statistics NZ'!BK$343)</f>
        <v>21145.549017893703</v>
      </c>
      <c r="BB14" s="195">
        <f>BA$14*'Population Treasury'!BM$36*'Statistics NZ'!BM$343/('Population Treasury'!BL$36*'Statistics NZ'!BL$343)</f>
        <v>21078.963291149161</v>
      </c>
      <c r="BC14" s="195">
        <f>BB$14*'Population Treasury'!BN$36*'Statistics NZ'!BN$343/('Population Treasury'!BM$36*'Statistics NZ'!BM$343)</f>
        <v>21018.63814047071</v>
      </c>
      <c r="BD14" s="195">
        <f>BC$14*'Population Treasury'!BO$36*'Statistics NZ'!BO$343/('Population Treasury'!BN$36*'Statistics NZ'!BN$343)</f>
        <v>20962.824975673971</v>
      </c>
      <c r="BE14" s="195">
        <f>BD$14*'Population Treasury'!BP$36*'Statistics NZ'!BP$343/('Population Treasury'!BO$36*'Statistics NZ'!BO$343)</f>
        <v>20914.609697034426</v>
      </c>
      <c r="BF14" s="195">
        <f>BE$14*'Population Treasury'!BQ$36*'Statistics NZ'!BQ$343/('Population Treasury'!BP$36*'Statistics NZ'!BP$343)</f>
        <v>20849.662202900046</v>
      </c>
    </row>
    <row r="15" spans="1:58">
      <c r="A15" s="124">
        <v>20</v>
      </c>
      <c r="B15" s="118">
        <f>'Population Treasury'!M$37*'Statistics NZ'!M$344*'Economic Forecasts'!O$8/B$7</f>
        <v>21478.660089823581</v>
      </c>
      <c r="C15" s="118">
        <f>'Population Treasury'!N$37*'Statistics NZ'!N$344*'Economic Forecasts'!P$8/C$7</f>
        <v>21632.108734019039</v>
      </c>
      <c r="D15" s="118">
        <f>'Population Treasury'!O$37*'Statistics NZ'!O$344*'Economic Forecasts'!Q$8/D$7</f>
        <v>20929.271825456824</v>
      </c>
      <c r="E15" s="203">
        <f>'Population Treasury'!P$37*'Statistics NZ'!P$344*'Economic Forecasts'!R$8/E$7</f>
        <v>21400.171165764754</v>
      </c>
      <c r="F15" s="121">
        <f>'Population Treasury'!Q$37*'Statistics NZ'!Q$344*'Economic Forecasts'!S$8/F$7</f>
        <v>21221.964674916544</v>
      </c>
      <c r="G15" s="121">
        <f>'Population Treasury'!R$37*'Statistics NZ'!R$344*'Economic Forecasts'!T$8/G$7</f>
        <v>20918.745819815209</v>
      </c>
      <c r="H15" s="121">
        <f>'Population Treasury'!S$37*'Statistics NZ'!S$344*'Economic Forecasts'!U$8/H$7</f>
        <v>20833.262240876844</v>
      </c>
      <c r="I15" s="121">
        <f>'Population Treasury'!T$37*'Statistics NZ'!T$344*'Economic Forecasts'!V$8/I$7</f>
        <v>21413.642717055434</v>
      </c>
      <c r="J15" s="205">
        <f>'Population Treasury'!U$37*'Statistics NZ'!U$344*'Economic Forecasts'!W$8/J$7</f>
        <v>21552.590681566613</v>
      </c>
      <c r="K15" s="111">
        <f>J$15*'Population Treasury'!V$37*'Statistics NZ'!V$344/('Population Treasury'!U$37*'Statistics NZ'!U$344)</f>
        <v>22065.682367312354</v>
      </c>
      <c r="L15" s="111">
        <f>K$15*'Population Treasury'!W$37*'Statistics NZ'!W$344/('Population Treasury'!V$37*'Statistics NZ'!V$344)</f>
        <v>23072.737128197186</v>
      </c>
      <c r="M15" s="111">
        <f>L$15*'Population Treasury'!X$37*'Statistics NZ'!X$344/('Population Treasury'!W$37*'Statistics NZ'!W$344)</f>
        <v>23900.652839076989</v>
      </c>
      <c r="N15" s="111">
        <f>M$15*'Population Treasury'!Y$37*'Statistics NZ'!Y$344/('Population Treasury'!X$37*'Statistics NZ'!X$344)</f>
        <v>23754.286598549217</v>
      </c>
      <c r="O15" s="111">
        <f>N$15*'Population Treasury'!Z$37*'Statistics NZ'!Z$344/('Population Treasury'!Y$37*'Statistics NZ'!Y$344)</f>
        <v>24415.352733715583</v>
      </c>
      <c r="P15" s="111">
        <f>O$15*'Population Treasury'!AA$37*'Statistics NZ'!AA$344/('Population Treasury'!Z$37*'Statistics NZ'!Z$344)</f>
        <v>24337.819857637871</v>
      </c>
      <c r="Q15" s="111">
        <f>P$15*'Population Treasury'!AB$37*'Statistics NZ'!AB$344/('Population Treasury'!AA$37*'Statistics NZ'!AA$344)</f>
        <v>24234.089281083921</v>
      </c>
      <c r="R15" s="111">
        <f>Q$15*'Population Treasury'!AC$37*'Statistics NZ'!AC$344/('Population Treasury'!AB$37*'Statistics NZ'!AB$344)</f>
        <v>24135.679039901013</v>
      </c>
      <c r="S15" s="111">
        <f>R$15*'Population Treasury'!AD$37*'Statistics NZ'!AD$344/('Population Treasury'!AC$37*'Statistics NZ'!AC$344)</f>
        <v>23360.098424882304</v>
      </c>
      <c r="T15" s="111">
        <f>S$15*'Population Treasury'!AE$37*'Statistics NZ'!AE$344/('Population Treasury'!AD$37*'Statistics NZ'!AD$344)</f>
        <v>23383.347390345167</v>
      </c>
      <c r="U15" s="111">
        <f>T$15*'Population Treasury'!AF$37*'Statistics NZ'!AF$344/('Population Treasury'!AE$37*'Statistics NZ'!AE$344)</f>
        <v>23110.036383524861</v>
      </c>
      <c r="V15" s="111">
        <f>U$15*'Population Treasury'!AG$37*'Statistics NZ'!AG$344/('Population Treasury'!AF$37*'Statistics NZ'!AF$344)</f>
        <v>23245.809908445335</v>
      </c>
      <c r="W15" s="111">
        <f>V$15*'Population Treasury'!AH$37*'Statistics NZ'!AH$344/('Population Treasury'!AG$37*'Statistics NZ'!AG$344)</f>
        <v>22682.149484497084</v>
      </c>
      <c r="X15" s="111">
        <f>W$15*'Population Treasury'!AI$37*'Statistics NZ'!AI$344/('Population Treasury'!AH$37*'Statistics NZ'!AH$344)</f>
        <v>22384.430238557889</v>
      </c>
      <c r="Y15" s="111">
        <f>X$15*'Population Treasury'!AJ$37*'Statistics NZ'!AJ$344/('Population Treasury'!AI$37*'Statistics NZ'!AI$344)</f>
        <v>22461.286481539308</v>
      </c>
      <c r="Z15" s="111">
        <f>Y$15*'Population Treasury'!AK$37*'Statistics NZ'!AK$344/('Population Treasury'!AJ$37*'Statistics NZ'!AJ$344)</f>
        <v>22081.239707013116</v>
      </c>
      <c r="AA15" s="111">
        <f>Z$15*'Population Treasury'!AL$37*'Statistics NZ'!AL$344/('Population Treasury'!AK$37*'Statistics NZ'!AK$344)</f>
        <v>22047.355977355983</v>
      </c>
      <c r="AB15" s="111">
        <f>AA$15*'Population Treasury'!AM$37*'Statistics NZ'!AM$344/('Population Treasury'!AL$37*'Statistics NZ'!AL$344)</f>
        <v>21994.740675464567</v>
      </c>
      <c r="AC15" s="111">
        <f>AB$15*'Population Treasury'!AN$37*'Statistics NZ'!AN$344/('Population Treasury'!AM$37*'Statistics NZ'!AM$344)</f>
        <v>21936.951733224811</v>
      </c>
      <c r="AD15" s="111">
        <f>AC$15*'Population Treasury'!AO$37*'Statistics NZ'!AO$344/('Population Treasury'!AN$37*'Statistics NZ'!AN$344)</f>
        <v>22006.688704621618</v>
      </c>
      <c r="AE15" s="111">
        <f>AD$15*'Population Treasury'!AP$37*'Statistics NZ'!AP$344/('Population Treasury'!AO$37*'Statistics NZ'!AO$344)</f>
        <v>22058.118041045094</v>
      </c>
      <c r="AF15" s="111">
        <f>AE$15*'Population Treasury'!AQ$37*'Statistics NZ'!AQ$344/('Population Treasury'!AP$37*'Statistics NZ'!AP$344)</f>
        <v>22081.661918011934</v>
      </c>
      <c r="AG15" s="111">
        <f>AF$15*'Population Treasury'!AR$37*'Statistics NZ'!AR$344/('Population Treasury'!AQ$37*'Statistics NZ'!AQ$344)</f>
        <v>22100.439809378593</v>
      </c>
      <c r="AH15" s="111">
        <f>AG$15*'Population Treasury'!AS$37*'Statistics NZ'!AS$344/('Population Treasury'!AR$37*'Statistics NZ'!AR$344)</f>
        <v>22115.106642231352</v>
      </c>
      <c r="AI15" s="111">
        <f>AH$15*'Population Treasury'!AT$37*'Statistics NZ'!AT$344/('Population Treasury'!AS$37*'Statistics NZ'!AS$344)</f>
        <v>22125.436900687397</v>
      </c>
      <c r="AJ15" s="111">
        <f>AI$15*'Population Treasury'!AU$37*'Statistics NZ'!AU$344/('Population Treasury'!AT$37*'Statistics NZ'!AT$344)</f>
        <v>22135.529065458977</v>
      </c>
      <c r="AK15" s="111">
        <f>AJ$15*'Population Treasury'!AV$37*'Statistics NZ'!AV$344/('Population Treasury'!AU$37*'Statistics NZ'!AU$344)</f>
        <v>22158.814544934899</v>
      </c>
      <c r="AL15" s="111">
        <f>AK$15*'Population Treasury'!AW$37*'Statistics NZ'!AW$344/('Population Treasury'!AV$37*'Statistics NZ'!AV$344)</f>
        <v>22189.548989633273</v>
      </c>
      <c r="AM15" s="111">
        <f>AL$15*'Population Treasury'!AX$37*'Statistics NZ'!AX$344/('Population Treasury'!AW$37*'Statistics NZ'!AW$344)</f>
        <v>22230.636630358207</v>
      </c>
      <c r="AN15" s="111">
        <f>AM$15*'Population Treasury'!AY$37*'Statistics NZ'!AY$344/('Population Treasury'!AX$37*'Statistics NZ'!AX$344)</f>
        <v>22282.959935393726</v>
      </c>
      <c r="AO15" s="111">
        <f>AN$15*'Population Treasury'!AZ$37*'Statistics NZ'!AZ$344/('Population Treasury'!AY$37*'Statistics NZ'!AY$344)</f>
        <v>22359.713841159595</v>
      </c>
      <c r="AP15" s="111">
        <f>AO$15*'Population Treasury'!BA$37*'Statistics NZ'!BA$344/('Population Treasury'!AZ$37*'Statistics NZ'!AZ$344)</f>
        <v>22441.010330273715</v>
      </c>
      <c r="AQ15" s="111">
        <f>AP$15*'Population Treasury'!BB$37*'Statistics NZ'!BB$344/('Population Treasury'!BA$37*'Statistics NZ'!BA$344)</f>
        <v>22544.135502501602</v>
      </c>
      <c r="AR15" s="111">
        <f>AQ$15*'Population Treasury'!BC$37*'Statistics NZ'!BC$344/('Population Treasury'!BB$37*'Statistics NZ'!BB$344)</f>
        <v>22644.09520122538</v>
      </c>
      <c r="AS15" s="111">
        <f>AR$15*'Population Treasury'!BD$37*'Statistics NZ'!BD$344/('Population Treasury'!BC$37*'Statistics NZ'!BC$344)</f>
        <v>22748.823931866969</v>
      </c>
      <c r="AT15" s="111">
        <f>AS$15*'Population Treasury'!BE$37*'Statistics NZ'!BE$344/('Population Treasury'!BD$37*'Statistics NZ'!BD$344)</f>
        <v>22851.078893671998</v>
      </c>
      <c r="AU15" s="111">
        <f>AT$15*'Population Treasury'!BF$37*'Statistics NZ'!BF$344/('Population Treasury'!BE$37*'Statistics NZ'!BE$344)</f>
        <v>22926.364298782053</v>
      </c>
      <c r="AV15" s="111">
        <f>AU$15*'Population Treasury'!BG$37*'Statistics NZ'!BG$344/('Population Treasury'!BF$37*'Statistics NZ'!BF$344)</f>
        <v>22988.4121427887</v>
      </c>
      <c r="AW15" s="111">
        <f>AV$15*'Population Treasury'!BH$37*'Statistics NZ'!BH$344/('Population Treasury'!BG$37*'Statistics NZ'!BG$344)</f>
        <v>23023.998206135075</v>
      </c>
      <c r="AX15" s="111">
        <f>AW$15*'Population Treasury'!BI$37*'Statistics NZ'!BI$344/('Population Treasury'!BH$37*'Statistics NZ'!BH$344)</f>
        <v>23046.599999494963</v>
      </c>
      <c r="AY15" s="111">
        <f>AX$15*'Population Treasury'!BJ$37*'Statistics NZ'!BJ$344/('Population Treasury'!BI$37*'Statistics NZ'!BI$344)</f>
        <v>23056.17557942338</v>
      </c>
      <c r="AZ15" s="111">
        <f>AY$15*'Population Treasury'!BK$37*'Statistics NZ'!BK$344/('Population Treasury'!BJ$37*'Statistics NZ'!BJ$344)</f>
        <v>23028.352546293256</v>
      </c>
      <c r="BA15" s="111">
        <f>AZ$15*'Population Treasury'!BL$37*'Statistics NZ'!BL$344/('Population Treasury'!BK$37*'Statistics NZ'!BK$344)</f>
        <v>22994.307520126098</v>
      </c>
      <c r="BB15" s="195">
        <f>BA$15*'Population Treasury'!BM$37*'Statistics NZ'!BM$344/('Population Treasury'!BL$37*'Statistics NZ'!BL$344)</f>
        <v>22946.840485214387</v>
      </c>
      <c r="BC15" s="195">
        <f>BB$15*'Population Treasury'!BN$37*'Statistics NZ'!BN$344/('Population Treasury'!BM$37*'Statistics NZ'!BM$344)</f>
        <v>22886.147577926888</v>
      </c>
      <c r="BD15" s="195">
        <f>BC$15*'Population Treasury'!BO$37*'Statistics NZ'!BO$344/('Population Treasury'!BN$37*'Statistics NZ'!BN$344)</f>
        <v>22825.538034640074</v>
      </c>
      <c r="BE15" s="195">
        <f>BD$15*'Population Treasury'!BP$37*'Statistics NZ'!BP$344/('Population Treasury'!BO$37*'Statistics NZ'!BO$344)</f>
        <v>22747.789897701332</v>
      </c>
      <c r="BF15" s="195">
        <f>BE$15*'Population Treasury'!BQ$37*'Statistics NZ'!BQ$344/('Population Treasury'!BP$37*'Statistics NZ'!BP$344)</f>
        <v>22687.153480831286</v>
      </c>
    </row>
    <row r="16" spans="1:58">
      <c r="A16" s="124">
        <v>21</v>
      </c>
      <c r="B16" s="118">
        <f>'Population Treasury'!M$38*'Statistics NZ'!M$345*'Economic Forecasts'!O$8/B$7</f>
        <v>22571.890932228001</v>
      </c>
      <c r="C16" s="118">
        <f>'Population Treasury'!N$38*'Statistics NZ'!N$345*'Economic Forecasts'!P$8/C$7</f>
        <v>22711.366150782567</v>
      </c>
      <c r="D16" s="118">
        <f>'Population Treasury'!O$38*'Statistics NZ'!O$345*'Economic Forecasts'!Q$8/D$7</f>
        <v>22435.073732058947</v>
      </c>
      <c r="E16" s="203">
        <f>'Population Treasury'!P$38*'Statistics NZ'!P$345*'Economic Forecasts'!R$8/E$7</f>
        <v>21936.402945328209</v>
      </c>
      <c r="F16" s="121">
        <f>'Population Treasury'!Q$38*'Statistics NZ'!Q$345*'Economic Forecasts'!S$8/F$7</f>
        <v>22479.641919898404</v>
      </c>
      <c r="G16" s="121">
        <f>'Population Treasury'!R$38*'Statistics NZ'!R$345*'Economic Forecasts'!T$8/G$7</f>
        <v>22512.167826806439</v>
      </c>
      <c r="H16" s="121">
        <f>'Population Treasury'!S$38*'Statistics NZ'!S$345*'Economic Forecasts'!U$8/H$7</f>
        <v>22208.199365420231</v>
      </c>
      <c r="I16" s="121">
        <f>'Population Treasury'!T$38*'Statistics NZ'!T$345*'Economic Forecasts'!V$8/I$7</f>
        <v>22043.589077983281</v>
      </c>
      <c r="J16" s="205">
        <f>'Population Treasury'!U$38*'Statistics NZ'!U$345*'Economic Forecasts'!W$8/J$7</f>
        <v>22711.959057557138</v>
      </c>
      <c r="K16" s="111">
        <f>J$16*'Population Treasury'!V$38*'Statistics NZ'!V$345/('Population Treasury'!U$38*'Statistics NZ'!U$345)</f>
        <v>22814.424414629379</v>
      </c>
      <c r="L16" s="111">
        <f>K$16*'Population Treasury'!W$38*'Statistics NZ'!W$345/('Population Treasury'!V$38*'Statistics NZ'!V$345)</f>
        <v>23395.231062335046</v>
      </c>
      <c r="M16" s="111">
        <f>L$16*'Population Treasury'!X$38*'Statistics NZ'!X$345/('Population Treasury'!W$38*'Statistics NZ'!W$345)</f>
        <v>24521.202686861256</v>
      </c>
      <c r="N16" s="111">
        <f>M$16*'Population Treasury'!Y$38*'Statistics NZ'!Y$345/('Population Treasury'!X$38*'Statistics NZ'!X$345)</f>
        <v>25439.422900174362</v>
      </c>
      <c r="O16" s="111">
        <f>N$16*'Population Treasury'!Z$38*'Statistics NZ'!Z$345/('Population Treasury'!Y$38*'Statistics NZ'!Y$345)</f>
        <v>25319.043583017738</v>
      </c>
      <c r="P16" s="111">
        <f>O$16*'Population Treasury'!AA$38*'Statistics NZ'!AA$345/('Population Treasury'!Z$38*'Statistics NZ'!Z$345)</f>
        <v>26045.66830310132</v>
      </c>
      <c r="Q16" s="111">
        <f>P$16*'Population Treasury'!AB$38*'Statistics NZ'!AB$345/('Population Treasury'!AA$38*'Statistics NZ'!AA$345)</f>
        <v>25985.822778109203</v>
      </c>
      <c r="R16" s="111">
        <f>Q$16*'Population Treasury'!AC$38*'Statistics NZ'!AC$345/('Population Treasury'!AB$38*'Statistics NZ'!AB$345)</f>
        <v>25910.503312879879</v>
      </c>
      <c r="S16" s="111">
        <f>R$16*'Population Treasury'!AD$38*'Statistics NZ'!AD$345/('Population Treasury'!AC$38*'Statistics NZ'!AC$345)</f>
        <v>25846.323659492449</v>
      </c>
      <c r="T16" s="111">
        <f>S$16*'Population Treasury'!AE$38*'Statistics NZ'!AE$345/('Population Treasury'!AD$38*'Statistics NZ'!AD$345)</f>
        <v>25035.696058426009</v>
      </c>
      <c r="U16" s="111">
        <f>T$16*'Population Treasury'!AF$38*'Statistics NZ'!AF$345/('Population Treasury'!AE$38*'Statistics NZ'!AE$345)</f>
        <v>25065.519876670027</v>
      </c>
      <c r="V16" s="111">
        <f>U$16*'Population Treasury'!AG$38*'Statistics NZ'!AG$345/('Population Treasury'!AF$38*'Statistics NZ'!AF$345)</f>
        <v>24804.910485517081</v>
      </c>
      <c r="W16" s="111">
        <f>V$16*'Population Treasury'!AH$38*'Statistics NZ'!AH$345/('Population Treasury'!AG$38*'Statistics NZ'!AG$345)</f>
        <v>24971.633655462319</v>
      </c>
      <c r="X16" s="111">
        <f>W$16*'Population Treasury'!AI$38*'Statistics NZ'!AI$345/('Population Treasury'!AH$38*'Statistics NZ'!AH$345)</f>
        <v>24380.809249784885</v>
      </c>
      <c r="Y16" s="111">
        <f>X$16*'Population Treasury'!AJ$38*'Statistics NZ'!AJ$345/('Population Treasury'!AI$38*'Statistics NZ'!AI$345)</f>
        <v>24078.016594327488</v>
      </c>
      <c r="Z16" s="111">
        <f>Y$16*'Population Treasury'!AK$38*'Statistics NZ'!AK$345/('Population Treasury'!AJ$38*'Statistics NZ'!AJ$345)</f>
        <v>24188.608715515249</v>
      </c>
      <c r="AA16" s="111">
        <f>Z$16*'Population Treasury'!AL$38*'Statistics NZ'!AL$345/('Population Treasury'!AK$38*'Statistics NZ'!AK$345)</f>
        <v>23768.964534006071</v>
      </c>
      <c r="AB16" s="111">
        <f>AA$16*'Population Treasury'!AM$38*'Statistics NZ'!AM$345/('Population Treasury'!AL$38*'Statistics NZ'!AL$345)</f>
        <v>23748.770824872929</v>
      </c>
      <c r="AC16" s="111">
        <f>AB$16*'Population Treasury'!AN$38*'Statistics NZ'!AN$345/('Population Treasury'!AM$38*'Statistics NZ'!AM$345)</f>
        <v>23709.181162805151</v>
      </c>
      <c r="AD16" s="111">
        <f>AC$16*'Population Treasury'!AO$38*'Statistics NZ'!AO$345/('Population Treasury'!AN$38*'Statistics NZ'!AN$345)</f>
        <v>23650.917534396347</v>
      </c>
      <c r="AE16" s="111">
        <f>AD$16*'Population Treasury'!AP$38*'Statistics NZ'!AP$345/('Population Treasury'!AO$38*'Statistics NZ'!AO$345)</f>
        <v>23736.754605594499</v>
      </c>
      <c r="AF16" s="111">
        <f>AE$16*'Population Treasury'!AQ$38*'Statistics NZ'!AQ$345/('Population Treasury'!AP$38*'Statistics NZ'!AP$345)</f>
        <v>23795.365715595115</v>
      </c>
      <c r="AG16" s="111">
        <f>AF$16*'Population Treasury'!AR$38*'Statistics NZ'!AR$345/('Population Treasury'!AQ$38*'Statistics NZ'!AQ$345)</f>
        <v>23837.008870499027</v>
      </c>
      <c r="AH16" s="111">
        <f>AG$16*'Population Treasury'!AS$38*'Statistics NZ'!AS$345/('Population Treasury'!AR$38*'Statistics NZ'!AR$345)</f>
        <v>23858.907299294187</v>
      </c>
      <c r="AI16" s="111">
        <f>AH$16*'Population Treasury'!AT$38*'Statistics NZ'!AT$345/('Population Treasury'!AS$38*'Statistics NZ'!AS$345)</f>
        <v>23871.450114516116</v>
      </c>
      <c r="AJ16" s="111">
        <f>AI$16*'Population Treasury'!AU$38*'Statistics NZ'!AU$345/('Population Treasury'!AT$38*'Statistics NZ'!AT$345)</f>
        <v>23887.57162297894</v>
      </c>
      <c r="AK16" s="111">
        <f>AJ$16*'Population Treasury'!AV$38*'Statistics NZ'!AV$345/('Population Treasury'!AU$38*'Statistics NZ'!AU$345)</f>
        <v>23907.704724482614</v>
      </c>
      <c r="AL16" s="111">
        <f>AK$16*'Population Treasury'!AW$38*'Statistics NZ'!AW$345/('Population Treasury'!AV$38*'Statistics NZ'!AV$345)</f>
        <v>23927.817302624353</v>
      </c>
      <c r="AM16" s="111">
        <f>AL$16*'Population Treasury'!AX$38*'Statistics NZ'!AX$345/('Population Treasury'!AW$38*'Statistics NZ'!AW$345)</f>
        <v>23968.651224371541</v>
      </c>
      <c r="AN16" s="111">
        <f>AM$16*'Population Treasury'!AY$38*'Statistics NZ'!AY$345/('Population Treasury'!AX$38*'Statistics NZ'!AX$345)</f>
        <v>24005.525638616025</v>
      </c>
      <c r="AO16" s="111">
        <f>AN$16*'Population Treasury'!AZ$38*'Statistics NZ'!AZ$345/('Population Treasury'!AY$38*'Statistics NZ'!AY$345)</f>
        <v>24076.829377538437</v>
      </c>
      <c r="AP16" s="111">
        <f>AO$16*'Population Treasury'!BA$38*'Statistics NZ'!BA$345/('Population Treasury'!AZ$38*'Statistics NZ'!AZ$345)</f>
        <v>24147.169036992385</v>
      </c>
      <c r="AQ16" s="111">
        <f>AP$16*'Population Treasury'!BB$38*'Statistics NZ'!BB$345/('Population Treasury'!BA$38*'Statistics NZ'!BA$345)</f>
        <v>24248.226048052256</v>
      </c>
      <c r="AR16" s="111">
        <f>AQ$16*'Population Treasury'!BC$38*'Statistics NZ'!BC$345/('Population Treasury'!BB$38*'Statistics NZ'!BB$345)</f>
        <v>24348.162332564814</v>
      </c>
      <c r="AS16" s="111">
        <f>AR$16*'Population Treasury'!BD$38*'Statistics NZ'!BD$345/('Population Treasury'!BC$38*'Statistics NZ'!BC$345)</f>
        <v>24465.173188847901</v>
      </c>
      <c r="AT16" s="111">
        <f>AS$16*'Population Treasury'!BE$38*'Statistics NZ'!BE$345/('Population Treasury'!BD$38*'Statistics NZ'!BD$345)</f>
        <v>24581.448224231266</v>
      </c>
      <c r="AU16" s="111">
        <f>AT$16*'Population Treasury'!BF$38*'Statistics NZ'!BF$345/('Population Treasury'!BE$38*'Statistics NZ'!BE$345)</f>
        <v>24686.484580748944</v>
      </c>
      <c r="AV16" s="111">
        <f>AU$16*'Population Treasury'!BG$38*'Statistics NZ'!BG$345/('Population Treasury'!BF$38*'Statistics NZ'!BF$345)</f>
        <v>24773.399393125226</v>
      </c>
      <c r="AW16" s="111">
        <f>AV$16*'Population Treasury'!BH$38*'Statistics NZ'!BH$345/('Population Treasury'!BG$38*'Statistics NZ'!BG$345)</f>
        <v>24838.855485566139</v>
      </c>
      <c r="AX16" s="111">
        <f>AW$16*'Population Treasury'!BI$38*'Statistics NZ'!BI$345/('Population Treasury'!BH$38*'Statistics NZ'!BH$345)</f>
        <v>24890.003616879425</v>
      </c>
      <c r="AY16" s="111">
        <f>AX$16*'Population Treasury'!BJ$38*'Statistics NZ'!BJ$345/('Population Treasury'!BI$38*'Statistics NZ'!BI$345)</f>
        <v>24909.205120014623</v>
      </c>
      <c r="AZ16" s="111">
        <f>AY$16*'Population Treasury'!BK$38*'Statistics NZ'!BK$345/('Population Treasury'!BJ$38*'Statistics NZ'!BJ$345)</f>
        <v>24914.351023538216</v>
      </c>
      <c r="BA16" s="111">
        <f>AZ$16*'Population Treasury'!BL$38*'Statistics NZ'!BL$345/('Population Treasury'!BK$38*'Statistics NZ'!BK$345)</f>
        <v>24879.956270592349</v>
      </c>
      <c r="BB16" s="195">
        <f>BA$16*'Population Treasury'!BM$38*'Statistics NZ'!BM$345/('Population Treasury'!BL$38*'Statistics NZ'!BL$345)</f>
        <v>24849.516408368912</v>
      </c>
      <c r="BC16" s="195">
        <f>BB$16*'Population Treasury'!BN$38*'Statistics NZ'!BN$345/('Population Treasury'!BM$38*'Statistics NZ'!BM$345)</f>
        <v>24786.767829436194</v>
      </c>
      <c r="BD16" s="195">
        <f>BC$16*'Population Treasury'!BO$38*'Statistics NZ'!BO$345/('Population Treasury'!BN$38*'Statistics NZ'!BN$345)</f>
        <v>24716.919519978503</v>
      </c>
      <c r="BE16" s="195">
        <f>BD$16*'Population Treasury'!BP$38*'Statistics NZ'!BP$345/('Population Treasury'!BO$38*'Statistics NZ'!BO$345)</f>
        <v>24657.689599169596</v>
      </c>
      <c r="BF16" s="195">
        <f>BE$16*'Population Treasury'!BQ$38*'Statistics NZ'!BQ$345/('Population Treasury'!BP$38*'Statistics NZ'!BP$345)</f>
        <v>24580.708480591049</v>
      </c>
    </row>
    <row r="17" spans="1:58">
      <c r="A17" s="124">
        <v>22</v>
      </c>
      <c r="B17" s="118">
        <f>'Population Treasury'!M$39*'Statistics NZ'!M$346*'Economic Forecasts'!O$8/B$7</f>
        <v>23771.582336982829</v>
      </c>
      <c r="C17" s="118">
        <f>'Population Treasury'!N$39*'Statistics NZ'!N$346*'Economic Forecasts'!P$8/C$7</f>
        <v>23835.980813733251</v>
      </c>
      <c r="D17" s="118">
        <f>'Population Treasury'!O$39*'Statistics NZ'!O$346*'Economic Forecasts'!Q$8/D$7</f>
        <v>23592.041908083345</v>
      </c>
      <c r="E17" s="203">
        <f>'Population Treasury'!P$39*'Statistics NZ'!P$346*'Economic Forecasts'!R$8/E$7</f>
        <v>23510.422758639081</v>
      </c>
      <c r="F17" s="121">
        <f>'Population Treasury'!Q$39*'Statistics NZ'!Q$346*'Economic Forecasts'!S$8/F$7</f>
        <v>22958.247335668533</v>
      </c>
      <c r="G17" s="121">
        <f>'Population Treasury'!R$39*'Statistics NZ'!R$346*'Economic Forecasts'!T$8/G$7</f>
        <v>23721.516254418144</v>
      </c>
      <c r="H17" s="121">
        <f>'Population Treasury'!S$39*'Statistics NZ'!S$346*'Economic Forecasts'!U$8/H$7</f>
        <v>23717.970377061829</v>
      </c>
      <c r="I17" s="121">
        <f>'Population Treasury'!T$39*'Statistics NZ'!T$346*'Economic Forecasts'!V$8/I$7</f>
        <v>23130.767577046896</v>
      </c>
      <c r="J17" s="205">
        <f>'Population Treasury'!U$39*'Statistics NZ'!U$346*'Economic Forecasts'!W$8/J$7</f>
        <v>22992.935833154028</v>
      </c>
      <c r="K17" s="111">
        <f>J$17*'Population Treasury'!V$39*'Statistics NZ'!V$346/('Population Treasury'!U$39*'Statistics NZ'!U$346)</f>
        <v>23638.736440011962</v>
      </c>
      <c r="L17" s="111">
        <f>K$17*'Population Treasury'!W$39*'Statistics NZ'!W$346/('Population Treasury'!V$39*'Statistics NZ'!V$346)</f>
        <v>23778.919666194146</v>
      </c>
      <c r="M17" s="111">
        <f>L$17*'Population Treasury'!X$39*'Statistics NZ'!X$346/('Population Treasury'!W$39*'Statistics NZ'!W$346)</f>
        <v>24405.455514135225</v>
      </c>
      <c r="N17" s="111">
        <f>M$17*'Population Treasury'!Y$39*'Statistics NZ'!Y$346/('Population Treasury'!X$39*'Statistics NZ'!X$346)</f>
        <v>25587.698110235557</v>
      </c>
      <c r="O17" s="111">
        <f>N$17*'Population Treasury'!Z$39*'Statistics NZ'!Z$346/('Population Treasury'!Y$39*'Statistics NZ'!Y$346)</f>
        <v>26588.610956808694</v>
      </c>
      <c r="P17" s="111">
        <f>O$17*'Population Treasury'!AA$39*'Statistics NZ'!AA$346/('Population Treasury'!Z$39*'Statistics NZ'!Z$346)</f>
        <v>26478.569964391336</v>
      </c>
      <c r="Q17" s="111">
        <f>P$17*'Population Treasury'!AB$39*'Statistics NZ'!AB$346/('Population Treasury'!AA$39*'Statistics NZ'!AA$346)</f>
        <v>27277.539691202222</v>
      </c>
      <c r="R17" s="111">
        <f>Q$17*'Population Treasury'!AC$39*'Statistics NZ'!AC$346/('Population Treasury'!AB$39*'Statistics NZ'!AB$346)</f>
        <v>27214.260970504602</v>
      </c>
      <c r="S17" s="111">
        <f>R$17*'Population Treasury'!AD$39*'Statistics NZ'!AD$346/('Population Treasury'!AC$39*'Statistics NZ'!AC$346)</f>
        <v>27141.829131773582</v>
      </c>
      <c r="T17" s="111">
        <f>S$17*'Population Treasury'!AE$39*'Statistics NZ'!AE$346/('Population Treasury'!AD$39*'Statistics NZ'!AD$346)</f>
        <v>27084.7316747656</v>
      </c>
      <c r="U17" s="111">
        <f>T$17*'Population Treasury'!AF$39*'Statistics NZ'!AF$346/('Population Treasury'!AE$39*'Statistics NZ'!AE$346)</f>
        <v>26243.454345550101</v>
      </c>
      <c r="V17" s="111">
        <f>U$17*'Population Treasury'!AG$39*'Statistics NZ'!AG$346/('Population Treasury'!AF$39*'Statistics NZ'!AF$346)</f>
        <v>26302.096055663384</v>
      </c>
      <c r="W17" s="111">
        <f>V$17*'Population Treasury'!AH$39*'Statistics NZ'!AH$346/('Population Treasury'!AG$39*'Statistics NZ'!AG$346)</f>
        <v>26037.599833868673</v>
      </c>
      <c r="X17" s="111">
        <f>W$17*'Population Treasury'!AI$39*'Statistics NZ'!AI$346/('Population Treasury'!AH$39*'Statistics NZ'!AH$346)</f>
        <v>26207.980956262236</v>
      </c>
      <c r="Y17" s="111">
        <f>X$17*'Population Treasury'!AJ$39*'Statistics NZ'!AJ$346/('Population Treasury'!AI$39*'Statistics NZ'!AI$346)</f>
        <v>25590.50125950505</v>
      </c>
      <c r="Z17" s="111">
        <f>Y$17*'Population Treasury'!AK$39*'Statistics NZ'!AK$346/('Population Treasury'!AJ$39*'Statistics NZ'!AJ$346)</f>
        <v>25279.816860842278</v>
      </c>
      <c r="AA17" s="111">
        <f>Z$17*'Population Treasury'!AL$39*'Statistics NZ'!AL$346/('Population Treasury'!AK$39*'Statistics NZ'!AK$346)</f>
        <v>25399.297283048225</v>
      </c>
      <c r="AB17" s="111">
        <f>AA$17*'Population Treasury'!AM$39*'Statistics NZ'!AM$346/('Population Treasury'!AL$39*'Statistics NZ'!AL$346)</f>
        <v>24986.168763402395</v>
      </c>
      <c r="AC17" s="111">
        <f>AB$17*'Population Treasury'!AN$39*'Statistics NZ'!AN$346/('Population Treasury'!AM$39*'Statistics NZ'!AM$346)</f>
        <v>24950.305444453556</v>
      </c>
      <c r="AD17" s="111">
        <f>AC$17*'Population Treasury'!AO$39*'Statistics NZ'!AO$346/('Population Treasury'!AN$39*'Statistics NZ'!AN$346)</f>
        <v>24917.245703562465</v>
      </c>
      <c r="AE17" s="111">
        <f>AD$17*'Population Treasury'!AP$39*'Statistics NZ'!AP$346/('Population Treasury'!AO$39*'Statistics NZ'!AO$346)</f>
        <v>24872.796183189232</v>
      </c>
      <c r="AF17" s="111">
        <f>AE$17*'Population Treasury'!AQ$39*'Statistics NZ'!AQ$346/('Population Treasury'!AP$39*'Statistics NZ'!AP$346)</f>
        <v>24949.036231521659</v>
      </c>
      <c r="AG17" s="111">
        <f>AF$17*'Population Treasury'!AR$39*'Statistics NZ'!AR$346/('Population Treasury'!AQ$39*'Statistics NZ'!AQ$346)</f>
        <v>25013.563930958095</v>
      </c>
      <c r="AH17" s="111">
        <f>AG$17*'Population Treasury'!AS$39*'Statistics NZ'!AS$346/('Population Treasury'!AR$39*'Statistics NZ'!AR$346)</f>
        <v>25059.559925251029</v>
      </c>
      <c r="AI17" s="111">
        <f>AH$17*'Population Treasury'!AT$39*'Statistics NZ'!AT$346/('Population Treasury'!AS$39*'Statistics NZ'!AS$346)</f>
        <v>25089.389589193801</v>
      </c>
      <c r="AJ17" s="111">
        <f>AI$17*'Population Treasury'!AU$39*'Statistics NZ'!AU$346/('Population Treasury'!AT$39*'Statistics NZ'!AT$346)</f>
        <v>25111.210215174367</v>
      </c>
      <c r="AK17" s="111">
        <f>AJ$17*'Population Treasury'!AV$39*'Statistics NZ'!AV$346/('Population Treasury'!AU$39*'Statistics NZ'!AU$346)</f>
        <v>25127.413808869278</v>
      </c>
      <c r="AL17" s="111">
        <f>AK$17*'Population Treasury'!AW$39*'Statistics NZ'!AW$346/('Population Treasury'!AV$39*'Statistics NZ'!AV$346)</f>
        <v>25148.482066033543</v>
      </c>
      <c r="AM17" s="111">
        <f>AL$17*'Population Treasury'!AX$39*'Statistics NZ'!AX$346/('Population Treasury'!AW$39*'Statistics NZ'!AW$346)</f>
        <v>25179.81818181328</v>
      </c>
      <c r="AN17" s="111">
        <f>AM$17*'Population Treasury'!AY$39*'Statistics NZ'!AY$346/('Population Treasury'!AX$39*'Statistics NZ'!AX$346)</f>
        <v>25211.276943635472</v>
      </c>
      <c r="AO17" s="111">
        <f>AN$17*'Population Treasury'!AZ$39*'Statistics NZ'!AZ$346/('Population Treasury'!AY$39*'Statistics NZ'!AY$346)</f>
        <v>25258.629656274716</v>
      </c>
      <c r="AP17" s="111">
        <f>AO$17*'Population Treasury'!BA$39*'Statistics NZ'!BA$346/('Population Treasury'!AZ$39*'Statistics NZ'!AZ$346)</f>
        <v>25329.532069392018</v>
      </c>
      <c r="AQ17" s="111">
        <f>AP$17*'Population Treasury'!BB$39*'Statistics NZ'!BB$346/('Population Treasury'!BA$39*'Statistics NZ'!BA$346)</f>
        <v>25408.656446247966</v>
      </c>
      <c r="AR17" s="111">
        <f>AQ$17*'Population Treasury'!BC$39*'Statistics NZ'!BC$346/('Population Treasury'!BB$39*'Statistics NZ'!BB$346)</f>
        <v>25506.529623181119</v>
      </c>
      <c r="AS17" s="111">
        <f>AR$17*'Population Treasury'!BD$39*'Statistics NZ'!BD$346/('Population Treasury'!BC$39*'Statistics NZ'!BC$346)</f>
        <v>25623.208841839332</v>
      </c>
      <c r="AT17" s="111">
        <f>AS$17*'Population Treasury'!BE$39*'Statistics NZ'!BE$346/('Population Treasury'!BD$39*'Statistics NZ'!BD$346)</f>
        <v>25745.397109918656</v>
      </c>
      <c r="AU17" s="111">
        <f>AT$17*'Population Treasury'!BF$39*'Statistics NZ'!BF$346/('Population Treasury'!BE$39*'Statistics NZ'!BE$346)</f>
        <v>25876.233001883971</v>
      </c>
      <c r="AV17" s="111">
        <f>AU$17*'Population Treasury'!BG$39*'Statistics NZ'!BG$346/('Population Treasury'!BF$39*'Statistics NZ'!BF$346)</f>
        <v>25976.156827066396</v>
      </c>
      <c r="AW17" s="111">
        <f>AV$17*'Population Treasury'!BH$39*'Statistics NZ'!BH$346/('Population Treasury'!BG$39*'Statistics NZ'!BG$346)</f>
        <v>26071.36372575592</v>
      </c>
      <c r="AX17" s="111">
        <f>AW$17*'Population Treasury'!BI$39*'Statistics NZ'!BI$346/('Population Treasury'!BH$39*'Statistics NZ'!BH$346)</f>
        <v>26136.214934341802</v>
      </c>
      <c r="AY17" s="111">
        <f>AX$17*'Population Treasury'!BJ$39*'Statistics NZ'!BJ$346/('Population Treasury'!BI$39*'Statistics NZ'!BI$346)</f>
        <v>26178.309053292654</v>
      </c>
      <c r="AZ17" s="111">
        <f>AY$17*'Population Treasury'!BK$39*'Statistics NZ'!BK$346/('Population Treasury'!BJ$39*'Statistics NZ'!BJ$346)</f>
        <v>26205.510323231498</v>
      </c>
      <c r="BA17" s="111">
        <f>AZ$17*'Population Treasury'!BL$39*'Statistics NZ'!BL$346/('Population Treasury'!BK$39*'Statistics NZ'!BK$346)</f>
        <v>26217.768069446756</v>
      </c>
      <c r="BB17" s="195">
        <f>BA$17*'Population Treasury'!BM$39*'Statistics NZ'!BM$346/('Population Treasury'!BL$39*'Statistics NZ'!BL$346)</f>
        <v>26196.281745508437</v>
      </c>
      <c r="BC17" s="195">
        <f>BB$17*'Population Treasury'!BN$39*'Statistics NZ'!BN$346/('Population Treasury'!BM$39*'Statistics NZ'!BM$346)</f>
        <v>26149.417876136617</v>
      </c>
      <c r="BD17" s="195">
        <f>BC$17*'Population Treasury'!BO$39*'Statistics NZ'!BO$346/('Population Treasury'!BN$39*'Statistics NZ'!BN$346)</f>
        <v>26090.222717780041</v>
      </c>
      <c r="BE17" s="195">
        <f>BD$17*'Population Treasury'!BP$39*'Statistics NZ'!BP$346/('Population Treasury'!BO$39*'Statistics NZ'!BO$346)</f>
        <v>26023.423181731032</v>
      </c>
      <c r="BF17" s="195">
        <f>BE$17*'Population Treasury'!BQ$39*'Statistics NZ'!BQ$346/('Population Treasury'!BP$39*'Statistics NZ'!BP$346)</f>
        <v>25946.211656527885</v>
      </c>
    </row>
    <row r="18" spans="1:58">
      <c r="A18" s="124">
        <v>23</v>
      </c>
      <c r="B18" s="118">
        <f>'Population Treasury'!M$40*'Statistics NZ'!M$347*'Economic Forecasts'!O$8/B$7</f>
        <v>24618.063122777385</v>
      </c>
      <c r="C18" s="118">
        <f>'Population Treasury'!N$40*'Statistics NZ'!N$347*'Economic Forecasts'!P$8/C$7</f>
        <v>25128.23187308864</v>
      </c>
      <c r="D18" s="118">
        <f>'Population Treasury'!O$40*'Statistics NZ'!O$347*'Economic Forecasts'!Q$8/D$7</f>
        <v>24702.687210143049</v>
      </c>
      <c r="E18" s="203">
        <f>'Population Treasury'!P$40*'Statistics NZ'!P$347*'Economic Forecasts'!R$8/E$7</f>
        <v>24637.444345916221</v>
      </c>
      <c r="F18" s="121">
        <f>'Population Treasury'!Q$40*'Statistics NZ'!Q$347*'Economic Forecasts'!S$8/F$7</f>
        <v>24373.766509583551</v>
      </c>
      <c r="G18" s="121">
        <f>'Population Treasury'!R$40*'Statistics NZ'!R$347*'Economic Forecasts'!T$8/G$7</f>
        <v>24033.417963613239</v>
      </c>
      <c r="H18" s="121">
        <f>'Population Treasury'!S$40*'Statistics NZ'!S$347*'Economic Forecasts'!U$8/H$7</f>
        <v>24801.708621234815</v>
      </c>
      <c r="I18" s="121">
        <f>'Population Treasury'!T$40*'Statistics NZ'!T$347*'Economic Forecasts'!V$8/I$7</f>
        <v>24654.58339404007</v>
      </c>
      <c r="J18" s="205">
        <f>'Population Treasury'!U$40*'Statistics NZ'!U$347*'Economic Forecasts'!W$8/J$7</f>
        <v>24073.561427636279</v>
      </c>
      <c r="K18" s="111">
        <f>J$18*'Population Treasury'!V$40*'Statistics NZ'!V$347/('Population Treasury'!U$40*'Statistics NZ'!U$347)</f>
        <v>23857.496284969486</v>
      </c>
      <c r="L18" s="111">
        <f>K$18*'Population Treasury'!W$40*'Statistics NZ'!W$347/('Population Treasury'!V$40*'Statistics NZ'!V$347)</f>
        <v>24540.518082572999</v>
      </c>
      <c r="M18" s="111">
        <f>L$18*'Population Treasury'!X$40*'Statistics NZ'!X$347/('Population Treasury'!W$40*'Statistics NZ'!W$347)</f>
        <v>24701.567516891744</v>
      </c>
      <c r="N18" s="111">
        <f>M$18*'Population Treasury'!Y$40*'Statistics NZ'!Y$347/('Population Treasury'!X$40*'Statistics NZ'!X$347)</f>
        <v>25373.101026886216</v>
      </c>
      <c r="O18" s="111">
        <f>N$18*'Population Treasury'!Z$40*'Statistics NZ'!Z$347/('Population Treasury'!Y$40*'Statistics NZ'!Y$347)</f>
        <v>26614.129429633638</v>
      </c>
      <c r="P18" s="111">
        <f>O$18*'Population Treasury'!AA$40*'Statistics NZ'!AA$347/('Population Treasury'!Z$40*'Statistics NZ'!Z$347)</f>
        <v>27666.152005863631</v>
      </c>
      <c r="Q18" s="111">
        <f>P$18*'Population Treasury'!AB$40*'Statistics NZ'!AB$347/('Population Treasury'!AA$40*'Statistics NZ'!AA$347)</f>
        <v>27563.910993626174</v>
      </c>
      <c r="R18" s="111">
        <f>Q$18*'Population Treasury'!AC$40*'Statistics NZ'!AC$347/('Population Treasury'!AB$40*'Statistics NZ'!AB$347)</f>
        <v>28397.787733927493</v>
      </c>
      <c r="S18" s="111">
        <f>R$18*'Population Treasury'!AD$40*'Statistics NZ'!AD$347/('Population Treasury'!AC$40*'Statistics NZ'!AC$347)</f>
        <v>28357.154400552019</v>
      </c>
      <c r="T18" s="111">
        <f>S$18*'Population Treasury'!AE$40*'Statistics NZ'!AE$347/('Population Treasury'!AD$40*'Statistics NZ'!AD$347)</f>
        <v>28298.076985907992</v>
      </c>
      <c r="U18" s="111">
        <f>T$18*'Population Treasury'!AF$40*'Statistics NZ'!AF$347/('Population Treasury'!AE$40*'Statistics NZ'!AE$347)</f>
        <v>28249.524061400156</v>
      </c>
      <c r="V18" s="111">
        <f>U$18*'Population Treasury'!AG$40*'Statistics NZ'!AG$347/('Population Treasury'!AF$40*'Statistics NZ'!AF$347)</f>
        <v>27374.59348842832</v>
      </c>
      <c r="W18" s="111">
        <f>V$18*'Population Treasury'!AH$40*'Statistics NZ'!AH$347/('Population Treasury'!AG$40*'Statistics NZ'!AG$347)</f>
        <v>27445.897141975325</v>
      </c>
      <c r="X18" s="111">
        <f>W$18*'Population Treasury'!AI$40*'Statistics NZ'!AI$347/('Population Treasury'!AH$40*'Statistics NZ'!AH$347)</f>
        <v>27161.865212944725</v>
      </c>
      <c r="Y18" s="111">
        <f>X$18*'Population Treasury'!AJ$40*'Statistics NZ'!AJ$347/('Population Treasury'!AI$40*'Statistics NZ'!AI$347)</f>
        <v>27364.402510290925</v>
      </c>
      <c r="Z18" s="111">
        <f>Y$18*'Population Treasury'!AK$40*'Statistics NZ'!AK$347/('Population Treasury'!AJ$40*'Statistics NZ'!AJ$347)</f>
        <v>26731.249463563152</v>
      </c>
      <c r="AA18" s="111">
        <f>Z$18*'Population Treasury'!AL$40*'Statistics NZ'!AL$347/('Population Treasury'!AK$40*'Statistics NZ'!AK$347)</f>
        <v>26399.020875203685</v>
      </c>
      <c r="AB18" s="111">
        <f>AA$18*'Population Treasury'!AM$40*'Statistics NZ'!AM$347/('Population Treasury'!AL$40*'Statistics NZ'!AL$347)</f>
        <v>26532.127498726943</v>
      </c>
      <c r="AC18" s="111">
        <f>AB$18*'Population Treasury'!AN$40*'Statistics NZ'!AN$347/('Population Treasury'!AM$40*'Statistics NZ'!AM$347)</f>
        <v>26098.341133190814</v>
      </c>
      <c r="AD18" s="111">
        <f>AC$18*'Population Treasury'!AO$40*'Statistics NZ'!AO$347/('Population Treasury'!AN$40*'Statistics NZ'!AN$347)</f>
        <v>26070.982372034759</v>
      </c>
      <c r="AE18" s="111">
        <f>AD$18*'Population Treasury'!AP$40*'Statistics NZ'!AP$347/('Population Treasury'!AO$40*'Statistics NZ'!AO$347)</f>
        <v>26033.913089861355</v>
      </c>
      <c r="AF18" s="111">
        <f>AE$18*'Population Treasury'!AQ$40*'Statistics NZ'!AQ$347/('Population Treasury'!AP$40*'Statistics NZ'!AP$347)</f>
        <v>25984.761470004258</v>
      </c>
      <c r="AG18" s="111">
        <f>AF$18*'Population Treasury'!AR$40*'Statistics NZ'!AR$347/('Population Treasury'!AQ$40*'Statistics NZ'!AQ$347)</f>
        <v>26082.294282396688</v>
      </c>
      <c r="AH18" s="111">
        <f>AG$18*'Population Treasury'!AS$40*'Statistics NZ'!AS$347/('Population Treasury'!AR$40*'Statistics NZ'!AR$347)</f>
        <v>26151.668657992472</v>
      </c>
      <c r="AI18" s="111">
        <f>AH$18*'Population Treasury'!AT$40*'Statistics NZ'!AT$347/('Population Treasury'!AS$40*'Statistics NZ'!AS$347)</f>
        <v>26195.561918206029</v>
      </c>
      <c r="AJ18" s="111">
        <f>AI$18*'Population Treasury'!AU$40*'Statistics NZ'!AU$347/('Population Treasury'!AT$40*'Statistics NZ'!AT$347)</f>
        <v>26229.833441642102</v>
      </c>
      <c r="AK18" s="111">
        <f>AJ$18*'Population Treasury'!AV$40*'Statistics NZ'!AV$347/('Population Treasury'!AU$40*'Statistics NZ'!AU$347)</f>
        <v>26241.138409404677</v>
      </c>
      <c r="AL18" s="111">
        <f>AK$18*'Population Treasury'!AW$40*'Statistics NZ'!AW$347/('Population Treasury'!AV$40*'Statistics NZ'!AV$347)</f>
        <v>26265.614630421303</v>
      </c>
      <c r="AM18" s="111">
        <f>AL$18*'Population Treasury'!AX$40*'Statistics NZ'!AX$347/('Population Treasury'!AW$40*'Statistics NZ'!AW$347)</f>
        <v>26285.467517801018</v>
      </c>
      <c r="AN18" s="111">
        <f>AM$18*'Population Treasury'!AY$40*'Statistics NZ'!AY$347/('Population Treasury'!AX$40*'Statistics NZ'!AX$347)</f>
        <v>26323.562863997533</v>
      </c>
      <c r="AO18" s="111">
        <f>AN$18*'Population Treasury'!AZ$40*'Statistics NZ'!AZ$347/('Population Treasury'!AY$40*'Statistics NZ'!AY$347)</f>
        <v>26356.202692599538</v>
      </c>
      <c r="AP18" s="111">
        <f>AO$18*'Population Treasury'!BA$40*'Statistics NZ'!BA$347/('Population Treasury'!AZ$40*'Statistics NZ'!AZ$347)</f>
        <v>26409.542422207694</v>
      </c>
      <c r="AQ18" s="111">
        <f>AP$18*'Population Treasury'!BB$40*'Statistics NZ'!BB$347/('Population Treasury'!BA$40*'Statistics NZ'!BA$347)</f>
        <v>26480.713454072546</v>
      </c>
      <c r="AR18" s="111">
        <f>AQ$18*'Population Treasury'!BC$40*'Statistics NZ'!BC$347/('Population Treasury'!BB$40*'Statistics NZ'!BB$347)</f>
        <v>26566.954938425642</v>
      </c>
      <c r="AS18" s="111">
        <f>AR$18*'Population Treasury'!BD$40*'Statistics NZ'!BD$347/('Population Treasury'!BC$40*'Statistics NZ'!BC$347)</f>
        <v>26678.827516588808</v>
      </c>
      <c r="AT18" s="111">
        <f>AS$18*'Population Treasury'!BE$40*'Statistics NZ'!BE$347/('Population Treasury'!BD$40*'Statistics NZ'!BD$347)</f>
        <v>26789.710694609461</v>
      </c>
      <c r="AU18" s="111">
        <f>AT$18*'Population Treasury'!BF$40*'Statistics NZ'!BF$347/('Population Treasury'!BE$40*'Statistics NZ'!BE$347)</f>
        <v>26926.858582342182</v>
      </c>
      <c r="AV18" s="111">
        <f>AU$18*'Population Treasury'!BG$40*'Statistics NZ'!BG$347/('Population Treasury'!BF$40*'Statistics NZ'!BF$347)</f>
        <v>27041.715249148256</v>
      </c>
      <c r="AW18" s="111">
        <f>AV$18*'Population Treasury'!BH$40*'Statistics NZ'!BH$347/('Population Treasury'!BG$40*'Statistics NZ'!BG$347)</f>
        <v>27162.333080173481</v>
      </c>
      <c r="AX18" s="111">
        <f>AW$18*'Population Treasury'!BI$40*'Statistics NZ'!BI$347/('Population Treasury'!BH$40*'Statistics NZ'!BH$347)</f>
        <v>27261.315093354358</v>
      </c>
      <c r="AY18" s="111">
        <f>AX$18*'Population Treasury'!BJ$40*'Statistics NZ'!BJ$347/('Population Treasury'!BI$40*'Statistics NZ'!BI$347)</f>
        <v>27333.566189464877</v>
      </c>
      <c r="AZ18" s="111">
        <f>AY$18*'Population Treasury'!BK$40*'Statistics NZ'!BK$347/('Population Treasury'!BJ$40*'Statistics NZ'!BJ$347)</f>
        <v>27384.897636311394</v>
      </c>
      <c r="BA18" s="111">
        <f>AZ$18*'Population Treasury'!BL$40*'Statistics NZ'!BL$347/('Population Treasury'!BK$40*'Statistics NZ'!BK$347)</f>
        <v>27409.86295011816</v>
      </c>
      <c r="BB18" s="195">
        <f>BA$18*'Population Treasury'!BM$40*'Statistics NZ'!BM$347/('Population Treasury'!BL$40*'Statistics NZ'!BL$347)</f>
        <v>27400.213758606995</v>
      </c>
      <c r="BC18" s="195">
        <f>BB$18*'Population Treasury'!BN$40*'Statistics NZ'!BN$347/('Population Treasury'!BM$40*'Statistics NZ'!BM$347)</f>
        <v>27385.783528171873</v>
      </c>
      <c r="BD18" s="195">
        <f>BC$18*'Population Treasury'!BO$40*'Statistics NZ'!BO$347/('Population Treasury'!BN$40*'Statistics NZ'!BN$347)</f>
        <v>27336.754467864641</v>
      </c>
      <c r="BE18" s="195">
        <f>BD$18*'Population Treasury'!BP$40*'Statistics NZ'!BP$347/('Population Treasury'!BO$40*'Statistics NZ'!BO$347)</f>
        <v>27287.960799051656</v>
      </c>
      <c r="BF18" s="195">
        <f>BE$18*'Population Treasury'!BQ$40*'Statistics NZ'!BQ$347/('Population Treasury'!BP$40*'Statistics NZ'!BP$347)</f>
        <v>27204.485268035089</v>
      </c>
    </row>
    <row r="19" spans="1:58">
      <c r="A19" s="124">
        <v>24</v>
      </c>
      <c r="B19" s="118">
        <f>'Population Treasury'!M$41*'Statistics NZ'!M$348*'Economic Forecasts'!O$8/B$7</f>
        <v>25878.641056427317</v>
      </c>
      <c r="C19" s="118">
        <f>'Population Treasury'!N$41*'Statistics NZ'!N$348*'Economic Forecasts'!P$8/C$7</f>
        <v>25885.960206381649</v>
      </c>
      <c r="D19" s="118">
        <f>'Population Treasury'!O$41*'Statistics NZ'!O$348*'Economic Forecasts'!Q$8/D$7</f>
        <v>25744.570164327175</v>
      </c>
      <c r="E19" s="203">
        <f>'Population Treasury'!P$41*'Statistics NZ'!P$348*'Economic Forecasts'!R$8/E$7</f>
        <v>25793.929455671921</v>
      </c>
      <c r="F19" s="121">
        <f>'Population Treasury'!Q$41*'Statistics NZ'!Q$348*'Economic Forecasts'!S$8/F$7</f>
        <v>25299.624949957622</v>
      </c>
      <c r="G19" s="121">
        <f>'Population Treasury'!R$41*'Statistics NZ'!R$348*'Economic Forecasts'!T$8/G$7</f>
        <v>25298.528288665704</v>
      </c>
      <c r="H19" s="121">
        <f>'Population Treasury'!S$41*'Statistics NZ'!S$348*'Economic Forecasts'!U$8/H$7</f>
        <v>24941.846946921793</v>
      </c>
      <c r="I19" s="121">
        <f>'Population Treasury'!T$41*'Statistics NZ'!T$348*'Economic Forecasts'!V$8/I$7</f>
        <v>25725.408692479705</v>
      </c>
      <c r="J19" s="205">
        <f>'Population Treasury'!U$41*'Statistics NZ'!U$348*'Economic Forecasts'!W$8/J$7</f>
        <v>25600.300982791294</v>
      </c>
      <c r="K19" s="111">
        <f>J$19*'Population Treasury'!V$41*'Statistics NZ'!V$348/('Population Treasury'!U$41*'Statistics NZ'!U$348)</f>
        <v>24910.918547602643</v>
      </c>
      <c r="L19" s="111">
        <f>K$19*'Population Treasury'!W$41*'Statistics NZ'!W$348/('Population Treasury'!V$41*'Statistics NZ'!V$348)</f>
        <v>24702.357072307212</v>
      </c>
      <c r="M19" s="111">
        <f>L$19*'Population Treasury'!X$41*'Statistics NZ'!X$348/('Population Treasury'!W$41*'Statistics NZ'!W$348)</f>
        <v>25418.164413602102</v>
      </c>
      <c r="N19" s="111">
        <f>M$19*'Population Treasury'!Y$41*'Statistics NZ'!Y$348/('Population Treasury'!X$41*'Statistics NZ'!X$348)</f>
        <v>25584.530912167411</v>
      </c>
      <c r="O19" s="111">
        <f>N$19*'Population Treasury'!Z$41*'Statistics NZ'!Z$348/('Population Treasury'!Y$41*'Statistics NZ'!Y$348)</f>
        <v>26308.714663163209</v>
      </c>
      <c r="P19" s="111">
        <f>O$19*'Population Treasury'!AA$41*'Statistics NZ'!AA$348/('Population Treasury'!Z$41*'Statistics NZ'!Z$348)</f>
        <v>27605.087521984129</v>
      </c>
      <c r="Q19" s="111">
        <f>P$19*'Population Treasury'!AB$41*'Statistics NZ'!AB$348/('Population Treasury'!AA$41*'Statistics NZ'!AA$348)</f>
        <v>28683.433195107562</v>
      </c>
      <c r="R19" s="111">
        <f>Q$19*'Population Treasury'!AC$41*'Statistics NZ'!AC$348/('Population Treasury'!AB$41*'Statistics NZ'!AB$348)</f>
        <v>28601.563381567834</v>
      </c>
      <c r="S19" s="111">
        <f>R$19*'Population Treasury'!AD$41*'Statistics NZ'!AD$348/('Population Treasury'!AC$41*'Statistics NZ'!AC$348)</f>
        <v>29472.601193629198</v>
      </c>
      <c r="T19" s="111">
        <f>S$19*'Population Treasury'!AE$41*'Statistics NZ'!AE$348/('Population Treasury'!AD$41*'Statistics NZ'!AD$348)</f>
        <v>29440.0077002906</v>
      </c>
      <c r="U19" s="111">
        <f>T$19*'Population Treasury'!AF$41*'Statistics NZ'!AF$348/('Population Treasury'!AE$41*'Statistics NZ'!AE$348)</f>
        <v>29391.881018801781</v>
      </c>
      <c r="V19" s="111">
        <f>U$19*'Population Treasury'!AG$41*'Statistics NZ'!AG$348/('Population Treasury'!AF$41*'Statistics NZ'!AF$348)</f>
        <v>29345.230622970361</v>
      </c>
      <c r="W19" s="111">
        <f>V$19*'Population Treasury'!AH$41*'Statistics NZ'!AH$348/('Population Treasury'!AG$41*'Statistics NZ'!AG$348)</f>
        <v>28453.144214994503</v>
      </c>
      <c r="X19" s="111">
        <f>W$19*'Population Treasury'!AI$41*'Statistics NZ'!AI$348/('Population Treasury'!AH$41*'Statistics NZ'!AH$348)</f>
        <v>28522.874980576038</v>
      </c>
      <c r="Y19" s="111">
        <f>X$19*'Population Treasury'!AJ$41*'Statistics NZ'!AJ$348/('Population Treasury'!AI$41*'Statistics NZ'!AI$348)</f>
        <v>28237.362863470767</v>
      </c>
      <c r="Z19" s="111">
        <f>Y$19*'Population Treasury'!AK$41*'Statistics NZ'!AK$348/('Population Treasury'!AJ$41*'Statistics NZ'!AJ$348)</f>
        <v>28455.898648327566</v>
      </c>
      <c r="AA19" s="111">
        <f>Z$19*'Population Treasury'!AL$41*'Statistics NZ'!AL$348/('Population Treasury'!AK$41*'Statistics NZ'!AK$348)</f>
        <v>27794.641981667162</v>
      </c>
      <c r="AB19" s="111">
        <f>AA$19*'Population Treasury'!AM$41*'Statistics NZ'!AM$348/('Population Treasury'!AL$41*'Statistics NZ'!AL$348)</f>
        <v>27468.236299804052</v>
      </c>
      <c r="AC19" s="111">
        <f>AB$19*'Population Treasury'!AN$41*'Statistics NZ'!AN$348/('Population Treasury'!AM$41*'Statistics NZ'!AM$348)</f>
        <v>27603.721365336492</v>
      </c>
      <c r="AD19" s="111">
        <f>AC$19*'Population Treasury'!AO$41*'Statistics NZ'!AO$348/('Population Treasury'!AN$41*'Statistics NZ'!AN$348)</f>
        <v>27155.463112170728</v>
      </c>
      <c r="AE19" s="111">
        <f>AD$19*'Population Treasury'!AP$41*'Statistics NZ'!AP$348/('Population Treasury'!AO$41*'Statistics NZ'!AO$348)</f>
        <v>27130.615130370206</v>
      </c>
      <c r="AF19" s="111">
        <f>AE$19*'Population Treasury'!AQ$41*'Statistics NZ'!AQ$348/('Population Treasury'!AP$41*'Statistics NZ'!AP$348)</f>
        <v>27098.716137869178</v>
      </c>
      <c r="AG19" s="111">
        <f>AF$19*'Population Treasury'!AR$41*'Statistics NZ'!AR$348/('Population Treasury'!AQ$41*'Statistics NZ'!AQ$348)</f>
        <v>27045.76941895374</v>
      </c>
      <c r="AH19" s="111">
        <f>AG$19*'Population Treasury'!AS$41*'Statistics NZ'!AS$348/('Population Treasury'!AR$41*'Statistics NZ'!AR$348)</f>
        <v>27146.108110390673</v>
      </c>
      <c r="AI19" s="111">
        <f>AH$19*'Population Treasury'!AT$41*'Statistics NZ'!AT$348/('Population Treasury'!AS$41*'Statistics NZ'!AS$348)</f>
        <v>27219.416375261389</v>
      </c>
      <c r="AJ19" s="111">
        <f>AI$19*'Population Treasury'!AU$41*'Statistics NZ'!AU$348/('Population Treasury'!AT$41*'Statistics NZ'!AT$348)</f>
        <v>27275.992129300412</v>
      </c>
      <c r="AK19" s="111">
        <f>AJ$19*'Population Treasury'!AV$41*'Statistics NZ'!AV$348/('Population Treasury'!AU$41*'Statistics NZ'!AU$348)</f>
        <v>27299.583254382622</v>
      </c>
      <c r="AL19" s="111">
        <f>AK$19*'Population Treasury'!AW$41*'Statistics NZ'!AW$348/('Population Treasury'!AV$41*'Statistics NZ'!AV$348)</f>
        <v>27333.010751944919</v>
      </c>
      <c r="AM19" s="111">
        <f>AL$19*'Population Treasury'!AX$41*'Statistics NZ'!AX$348/('Population Treasury'!AW$41*'Statistics NZ'!AW$348)</f>
        <v>27345.929207195346</v>
      </c>
      <c r="AN19" s="111">
        <f>AM$19*'Population Treasury'!AY$41*'Statistics NZ'!AY$348/('Population Treasury'!AX$41*'Statistics NZ'!AX$348)</f>
        <v>27373.090670100428</v>
      </c>
      <c r="AO19" s="111">
        <f>AN$19*'Population Treasury'!AZ$41*'Statistics NZ'!AZ$348/('Population Treasury'!AY$41*'Statistics NZ'!AY$348)</f>
        <v>27400.291371022809</v>
      </c>
      <c r="AP19" s="111">
        <f>AO$19*'Population Treasury'!BA$41*'Statistics NZ'!BA$348/('Population Treasury'!AZ$41*'Statistics NZ'!AZ$348)</f>
        <v>27437.806527323675</v>
      </c>
      <c r="AQ19" s="111">
        <f>AP$19*'Population Treasury'!BB$41*'Statistics NZ'!BB$348/('Population Treasury'!BA$41*'Statistics NZ'!BA$348)</f>
        <v>27490.068693532859</v>
      </c>
      <c r="AR19" s="111">
        <f>AQ$19*'Population Treasury'!BC$41*'Statistics NZ'!BC$348/('Population Treasury'!BB$41*'Statistics NZ'!BB$348)</f>
        <v>27565.197103605347</v>
      </c>
      <c r="AS19" s="111">
        <f>AR$19*'Population Treasury'!BD$41*'Statistics NZ'!BD$348/('Population Treasury'!BC$41*'Statistics NZ'!BC$348)</f>
        <v>27657.150075237274</v>
      </c>
      <c r="AT19" s="111">
        <f>AS$19*'Population Treasury'!BE$41*'Statistics NZ'!BE$348/('Population Treasury'!BD$41*'Statistics NZ'!BD$348)</f>
        <v>27765.930073531868</v>
      </c>
      <c r="AU19" s="111">
        <f>AT$19*'Population Treasury'!BF$41*'Statistics NZ'!BF$348/('Population Treasury'!BE$41*'Statistics NZ'!BE$348)</f>
        <v>27889.29712414337</v>
      </c>
      <c r="AV19" s="111">
        <f>AU$19*'Population Treasury'!BG$41*'Statistics NZ'!BG$348/('Population Treasury'!BF$41*'Statistics NZ'!BF$348)</f>
        <v>28021.251014938196</v>
      </c>
      <c r="AW19" s="111">
        <f>AV$19*'Population Treasury'!BH$41*'Statistics NZ'!BH$348/('Population Treasury'!BG$41*'Statistics NZ'!BG$348)</f>
        <v>28165.940213044709</v>
      </c>
      <c r="AX19" s="111">
        <f>AW$19*'Population Treasury'!BI$41*'Statistics NZ'!BI$348/('Population Treasury'!BH$41*'Statistics NZ'!BH$348)</f>
        <v>28279.560081267085</v>
      </c>
      <c r="AY19" s="111">
        <f>AX$19*'Population Treasury'!BJ$41*'Statistics NZ'!BJ$348/('Population Treasury'!BI$41*'Statistics NZ'!BI$348)</f>
        <v>28378.983354982814</v>
      </c>
      <c r="AZ19" s="111">
        <f>AY$19*'Population Treasury'!BK$41*'Statistics NZ'!BK$348/('Population Treasury'!BJ$41*'Statistics NZ'!BJ$348)</f>
        <v>28442.806603744924</v>
      </c>
      <c r="BA19" s="111">
        <f>AZ$19*'Population Treasury'!BL$41*'Statistics NZ'!BL$348/('Population Treasury'!BK$41*'Statistics NZ'!BK$348)</f>
        <v>28501.110750489657</v>
      </c>
      <c r="BB19" s="195">
        <f>BA$19*'Population Treasury'!BM$41*'Statistics NZ'!BM$348/('Population Treasury'!BL$41*'Statistics NZ'!BL$348)</f>
        <v>28524.268330399689</v>
      </c>
      <c r="BC19" s="195">
        <f>BB$19*'Population Treasury'!BN$41*'Statistics NZ'!BN$348/('Population Treasury'!BM$41*'Statistics NZ'!BM$348)</f>
        <v>28531.382213276313</v>
      </c>
      <c r="BD19" s="195">
        <f>BC$19*'Population Treasury'!BO$41*'Statistics NZ'!BO$348/('Population Treasury'!BN$41*'Statistics NZ'!BN$348)</f>
        <v>28505.190684532383</v>
      </c>
      <c r="BE19" s="195">
        <f>BD$19*'Population Treasury'!BP$41*'Statistics NZ'!BP$348/('Population Treasury'!BO$41*'Statistics NZ'!BO$348)</f>
        <v>28460.664301542653</v>
      </c>
      <c r="BF19" s="195">
        <f>BE$19*'Population Treasury'!BQ$41*'Statistics NZ'!BQ$348/('Population Treasury'!BP$41*'Statistics NZ'!BP$348)</f>
        <v>28399.353364084604</v>
      </c>
    </row>
    <row r="20" spans="1:58">
      <c r="A20" s="124">
        <v>25</v>
      </c>
      <c r="B20" s="118">
        <f>'Population Treasury'!M$42*'Statistics NZ'!M$349*'Economic Forecasts'!O$8/B$7</f>
        <v>26799.820836374791</v>
      </c>
      <c r="C20" s="118">
        <f>'Population Treasury'!N$42*'Statistics NZ'!N$349*'Economic Forecasts'!P$8/C$7</f>
        <v>27199.751957072225</v>
      </c>
      <c r="D20" s="118">
        <f>'Population Treasury'!O$42*'Statistics NZ'!O$349*'Economic Forecasts'!Q$8/D$7</f>
        <v>26564.789906959537</v>
      </c>
      <c r="E20" s="203">
        <f>'Population Treasury'!P$42*'Statistics NZ'!P$349*'Economic Forecasts'!R$8/E$7</f>
        <v>26880.750907178157</v>
      </c>
      <c r="F20" s="121">
        <f>'Population Treasury'!Q$42*'Statistics NZ'!Q$349*'Economic Forecasts'!S$8/F$7</f>
        <v>26346.053778424637</v>
      </c>
      <c r="G20" s="121">
        <f>'Population Treasury'!R$42*'Statistics NZ'!R$349*'Economic Forecasts'!T$8/G$7</f>
        <v>26115.599254797464</v>
      </c>
      <c r="H20" s="121">
        <f>'Population Treasury'!S$42*'Statistics NZ'!S$349*'Economic Forecasts'!U$8/H$7</f>
        <v>26175.519538960834</v>
      </c>
      <c r="I20" s="121">
        <f>'Population Treasury'!T$42*'Statistics NZ'!T$349*'Economic Forecasts'!V$8/I$7</f>
        <v>26055.510888399753</v>
      </c>
      <c r="J20" s="205">
        <f>'Population Treasury'!U$42*'Statistics NZ'!U$349*'Economic Forecasts'!W$8/J$7</f>
        <v>27019.369857755337</v>
      </c>
      <c r="K20" s="111">
        <f>J$20*'Population Treasury'!V$42*'Statistics NZ'!V$349/('Population Treasury'!U$42*'Statistics NZ'!U$349)</f>
        <v>27079.892721490374</v>
      </c>
      <c r="L20" s="111">
        <f>K$20*'Population Treasury'!W$42*'Statistics NZ'!W$349/('Population Treasury'!V$42*'Statistics NZ'!V$349)</f>
        <v>26628.413494852983</v>
      </c>
      <c r="M20" s="111">
        <f>L$20*'Population Treasury'!X$42*'Statistics NZ'!X$349/('Population Treasury'!W$42*'Statistics NZ'!W$349)</f>
        <v>26642.100920178531</v>
      </c>
      <c r="N20" s="111">
        <f>M$20*'Population Treasury'!Y$42*'Statistics NZ'!Y$349/('Population Treasury'!X$42*'Statistics NZ'!X$349)</f>
        <v>27569.041877963908</v>
      </c>
      <c r="O20" s="111">
        <f>N$20*'Population Treasury'!Z$42*'Statistics NZ'!Z$349/('Population Treasury'!Y$42*'Statistics NZ'!Y$349)</f>
        <v>27892.22127646266</v>
      </c>
      <c r="P20" s="111">
        <f>O$20*'Population Treasury'!AA$42*'Statistics NZ'!AA$349/('Population Treasury'!Z$42*'Statistics NZ'!Z$349)</f>
        <v>28746.772776173006</v>
      </c>
      <c r="Q20" s="111">
        <f>P$20*'Population Treasury'!AB$42*'Statistics NZ'!AB$349/('Population Treasury'!AA$42*'Statistics NZ'!AA$349)</f>
        <v>30153.195680198536</v>
      </c>
      <c r="R20" s="111">
        <f>Q$20*'Population Treasury'!AC$42*'Statistics NZ'!AC$349/('Population Treasury'!AB$42*'Statistics NZ'!AB$349)</f>
        <v>31321.261982228742</v>
      </c>
      <c r="S20" s="111">
        <f>R$20*'Population Treasury'!AD$42*'Statistics NZ'!AD$349/('Population Treasury'!AC$42*'Statistics NZ'!AC$349)</f>
        <v>31224.501729456424</v>
      </c>
      <c r="T20" s="111">
        <f>S$20*'Population Treasury'!AE$42*'Statistics NZ'!AE$349/('Population Treasury'!AD$42*'Statistics NZ'!AD$349)</f>
        <v>32133.946460088839</v>
      </c>
      <c r="U20" s="111">
        <f>T$20*'Population Treasury'!AF$42*'Statistics NZ'!AF$349/('Population Treasury'!AE$42*'Statistics NZ'!AE$349)</f>
        <v>32112.99092329184</v>
      </c>
      <c r="V20" s="111">
        <f>U$20*'Population Treasury'!AG$42*'Statistics NZ'!AG$349/('Population Treasury'!AF$42*'Statistics NZ'!AF$349)</f>
        <v>32064.384896028281</v>
      </c>
      <c r="W20" s="111">
        <f>V$20*'Population Treasury'!AH$42*'Statistics NZ'!AH$349/('Population Treasury'!AG$42*'Statistics NZ'!AG$349)</f>
        <v>32028.218086811245</v>
      </c>
      <c r="X20" s="111">
        <f>W$20*'Population Treasury'!AI$42*'Statistics NZ'!AI$349/('Population Treasury'!AH$42*'Statistics NZ'!AH$349)</f>
        <v>31124.405858069676</v>
      </c>
      <c r="Y20" s="111">
        <f>X$20*'Population Treasury'!AJ$42*'Statistics NZ'!AJ$349/('Population Treasury'!AI$42*'Statistics NZ'!AI$349)</f>
        <v>31208.678966763382</v>
      </c>
      <c r="Z20" s="111">
        <f>Y$20*'Population Treasury'!AK$42*'Statistics NZ'!AK$349/('Population Treasury'!AJ$42*'Statistics NZ'!AJ$349)</f>
        <v>30927.978912001421</v>
      </c>
      <c r="AA20" s="111">
        <f>Z$20*'Population Treasury'!AL$42*'Statistics NZ'!AL$349/('Population Treasury'!AK$42*'Statistics NZ'!AK$349)</f>
        <v>31152.217613279932</v>
      </c>
      <c r="AB20" s="111">
        <f>AA$20*'Population Treasury'!AM$42*'Statistics NZ'!AM$349/('Population Treasury'!AL$42*'Statistics NZ'!AL$349)</f>
        <v>30481.994514818118</v>
      </c>
      <c r="AC20" s="111">
        <f>AB$20*'Population Treasury'!AN$42*'Statistics NZ'!AN$349/('Population Treasury'!AM$42*'Statistics NZ'!AM$349)</f>
        <v>30137.461004327</v>
      </c>
      <c r="AD20" s="111">
        <f>AC$20*'Population Treasury'!AO$42*'Statistics NZ'!AO$349/('Population Treasury'!AN$42*'Statistics NZ'!AN$349)</f>
        <v>30286.573399798519</v>
      </c>
      <c r="AE20" s="111">
        <f>AD$20*'Population Treasury'!AP$42*'Statistics NZ'!AP$349/('Population Treasury'!AO$42*'Statistics NZ'!AO$349)</f>
        <v>29820.095624278063</v>
      </c>
      <c r="AF20" s="111">
        <f>AE$20*'Population Treasury'!AQ$42*'Statistics NZ'!AQ$349/('Population Treasury'!AP$42*'Statistics NZ'!AP$349)</f>
        <v>29808.598195952101</v>
      </c>
      <c r="AG20" s="111">
        <f>AF$20*'Population Treasury'!AR$42*'Statistics NZ'!AR$349/('Population Treasury'!AQ$42*'Statistics NZ'!AQ$349)</f>
        <v>29764.416112312974</v>
      </c>
      <c r="AH20" s="111">
        <f>AG$20*'Population Treasury'!AS$42*'Statistics NZ'!AS$349/('Population Treasury'!AR$42*'Statistics NZ'!AR$349)</f>
        <v>29719.144780042563</v>
      </c>
      <c r="AI20" s="111">
        <f>AH$20*'Population Treasury'!AT$42*'Statistics NZ'!AT$349/('Population Treasury'!AS$42*'Statistics NZ'!AS$349)</f>
        <v>29831.11510364959</v>
      </c>
      <c r="AJ20" s="111">
        <f>AI$20*'Population Treasury'!AU$42*'Statistics NZ'!AU$349/('Population Treasury'!AT$42*'Statistics NZ'!AT$349)</f>
        <v>29908.187211941942</v>
      </c>
      <c r="AK20" s="111">
        <f>AJ$20*'Population Treasury'!AV$42*'Statistics NZ'!AV$349/('Population Treasury'!AU$42*'Statistics NZ'!AU$349)</f>
        <v>29950.061778505053</v>
      </c>
      <c r="AL20" s="111">
        <f>AK$20*'Population Treasury'!AW$42*'Statistics NZ'!AW$349/('Population Treasury'!AV$42*'Statistics NZ'!AV$349)</f>
        <v>29986.291686413027</v>
      </c>
      <c r="AM20" s="111">
        <f>AL$20*'Population Treasury'!AX$42*'Statistics NZ'!AX$349/('Population Treasury'!AW$42*'Statistics NZ'!AW$349)</f>
        <v>30017.338753945121</v>
      </c>
      <c r="AN20" s="111">
        <f>AM$20*'Population Treasury'!AY$42*'Statistics NZ'!AY$349/('Population Treasury'!AX$42*'Statistics NZ'!AX$349)</f>
        <v>30033.122431891319</v>
      </c>
      <c r="AO20" s="111">
        <f>AN$20*'Population Treasury'!AZ$42*'Statistics NZ'!AZ$349/('Population Treasury'!AY$42*'Statistics NZ'!AY$349)</f>
        <v>30067.287248826866</v>
      </c>
      <c r="AP20" s="111">
        <f>AO$20*'Population Treasury'!BA$42*'Statistics NZ'!BA$349/('Population Treasury'!AZ$42*'Statistics NZ'!AZ$349)</f>
        <v>30089.384214040656</v>
      </c>
      <c r="AQ20" s="111">
        <f>AP$20*'Population Treasury'!BB$42*'Statistics NZ'!BB$349/('Population Treasury'!BA$42*'Statistics NZ'!BA$349)</f>
        <v>30124.568234498736</v>
      </c>
      <c r="AR20" s="111">
        <f>AQ$20*'Population Treasury'!BC$42*'Statistics NZ'!BC$349/('Population Treasury'!BB$42*'Statistics NZ'!BB$349)</f>
        <v>30200.585235393362</v>
      </c>
      <c r="AS20" s="111">
        <f>AR$20*'Population Treasury'!BD$42*'Statistics NZ'!BD$349/('Population Treasury'!BC$42*'Statistics NZ'!BC$349)</f>
        <v>30252.419212343091</v>
      </c>
      <c r="AT20" s="111">
        <f>AS$20*'Population Treasury'!BE$42*'Statistics NZ'!BE$349/('Population Treasury'!BD$42*'Statistics NZ'!BD$349)</f>
        <v>30357.732334781504</v>
      </c>
      <c r="AU20" s="111">
        <f>AT$20*'Population Treasury'!BF$42*'Statistics NZ'!BF$349/('Population Treasury'!BE$42*'Statistics NZ'!BE$349)</f>
        <v>30470.650924575115</v>
      </c>
      <c r="AV20" s="111">
        <f>AU$20*'Population Treasury'!BG$42*'Statistics NZ'!BG$349/('Population Treasury'!BF$42*'Statistics NZ'!BF$349)</f>
        <v>30609.010503062051</v>
      </c>
      <c r="AW20" s="111">
        <f>AV$20*'Population Treasury'!BH$42*'Statistics NZ'!BH$349/('Population Treasury'!BG$42*'Statistics NZ'!BG$349)</f>
        <v>30731.865324552251</v>
      </c>
      <c r="AX20" s="111">
        <f>AW$20*'Population Treasury'!BI$42*'Statistics NZ'!BI$349/('Population Treasury'!BH$42*'Statistics NZ'!BH$349)</f>
        <v>30870.518302115575</v>
      </c>
      <c r="AY20" s="111">
        <f>AX$20*'Population Treasury'!BJ$42*'Statistics NZ'!BJ$349/('Population Treasury'!BI$42*'Statistics NZ'!BI$349)</f>
        <v>30984.946313287372</v>
      </c>
      <c r="AZ20" s="111">
        <f>AY$20*'Population Treasury'!BK$42*'Statistics NZ'!BK$349/('Population Treasury'!BJ$42*'Statistics NZ'!BJ$349)</f>
        <v>31084.59917705808</v>
      </c>
      <c r="BA20" s="111">
        <f>AZ$20*'Population Treasury'!BL$42*'Statistics NZ'!BL$349/('Population Treasury'!BK$42*'Statistics NZ'!BK$349)</f>
        <v>31167.343250485497</v>
      </c>
      <c r="BB20" s="195">
        <f>BA$20*'Population Treasury'!BM$42*'Statistics NZ'!BM$349/('Population Treasury'!BL$42*'Statistics NZ'!BL$349)</f>
        <v>31216.274425832162</v>
      </c>
      <c r="BC20" s="195">
        <f>BB$20*'Population Treasury'!BN$42*'Statistics NZ'!BN$349/('Population Treasury'!BM$42*'Statistics NZ'!BM$349)</f>
        <v>31249.278144831089</v>
      </c>
      <c r="BD20" s="195">
        <f>BC$20*'Population Treasury'!BO$42*'Statistics NZ'!BO$349/('Population Treasury'!BN$42*'Statistics NZ'!BN$349)</f>
        <v>31254.755854927764</v>
      </c>
      <c r="BE20" s="195">
        <f>BD$20*'Population Treasury'!BP$42*'Statistics NZ'!BP$349/('Population Treasury'!BO$42*'Statistics NZ'!BO$349)</f>
        <v>31225.454614244296</v>
      </c>
      <c r="BF20" s="195">
        <f>BE$20*'Population Treasury'!BQ$42*'Statistics NZ'!BQ$349/('Population Treasury'!BP$42*'Statistics NZ'!BP$349)</f>
        <v>31186.499454789348</v>
      </c>
    </row>
    <row r="21" spans="1:58">
      <c r="A21" s="124">
        <v>26</v>
      </c>
      <c r="B21" s="118">
        <f>'Population Treasury'!M$43*'Statistics NZ'!M$350*'Economic Forecasts'!O$8/B$7</f>
        <v>27816.384311144408</v>
      </c>
      <c r="C21" s="118">
        <f>'Population Treasury'!N$43*'Statistics NZ'!N$350*'Economic Forecasts'!P$8/C$7</f>
        <v>28344.83733571889</v>
      </c>
      <c r="D21" s="118">
        <f>'Population Treasury'!O$43*'Statistics NZ'!O$350*'Economic Forecasts'!Q$8/D$7</f>
        <v>27967.902937584851</v>
      </c>
      <c r="E21" s="203">
        <f>'Population Treasury'!P$43*'Statistics NZ'!P$350*'Economic Forecasts'!R$8/E$7</f>
        <v>27684.085307388275</v>
      </c>
      <c r="F21" s="121">
        <f>'Population Treasury'!Q$43*'Statistics NZ'!Q$350*'Economic Forecasts'!S$8/F$7</f>
        <v>27278.087158671446</v>
      </c>
      <c r="G21" s="121">
        <f>'Population Treasury'!R$43*'Statistics NZ'!R$350*'Economic Forecasts'!T$8/G$7</f>
        <v>27044.747364089188</v>
      </c>
      <c r="H21" s="121">
        <f>'Population Treasury'!S$43*'Statistics NZ'!S$350*'Economic Forecasts'!U$8/H$7</f>
        <v>26882.777520192012</v>
      </c>
      <c r="I21" s="121">
        <f>'Population Treasury'!T$43*'Statistics NZ'!T$350*'Economic Forecasts'!V$8/I$7</f>
        <v>27202.183976641314</v>
      </c>
      <c r="J21" s="205">
        <f>'Population Treasury'!U$43*'Statistics NZ'!U$350*'Economic Forecasts'!W$8/J$7</f>
        <v>27086.4351245625</v>
      </c>
      <c r="K21" s="111">
        <f>J$21*'Population Treasury'!V$43*'Statistics NZ'!V$350/('Population Treasury'!U$43*'Statistics NZ'!U$350)</f>
        <v>28113.990692011172</v>
      </c>
      <c r="L21" s="111">
        <f>K$21*'Population Treasury'!W$43*'Statistics NZ'!W$350/('Population Treasury'!V$43*'Statistics NZ'!V$350)</f>
        <v>28145.025563289895</v>
      </c>
      <c r="M21" s="111">
        <f>L$21*'Population Treasury'!X$43*'Statistics NZ'!X$350/('Population Treasury'!W$43*'Statistics NZ'!W$350)</f>
        <v>27666.363645183275</v>
      </c>
      <c r="N21" s="111">
        <f>M$21*'Population Treasury'!Y$43*'Statistics NZ'!Y$350/('Population Treasury'!X$43*'Statistics NZ'!X$350)</f>
        <v>27627.93857530439</v>
      </c>
      <c r="O21" s="111">
        <f>N$21*'Population Treasury'!Z$43*'Statistics NZ'!Z$350/('Population Treasury'!Y$43*'Statistics NZ'!Y$350)</f>
        <v>28543.905829967702</v>
      </c>
      <c r="P21" s="111">
        <f>O$21*'Population Treasury'!AA$43*'Statistics NZ'!AA$350/('Population Treasury'!Z$43*'Statistics NZ'!Z$350)</f>
        <v>28835.55423312803</v>
      </c>
      <c r="Q21" s="111">
        <f>P$21*'Population Treasury'!AB$43*'Statistics NZ'!AB$350/('Population Treasury'!AA$43*'Statistics NZ'!AA$350)</f>
        <v>29658.991995055108</v>
      </c>
      <c r="R21" s="111">
        <f>Q$21*'Population Treasury'!AC$43*'Statistics NZ'!AC$350/('Population Treasury'!AB$43*'Statistics NZ'!AB$350)</f>
        <v>31042.249456635076</v>
      </c>
      <c r="S21" s="111">
        <f>R$21*'Population Treasury'!AD$43*'Statistics NZ'!AD$350/('Population Treasury'!AC$43*'Statistics NZ'!AC$350)</f>
        <v>32193.486430408699</v>
      </c>
      <c r="T21" s="111">
        <f>S$21*'Population Treasury'!AE$43*'Statistics NZ'!AE$350/('Population Treasury'!AD$43*'Statistics NZ'!AD$350)</f>
        <v>32112.357571757773</v>
      </c>
      <c r="U21" s="111">
        <f>T$21*'Population Treasury'!AF$43*'Statistics NZ'!AF$350/('Population Treasury'!AE$43*'Statistics NZ'!AE$350)</f>
        <v>33024.718940564628</v>
      </c>
      <c r="V21" s="111">
        <f>U$21*'Population Treasury'!AG$43*'Statistics NZ'!AG$350/('Population Treasury'!AF$43*'Statistics NZ'!AF$350)</f>
        <v>32996.918029077882</v>
      </c>
      <c r="W21" s="111">
        <f>V$21*'Population Treasury'!AH$43*'Statistics NZ'!AH$350/('Population Treasury'!AG$43*'Statistics NZ'!AG$350)</f>
        <v>32953.123253085345</v>
      </c>
      <c r="X21" s="111">
        <f>W$21*'Population Treasury'!AI$43*'Statistics NZ'!AI$350/('Population Treasury'!AH$43*'Statistics NZ'!AH$350)</f>
        <v>32909.146532115446</v>
      </c>
      <c r="Y21" s="111">
        <f>X$21*'Population Treasury'!AJ$43*'Statistics NZ'!AJ$350/('Population Treasury'!AI$43*'Statistics NZ'!AI$350)</f>
        <v>32005.378471992728</v>
      </c>
      <c r="Z21" s="111">
        <f>Y$21*'Population Treasury'!AK$43*'Statistics NZ'!AK$350/('Population Treasury'!AJ$43*'Statistics NZ'!AJ$350)</f>
        <v>32077.648701545586</v>
      </c>
      <c r="AA21" s="111">
        <f>Z$21*'Population Treasury'!AL$43*'Statistics NZ'!AL$350/('Population Treasury'!AK$43*'Statistics NZ'!AK$350)</f>
        <v>31807.280542897701</v>
      </c>
      <c r="AB21" s="111">
        <f>AA$21*'Population Treasury'!AM$43*'Statistics NZ'!AM$350/('Population Treasury'!AL$43*'Statistics NZ'!AL$350)</f>
        <v>32028.487777359602</v>
      </c>
      <c r="AC21" s="111">
        <f>AB$21*'Population Treasury'!AN$43*'Statistics NZ'!AN$350/('Population Treasury'!AM$43*'Statistics NZ'!AM$350)</f>
        <v>31343.447609602732</v>
      </c>
      <c r="AD21" s="111">
        <f>AC$21*'Population Treasury'!AO$43*'Statistics NZ'!AO$350/('Population Treasury'!AN$43*'Statistics NZ'!AN$350)</f>
        <v>31008.915580867619</v>
      </c>
      <c r="AE21" s="111">
        <f>AD$21*'Population Treasury'!AP$43*'Statistics NZ'!AP$350/('Population Treasury'!AO$43*'Statistics NZ'!AO$350)</f>
        <v>31155.005758575749</v>
      </c>
      <c r="AF21" s="111">
        <f>AE$21*'Population Treasury'!AQ$43*'Statistics NZ'!AQ$350/('Population Treasury'!AP$43*'Statistics NZ'!AP$350)</f>
        <v>30681.550531842324</v>
      </c>
      <c r="AG21" s="111">
        <f>AF$21*'Population Treasury'!AR$43*'Statistics NZ'!AR$350/('Population Treasury'!AQ$43*'Statistics NZ'!AQ$350)</f>
        <v>30667.389374671631</v>
      </c>
      <c r="AH21" s="111">
        <f>AG$21*'Population Treasury'!AS$43*'Statistics NZ'!AS$350/('Population Treasury'!AR$43*'Statistics NZ'!AR$350)</f>
        <v>30621.162604935089</v>
      </c>
      <c r="AI21" s="111">
        <f>AH$21*'Population Treasury'!AT$43*'Statistics NZ'!AT$350/('Population Treasury'!AS$43*'Statistics NZ'!AS$350)</f>
        <v>30574.559798708127</v>
      </c>
      <c r="AJ21" s="111">
        <f>AI$21*'Population Treasury'!AU$43*'Statistics NZ'!AU$350/('Population Treasury'!AT$43*'Statistics NZ'!AT$350)</f>
        <v>30687.841946192486</v>
      </c>
      <c r="AK21" s="111">
        <f>AJ$21*'Population Treasury'!AV$43*'Statistics NZ'!AV$350/('Population Treasury'!AU$43*'Statistics NZ'!AU$350)</f>
        <v>30766.443005550722</v>
      </c>
      <c r="AL21" s="111">
        <f>AK$21*'Population Treasury'!AW$43*'Statistics NZ'!AW$350/('Population Treasury'!AV$43*'Statistics NZ'!AV$350)</f>
        <v>30809.994081556073</v>
      </c>
      <c r="AM21" s="111">
        <f>AL$21*'Population Treasury'!AX$43*'Statistics NZ'!AX$350/('Population Treasury'!AW$43*'Statistics NZ'!AW$350)</f>
        <v>30848.263037328277</v>
      </c>
      <c r="AN21" s="111">
        <f>AM$21*'Population Treasury'!AY$43*'Statistics NZ'!AY$350/('Population Treasury'!AX$43*'Statistics NZ'!AX$350)</f>
        <v>30870.356150280142</v>
      </c>
      <c r="AO21" s="111">
        <f>AN$21*'Population Treasury'!AZ$43*'Statistics NZ'!AZ$350/('Population Treasury'!AY$43*'Statistics NZ'!AY$350)</f>
        <v>30889.088003697023</v>
      </c>
      <c r="AP21" s="111">
        <f>AO$21*'Population Treasury'!BA$43*'Statistics NZ'!BA$350/('Population Treasury'!AZ$43*'Statistics NZ'!AZ$350)</f>
        <v>30925.5694185518</v>
      </c>
      <c r="AQ21" s="111">
        <f>AP$21*'Population Treasury'!BB$43*'Statistics NZ'!BB$350/('Population Treasury'!BA$43*'Statistics NZ'!BA$350)</f>
        <v>30951.011690010826</v>
      </c>
      <c r="AR21" s="111">
        <f>AQ$21*'Population Treasury'!BC$43*'Statistics NZ'!BC$350/('Population Treasury'!BB$43*'Statistics NZ'!BB$350)</f>
        <v>30997.507866678192</v>
      </c>
      <c r="AS21" s="111">
        <f>AR$21*'Population Treasury'!BD$43*'Statistics NZ'!BD$350/('Population Treasury'!BC$43*'Statistics NZ'!BC$350)</f>
        <v>31047.202518181566</v>
      </c>
      <c r="AT21" s="111">
        <f>AS$21*'Population Treasury'!BE$43*'Statistics NZ'!BE$350/('Population Treasury'!BD$43*'Statistics NZ'!BD$350)</f>
        <v>31119.093764888054</v>
      </c>
      <c r="AU21" s="111">
        <f>AT$21*'Population Treasury'!BF$43*'Statistics NZ'!BF$350/('Population Treasury'!BE$43*'Statistics NZ'!BE$350)</f>
        <v>31218.097370076634</v>
      </c>
      <c r="AV21" s="111">
        <f>AU$21*'Population Treasury'!BG$43*'Statistics NZ'!BG$350/('Population Treasury'!BF$43*'Statistics NZ'!BF$350)</f>
        <v>31332.802006896785</v>
      </c>
      <c r="AW21" s="111">
        <f>AV$21*'Population Treasury'!BH$43*'Statistics NZ'!BH$350/('Population Treasury'!BG$43*'Statistics NZ'!BG$350)</f>
        <v>31451.562428495825</v>
      </c>
      <c r="AX21" s="111">
        <f>AW$21*'Population Treasury'!BI$43*'Statistics NZ'!BI$350/('Population Treasury'!BH$43*'Statistics NZ'!BH$350)</f>
        <v>31596.574019387452</v>
      </c>
      <c r="AY21" s="111">
        <f>AX$21*'Population Treasury'!BJ$43*'Statistics NZ'!BJ$350/('Population Treasury'!BI$43*'Statistics NZ'!BI$350)</f>
        <v>31726.436967858863</v>
      </c>
      <c r="AZ21" s="111">
        <f>AY$21*'Population Treasury'!BK$43*'Statistics NZ'!BK$350/('Population Treasury'!BJ$43*'Statistics NZ'!BJ$350)</f>
        <v>31859.412745567883</v>
      </c>
      <c r="BA21" s="111">
        <f>AZ$21*'Population Treasury'!BL$43*'Statistics NZ'!BL$350/('Population Treasury'!BK$43*'Statistics NZ'!BK$350)</f>
        <v>31970.817569057806</v>
      </c>
      <c r="BB21" s="195">
        <f>BA$21*'Population Treasury'!BM$43*'Statistics NZ'!BM$350/('Population Treasury'!BL$43*'Statistics NZ'!BL$350)</f>
        <v>32044.858937246689</v>
      </c>
      <c r="BC21" s="195">
        <f>BB$21*'Population Treasury'!BN$43*'Statistics NZ'!BN$350/('Population Treasury'!BM$43*'Statistics NZ'!BM$350)</f>
        <v>32101.791638187147</v>
      </c>
      <c r="BD21" s="195">
        <f>BC$21*'Population Treasury'!BO$43*'Statistics NZ'!BO$350/('Population Treasury'!BN$43*'Statistics NZ'!BN$350)</f>
        <v>32122.473649866693</v>
      </c>
      <c r="BE21" s="195">
        <f>BD$21*'Population Treasury'!BP$43*'Statistics NZ'!BP$350/('Population Treasury'!BO$43*'Statistics NZ'!BO$350)</f>
        <v>32117.514046639662</v>
      </c>
      <c r="BF21" s="195">
        <f>BE$21*'Population Treasury'!BQ$43*'Statistics NZ'!BQ$350/('Population Treasury'!BP$43*'Statistics NZ'!BP$350)</f>
        <v>32096.479868451577</v>
      </c>
    </row>
    <row r="22" spans="1:58">
      <c r="A22" s="124">
        <v>27</v>
      </c>
      <c r="B22" s="118">
        <f>'Population Treasury'!M$44*'Statistics NZ'!M$351*'Economic Forecasts'!O$8/B$7</f>
        <v>27396.286014804624</v>
      </c>
      <c r="C22" s="118">
        <f>'Population Treasury'!N$44*'Statistics NZ'!N$351*'Economic Forecasts'!P$8/C$7</f>
        <v>29169.805723369078</v>
      </c>
      <c r="D22" s="118">
        <f>'Population Treasury'!O$44*'Statistics NZ'!O$351*'Economic Forecasts'!Q$8/D$7</f>
        <v>28876.066392396307</v>
      </c>
      <c r="E22" s="203">
        <f>'Population Treasury'!P$44*'Statistics NZ'!P$351*'Economic Forecasts'!R$8/E$7</f>
        <v>29038.583697977359</v>
      </c>
      <c r="F22" s="121">
        <f>'Population Treasury'!Q$44*'Statistics NZ'!Q$351*'Economic Forecasts'!S$8/F$7</f>
        <v>27864.828435770971</v>
      </c>
      <c r="G22" s="121">
        <f>'Population Treasury'!R$44*'Statistics NZ'!R$351*'Economic Forecasts'!T$8/G$7</f>
        <v>27749.929544591851</v>
      </c>
      <c r="H22" s="121">
        <f>'Population Treasury'!S$44*'Statistics NZ'!S$351*'Economic Forecasts'!U$8/H$7</f>
        <v>27564.642073537878</v>
      </c>
      <c r="I22" s="121">
        <f>'Population Treasury'!T$44*'Statistics NZ'!T$351*'Economic Forecasts'!V$8/I$7</f>
        <v>27624.407805785486</v>
      </c>
      <c r="J22" s="205">
        <f>'Population Treasury'!U$44*'Statistics NZ'!U$351*'Economic Forecasts'!W$8/J$7</f>
        <v>27950.336294771074</v>
      </c>
      <c r="K22" s="111">
        <f>J$22*'Population Treasury'!V$44*'Statistics NZ'!V$351/('Population Treasury'!U$44*'Statistics NZ'!U$351)</f>
        <v>27857.153052038069</v>
      </c>
      <c r="L22" s="111">
        <f>K$22*'Population Treasury'!W$44*'Statistics NZ'!W$351/('Population Treasury'!V$44*'Statistics NZ'!V$351)</f>
        <v>28849.625050682891</v>
      </c>
      <c r="M22" s="111">
        <f>L$22*'Population Treasury'!X$44*'Statistics NZ'!X$351/('Population Treasury'!W$44*'Statistics NZ'!W$351)</f>
        <v>28837.172248503226</v>
      </c>
      <c r="N22" s="111">
        <f>M$22*'Population Treasury'!Y$44*'Statistics NZ'!Y$351/('Population Treasury'!X$44*'Statistics NZ'!X$351)</f>
        <v>28311.601878528447</v>
      </c>
      <c r="O22" s="111">
        <f>N$22*'Population Treasury'!Z$44*'Statistics NZ'!Z$351/('Population Treasury'!Y$44*'Statistics NZ'!Y$351)</f>
        <v>28245.448121724214</v>
      </c>
      <c r="P22" s="111">
        <f>O$22*'Population Treasury'!AA$44*'Statistics NZ'!AA$351/('Population Treasury'!Z$44*'Statistics NZ'!Z$351)</f>
        <v>29105.266563370325</v>
      </c>
      <c r="Q22" s="111">
        <f>P$22*'Population Treasury'!AB$44*'Statistics NZ'!AB$351/('Population Treasury'!AA$44*'Statistics NZ'!AA$351)</f>
        <v>29360.209261464643</v>
      </c>
      <c r="R22" s="111">
        <f>Q$22*'Population Treasury'!AC$44*'Statistics NZ'!AC$351/('Population Treasury'!AB$44*'Statistics NZ'!AB$351)</f>
        <v>30147.003430222641</v>
      </c>
      <c r="S22" s="111">
        <f>R$22*'Population Treasury'!AD$44*'Statistics NZ'!AD$351/('Population Treasury'!AC$44*'Statistics NZ'!AC$351)</f>
        <v>31491.115951185362</v>
      </c>
      <c r="T22" s="111">
        <f>S$22*'Population Treasury'!AE$44*'Statistics NZ'!AE$351/('Population Treasury'!AD$44*'Statistics NZ'!AD$351)</f>
        <v>32633.13432435054</v>
      </c>
      <c r="U22" s="111">
        <f>T$22*'Population Treasury'!AF$44*'Statistics NZ'!AF$351/('Population Treasury'!AE$44*'Statistics NZ'!AE$351)</f>
        <v>32540.161339405586</v>
      </c>
      <c r="V22" s="111">
        <f>U$22*'Population Treasury'!AG$44*'Statistics NZ'!AG$351/('Population Treasury'!AF$44*'Statistics NZ'!AF$351)</f>
        <v>33461.151537461687</v>
      </c>
      <c r="W22" s="111">
        <f>V$22*'Population Treasury'!AH$44*'Statistics NZ'!AH$351/('Population Treasury'!AG$44*'Statistics NZ'!AG$351)</f>
        <v>33432.908598811948</v>
      </c>
      <c r="X22" s="111">
        <f>W$22*'Population Treasury'!AI$44*'Statistics NZ'!AI$351/('Population Treasury'!AH$44*'Statistics NZ'!AH$351)</f>
        <v>33390.125331738331</v>
      </c>
      <c r="Y22" s="111">
        <f>X$22*'Population Treasury'!AJ$44*'Statistics NZ'!AJ$351/('Population Treasury'!AI$44*'Statistics NZ'!AI$351)</f>
        <v>33344.317816992065</v>
      </c>
      <c r="Z22" s="111">
        <f>Y$22*'Population Treasury'!AK$44*'Statistics NZ'!AK$351/('Population Treasury'!AJ$44*'Statistics NZ'!AJ$351)</f>
        <v>32419.978605615906</v>
      </c>
      <c r="AA22" s="111">
        <f>Z$22*'Population Treasury'!AL$44*'Statistics NZ'!AL$351/('Population Treasury'!AK$44*'Statistics NZ'!AK$351)</f>
        <v>32502.147399931866</v>
      </c>
      <c r="AB22" s="111">
        <f>AA$22*'Population Treasury'!AM$44*'Statistics NZ'!AM$351/('Population Treasury'!AL$44*'Statistics NZ'!AL$351)</f>
        <v>32210.300991350861</v>
      </c>
      <c r="AC22" s="111">
        <f>AB$22*'Population Treasury'!AN$44*'Statistics NZ'!AN$351/('Population Treasury'!AM$44*'Statistics NZ'!AM$351)</f>
        <v>32432.224915754345</v>
      </c>
      <c r="AD22" s="111">
        <f>AC$22*'Population Treasury'!AO$44*'Statistics NZ'!AO$351/('Population Treasury'!AN$44*'Statistics NZ'!AN$351)</f>
        <v>31761.917886100306</v>
      </c>
      <c r="AE22" s="111">
        <f>AD$22*'Population Treasury'!AP$44*'Statistics NZ'!AP$351/('Population Treasury'!AO$44*'Statistics NZ'!AO$351)</f>
        <v>31417.87421634085</v>
      </c>
      <c r="AF22" s="111">
        <f>AE$22*'Population Treasury'!AQ$44*'Statistics NZ'!AQ$351/('Population Treasury'!AP$44*'Statistics NZ'!AP$351)</f>
        <v>31564.69340898579</v>
      </c>
      <c r="AG22" s="111">
        <f>AF$22*'Population Treasury'!AR$44*'Statistics NZ'!AR$351/('Population Treasury'!AQ$44*'Statistics NZ'!AQ$351)</f>
        <v>31090.762862491687</v>
      </c>
      <c r="AH22" s="111">
        <f>AG$22*'Population Treasury'!AS$44*'Statistics NZ'!AS$351/('Population Treasury'!AR$44*'Statistics NZ'!AR$351)</f>
        <v>31077.286848558553</v>
      </c>
      <c r="AI22" s="111">
        <f>AH$22*'Population Treasury'!AT$44*'Statistics NZ'!AT$351/('Population Treasury'!AS$44*'Statistics NZ'!AS$351)</f>
        <v>31031.557914161742</v>
      </c>
      <c r="AJ22" s="111">
        <f>AI$22*'Population Treasury'!AU$44*'Statistics NZ'!AU$351/('Population Treasury'!AT$44*'Statistics NZ'!AT$351)</f>
        <v>30985.354415839582</v>
      </c>
      <c r="AK22" s="111">
        <f>AJ$22*'Population Treasury'!AV$44*'Statistics NZ'!AV$351/('Population Treasury'!AU$44*'Statistics NZ'!AU$351)</f>
        <v>31098.424477401946</v>
      </c>
      <c r="AL22" s="111">
        <f>AK$22*'Population Treasury'!AW$44*'Statistics NZ'!AW$351/('Population Treasury'!AV$44*'Statistics NZ'!AV$351)</f>
        <v>31176.757853515872</v>
      </c>
      <c r="AM22" s="111">
        <f>AL$22*'Population Treasury'!AX$44*'Statistics NZ'!AX$351/('Population Treasury'!AW$44*'Statistics NZ'!AW$351)</f>
        <v>31219.935589260822</v>
      </c>
      <c r="AN22" s="111">
        <f>AM$22*'Population Treasury'!AY$44*'Statistics NZ'!AY$351/('Population Treasury'!AX$44*'Statistics NZ'!AX$351)</f>
        <v>31246.824113335268</v>
      </c>
      <c r="AO22" s="111">
        <f>AN$22*'Population Treasury'!AZ$44*'Statistics NZ'!AZ$351/('Population Treasury'!AY$44*'Statistics NZ'!AY$351)</f>
        <v>31270.78446954086</v>
      </c>
      <c r="AP22" s="111">
        <f>AO$22*'Population Treasury'!BA$44*'Statistics NZ'!BA$351/('Population Treasury'!AZ$44*'Statistics NZ'!AZ$351)</f>
        <v>31297.462886847323</v>
      </c>
      <c r="AQ22" s="111">
        <f>AP$22*'Population Treasury'!BB$44*'Statistics NZ'!BB$351/('Population Treasury'!BA$44*'Statistics NZ'!BA$351)</f>
        <v>31313.646954649994</v>
      </c>
      <c r="AR22" s="111">
        <f>AQ$22*'Population Treasury'!BC$44*'Statistics NZ'!BC$351/('Population Treasury'!BB$44*'Statistics NZ'!BB$351)</f>
        <v>31358.138436358942</v>
      </c>
      <c r="AS22" s="111">
        <f>AR$22*'Population Treasury'!BD$44*'Statistics NZ'!BD$351/('Population Treasury'!BC$44*'Statistics NZ'!BC$351)</f>
        <v>31384.113710774382</v>
      </c>
      <c r="AT22" s="111">
        <f>AS$22*'Population Treasury'!BE$44*'Statistics NZ'!BE$351/('Population Treasury'!BD$44*'Statistics NZ'!BD$351)</f>
        <v>31453.064257655758</v>
      </c>
      <c r="AU22" s="111">
        <f>AT$22*'Population Treasury'!BF$44*'Statistics NZ'!BF$351/('Population Treasury'!BE$44*'Statistics NZ'!BE$351)</f>
        <v>31524.34405124055</v>
      </c>
      <c r="AV22" s="111">
        <f>AU$22*'Population Treasury'!BG$44*'Statistics NZ'!BG$351/('Population Treasury'!BF$44*'Statistics NZ'!BF$351)</f>
        <v>31622.866466966243</v>
      </c>
      <c r="AW22" s="111">
        <f>AV$22*'Population Treasury'!BH$44*'Statistics NZ'!BH$351/('Population Treasury'!BG$44*'Statistics NZ'!BG$351)</f>
        <v>31737.166810058297</v>
      </c>
      <c r="AX22" s="111">
        <f>AW$22*'Population Treasury'!BI$44*'Statistics NZ'!BI$351/('Population Treasury'!BH$44*'Statistics NZ'!BH$351)</f>
        <v>31855.547890297585</v>
      </c>
      <c r="AY22" s="111">
        <f>AX$22*'Population Treasury'!BJ$44*'Statistics NZ'!BJ$351/('Population Treasury'!BI$44*'Statistics NZ'!BI$351)</f>
        <v>32000.32078615962</v>
      </c>
      <c r="AZ22" s="111">
        <f>AY$22*'Population Treasury'!BK$44*'Statistics NZ'!BK$351/('Population Treasury'!BJ$44*'Statistics NZ'!BJ$351)</f>
        <v>32129.984185746496</v>
      </c>
      <c r="BA22" s="111">
        <f>AZ$22*'Population Treasury'!BL$44*'Statistics NZ'!BL$351/('Population Treasury'!BK$44*'Statistics NZ'!BK$351)</f>
        <v>32244.647482103184</v>
      </c>
      <c r="BB22" s="195">
        <f>BA$22*'Population Treasury'!BM$44*'Statistics NZ'!BM$351/('Population Treasury'!BL$44*'Statistics NZ'!BL$351)</f>
        <v>32353.989684660217</v>
      </c>
      <c r="BC22" s="195">
        <f>BB$22*'Population Treasury'!BN$44*'Statistics NZ'!BN$351/('Population Treasury'!BM$44*'Statistics NZ'!BM$351)</f>
        <v>32448.35065513158</v>
      </c>
      <c r="BD22" s="195">
        <f>BC$22*'Population Treasury'!BO$44*'Statistics NZ'!BO$351/('Population Treasury'!BN$44*'Statistics NZ'!BN$351)</f>
        <v>32496.840187485908</v>
      </c>
      <c r="BE22" s="195">
        <f>BD$22*'Population Treasury'!BP$44*'Statistics NZ'!BP$351/('Population Treasury'!BO$44*'Statistics NZ'!BO$351)</f>
        <v>32526.201883369529</v>
      </c>
      <c r="BF22" s="195">
        <f>BE$22*'Population Treasury'!BQ$44*'Statistics NZ'!BQ$351/('Population Treasury'!BP$44*'Statistics NZ'!BP$351)</f>
        <v>32521.459332869596</v>
      </c>
    </row>
    <row r="23" spans="1:58">
      <c r="A23" s="124">
        <v>28</v>
      </c>
      <c r="B23" s="118">
        <f>'Population Treasury'!M$45*'Statistics NZ'!M$352*'Economic Forecasts'!O$8/B$7</f>
        <v>26682.552303840348</v>
      </c>
      <c r="C23" s="118">
        <f>'Population Treasury'!N$45*'Statistics NZ'!N$352*'Economic Forecasts'!P$8/C$7</f>
        <v>28831.608210732589</v>
      </c>
      <c r="D23" s="118">
        <f>'Population Treasury'!O$45*'Statistics NZ'!O$352*'Economic Forecasts'!Q$8/D$7</f>
        <v>29528.783171480562</v>
      </c>
      <c r="E23" s="203">
        <f>'Population Treasury'!P$45*'Statistics NZ'!P$352*'Economic Forecasts'!R$8/E$7</f>
        <v>29994.651667611946</v>
      </c>
      <c r="F23" s="121">
        <f>'Population Treasury'!Q$45*'Statistics NZ'!Q$352*'Economic Forecasts'!S$8/F$7</f>
        <v>29273.391236555526</v>
      </c>
      <c r="G23" s="121">
        <f>'Population Treasury'!R$45*'Statistics NZ'!R$352*'Economic Forecasts'!T$8/G$7</f>
        <v>28394.994361813966</v>
      </c>
      <c r="H23" s="121">
        <f>'Population Treasury'!S$45*'Statistics NZ'!S$352*'Economic Forecasts'!U$8/H$7</f>
        <v>28335.759211888904</v>
      </c>
      <c r="I23" s="121">
        <f>'Population Treasury'!T$45*'Statistics NZ'!T$352*'Economic Forecasts'!V$8/I$7</f>
        <v>28403.711454481803</v>
      </c>
      <c r="J23" s="205">
        <f>'Population Treasury'!U$45*'Statistics NZ'!U$352*'Economic Forecasts'!W$8/J$7</f>
        <v>28468.818860309933</v>
      </c>
      <c r="K23" s="111">
        <f>J$23*'Population Treasury'!V$45*'Statistics NZ'!V$352/('Population Treasury'!U$45*'Statistics NZ'!U$352)</f>
        <v>28833.109702082023</v>
      </c>
      <c r="L23" s="111">
        <f>K$23*'Population Treasury'!W$45*'Statistics NZ'!W$352/('Population Treasury'!V$45*'Statistics NZ'!V$352)</f>
        <v>28687.769056664398</v>
      </c>
      <c r="M23" s="111">
        <f>L$23*'Population Treasury'!X$45*'Statistics NZ'!X$352/('Population Treasury'!W$45*'Statistics NZ'!W$352)</f>
        <v>29643.431736935258</v>
      </c>
      <c r="N23" s="111">
        <f>M$23*'Population Treasury'!Y$45*'Statistics NZ'!Y$352/('Population Treasury'!X$45*'Statistics NZ'!X$352)</f>
        <v>29604.798220387074</v>
      </c>
      <c r="O23" s="111">
        <f>N$23*'Population Treasury'!Z$45*'Statistics NZ'!Z$352/('Population Treasury'!Y$45*'Statistics NZ'!Y$352)</f>
        <v>29026.993234814545</v>
      </c>
      <c r="P23" s="111">
        <f>O$23*'Population Treasury'!AA$45*'Statistics NZ'!AA$352/('Population Treasury'!Z$45*'Statistics NZ'!Z$352)</f>
        <v>28934.253657677036</v>
      </c>
      <c r="Q23" s="111">
        <f>P$23*'Population Treasury'!AB$45*'Statistics NZ'!AB$352/('Population Treasury'!AA$45*'Statistics NZ'!AA$352)</f>
        <v>29746.609746180275</v>
      </c>
      <c r="R23" s="111">
        <f>Q$23*'Population Treasury'!AC$45*'Statistics NZ'!AC$352/('Population Treasury'!AB$45*'Statistics NZ'!AB$352)</f>
        <v>29955.830894000443</v>
      </c>
      <c r="S23" s="111">
        <f>R$23*'Population Treasury'!AD$45*'Statistics NZ'!AD$352/('Population Treasury'!AC$45*'Statistics NZ'!AC$352)</f>
        <v>30712.093767324921</v>
      </c>
      <c r="T23" s="111">
        <f>S$23*'Population Treasury'!AE$45*'Statistics NZ'!AE$352/('Population Treasury'!AD$45*'Statistics NZ'!AD$352)</f>
        <v>32058.712761602223</v>
      </c>
      <c r="U23" s="111">
        <f>T$23*'Population Treasury'!AF$45*'Statistics NZ'!AF$352/('Population Treasury'!AE$45*'Statistics NZ'!AE$352)</f>
        <v>33180.629101156497</v>
      </c>
      <c r="V23" s="111">
        <f>U$23*'Population Treasury'!AG$45*'Statistics NZ'!AG$352/('Population Treasury'!AF$45*'Statistics NZ'!AF$352)</f>
        <v>33096.347569267709</v>
      </c>
      <c r="W23" s="111">
        <f>V$23*'Population Treasury'!AH$45*'Statistics NZ'!AH$352/('Population Treasury'!AG$45*'Statistics NZ'!AG$352)</f>
        <v>34006.875431561944</v>
      </c>
      <c r="X23" s="111">
        <f>W$23*'Population Treasury'!AI$45*'Statistics NZ'!AI$352/('Population Treasury'!AH$45*'Statistics NZ'!AH$352)</f>
        <v>33990.945172583357</v>
      </c>
      <c r="Y23" s="111">
        <f>X$23*'Population Treasury'!AJ$45*'Statistics NZ'!AJ$352/('Population Treasury'!AI$45*'Statistics NZ'!AI$352)</f>
        <v>33926.461007408172</v>
      </c>
      <c r="Z23" s="111">
        <f>Y$23*'Population Treasury'!AK$45*'Statistics NZ'!AK$352/('Population Treasury'!AJ$45*'Statistics NZ'!AJ$352)</f>
        <v>33880.747720058062</v>
      </c>
      <c r="AA23" s="111">
        <f>Z$23*'Population Treasury'!AL$45*'Statistics NZ'!AL$352/('Population Treasury'!AK$45*'Statistics NZ'!AK$352)</f>
        <v>32975.017864741349</v>
      </c>
      <c r="AB23" s="111">
        <f>AA$23*'Population Treasury'!AM$45*'Statistics NZ'!AM$352/('Population Treasury'!AL$45*'Statistics NZ'!AL$352)</f>
        <v>33038.737830747028</v>
      </c>
      <c r="AC23" s="111">
        <f>AB$23*'Population Treasury'!AN$45*'Statistics NZ'!AN$352/('Population Treasury'!AM$45*'Statistics NZ'!AM$352)</f>
        <v>32755.452902926034</v>
      </c>
      <c r="AD23" s="111">
        <f>AC$23*'Population Treasury'!AO$45*'Statistics NZ'!AO$352/('Population Treasury'!AN$45*'Statistics NZ'!AN$352)</f>
        <v>32977.441838678445</v>
      </c>
      <c r="AE23" s="111">
        <f>AD$23*'Population Treasury'!AP$45*'Statistics NZ'!AP$352/('Population Treasury'!AO$45*'Statistics NZ'!AO$352)</f>
        <v>32305.17092682693</v>
      </c>
      <c r="AF23" s="111">
        <f>AE$23*'Population Treasury'!AQ$45*'Statistics NZ'!AQ$352/('Population Treasury'!AP$45*'Statistics NZ'!AP$352)</f>
        <v>31951.936606649117</v>
      </c>
      <c r="AG23" s="111">
        <f>AF$23*'Population Treasury'!AR$45*'Statistics NZ'!AR$352/('Population Treasury'!AQ$45*'Statistics NZ'!AQ$352)</f>
        <v>32098.947565723993</v>
      </c>
      <c r="AH23" s="111">
        <f>AG$23*'Population Treasury'!AS$45*'Statistics NZ'!AS$352/('Population Treasury'!AR$45*'Statistics NZ'!AR$352)</f>
        <v>31625.866164646599</v>
      </c>
      <c r="AI23" s="111">
        <f>AH$23*'Population Treasury'!AT$45*'Statistics NZ'!AT$352/('Population Treasury'!AS$45*'Statistics NZ'!AS$352)</f>
        <v>31603.506891190635</v>
      </c>
      <c r="AJ23" s="111">
        <f>AI$23*'Population Treasury'!AU$45*'Statistics NZ'!AU$352/('Population Treasury'!AT$45*'Statistics NZ'!AT$352)</f>
        <v>31575.310904479509</v>
      </c>
      <c r="AK23" s="111">
        <f>AJ$23*'Population Treasury'!AV$45*'Statistics NZ'!AV$352/('Population Treasury'!AU$45*'Statistics NZ'!AU$352)</f>
        <v>31511.782304842371</v>
      </c>
      <c r="AL23" s="111">
        <f>AK$23*'Population Treasury'!AW$45*'Statistics NZ'!AW$352/('Population Treasury'!AV$45*'Statistics NZ'!AV$352)</f>
        <v>31614.013168885824</v>
      </c>
      <c r="AM23" s="111">
        <f>AL$23*'Population Treasury'!AX$45*'Statistics NZ'!AX$352/('Population Treasury'!AW$45*'Statistics NZ'!AW$352)</f>
        <v>31692.302364297386</v>
      </c>
      <c r="AN23" s="111">
        <f>AM$23*'Population Treasury'!AY$45*'Statistics NZ'!AY$352/('Population Treasury'!AX$45*'Statistics NZ'!AX$352)</f>
        <v>31743.897809355145</v>
      </c>
      <c r="AO23" s="111">
        <f>AN$23*'Population Treasury'!AZ$45*'Statistics NZ'!AZ$352/('Population Treasury'!AY$45*'Statistics NZ'!AY$352)</f>
        <v>31782.145409224111</v>
      </c>
      <c r="AP23" s="111">
        <f>AO$23*'Population Treasury'!BA$45*'Statistics NZ'!BA$352/('Population Treasury'!AZ$45*'Statistics NZ'!AZ$352)</f>
        <v>31803.571881826876</v>
      </c>
      <c r="AQ23" s="111">
        <f>AP$23*'Population Treasury'!BB$45*'Statistics NZ'!BB$352/('Population Treasury'!BA$45*'Statistics NZ'!BA$352)</f>
        <v>31812.459728866801</v>
      </c>
      <c r="AR23" s="111">
        <f>AQ$23*'Population Treasury'!BC$45*'Statistics NZ'!BC$352/('Population Treasury'!BB$45*'Statistics NZ'!BB$352)</f>
        <v>31857.44554075407</v>
      </c>
      <c r="AS23" s="111">
        <f>AR$23*'Population Treasury'!BD$45*'Statistics NZ'!BD$352/('Population Treasury'!BC$45*'Statistics NZ'!BC$352)</f>
        <v>31872.806014842423</v>
      </c>
      <c r="AT23" s="111">
        <f>AS$23*'Population Treasury'!BE$45*'Statistics NZ'!BE$352/('Population Treasury'!BD$45*'Statistics NZ'!BD$352)</f>
        <v>31918.485133648901</v>
      </c>
      <c r="AU23" s="111">
        <f>AT$23*'Population Treasury'!BF$45*'Statistics NZ'!BF$352/('Population Treasury'!BE$45*'Statistics NZ'!BE$352)</f>
        <v>31967.37410111638</v>
      </c>
      <c r="AV23" s="111">
        <f>AU$23*'Population Treasury'!BG$45*'Statistics NZ'!BG$352/('Population Treasury'!BF$45*'Statistics NZ'!BF$352)</f>
        <v>32038.466314715613</v>
      </c>
      <c r="AW23" s="111">
        <f>AV$23*'Population Treasury'!BH$45*'Statistics NZ'!BH$352/('Population Treasury'!BG$45*'Statistics NZ'!BG$352)</f>
        <v>32136.863612149398</v>
      </c>
      <c r="AX23" s="111">
        <f>AW$23*'Population Treasury'!BI$45*'Statistics NZ'!BI$352/('Population Treasury'!BH$45*'Statistics NZ'!BH$352)</f>
        <v>32259.582829317987</v>
      </c>
      <c r="AY23" s="111">
        <f>AX$23*'Population Treasury'!BJ$45*'Statistics NZ'!BJ$352/('Population Treasury'!BI$45*'Statistics NZ'!BI$352)</f>
        <v>32381.019910861858</v>
      </c>
      <c r="AZ23" s="111">
        <f>AY$23*'Population Treasury'!BK$45*'Statistics NZ'!BK$352/('Population Treasury'!BJ$45*'Statistics NZ'!BJ$352)</f>
        <v>32522.558676747543</v>
      </c>
      <c r="BA23" s="111">
        <f>AZ$23*'Population Treasury'!BL$45*'Statistics NZ'!BL$352/('Population Treasury'!BK$45*'Statistics NZ'!BK$352)</f>
        <v>32652.148963311443</v>
      </c>
      <c r="BB23" s="195">
        <f>BA$23*'Population Treasury'!BM$45*'Statistics NZ'!BM$352/('Population Treasury'!BL$45*'Statistics NZ'!BL$352)</f>
        <v>32788.243215134549</v>
      </c>
      <c r="BC23" s="195">
        <f>BB$23*'Population Treasury'!BN$45*'Statistics NZ'!BN$352/('Population Treasury'!BM$45*'Statistics NZ'!BM$352)</f>
        <v>32887.913105262174</v>
      </c>
      <c r="BD23" s="195">
        <f>BC$23*'Population Treasury'!BO$45*'Statistics NZ'!BO$352/('Population Treasury'!BN$45*'Statistics NZ'!BN$352)</f>
        <v>32970.529420397172</v>
      </c>
      <c r="BE23" s="195">
        <f>BD$23*'Population Treasury'!BP$45*'Statistics NZ'!BP$352/('Population Treasury'!BO$45*'Statistics NZ'!BO$352)</f>
        <v>33019.044918467589</v>
      </c>
      <c r="BF23" s="195">
        <f>BE$23*'Population Treasury'!BQ$45*'Statistics NZ'!BQ$352/('Population Treasury'!BP$45*'Statistics NZ'!BP$352)</f>
        <v>33039.905860023406</v>
      </c>
    </row>
    <row r="24" spans="1:58">
      <c r="A24" s="124">
        <v>29</v>
      </c>
      <c r="B24" s="118">
        <f>'Population Treasury'!M$46*'Statistics NZ'!M$353*'Economic Forecasts'!O$8/B$7</f>
        <v>26665.942735438253</v>
      </c>
      <c r="C24" s="118">
        <f>'Population Treasury'!N$46*'Statistics NZ'!N$353*'Economic Forecasts'!P$8/C$7</f>
        <v>28006.53083992589</v>
      </c>
      <c r="D24" s="118">
        <f>'Population Treasury'!O$46*'Statistics NZ'!O$353*'Economic Forecasts'!Q$8/D$7</f>
        <v>29505.081472374812</v>
      </c>
      <c r="E24" s="203">
        <f>'Population Treasury'!P$46*'Statistics NZ'!P$353*'Economic Forecasts'!R$8/E$7</f>
        <v>30615.113755719918</v>
      </c>
      <c r="F24" s="121">
        <f>'Population Treasury'!Q$46*'Statistics NZ'!Q$353*'Economic Forecasts'!S$8/F$7</f>
        <v>30270.819184318992</v>
      </c>
      <c r="G24" s="121">
        <f>'Population Treasury'!R$46*'Statistics NZ'!R$353*'Economic Forecasts'!T$8/G$7</f>
        <v>29834.622861396583</v>
      </c>
      <c r="H24" s="121">
        <f>'Population Treasury'!S$46*'Statistics NZ'!S$353*'Economic Forecasts'!U$8/H$7</f>
        <v>28998.979769879334</v>
      </c>
      <c r="I24" s="121">
        <f>'Population Treasury'!T$46*'Statistics NZ'!T$353*'Economic Forecasts'!V$8/I$7</f>
        <v>29199.112760593402</v>
      </c>
      <c r="J24" s="205">
        <f>'Population Treasury'!U$46*'Statistics NZ'!U$353*'Economic Forecasts'!W$8/J$7</f>
        <v>29255.948873950671</v>
      </c>
      <c r="K24" s="111">
        <f>J$24*'Population Treasury'!V$46*'Statistics NZ'!V$353/('Population Treasury'!U$46*'Statistics NZ'!U$353)</f>
        <v>29350.823135999461</v>
      </c>
      <c r="L24" s="111">
        <f>K$24*'Population Treasury'!W$46*'Statistics NZ'!W$353/('Population Treasury'!V$46*'Statistics NZ'!V$353)</f>
        <v>29684.060424203672</v>
      </c>
      <c r="M24" s="111">
        <f>L$24*'Population Treasury'!X$46*'Statistics NZ'!X$353/('Population Treasury'!W$46*'Statistics NZ'!W$353)</f>
        <v>29496.814800518459</v>
      </c>
      <c r="N24" s="111">
        <f>M$24*'Population Treasury'!Y$46*'Statistics NZ'!Y$353/('Population Treasury'!X$46*'Statistics NZ'!X$353)</f>
        <v>30417.608413201673</v>
      </c>
      <c r="O24" s="111">
        <f>N$24*'Population Treasury'!Z$46*'Statistics NZ'!Z$353/('Population Treasury'!Y$46*'Statistics NZ'!Y$353)</f>
        <v>30333.119586598721</v>
      </c>
      <c r="P24" s="111">
        <f>O$24*'Population Treasury'!AA$46*'Statistics NZ'!AA$353/('Population Treasury'!Z$46*'Statistics NZ'!Z$353)</f>
        <v>29718.136359164011</v>
      </c>
      <c r="Q24" s="111">
        <f>P$24*'Population Treasury'!AB$46*'Statistics NZ'!AB$353/('Population Treasury'!AA$46*'Statistics NZ'!AA$353)</f>
        <v>29579.900957448233</v>
      </c>
      <c r="R24" s="111">
        <f>Q$24*'Population Treasury'!AC$46*'Statistics NZ'!AC$353/('Population Treasury'!AB$46*'Statistics NZ'!AB$353)</f>
        <v>30356.061553880136</v>
      </c>
      <c r="S24" s="111">
        <f>R$24*'Population Treasury'!AD$46*'Statistics NZ'!AD$353/('Population Treasury'!AC$46*'Statistics NZ'!AC$353)</f>
        <v>30538.424787534586</v>
      </c>
      <c r="T24" s="111">
        <f>S$24*'Population Treasury'!AE$46*'Statistics NZ'!AE$353/('Population Treasury'!AD$46*'Statistics NZ'!AD$353)</f>
        <v>31285.279938792119</v>
      </c>
      <c r="U24" s="111">
        <f>T$24*'Population Treasury'!AF$46*'Statistics NZ'!AF$353/('Population Treasury'!AE$46*'Statistics NZ'!AE$353)</f>
        <v>32632.055355350934</v>
      </c>
      <c r="V24" s="111">
        <f>U$24*'Population Treasury'!AG$46*'Statistics NZ'!AG$353/('Population Treasury'!AF$46*'Statistics NZ'!AF$353)</f>
        <v>33763.521623267676</v>
      </c>
      <c r="W24" s="111">
        <f>V$24*'Population Treasury'!AH$46*'Statistics NZ'!AH$353/('Population Treasury'!AG$46*'Statistics NZ'!AG$353)</f>
        <v>33669.993902430055</v>
      </c>
      <c r="X24" s="111">
        <f>W$24*'Population Treasury'!AI$46*'Statistics NZ'!AI$353/('Population Treasury'!AH$46*'Statistics NZ'!AH$353)</f>
        <v>34580.6025155881</v>
      </c>
      <c r="Y24" s="111">
        <f>X$24*'Population Treasury'!AJ$46*'Statistics NZ'!AJ$353/('Population Treasury'!AI$46*'Statistics NZ'!AI$353)</f>
        <v>34553.245141225045</v>
      </c>
      <c r="Z24" s="111">
        <f>Y$24*'Population Treasury'!AK$46*'Statistics NZ'!AK$353/('Population Treasury'!AJ$46*'Statistics NZ'!AJ$353)</f>
        <v>34497.677079966197</v>
      </c>
      <c r="AA24" s="111">
        <f>Z$24*'Population Treasury'!AL$46*'Statistics NZ'!AL$353/('Population Treasury'!AK$46*'Statistics NZ'!AK$353)</f>
        <v>34441.647783092718</v>
      </c>
      <c r="AB24" s="111">
        <f>AA$24*'Population Treasury'!AM$46*'Statistics NZ'!AM$353/('Population Treasury'!AL$46*'Statistics NZ'!AL$353)</f>
        <v>33525.876854907685</v>
      </c>
      <c r="AC24" s="111">
        <f>AB$24*'Population Treasury'!AN$46*'Statistics NZ'!AN$353/('Population Treasury'!AM$46*'Statistics NZ'!AM$353)</f>
        <v>33598.190090715972</v>
      </c>
      <c r="AD24" s="111">
        <f>AC$24*'Population Treasury'!AO$46*'Statistics NZ'!AO$353/('Population Treasury'!AN$46*'Statistics NZ'!AN$353)</f>
        <v>33306.203590924582</v>
      </c>
      <c r="AE24" s="111">
        <f>AD$24*'Population Treasury'!AP$46*'Statistics NZ'!AP$353/('Population Treasury'!AO$46*'Statistics NZ'!AO$353)</f>
        <v>33537.974094800673</v>
      </c>
      <c r="AF24" s="111">
        <f>AE$24*'Population Treasury'!AQ$46*'Statistics NZ'!AQ$353/('Population Treasury'!AP$46*'Statistics NZ'!AP$353)</f>
        <v>32854.873084250801</v>
      </c>
      <c r="AG24" s="111">
        <f>AF$24*'Population Treasury'!AR$46*'Statistics NZ'!AR$353/('Population Treasury'!AQ$46*'Statistics NZ'!AQ$353)</f>
        <v>32510.407691628312</v>
      </c>
      <c r="AH24" s="111">
        <f>AG$24*'Population Treasury'!AS$46*'Statistics NZ'!AS$353/('Population Treasury'!AR$46*'Statistics NZ'!AR$353)</f>
        <v>32647.910216657307</v>
      </c>
      <c r="AI24" s="111">
        <f>AH$24*'Population Treasury'!AT$46*'Statistics NZ'!AT$353/('Population Treasury'!AS$46*'Statistics NZ'!AS$353)</f>
        <v>32182.838814930568</v>
      </c>
      <c r="AJ24" s="111">
        <f>AI$24*'Population Treasury'!AU$46*'Statistics NZ'!AU$353/('Population Treasury'!AT$46*'Statistics NZ'!AT$353)</f>
        <v>32160.803968287499</v>
      </c>
      <c r="AK24" s="111">
        <f>AJ$24*'Population Treasury'!AV$46*'Statistics NZ'!AV$353/('Population Treasury'!AU$46*'Statistics NZ'!AU$353)</f>
        <v>32123.543627716954</v>
      </c>
      <c r="AL24" s="111">
        <f>AK$24*'Population Treasury'!AW$46*'Statistics NZ'!AW$353/('Population Treasury'!AV$46*'Statistics NZ'!AV$353)</f>
        <v>32066.533452311789</v>
      </c>
      <c r="AM24" s="111">
        <f>AL$24*'Population Treasury'!AX$46*'Statistics NZ'!AX$353/('Population Treasury'!AW$46*'Statistics NZ'!AW$353)</f>
        <v>32162.233346035813</v>
      </c>
      <c r="AN24" s="111">
        <f>AM$24*'Population Treasury'!AY$46*'Statistics NZ'!AY$353/('Population Treasury'!AX$46*'Statistics NZ'!AX$353)</f>
        <v>32229.708740703336</v>
      </c>
      <c r="AO24" s="111">
        <f>AN$24*'Population Treasury'!AZ$46*'Statistics NZ'!AZ$353/('Population Treasury'!AY$46*'Statistics NZ'!AY$353)</f>
        <v>32292.319921383947</v>
      </c>
      <c r="AP24" s="111">
        <f>AO$24*'Population Treasury'!BA$46*'Statistics NZ'!BA$353/('Population Treasury'!AZ$46*'Statistics NZ'!AZ$353)</f>
        <v>32319.680405699637</v>
      </c>
      <c r="AQ24" s="111">
        <f>AP$24*'Population Treasury'!BB$46*'Statistics NZ'!BB$353/('Population Treasury'!BA$46*'Statistics NZ'!BA$353)</f>
        <v>32341.157367952925</v>
      </c>
      <c r="AR24" s="111">
        <f>AQ$24*'Population Treasury'!BC$46*'Statistics NZ'!BC$353/('Population Treasury'!BB$46*'Statistics NZ'!BB$353)</f>
        <v>32361.258222165707</v>
      </c>
      <c r="AS24" s="111">
        <f>AR$24*'Population Treasury'!BD$46*'Statistics NZ'!BD$353/('Population Treasury'!BC$46*'Statistics NZ'!BC$353)</f>
        <v>32395.193689486994</v>
      </c>
      <c r="AT24" s="111">
        <f>AS$24*'Population Treasury'!BE$46*'Statistics NZ'!BE$353/('Population Treasury'!BD$46*'Statistics NZ'!BD$353)</f>
        <v>32419.131521200638</v>
      </c>
      <c r="AU24" s="111">
        <f>AT$24*'Population Treasury'!BF$46*'Statistics NZ'!BF$353/('Population Treasury'!BE$46*'Statistics NZ'!BE$353)</f>
        <v>32456.36317702035</v>
      </c>
      <c r="AV24" s="111">
        <f>AU$24*'Population Treasury'!BG$46*'Statistics NZ'!BG$353/('Population Treasury'!BF$46*'Statistics NZ'!BF$353)</f>
        <v>32513.844398392215</v>
      </c>
      <c r="AW24" s="111">
        <f>AV$24*'Population Treasury'!BH$46*'Statistics NZ'!BH$353/('Population Treasury'!BG$46*'Statistics NZ'!BG$353)</f>
        <v>32588.033917250141</v>
      </c>
      <c r="AX24" s="111">
        <f>AW$24*'Population Treasury'!BI$46*'Statistics NZ'!BI$353/('Population Treasury'!BH$46*'Statistics NZ'!BH$353)</f>
        <v>32683.454256396282</v>
      </c>
      <c r="AY24" s="111">
        <f>AX$24*'Population Treasury'!BJ$46*'Statistics NZ'!BJ$353/('Population Treasury'!BI$46*'Statistics NZ'!BI$353)</f>
        <v>32797.700884044207</v>
      </c>
      <c r="AZ24" s="111">
        <f>AY$24*'Population Treasury'!BK$46*'Statistics NZ'!BK$353/('Population Treasury'!BJ$46*'Statistics NZ'!BJ$353)</f>
        <v>32927.70407356666</v>
      </c>
      <c r="BA24" s="111">
        <f>AZ$24*'Population Treasury'!BL$46*'Statistics NZ'!BL$353/('Population Treasury'!BK$46*'Statistics NZ'!BK$353)</f>
        <v>33072.508173859977</v>
      </c>
      <c r="BB24" s="195">
        <f>BA$24*'Population Treasury'!BM$46*'Statistics NZ'!BM$353/('Population Treasury'!BL$46*'Statistics NZ'!BL$353)</f>
        <v>33202.128910559666</v>
      </c>
      <c r="BC24" s="195">
        <f>BB$24*'Population Treasury'!BN$46*'Statistics NZ'!BN$353/('Population Treasury'!BM$46*'Statistics NZ'!BM$353)</f>
        <v>33326.471801640946</v>
      </c>
      <c r="BD24" s="195">
        <f>BC$24*'Population Treasury'!BO$46*'Statistics NZ'!BO$353/('Population Treasury'!BN$46*'Statistics NZ'!BN$353)</f>
        <v>33426.139867034261</v>
      </c>
      <c r="BE24" s="195">
        <f>BD$24*'Population Treasury'!BP$46*'Statistics NZ'!BP$353/('Population Treasury'!BO$46*'Statistics NZ'!BO$353)</f>
        <v>33508.749112220314</v>
      </c>
      <c r="BF24" s="195">
        <f>BE$24*'Population Treasury'!BQ$46*'Statistics NZ'!BQ$353/('Population Treasury'!BP$46*'Statistics NZ'!BP$353)</f>
        <v>33557.247008510989</v>
      </c>
    </row>
    <row r="25" spans="1:58">
      <c r="A25" s="124">
        <v>30</v>
      </c>
      <c r="B25" s="118">
        <f>'Population Treasury'!M$47*'Statistics NZ'!M$354*'Economic Forecasts'!O$8/B$7</f>
        <v>25283.800720312152</v>
      </c>
      <c r="C25" s="118">
        <f>'Population Treasury'!N$47*'Statistics NZ'!N$354*'Economic Forecasts'!P$8/C$7</f>
        <v>27915.662760753981</v>
      </c>
      <c r="D25" s="118">
        <f>'Population Treasury'!O$47*'Statistics NZ'!O$354*'Economic Forecasts'!Q$8/D$7</f>
        <v>28467.749530265119</v>
      </c>
      <c r="E25" s="203">
        <f>'Population Treasury'!P$47*'Statistics NZ'!P$354*'Economic Forecasts'!R$8/E$7</f>
        <v>30336.507916173814</v>
      </c>
      <c r="F25" s="121">
        <f>'Population Treasury'!Q$47*'Statistics NZ'!Q$354*'Economic Forecasts'!S$8/F$7</f>
        <v>30795.046009997168</v>
      </c>
      <c r="G25" s="121">
        <f>'Population Treasury'!R$47*'Statistics NZ'!R$354*'Economic Forecasts'!T$8/G$7</f>
        <v>30722.37704033015</v>
      </c>
      <c r="H25" s="121">
        <f>'Population Treasury'!S$47*'Statistics NZ'!S$354*'Economic Forecasts'!U$8/H$7</f>
        <v>30302.444626968834</v>
      </c>
      <c r="I25" s="121">
        <f>'Population Treasury'!T$47*'Statistics NZ'!T$354*'Economic Forecasts'!V$8/I$7</f>
        <v>29684.433643869786</v>
      </c>
      <c r="J25" s="205">
        <f>'Population Treasury'!U$47*'Statistics NZ'!U$354*'Economic Forecasts'!W$8/J$7</f>
        <v>29845.800891227816</v>
      </c>
      <c r="K25" s="111">
        <f>J$25*'Population Treasury'!V$47*'Statistics NZ'!V$354/('Population Treasury'!U$47*'Statistics NZ'!U$354)</f>
        <v>29878.945501935141</v>
      </c>
      <c r="L25" s="111">
        <f>K$25*'Population Treasury'!W$47*'Statistics NZ'!W$354/('Population Treasury'!V$47*'Statistics NZ'!V$354)</f>
        <v>29878.864045321825</v>
      </c>
      <c r="M25" s="111">
        <f>L$25*'Population Treasury'!X$47*'Statistics NZ'!X$354/('Population Treasury'!W$47*'Statistics NZ'!W$354)</f>
        <v>30112.751232530441</v>
      </c>
      <c r="N25" s="111">
        <f>M$25*'Population Treasury'!Y$47*'Statistics NZ'!Y$354/('Population Treasury'!X$47*'Statistics NZ'!X$354)</f>
        <v>29869.421202050919</v>
      </c>
      <c r="O25" s="111">
        <f>N$25*'Population Treasury'!Z$47*'Statistics NZ'!Z$354/('Population Treasury'!Y$47*'Statistics NZ'!Y$354)</f>
        <v>30696.586805047853</v>
      </c>
      <c r="P25" s="111">
        <f>O$25*'Population Treasury'!AA$47*'Statistics NZ'!AA$354/('Population Treasury'!Z$47*'Statistics NZ'!Z$354)</f>
        <v>30552.56252926631</v>
      </c>
      <c r="Q25" s="111">
        <f>P$25*'Population Treasury'!AB$47*'Statistics NZ'!AB$354/('Population Treasury'!AA$47*'Statistics NZ'!AA$354)</f>
        <v>29892.902800338787</v>
      </c>
      <c r="R25" s="111">
        <f>Q$25*'Population Treasury'!AC$47*'Statistics NZ'!AC$354/('Population Treasury'!AB$47*'Statistics NZ'!AB$354)</f>
        <v>29698.459985822443</v>
      </c>
      <c r="S25" s="111">
        <f>R$25*'Population Treasury'!AD$47*'Statistics NZ'!AD$354/('Population Treasury'!AC$47*'Statistics NZ'!AC$354)</f>
        <v>30436.40305577101</v>
      </c>
      <c r="T25" s="111">
        <f>S$25*'Population Treasury'!AE$47*'Statistics NZ'!AE$354/('Population Treasury'!AD$47*'Statistics NZ'!AD$354)</f>
        <v>30617.400275149357</v>
      </c>
      <c r="U25" s="111">
        <f>T$25*'Population Treasury'!AF$47*'Statistics NZ'!AF$354/('Population Treasury'!AE$47*'Statistics NZ'!AE$354)</f>
        <v>31343.524716006468</v>
      </c>
      <c r="V25" s="111">
        <f>U$25*'Population Treasury'!AG$47*'Statistics NZ'!AG$354/('Population Treasury'!AF$47*'Statistics NZ'!AF$354)</f>
        <v>32687.412540568777</v>
      </c>
      <c r="W25" s="111">
        <f>V$25*'Population Treasury'!AH$47*'Statistics NZ'!AH$354/('Population Treasury'!AG$47*'Statistics NZ'!AG$354)</f>
        <v>33805.877484772376</v>
      </c>
      <c r="X25" s="111">
        <f>W$25*'Population Treasury'!AI$47*'Statistics NZ'!AI$354/('Population Treasury'!AH$47*'Statistics NZ'!AH$354)</f>
        <v>33712.354935117059</v>
      </c>
      <c r="Y25" s="111">
        <f>X$25*'Population Treasury'!AJ$47*'Statistics NZ'!AJ$354/('Population Treasury'!AI$47*'Statistics NZ'!AI$354)</f>
        <v>34609.495722665488</v>
      </c>
      <c r="Z25" s="111">
        <f>Y$25*'Population Treasury'!AK$47*'Statistics NZ'!AK$354/('Population Treasury'!AJ$47*'Statistics NZ'!AJ$354)</f>
        <v>34580.022225321518</v>
      </c>
      <c r="AA25" s="111">
        <f>Z$25*'Population Treasury'!AL$47*'Statistics NZ'!AL$354/('Population Treasury'!AK$47*'Statistics NZ'!AK$354)</f>
        <v>34514.006846021002</v>
      </c>
      <c r="AB25" s="111">
        <f>AA$25*'Population Treasury'!AM$47*'Statistics NZ'!AM$354/('Population Treasury'!AL$47*'Statistics NZ'!AL$354)</f>
        <v>34476.803767571124</v>
      </c>
      <c r="AC25" s="111">
        <f>AB$25*'Population Treasury'!AN$47*'Statistics NZ'!AN$354/('Population Treasury'!AM$47*'Statistics NZ'!AM$354)</f>
        <v>33560.890434462606</v>
      </c>
      <c r="AD25" s="111">
        <f>AC$25*'Population Treasury'!AO$47*'Statistics NZ'!AO$354/('Population Treasury'!AN$47*'Statistics NZ'!AN$354)</f>
        <v>33624.02078579356</v>
      </c>
      <c r="AE25" s="111">
        <f>AD$25*'Population Treasury'!AP$47*'Statistics NZ'!AP$354/('Population Treasury'!AO$47*'Statistics NZ'!AO$354)</f>
        <v>33329.590842847334</v>
      </c>
      <c r="AF25" s="111">
        <f>AE$25*'Population Treasury'!AQ$47*'Statistics NZ'!AQ$354/('Population Treasury'!AP$47*'Statistics NZ'!AP$354)</f>
        <v>33562.414442270274</v>
      </c>
      <c r="AG25" s="111">
        <f>AF$25*'Population Treasury'!AR$47*'Statistics NZ'!AR$354/('Population Treasury'!AQ$47*'Statistics NZ'!AQ$354)</f>
        <v>32873.77093852625</v>
      </c>
      <c r="AH25" s="111">
        <f>AG$25*'Population Treasury'!AS$47*'Statistics NZ'!AS$354/('Population Treasury'!AR$47*'Statistics NZ'!AR$354)</f>
        <v>32533.579327138232</v>
      </c>
      <c r="AI25" s="111">
        <f>AH$25*'Population Treasury'!AT$47*'Statistics NZ'!AT$354/('Population Treasury'!AS$47*'Statistics NZ'!AS$354)</f>
        <v>32661.229445787612</v>
      </c>
      <c r="AJ25" s="111">
        <f>AI$25*'Population Treasury'!AU$47*'Statistics NZ'!AU$354/('Population Treasury'!AT$47*'Statistics NZ'!AT$354)</f>
        <v>32200.351593736992</v>
      </c>
      <c r="AK25" s="111">
        <f>AJ$25*'Population Treasury'!AV$47*'Statistics NZ'!AV$354/('Population Treasury'!AU$47*'Statistics NZ'!AU$354)</f>
        <v>32179.533920931211</v>
      </c>
      <c r="AL25" s="111">
        <f>AK$25*'Population Treasury'!AW$47*'Statistics NZ'!AW$354/('Population Treasury'!AV$47*'Statistics NZ'!AV$354)</f>
        <v>32143.13737574347</v>
      </c>
      <c r="AM25" s="111">
        <f>AL$25*'Population Treasury'!AX$47*'Statistics NZ'!AX$354/('Population Treasury'!AW$47*'Statistics NZ'!AW$354)</f>
        <v>32086.76194306761</v>
      </c>
      <c r="AN25" s="111">
        <f>AM$25*'Population Treasury'!AY$47*'Statistics NZ'!AY$354/('Population Treasury'!AX$47*'Statistics NZ'!AX$354)</f>
        <v>32181.995587414771</v>
      </c>
      <c r="AO25" s="111">
        <f>AN$25*'Population Treasury'!AZ$47*'Statistics NZ'!AZ$354/('Population Treasury'!AY$47*'Statistics NZ'!AY$354)</f>
        <v>32248.825060273397</v>
      </c>
      <c r="AP25" s="111">
        <f>AO$25*'Population Treasury'!BA$47*'Statistics NZ'!BA$354/('Population Treasury'!AZ$47*'Statistics NZ'!AZ$354)</f>
        <v>32299.662596900784</v>
      </c>
      <c r="AQ25" s="111">
        <f>AP$25*'Population Treasury'!BB$47*'Statistics NZ'!BB$354/('Population Treasury'!BA$47*'Statistics NZ'!BA$354)</f>
        <v>32336.996673979946</v>
      </c>
      <c r="AR25" s="111">
        <f>AQ$25*'Population Treasury'!BC$47*'Statistics NZ'!BC$354/('Population Treasury'!BB$47*'Statistics NZ'!BB$354)</f>
        <v>32357.433252383991</v>
      </c>
      <c r="AS25" s="111">
        <f>AR$25*'Population Treasury'!BD$47*'Statistics NZ'!BD$354/('Population Treasury'!BC$47*'Statistics NZ'!BC$354)</f>
        <v>32376.381840982576</v>
      </c>
      <c r="AT25" s="111">
        <f>AS$25*'Population Treasury'!BE$47*'Statistics NZ'!BE$354/('Population Treasury'!BD$47*'Statistics NZ'!BD$354)</f>
        <v>32408.916726318232</v>
      </c>
      <c r="AU25" s="111">
        <f>AT$25*'Population Treasury'!BF$47*'Statistics NZ'!BF$354/('Population Treasury'!BE$47*'Statistics NZ'!BE$354)</f>
        <v>32431.617441744322</v>
      </c>
      <c r="AV25" s="111">
        <f>AU$25*'Population Treasury'!BG$47*'Statistics NZ'!BG$354/('Population Treasury'!BF$47*'Statistics NZ'!BF$354)</f>
        <v>32467.556224624073</v>
      </c>
      <c r="AW25" s="111">
        <f>AV$25*'Population Treasury'!BH$47*'Statistics NZ'!BH$354/('Population Treasury'!BG$47*'Statistics NZ'!BG$354)</f>
        <v>32523.780916616757</v>
      </c>
      <c r="AX25" s="111">
        <f>AW$25*'Population Treasury'!BI$47*'Statistics NZ'!BI$354/('Population Treasury'!BH$47*'Statistics NZ'!BH$354)</f>
        <v>32596.807096341276</v>
      </c>
      <c r="AY25" s="111">
        <f>AX$25*'Population Treasury'!BJ$47*'Statistics NZ'!BJ$354/('Population Treasury'!BI$47*'Statistics NZ'!BI$354)</f>
        <v>32702.774106697329</v>
      </c>
      <c r="AZ25" s="111">
        <f>AY$25*'Population Treasury'!BK$47*'Statistics NZ'!BK$354/('Population Treasury'!BJ$47*'Statistics NZ'!BJ$354)</f>
        <v>32816.209991244716</v>
      </c>
      <c r="BA25" s="111">
        <f>AZ$25*'Population Treasury'!BL$47*'Statistics NZ'!BL$354/('Population Treasury'!BK$47*'Statistics NZ'!BK$354)</f>
        <v>32933.927307196143</v>
      </c>
      <c r="BB25" s="195">
        <f>BA$25*'Population Treasury'!BM$47*'Statistics NZ'!BM$354/('Population Treasury'!BL$47*'Statistics NZ'!BL$354)</f>
        <v>33078.118754898976</v>
      </c>
      <c r="BC25" s="195">
        <f>BB$25*'Population Treasury'!BN$47*'Statistics NZ'!BN$354/('Population Treasury'!BM$47*'Statistics NZ'!BM$354)</f>
        <v>33207.454559052647</v>
      </c>
      <c r="BD25" s="195">
        <f>BC$25*'Population Treasury'!BO$47*'Statistics NZ'!BO$354/('Population Treasury'!BN$47*'Statistics NZ'!BN$354)</f>
        <v>33321.940777673059</v>
      </c>
      <c r="BE25" s="195">
        <f>BD$25*'Population Treasury'!BP$47*'Statistics NZ'!BP$354/('Population Treasury'!BO$47*'Statistics NZ'!BO$354)</f>
        <v>33431.178517030443</v>
      </c>
      <c r="BF25" s="195">
        <f>BE$25*'Population Treasury'!BQ$47*'Statistics NZ'!BQ$354/('Population Treasury'!BP$47*'Statistics NZ'!BP$354)</f>
        <v>33513.868989451861</v>
      </c>
    </row>
    <row r="26" spans="1:58">
      <c r="A26" s="124">
        <v>31</v>
      </c>
      <c r="B26" s="118">
        <f>'Population Treasury'!M$48*'Statistics NZ'!M$355*'Economic Forecasts'!O$8/B$7</f>
        <v>24838.983726529917</v>
      </c>
      <c r="C26" s="118">
        <f>'Population Treasury'!N$48*'Statistics NZ'!N$355*'Economic Forecasts'!P$8/C$7</f>
        <v>26450.107656480428</v>
      </c>
      <c r="D26" s="118">
        <f>'Population Treasury'!O$48*'Statistics NZ'!O$355*'Economic Forecasts'!Q$8/D$7</f>
        <v>28415.299495267707</v>
      </c>
      <c r="E26" s="203">
        <f>'Population Treasury'!P$48*'Statistics NZ'!P$355*'Economic Forecasts'!R$8/E$7</f>
        <v>29217.579961423562</v>
      </c>
      <c r="F26" s="121">
        <f>'Population Treasury'!Q$48*'Statistics NZ'!Q$355*'Economic Forecasts'!S$8/F$7</f>
        <v>30595.310896257284</v>
      </c>
      <c r="G26" s="121">
        <f>'Population Treasury'!R$48*'Statistics NZ'!R$355*'Economic Forecasts'!T$8/G$7</f>
        <v>31330.892802876489</v>
      </c>
      <c r="H26" s="121">
        <f>'Population Treasury'!S$48*'Statistics NZ'!S$355*'Economic Forecasts'!U$8/H$7</f>
        <v>31266.599045652005</v>
      </c>
      <c r="I26" s="121">
        <f>'Population Treasury'!T$48*'Statistics NZ'!T$355*'Economic Forecasts'!V$8/I$7</f>
        <v>31052.805753552955</v>
      </c>
      <c r="J26" s="205">
        <f>'Population Treasury'!U$48*'Statistics NZ'!U$355*'Economic Forecasts'!W$8/J$7</f>
        <v>30429.085111892164</v>
      </c>
      <c r="K26" s="111">
        <f>J$26*'Population Treasury'!V$48*'Statistics NZ'!V$355/('Population Treasury'!U$48*'Statistics NZ'!U$355)</f>
        <v>30584.526685608209</v>
      </c>
      <c r="L26" s="111">
        <f>K$26*'Population Treasury'!W$48*'Statistics NZ'!W$355/('Population Treasury'!V$48*'Statistics NZ'!V$355)</f>
        <v>30582.376268107659</v>
      </c>
      <c r="M26" s="111">
        <f>L$26*'Population Treasury'!X$48*'Statistics NZ'!X$355/('Population Treasury'!W$48*'Statistics NZ'!W$355)</f>
        <v>30544.077634431866</v>
      </c>
      <c r="N26" s="111">
        <f>M$26*'Population Treasury'!Y$48*'Statistics NZ'!Y$355/('Population Treasury'!X$48*'Statistics NZ'!X$355)</f>
        <v>30747.309758992255</v>
      </c>
      <c r="O26" s="111">
        <f>N$26*'Population Treasury'!Z$48*'Statistics NZ'!Z$355/('Population Treasury'!Y$48*'Statistics NZ'!Y$355)</f>
        <v>30458.32272981387</v>
      </c>
      <c r="P26" s="111">
        <f>O$26*'Population Treasury'!AA$48*'Statistics NZ'!AA$355/('Population Treasury'!Z$48*'Statistics NZ'!Z$355)</f>
        <v>31273.819117438543</v>
      </c>
      <c r="Q26" s="111">
        <f>P$26*'Population Treasury'!AB$48*'Statistics NZ'!AB$355/('Population Treasury'!AA$48*'Statistics NZ'!AA$355)</f>
        <v>31089.397976832504</v>
      </c>
      <c r="R26" s="111">
        <f>Q$26*'Population Treasury'!AC$48*'Statistics NZ'!AC$355/('Population Treasury'!AB$48*'Statistics NZ'!AB$355)</f>
        <v>30390.971239956518</v>
      </c>
      <c r="S26" s="111">
        <f>R$26*'Population Treasury'!AD$48*'Statistics NZ'!AD$355/('Population Treasury'!AC$48*'Statistics NZ'!AC$355)</f>
        <v>30168.172920387446</v>
      </c>
      <c r="T26" s="111">
        <f>S$26*'Population Treasury'!AE$48*'Statistics NZ'!AE$355/('Population Treasury'!AD$48*'Statistics NZ'!AD$355)</f>
        <v>30893.47966845701</v>
      </c>
      <c r="U26" s="111">
        <f>T$26*'Population Treasury'!AF$48*'Statistics NZ'!AF$355/('Population Treasury'!AE$48*'Statistics NZ'!AE$355)</f>
        <v>31062.64568857395</v>
      </c>
      <c r="V26" s="111">
        <f>U$26*'Population Treasury'!AG$48*'Statistics NZ'!AG$355/('Population Treasury'!AF$48*'Statistics NZ'!AF$355)</f>
        <v>31788.949767714643</v>
      </c>
      <c r="W26" s="111">
        <f>V$26*'Population Treasury'!AH$48*'Statistics NZ'!AH$355/('Population Treasury'!AG$48*'Statistics NZ'!AG$355)</f>
        <v>33121.128613600995</v>
      </c>
      <c r="X26" s="111">
        <f>W$26*'Population Treasury'!AI$48*'Statistics NZ'!AI$355/('Population Treasury'!AH$48*'Statistics NZ'!AH$355)</f>
        <v>34231.531643959934</v>
      </c>
      <c r="Y26" s="111">
        <f>X$26*'Population Treasury'!AJ$48*'Statistics NZ'!AJ$355/('Population Treasury'!AI$48*'Statistics NZ'!AI$355)</f>
        <v>34146.188243329976</v>
      </c>
      <c r="Z26" s="111">
        <f>Y$26*'Population Treasury'!AK$48*'Statistics NZ'!AK$355/('Population Treasury'!AJ$48*'Statistics NZ'!AJ$355)</f>
        <v>35023.139767051332</v>
      </c>
      <c r="AA26" s="111">
        <f>Z$26*'Population Treasury'!AL$48*'Statistics NZ'!AL$355/('Population Treasury'!AK$48*'Statistics NZ'!AK$355)</f>
        <v>34992.882765192466</v>
      </c>
      <c r="AB26" s="111">
        <f>AA$26*'Population Treasury'!AM$48*'Statistics NZ'!AM$355/('Population Treasury'!AL$48*'Statistics NZ'!AL$355)</f>
        <v>34944.342965118041</v>
      </c>
      <c r="AC26" s="111">
        <f>AB$26*'Population Treasury'!AN$48*'Statistics NZ'!AN$355/('Population Treasury'!AM$48*'Statistics NZ'!AM$355)</f>
        <v>34875.904111037198</v>
      </c>
      <c r="AD26" s="111">
        <f>AC$26*'Population Treasury'!AO$48*'Statistics NZ'!AO$355/('Population Treasury'!AN$48*'Statistics NZ'!AN$355)</f>
        <v>33960.097370754156</v>
      </c>
      <c r="AE26" s="111">
        <f>AD$26*'Population Treasury'!AP$48*'Statistics NZ'!AP$355/('Population Treasury'!AO$48*'Statistics NZ'!AO$355)</f>
        <v>34031.406400470558</v>
      </c>
      <c r="AF26" s="111">
        <f>AE$26*'Population Treasury'!AQ$48*'Statistics NZ'!AQ$355/('Population Treasury'!AP$48*'Statistics NZ'!AP$355)</f>
        <v>33739.374325095807</v>
      </c>
      <c r="AG26" s="111">
        <f>AF$26*'Population Treasury'!AR$48*'Statistics NZ'!AR$355/('Population Treasury'!AQ$48*'Statistics NZ'!AQ$355)</f>
        <v>33963.137941165296</v>
      </c>
      <c r="AH26" s="111">
        <f>AG$26*'Population Treasury'!AS$48*'Statistics NZ'!AS$355/('Population Treasury'!AR$48*'Statistics NZ'!AR$355)</f>
        <v>33278.125885326037</v>
      </c>
      <c r="AI26" s="111">
        <f>AH$26*'Population Treasury'!AT$48*'Statistics NZ'!AT$355/('Population Treasury'!AS$48*'Statistics NZ'!AS$355)</f>
        <v>32929.01380123011</v>
      </c>
      <c r="AJ26" s="111">
        <f>AI$26*'Population Treasury'!AU$48*'Statistics NZ'!AU$355/('Population Treasury'!AT$48*'Statistics NZ'!AT$355)</f>
        <v>33068.829913277281</v>
      </c>
      <c r="AK26" s="111">
        <f>AJ$26*'Population Treasury'!AV$48*'Statistics NZ'!AV$355/('Population Treasury'!AU$48*'Statistics NZ'!AU$355)</f>
        <v>32599.191723155262</v>
      </c>
      <c r="AL26" s="111">
        <f>AK$26*'Population Treasury'!AW$48*'Statistics NZ'!AW$355/('Population Treasury'!AV$48*'Statistics NZ'!AV$355)</f>
        <v>32587.638202658363</v>
      </c>
      <c r="AM26" s="111">
        <f>AL$26*'Population Treasury'!AX$48*'Statistics NZ'!AX$355/('Population Treasury'!AW$48*'Statistics NZ'!AW$355)</f>
        <v>32532.463337038218</v>
      </c>
      <c r="AN26" s="111">
        <f>AM$26*'Population Treasury'!AY$48*'Statistics NZ'!AY$355/('Population Treasury'!AX$48*'Statistics NZ'!AX$355)</f>
        <v>32487.355113977126</v>
      </c>
      <c r="AO26" s="111">
        <f>AN$26*'Population Treasury'!AZ$48*'Statistics NZ'!AZ$355/('Population Treasury'!AY$48*'Statistics NZ'!AY$355)</f>
        <v>32579.925301439536</v>
      </c>
      <c r="AP26" s="111">
        <f>AO$26*'Population Treasury'!BA$48*'Statistics NZ'!BA$355/('Population Treasury'!AZ$48*'Statistics NZ'!AZ$355)</f>
        <v>32657.242732601939</v>
      </c>
      <c r="AQ26" s="111">
        <f>AP$26*'Population Treasury'!BB$48*'Statistics NZ'!BB$355/('Population Treasury'!BA$48*'Statistics NZ'!BA$355)</f>
        <v>32707.619178922294</v>
      </c>
      <c r="AR26" s="111">
        <f>AQ$26*'Population Treasury'!BC$48*'Statistics NZ'!BC$355/('Population Treasury'!BB$48*'Statistics NZ'!BB$355)</f>
        <v>32733.479639684585</v>
      </c>
      <c r="AS26" s="111">
        <f>AR$26*'Population Treasury'!BD$48*'Statistics NZ'!BD$355/('Population Treasury'!BC$48*'Statistics NZ'!BC$355)</f>
        <v>32764.288525205491</v>
      </c>
      <c r="AT26" s="111">
        <f>AS$26*'Population Treasury'!BE$48*'Statistics NZ'!BE$355/('Population Treasury'!BD$48*'Statistics NZ'!BD$355)</f>
        <v>32780.538695624709</v>
      </c>
      <c r="AU26" s="111">
        <f>AT$26*'Population Treasury'!BF$48*'Statistics NZ'!BF$355/('Population Treasury'!BE$48*'Statistics NZ'!BE$355)</f>
        <v>32803.160929313832</v>
      </c>
      <c r="AV26" s="111">
        <f>AU$26*'Population Treasury'!BG$48*'Statistics NZ'!BG$355/('Population Treasury'!BF$48*'Statistics NZ'!BF$355)</f>
        <v>32827.83231131811</v>
      </c>
      <c r="AW26" s="111">
        <f>AV$26*'Population Treasury'!BH$48*'Statistics NZ'!BH$355/('Population Treasury'!BG$48*'Statistics NZ'!BG$355)</f>
        <v>32871.503573958864</v>
      </c>
      <c r="AX26" s="111">
        <f>AW$26*'Population Treasury'!BI$48*'Statistics NZ'!BI$355/('Population Treasury'!BH$48*'Statistics NZ'!BH$355)</f>
        <v>32926.981540705216</v>
      </c>
      <c r="AY26" s="111">
        <f>AX$26*'Population Treasury'!BJ$48*'Statistics NZ'!BJ$355/('Population Treasury'!BI$48*'Statistics NZ'!BI$355)</f>
        <v>32999.389591656065</v>
      </c>
      <c r="AZ26" s="111">
        <f>AY$26*'Population Treasury'!BK$48*'Statistics NZ'!BK$355/('Population Treasury'!BJ$48*'Statistics NZ'!BJ$355)</f>
        <v>33096.316945400118</v>
      </c>
      <c r="BA26" s="111">
        <f>AZ$26*'Population Treasury'!BL$48*'Statistics NZ'!BL$355/('Population Treasury'!BK$48*'Statistics NZ'!BK$355)</f>
        <v>33217.741680584673</v>
      </c>
      <c r="BB26" s="195">
        <f>BA$26*'Population Treasury'!BM$48*'Statistics NZ'!BM$355/('Population Treasury'!BL$48*'Statistics NZ'!BL$355)</f>
        <v>33335.032124495461</v>
      </c>
      <c r="BC26" s="195">
        <f>BB$26*'Population Treasury'!BN$48*'Statistics NZ'!BN$355/('Population Treasury'!BM$48*'Statistics NZ'!BM$355)</f>
        <v>33478.947783352894</v>
      </c>
      <c r="BD26" s="195">
        <f>BC$26*'Population Treasury'!BO$48*'Statistics NZ'!BO$355/('Population Treasury'!BN$48*'Statistics NZ'!BN$355)</f>
        <v>33608.063533241817</v>
      </c>
      <c r="BE26" s="195">
        <f>BD$26*'Population Treasury'!BP$48*'Statistics NZ'!BP$355/('Population Treasury'!BO$48*'Statistics NZ'!BO$355)</f>
        <v>33722.42643511908</v>
      </c>
      <c r="BF26" s="195">
        <f>BE$26*'Population Treasury'!BQ$48*'Statistics NZ'!BQ$355/('Population Treasury'!BP$48*'Statistics NZ'!BP$355)</f>
        <v>33831.649790539654</v>
      </c>
    </row>
    <row r="27" spans="1:58">
      <c r="A27" s="124">
        <v>32</v>
      </c>
      <c r="B27" s="118">
        <f>'Population Treasury'!M$49*'Statistics NZ'!M$356*'Economic Forecasts'!O$8/B$7</f>
        <v>24805.894222852905</v>
      </c>
      <c r="C27" s="118">
        <f>'Population Treasury'!N$49*'Statistics NZ'!N$356*'Economic Forecasts'!P$8/C$7</f>
        <v>26058.746766852793</v>
      </c>
      <c r="D27" s="118">
        <f>'Population Treasury'!O$49*'Statistics NZ'!O$356*'Economic Forecasts'!Q$8/D$7</f>
        <v>26879.696672678529</v>
      </c>
      <c r="E27" s="203">
        <f>'Population Treasury'!P$49*'Statistics NZ'!P$356*'Economic Forecasts'!R$8/E$7</f>
        <v>29146.318085093626</v>
      </c>
      <c r="F27" s="121">
        <f>'Population Treasury'!Q$49*'Statistics NZ'!Q$356*'Economic Forecasts'!S$8/F$7</f>
        <v>29524.332784753416</v>
      </c>
      <c r="G27" s="121">
        <f>'Population Treasury'!R$49*'Statistics NZ'!R$356*'Economic Forecasts'!T$8/G$7</f>
        <v>31156.222785358685</v>
      </c>
      <c r="H27" s="121">
        <f>'Population Treasury'!S$49*'Statistics NZ'!S$356*'Economic Forecasts'!U$8/H$7</f>
        <v>31886.355909959664</v>
      </c>
      <c r="I27" s="121">
        <f>'Population Treasury'!T$49*'Statistics NZ'!T$356*'Economic Forecasts'!V$8/I$7</f>
        <v>31950.3790611431</v>
      </c>
      <c r="J27" s="205">
        <f>'Population Treasury'!U$49*'Statistics NZ'!U$356*'Economic Forecasts'!W$8/J$7</f>
        <v>31748.950407702869</v>
      </c>
      <c r="K27" s="111">
        <f>J$27*'Population Treasury'!V$49*'Statistics NZ'!V$356/('Population Treasury'!U$49*'Statistics NZ'!U$356)</f>
        <v>31088.626281305897</v>
      </c>
      <c r="L27" s="111">
        <f>K$27*'Population Treasury'!W$49*'Statistics NZ'!W$356/('Population Treasury'!V$49*'Statistics NZ'!V$356)</f>
        <v>31207.250064503616</v>
      </c>
      <c r="M27" s="111">
        <f>L$27*'Population Treasury'!X$49*'Statistics NZ'!X$356/('Population Treasury'!W$49*'Statistics NZ'!W$356)</f>
        <v>31157.956435075386</v>
      </c>
      <c r="N27" s="111">
        <f>M$27*'Population Treasury'!Y$49*'Statistics NZ'!Y$356/('Population Treasury'!X$49*'Statistics NZ'!X$356)</f>
        <v>31091.681588577168</v>
      </c>
      <c r="O27" s="111">
        <f>N$27*'Population Treasury'!Z$49*'Statistics NZ'!Z$356/('Population Treasury'!Y$49*'Statistics NZ'!Y$356)</f>
        <v>31260.322984737395</v>
      </c>
      <c r="P27" s="111">
        <f>O$27*'Population Treasury'!AA$49*'Statistics NZ'!AA$356/('Population Treasury'!Z$49*'Statistics NZ'!Z$356)</f>
        <v>30938.489835131753</v>
      </c>
      <c r="Q27" s="111">
        <f>P$27*'Population Treasury'!AB$49*'Statistics NZ'!AB$356/('Population Treasury'!AA$49*'Statistics NZ'!AA$356)</f>
        <v>31717.048418831502</v>
      </c>
      <c r="R27" s="111">
        <f>Q$27*'Population Treasury'!AC$49*'Statistics NZ'!AC$356/('Population Treasury'!AB$49*'Statistics NZ'!AB$356)</f>
        <v>31483.44910986011</v>
      </c>
      <c r="S27" s="111">
        <f>R$27*'Population Treasury'!AD$49*'Statistics NZ'!AD$356/('Population Treasury'!AC$49*'Statistics NZ'!AC$356)</f>
        <v>30765.408826603969</v>
      </c>
      <c r="T27" s="111">
        <f>S$27*'Population Treasury'!AE$49*'Statistics NZ'!AE$356/('Population Treasury'!AD$49*'Statistics NZ'!AD$356)</f>
        <v>30530.205953360797</v>
      </c>
      <c r="U27" s="111">
        <f>T$27*'Population Treasury'!AF$49*'Statistics NZ'!AF$356/('Population Treasury'!AE$49*'Statistics NZ'!AE$356)</f>
        <v>31256.867984627283</v>
      </c>
      <c r="V27" s="111">
        <f>U$27*'Population Treasury'!AG$49*'Statistics NZ'!AG$356/('Population Treasury'!AF$49*'Statistics NZ'!AF$356)</f>
        <v>31426.383026793275</v>
      </c>
      <c r="W27" s="111">
        <f>V$27*'Population Treasury'!AH$49*'Statistics NZ'!AH$356/('Population Treasury'!AG$49*'Statistics NZ'!AG$356)</f>
        <v>32141.029983787059</v>
      </c>
      <c r="X27" s="111">
        <f>W$27*'Population Treasury'!AI$49*'Statistics NZ'!AI$356/('Population Treasury'!AH$49*'Statistics NZ'!AH$356)</f>
        <v>33473.378347969912</v>
      </c>
      <c r="Y27" s="111">
        <f>X$27*'Population Treasury'!AJ$49*'Statistics NZ'!AJ$356/('Population Treasury'!AI$49*'Statistics NZ'!AI$356)</f>
        <v>34592.276049366192</v>
      </c>
      <c r="Z27" s="111">
        <f>Y$27*'Population Treasury'!AK$49*'Statistics NZ'!AK$356/('Population Treasury'!AJ$49*'Statistics NZ'!AJ$356)</f>
        <v>34486.835876393001</v>
      </c>
      <c r="AA27" s="111">
        <f>Z$27*'Population Treasury'!AL$49*'Statistics NZ'!AL$356/('Population Treasury'!AK$49*'Statistics NZ'!AK$356)</f>
        <v>35372.251080007198</v>
      </c>
      <c r="AB27" s="111">
        <f>AA$27*'Population Treasury'!AM$49*'Statistics NZ'!AM$356/('Population Treasury'!AL$49*'Statistics NZ'!AL$356)</f>
        <v>35342.062467097116</v>
      </c>
      <c r="AC27" s="111">
        <f>AB$27*'Population Treasury'!AN$49*'Statistics NZ'!AN$356/('Population Treasury'!AM$49*'Statistics NZ'!AM$356)</f>
        <v>35275.277494381247</v>
      </c>
      <c r="AD27" s="111">
        <f>AC$27*'Population Treasury'!AO$49*'Statistics NZ'!AO$356/('Population Treasury'!AN$49*'Statistics NZ'!AN$356)</f>
        <v>35225.139735982812</v>
      </c>
      <c r="AE27" s="111">
        <f>AD$27*'Population Treasury'!AP$49*'Statistics NZ'!AP$356/('Population Treasury'!AO$49*'Statistics NZ'!AO$356)</f>
        <v>34309.397590196073</v>
      </c>
      <c r="AF27" s="111">
        <f>AE$27*'Population Treasury'!AQ$49*'Statistics NZ'!AQ$356/('Population Treasury'!AP$49*'Statistics NZ'!AP$356)</f>
        <v>34368.409992957248</v>
      </c>
      <c r="AG27" s="111">
        <f>AF$27*'Population Treasury'!AR$49*'Statistics NZ'!AR$356/('Population Treasury'!AQ$49*'Statistics NZ'!AQ$356)</f>
        <v>34066.655881619408</v>
      </c>
      <c r="AH27" s="111">
        <f>AG$27*'Population Treasury'!AS$49*'Statistics NZ'!AS$356/('Population Treasury'!AR$49*'Statistics NZ'!AR$356)</f>
        <v>34278.565182716964</v>
      </c>
      <c r="AI27" s="111">
        <f>AH$27*'Population Treasury'!AT$49*'Statistics NZ'!AT$356/('Population Treasury'!AS$49*'Statistics NZ'!AS$356)</f>
        <v>33595.042353014578</v>
      </c>
      <c r="AJ27" s="111">
        <f>AI$27*'Population Treasury'!AU$49*'Statistics NZ'!AU$356/('Population Treasury'!AT$49*'Statistics NZ'!AT$356)</f>
        <v>33258.33540130371</v>
      </c>
      <c r="AK27" s="111">
        <f>AJ$27*'Population Treasury'!AV$49*'Statistics NZ'!AV$356/('Population Treasury'!AU$49*'Statistics NZ'!AU$356)</f>
        <v>33396.321231109338</v>
      </c>
      <c r="AL27" s="111">
        <f>AK$27*'Population Treasury'!AW$49*'Statistics NZ'!AW$356/('Population Treasury'!AV$49*'Statistics NZ'!AV$356)</f>
        <v>32927.371151383071</v>
      </c>
      <c r="AM27" s="111">
        <f>AL$27*'Population Treasury'!AX$49*'Statistics NZ'!AX$356/('Population Treasury'!AW$49*'Statistics NZ'!AW$356)</f>
        <v>32907.133577328626</v>
      </c>
      <c r="AN27" s="111">
        <f>AM$27*'Population Treasury'!AY$49*'Statistics NZ'!AY$356/('Population Treasury'!AX$49*'Statistics NZ'!AX$356)</f>
        <v>32852.137646656447</v>
      </c>
      <c r="AO27" s="111">
        <f>AN$27*'Population Treasury'!AZ$49*'Statistics NZ'!AZ$356/('Population Treasury'!AY$49*'Statistics NZ'!AY$356)</f>
        <v>32796.34220078856</v>
      </c>
      <c r="AP27" s="111">
        <f>AO$27*'Population Treasury'!BA$49*'Statistics NZ'!BA$356/('Population Treasury'!AZ$49*'Statistics NZ'!AZ$356)</f>
        <v>32908.540487580241</v>
      </c>
      <c r="AQ27" s="111">
        <f>AP$27*'Population Treasury'!BB$49*'Statistics NZ'!BB$356/('Population Treasury'!BA$49*'Statistics NZ'!BA$356)</f>
        <v>32974.842242702682</v>
      </c>
      <c r="AR27" s="111">
        <f>AQ$27*'Population Treasury'!BC$49*'Statistics NZ'!BC$356/('Population Treasury'!BB$49*'Statistics NZ'!BB$356)</f>
        <v>33027.599502580895</v>
      </c>
      <c r="AS27" s="111">
        <f>AR$27*'Population Treasury'!BD$49*'Statistics NZ'!BD$356/('Population Treasury'!BC$49*'Statistics NZ'!BC$356)</f>
        <v>33052.753888486761</v>
      </c>
      <c r="AT27" s="111">
        <f>AS$27*'Population Treasury'!BE$49*'Statistics NZ'!BE$356/('Population Treasury'!BD$49*'Statistics NZ'!BD$356)</f>
        <v>33083.360821872535</v>
      </c>
      <c r="AU27" s="111">
        <f>AT$27*'Population Treasury'!BF$49*'Statistics NZ'!BF$356/('Population Treasury'!BE$49*'Statistics NZ'!BE$356)</f>
        <v>33099.360613922108</v>
      </c>
      <c r="AV27" s="111">
        <f>AU$27*'Population Treasury'!BG$49*'Statistics NZ'!BG$356/('Population Treasury'!BF$49*'Statistics NZ'!BF$356)</f>
        <v>33121.701138802964</v>
      </c>
      <c r="AW27" s="111">
        <f>AV$27*'Population Treasury'!BH$49*'Statistics NZ'!BH$356/('Population Treasury'!BG$49*'Statistics NZ'!BG$356)</f>
        <v>33155.357101030495</v>
      </c>
      <c r="AX27" s="111">
        <f>AW$27*'Population Treasury'!BI$49*'Statistics NZ'!BI$356/('Population Treasury'!BH$49*'Statistics NZ'!BH$356)</f>
        <v>33198.824582846682</v>
      </c>
      <c r="AY27" s="111">
        <f>AX$27*'Population Treasury'!BJ$49*'Statistics NZ'!BJ$356/('Population Treasury'!BI$49*'Statistics NZ'!BI$356)</f>
        <v>33245.640763109455</v>
      </c>
      <c r="AZ27" s="111">
        <f>AY$27*'Population Treasury'!BK$49*'Statistics NZ'!BK$356/('Population Treasury'!BJ$49*'Statistics NZ'!BJ$356)</f>
        <v>33316.896859271605</v>
      </c>
      <c r="BA27" s="111">
        <f>AZ$27*'Population Treasury'!BL$49*'Statistics NZ'!BL$356/('Population Treasury'!BK$49*'Statistics NZ'!BK$356)</f>
        <v>33401.982067742327</v>
      </c>
      <c r="BB27" s="195">
        <f>BA$27*'Population Treasury'!BM$49*'Statistics NZ'!BM$356/('Population Treasury'!BL$49*'Statistics NZ'!BL$356)</f>
        <v>33523.17849922365</v>
      </c>
      <c r="BC27" s="195">
        <f>BB$27*'Population Treasury'!BN$49*'Statistics NZ'!BN$356/('Population Treasury'!BM$49*'Statistics NZ'!BM$356)</f>
        <v>33651.997717509701</v>
      </c>
      <c r="BD27" s="195">
        <f>BC$27*'Population Treasury'!BO$49*'Statistics NZ'!BO$356/('Population Treasury'!BN$49*'Statistics NZ'!BN$356)</f>
        <v>33795.829335562368</v>
      </c>
      <c r="BE27" s="195">
        <f>BD$27*'Population Treasury'!BP$49*'Statistics NZ'!BP$356/('Population Treasury'!BO$49*'Statistics NZ'!BO$356)</f>
        <v>33924.854932272778</v>
      </c>
      <c r="BF27" s="195">
        <f>BE$27*'Population Treasury'!BQ$49*'Statistics NZ'!BQ$356/('Population Treasury'!BP$49*'Statistics NZ'!BP$356)</f>
        <v>34048.785121838373</v>
      </c>
    </row>
    <row r="28" spans="1:58">
      <c r="A28" s="124">
        <v>33</v>
      </c>
      <c r="B28" s="118">
        <f>'Population Treasury'!M$50*'Statistics NZ'!M$357*'Economic Forecasts'!O$8/B$7</f>
        <v>24343.770153142697</v>
      </c>
      <c r="C28" s="118">
        <f>'Population Treasury'!N$50*'Statistics NZ'!N$357*'Economic Forecasts'!P$8/C$7</f>
        <v>25746.634941048418</v>
      </c>
      <c r="D28" s="118">
        <f>'Population Treasury'!O$50*'Statistics NZ'!O$357*'Economic Forecasts'!Q$8/D$7</f>
        <v>26374.539377635716</v>
      </c>
      <c r="E28" s="203">
        <f>'Population Treasury'!P$50*'Statistics NZ'!P$357*'Economic Forecasts'!R$8/E$7</f>
        <v>27391.928595050995</v>
      </c>
      <c r="F28" s="121">
        <f>'Population Treasury'!Q$50*'Statistics NZ'!Q$357*'Economic Forecasts'!S$8/F$7</f>
        <v>29437.782656298488</v>
      </c>
      <c r="G28" s="121">
        <f>'Population Treasury'!R$50*'Statistics NZ'!R$357*'Economic Forecasts'!T$8/G$7</f>
        <v>30031.816515866129</v>
      </c>
      <c r="H28" s="121">
        <f>'Population Treasury'!S$50*'Statistics NZ'!S$357*'Economic Forecasts'!U$8/H$7</f>
        <v>31660.845670470248</v>
      </c>
      <c r="I28" s="121">
        <f>'Population Treasury'!T$50*'Statistics NZ'!T$357*'Economic Forecasts'!V$8/I$7</f>
        <v>32496.218763272096</v>
      </c>
      <c r="J28" s="205">
        <f>'Population Treasury'!U$50*'Statistics NZ'!U$357*'Economic Forecasts'!W$8/J$7</f>
        <v>32564.890514820312</v>
      </c>
      <c r="K28" s="111">
        <f>J$28*'Population Treasury'!V$50*'Statistics NZ'!V$357/('Population Treasury'!U$50*'Statistics NZ'!U$357)</f>
        <v>32308.405441183808</v>
      </c>
      <c r="L28" s="111">
        <f>K$28*'Population Treasury'!W$50*'Statistics NZ'!W$357/('Population Treasury'!V$50*'Statistics NZ'!V$357)</f>
        <v>31618.416768170198</v>
      </c>
      <c r="M28" s="111">
        <f>L$28*'Population Treasury'!X$50*'Statistics NZ'!X$357/('Population Treasury'!W$50*'Statistics NZ'!W$357)</f>
        <v>31699.120630272359</v>
      </c>
      <c r="N28" s="111">
        <f>M$28*'Population Treasury'!Y$50*'Statistics NZ'!Y$357/('Population Treasury'!X$50*'Statistics NZ'!X$357)</f>
        <v>31621.99862454124</v>
      </c>
      <c r="O28" s="111">
        <f>N$28*'Population Treasury'!Z$50*'Statistics NZ'!Z$357/('Population Treasury'!Y$50*'Statistics NZ'!Y$357)</f>
        <v>31506.284920460617</v>
      </c>
      <c r="P28" s="111">
        <f>O$28*'Population Treasury'!AA$50*'Statistics NZ'!AA$357/('Population Treasury'!Z$50*'Statistics NZ'!Z$357)</f>
        <v>31643.61673303198</v>
      </c>
      <c r="Q28" s="111">
        <f>P$28*'Population Treasury'!AB$50*'Statistics NZ'!AB$357/('Population Treasury'!AA$50*'Statistics NZ'!AA$357)</f>
        <v>31283.770998023763</v>
      </c>
      <c r="R28" s="111">
        <f>Q$28*'Population Treasury'!AC$50*'Statistics NZ'!AC$357/('Population Treasury'!AB$50*'Statistics NZ'!AB$357)</f>
        <v>32021.929235016618</v>
      </c>
      <c r="S28" s="111">
        <f>R$28*'Population Treasury'!AD$50*'Statistics NZ'!AD$357/('Population Treasury'!AC$50*'Statistics NZ'!AC$357)</f>
        <v>31758.701059574418</v>
      </c>
      <c r="T28" s="111">
        <f>S$28*'Population Treasury'!AE$50*'Statistics NZ'!AE$357/('Population Treasury'!AD$50*'Statistics NZ'!AD$357)</f>
        <v>31028.790582076748</v>
      </c>
      <c r="U28" s="111">
        <f>T$28*'Population Treasury'!AF$50*'Statistics NZ'!AF$357/('Population Treasury'!AE$50*'Statistics NZ'!AE$357)</f>
        <v>30803.156716359674</v>
      </c>
      <c r="V28" s="111">
        <f>U$28*'Population Treasury'!AG$50*'Statistics NZ'!AG$357/('Population Treasury'!AF$50*'Statistics NZ'!AF$357)</f>
        <v>31508.543086285317</v>
      </c>
      <c r="W28" s="111">
        <f>V$28*'Population Treasury'!AH$50*'Statistics NZ'!AH$357/('Population Treasury'!AG$50*'Statistics NZ'!AG$357)</f>
        <v>31677.878997032665</v>
      </c>
      <c r="X28" s="111">
        <f>W$28*'Population Treasury'!AI$50*'Statistics NZ'!AI$357/('Population Treasury'!AH$50*'Statistics NZ'!AH$357)</f>
        <v>32380.745808262345</v>
      </c>
      <c r="Y28" s="111">
        <f>X$28*'Population Treasury'!AJ$50*'Statistics NZ'!AJ$357/('Population Treasury'!AI$50*'Statistics NZ'!AI$357)</f>
        <v>33713.168953374006</v>
      </c>
      <c r="Z28" s="111">
        <f>Y$28*'Population Treasury'!AK$50*'Statistics NZ'!AK$357/('Population Treasury'!AJ$50*'Statistics NZ'!AJ$357)</f>
        <v>34820.496371670815</v>
      </c>
      <c r="AA28" s="111">
        <f>Z$28*'Population Treasury'!AL$50*'Statistics NZ'!AL$357/('Population Treasury'!AK$50*'Statistics NZ'!AK$357)</f>
        <v>34714.737339962929</v>
      </c>
      <c r="AB28" s="111">
        <f>AA$28*'Population Treasury'!AM$50*'Statistics NZ'!AM$357/('Population Treasury'!AL$50*'Statistics NZ'!AL$357)</f>
        <v>35579.862822793919</v>
      </c>
      <c r="AC28" s="111">
        <f>AB$28*'Population Treasury'!AN$50*'Statistics NZ'!AN$357/('Population Treasury'!AM$50*'Statistics NZ'!AM$357)</f>
        <v>35548.788375321637</v>
      </c>
      <c r="AD28" s="111">
        <f>AC$28*'Population Treasury'!AO$50*'Statistics NZ'!AO$357/('Population Treasury'!AN$50*'Statistics NZ'!AN$357)</f>
        <v>35477.267724111705</v>
      </c>
      <c r="AE28" s="111">
        <f>AD$28*'Population Treasury'!AP$50*'Statistics NZ'!AP$357/('Population Treasury'!AO$50*'Statistics NZ'!AO$357)</f>
        <v>35426.18739432338</v>
      </c>
      <c r="AF28" s="111">
        <f>AE$28*'Population Treasury'!AQ$50*'Statistics NZ'!AQ$357/('Population Treasury'!AP$50*'Statistics NZ'!AP$357)</f>
        <v>34510.52588839383</v>
      </c>
      <c r="AG28" s="111">
        <f>AF$28*'Population Treasury'!AR$50*'Statistics NZ'!AR$357/('Population Treasury'!AQ$50*'Statistics NZ'!AQ$357)</f>
        <v>34560.794373596756</v>
      </c>
      <c r="AH28" s="111">
        <f>AG$28*'Population Treasury'!AS$50*'Statistics NZ'!AS$357/('Population Treasury'!AR$50*'Statistics NZ'!AR$357)</f>
        <v>34280.716472330438</v>
      </c>
      <c r="AI28" s="111">
        <f>AH$28*'Population Treasury'!AT$50*'Statistics NZ'!AT$357/('Population Treasury'!AS$50*'Statistics NZ'!AS$357)</f>
        <v>34481.209478233548</v>
      </c>
      <c r="AJ28" s="111">
        <f>AI$28*'Population Treasury'!AU$50*'Statistics NZ'!AU$357/('Population Treasury'!AT$50*'Statistics NZ'!AT$357)</f>
        <v>33801.564431863182</v>
      </c>
      <c r="AK28" s="111">
        <f>AJ$28*'Population Treasury'!AV$50*'Statistics NZ'!AV$357/('Population Treasury'!AU$50*'Statistics NZ'!AU$357)</f>
        <v>33456.00704091951</v>
      </c>
      <c r="AL28" s="111">
        <f>AK$28*'Population Treasury'!AW$50*'Statistics NZ'!AW$357/('Population Treasury'!AV$50*'Statistics NZ'!AV$357)</f>
        <v>33594.957553427703</v>
      </c>
      <c r="AM28" s="111">
        <f>AL$28*'Population Treasury'!AX$50*'Statistics NZ'!AX$357/('Population Treasury'!AW$50*'Statistics NZ'!AW$357)</f>
        <v>33119.600167361503</v>
      </c>
      <c r="AN28" s="111">
        <f>AM$28*'Population Treasury'!AY$50*'Statistics NZ'!AY$357/('Population Treasury'!AX$50*'Statistics NZ'!AX$357)</f>
        <v>33098.161223196788</v>
      </c>
      <c r="AO28" s="111">
        <f>AN$28*'Population Treasury'!AZ$50*'Statistics NZ'!AZ$357/('Population Treasury'!AY$50*'Statistics NZ'!AY$357)</f>
        <v>33054.751382050017</v>
      </c>
      <c r="AP28" s="111">
        <f>AO$28*'Population Treasury'!BA$50*'Statistics NZ'!BA$357/('Population Treasury'!AZ$50*'Statistics NZ'!AZ$357)</f>
        <v>32999.367103353907</v>
      </c>
      <c r="AQ28" s="111">
        <f>AP$28*'Population Treasury'!BB$50*'Statistics NZ'!BB$357/('Population Treasury'!BA$50*'Statistics NZ'!BA$357)</f>
        <v>33100.321275624075</v>
      </c>
      <c r="AR28" s="111">
        <f>AQ$28*'Population Treasury'!BC$50*'Statistics NZ'!BC$357/('Population Treasury'!BB$50*'Statistics NZ'!BB$357)</f>
        <v>33168.257295184398</v>
      </c>
      <c r="AS28" s="111">
        <f>AR$28*'Population Treasury'!BD$50*'Statistics NZ'!BD$357/('Population Treasury'!BC$50*'Statistics NZ'!BC$357)</f>
        <v>33209.512970576994</v>
      </c>
      <c r="AT28" s="111">
        <f>AS$28*'Population Treasury'!BE$50*'Statistics NZ'!BE$357/('Population Treasury'!BD$50*'Statistics NZ'!BD$357)</f>
        <v>33254.097781850847</v>
      </c>
      <c r="AU28" s="111">
        <f>AT$28*'Population Treasury'!BF$50*'Statistics NZ'!BF$357/('Population Treasury'!BE$50*'Statistics NZ'!BE$357)</f>
        <v>33272.90283467251</v>
      </c>
      <c r="AV28" s="111">
        <f>AU$28*'Population Treasury'!BG$50*'Statistics NZ'!BG$357/('Population Treasury'!BF$50*'Statistics NZ'!BF$357)</f>
        <v>33288.105203464758</v>
      </c>
      <c r="AW28" s="111">
        <f>AV$28*'Population Treasury'!BH$50*'Statistics NZ'!BH$357/('Population Treasury'!BG$50*'Statistics NZ'!BG$357)</f>
        <v>33320.89380479508</v>
      </c>
      <c r="AX28" s="111">
        <f>AW$28*'Population Treasury'!BI$50*'Statistics NZ'!BI$357/('Population Treasury'!BH$50*'Statistics NZ'!BH$357)</f>
        <v>33333.120356214749</v>
      </c>
      <c r="AY28" s="111">
        <f>AX$28*'Population Treasury'!BJ$50*'Statistics NZ'!BJ$357/('Population Treasury'!BI$50*'Statistics NZ'!BI$357)</f>
        <v>33375.643735432881</v>
      </c>
      <c r="AZ28" s="111">
        <f>AY$28*'Population Treasury'!BK$50*'Statistics NZ'!BK$357/('Population Treasury'!BJ$50*'Statistics NZ'!BJ$357)</f>
        <v>33441.541172562233</v>
      </c>
      <c r="BA28" s="111">
        <f>AZ$28*'Population Treasury'!BL$50*'Statistics NZ'!BL$357/('Population Treasury'!BK$50*'Statistics NZ'!BK$357)</f>
        <v>33513.074183732861</v>
      </c>
      <c r="BB28" s="195">
        <f>BA$28*'Population Treasury'!BM$50*'Statistics NZ'!BM$357/('Population Treasury'!BL$50*'Statistics NZ'!BL$357)</f>
        <v>33597.516005513848</v>
      </c>
      <c r="BC28" s="195">
        <f>BB$28*'Population Treasury'!BN$50*'Statistics NZ'!BN$357/('Population Treasury'!BM$50*'Statistics NZ'!BM$357)</f>
        <v>33718.191292762807</v>
      </c>
      <c r="BD28" s="195">
        <f>BC$28*'Population Treasury'!BO$50*'Statistics NZ'!BO$357/('Population Treasury'!BN$50*'Statistics NZ'!BN$357)</f>
        <v>33846.619845243324</v>
      </c>
      <c r="BE28" s="195">
        <f>BD$28*'Population Treasury'!BP$50*'Statistics NZ'!BP$357/('Population Treasury'!BO$50*'Statistics NZ'!BO$357)</f>
        <v>33980.560337775023</v>
      </c>
      <c r="BF28" s="195">
        <f>BE$28*'Population Treasury'!BQ$50*'Statistics NZ'!BQ$357/('Population Treasury'!BP$50*'Statistics NZ'!BP$357)</f>
        <v>34118.960776250788</v>
      </c>
    </row>
    <row r="29" spans="1:58">
      <c r="A29" s="124">
        <v>34</v>
      </c>
      <c r="B29" s="118">
        <f>'Population Treasury'!M$51*'Statistics NZ'!M$358*'Economic Forecasts'!O$8/B$7</f>
        <v>23991.578323775575</v>
      </c>
      <c r="C29" s="118">
        <f>'Population Treasury'!N$51*'Statistics NZ'!N$358*'Economic Forecasts'!P$8/C$7</f>
        <v>25415.255363424207</v>
      </c>
      <c r="D29" s="118">
        <f>'Population Treasury'!O$51*'Statistics NZ'!O$358*'Economic Forecasts'!Q$8/D$7</f>
        <v>26127.121625561696</v>
      </c>
      <c r="E29" s="203">
        <f>'Population Treasury'!P$51*'Statistics NZ'!P$358*'Economic Forecasts'!R$8/E$7</f>
        <v>26946.855823247017</v>
      </c>
      <c r="F29" s="121">
        <f>'Population Treasury'!Q$51*'Statistics NZ'!Q$358*'Economic Forecasts'!S$8/F$7</f>
        <v>27708.894279109682</v>
      </c>
      <c r="G29" s="121">
        <f>'Population Treasury'!R$51*'Statistics NZ'!R$358*'Economic Forecasts'!T$8/G$7</f>
        <v>29983.121023965261</v>
      </c>
      <c r="H29" s="121">
        <f>'Population Treasury'!S$51*'Statistics NZ'!S$358*'Economic Forecasts'!U$8/H$7</f>
        <v>30565.742847326375</v>
      </c>
      <c r="I29" s="121">
        <f>'Population Treasury'!T$51*'Statistics NZ'!T$358*'Economic Forecasts'!V$8/I$7</f>
        <v>32266.030719358241</v>
      </c>
      <c r="J29" s="205">
        <f>'Population Treasury'!U$51*'Statistics NZ'!U$358*'Economic Forecasts'!W$8/J$7</f>
        <v>33098.76864758876</v>
      </c>
      <c r="K29" s="111">
        <f>J$29*'Population Treasury'!V$51*'Statistics NZ'!V$358/('Population Treasury'!U$51*'Statistics NZ'!U$358)</f>
        <v>33140.43832047133</v>
      </c>
      <c r="L29" s="111">
        <f>K$29*'Population Treasury'!W$51*'Statistics NZ'!W$358/('Population Treasury'!V$51*'Statistics NZ'!V$358)</f>
        <v>32835.037317231297</v>
      </c>
      <c r="M29" s="111">
        <f>L$29*'Population Treasury'!X$51*'Statistics NZ'!X$358/('Population Treasury'!W$51*'Statistics NZ'!W$358)</f>
        <v>32106.999998337975</v>
      </c>
      <c r="N29" s="111">
        <f>M$29*'Population Treasury'!Y$51*'Statistics NZ'!Y$358/('Population Treasury'!X$51*'Statistics NZ'!X$358)</f>
        <v>32138.819227690008</v>
      </c>
      <c r="O29" s="111">
        <f>N$29*'Population Treasury'!Z$51*'Statistics NZ'!Z$358/('Population Treasury'!Y$51*'Statistics NZ'!Y$358)</f>
        <v>32022.925139715153</v>
      </c>
      <c r="P29" s="111">
        <f>O$29*'Population Treasury'!AA$51*'Statistics NZ'!AA$358/('Population Treasury'!Z$51*'Statistics NZ'!Z$358)</f>
        <v>31870.0562306174</v>
      </c>
      <c r="Q29" s="111">
        <f>P$29*'Population Treasury'!AB$51*'Statistics NZ'!AB$358/('Population Treasury'!AA$51*'Statistics NZ'!AA$358)</f>
        <v>31967.234399525569</v>
      </c>
      <c r="R29" s="111">
        <f>Q$29*'Population Treasury'!AC$51*'Statistics NZ'!AC$358/('Population Treasury'!AB$51*'Statistics NZ'!AB$358)</f>
        <v>31575.726544957182</v>
      </c>
      <c r="S29" s="111">
        <f>R$29*'Population Treasury'!AD$51*'Statistics NZ'!AD$358/('Population Treasury'!AC$51*'Statistics NZ'!AC$358)</f>
        <v>32264.196354335927</v>
      </c>
      <c r="T29" s="111">
        <f>S$29*'Population Treasury'!AE$51*'Statistics NZ'!AE$358/('Population Treasury'!AD$51*'Statistics NZ'!AD$358)</f>
        <v>31998.336341797436</v>
      </c>
      <c r="U29" s="111">
        <f>T$29*'Population Treasury'!AF$51*'Statistics NZ'!AF$358/('Population Treasury'!AE$51*'Statistics NZ'!AE$358)</f>
        <v>31258.550526907118</v>
      </c>
      <c r="V29" s="111">
        <f>U$29*'Population Treasury'!AG$51*'Statistics NZ'!AG$358/('Population Treasury'!AF$51*'Statistics NZ'!AF$358)</f>
        <v>31021.267815811476</v>
      </c>
      <c r="W29" s="111">
        <f>V$29*'Population Treasury'!AH$51*'Statistics NZ'!AH$358/('Population Treasury'!AG$51*'Statistics NZ'!AG$358)</f>
        <v>31726.335399999356</v>
      </c>
      <c r="X29" s="111">
        <f>W$29*'Population Treasury'!AI$51*'Statistics NZ'!AI$358/('Population Treasury'!AH$51*'Statistics NZ'!AH$358)</f>
        <v>31883.420585459175</v>
      </c>
      <c r="Y29" s="111">
        <f>X$29*'Population Treasury'!AJ$51*'Statistics NZ'!AJ$358/('Population Treasury'!AI$51*'Statistics NZ'!AI$358)</f>
        <v>32586.337223401235</v>
      </c>
      <c r="Z29" s="111">
        <f>Y$29*'Population Treasury'!AK$51*'Statistics NZ'!AK$358/('Population Treasury'!AJ$51*'Statistics NZ'!AJ$358)</f>
        <v>33906.832822183263</v>
      </c>
      <c r="AA29" s="111">
        <f>Z$29*'Population Treasury'!AL$51*'Statistics NZ'!AL$358/('Population Treasury'!AK$51*'Statistics NZ'!AK$358)</f>
        <v>35002.55668009576</v>
      </c>
      <c r="AB29" s="111">
        <f>AA$29*'Population Treasury'!AM$51*'Statistics NZ'!AM$358/('Population Treasury'!AL$51*'Statistics NZ'!AL$358)</f>
        <v>34884.299905351974</v>
      </c>
      <c r="AC29" s="111">
        <f>AB$29*'Population Treasury'!AN$51*'Statistics NZ'!AN$358/('Population Treasury'!AM$51*'Statistics NZ'!AM$358)</f>
        <v>35769.82549287266</v>
      </c>
      <c r="AD29" s="111">
        <f>AC$29*'Population Treasury'!AO$51*'Statistics NZ'!AO$358/('Population Treasury'!AN$51*'Statistics NZ'!AN$358)</f>
        <v>35725.580117405851</v>
      </c>
      <c r="AE29" s="111">
        <f>AD$29*'Population Treasury'!AP$51*'Statistics NZ'!AP$358/('Population Treasury'!AO$51*'Statistics NZ'!AO$358)</f>
        <v>35644.480940739697</v>
      </c>
      <c r="AF29" s="111">
        <f>AE$29*'Population Treasury'!AQ$51*'Statistics NZ'!AQ$358/('Population Treasury'!AP$51*'Statistics NZ'!AP$358)</f>
        <v>35592.324317960753</v>
      </c>
      <c r="AG29" s="111">
        <f>AF$29*'Population Treasury'!AR$51*'Statistics NZ'!AR$358/('Population Treasury'!AQ$51*'Statistics NZ'!AQ$358)</f>
        <v>34676.711225651641</v>
      </c>
      <c r="AH29" s="111">
        <f>AG$29*'Population Treasury'!AS$51*'Statistics NZ'!AS$358/('Population Treasury'!AR$51*'Statistics NZ'!AR$358)</f>
        <v>34734.984768976108</v>
      </c>
      <c r="AI29" s="111">
        <f>AH$29*'Population Treasury'!AT$51*'Statistics NZ'!AT$358/('Population Treasury'!AS$51*'Statistics NZ'!AS$358)</f>
        <v>34435.304675688727</v>
      </c>
      <c r="AJ29" s="111">
        <f>AI$29*'Population Treasury'!AU$51*'Statistics NZ'!AU$358/('Population Treasury'!AT$51*'Statistics NZ'!AT$358)</f>
        <v>34636.810282236896</v>
      </c>
      <c r="AK29" s="111">
        <f>AJ$29*'Population Treasury'!AV$51*'Statistics NZ'!AV$358/('Population Treasury'!AU$51*'Statistics NZ'!AU$358)</f>
        <v>33961.881584286617</v>
      </c>
      <c r="AL29" s="111">
        <f>AK$29*'Population Treasury'!AW$51*'Statistics NZ'!AW$358/('Population Treasury'!AV$51*'Statistics NZ'!AV$358)</f>
        <v>33619.447759609626</v>
      </c>
      <c r="AM29" s="111">
        <f>AL$29*'Population Treasury'!AX$51*'Statistics NZ'!AX$358/('Population Treasury'!AW$51*'Statistics NZ'!AW$358)</f>
        <v>33756.405865170374</v>
      </c>
      <c r="AN29" s="111">
        <f>AM$29*'Population Treasury'!AY$51*'Statistics NZ'!AY$358/('Population Treasury'!AX$51*'Statistics NZ'!AX$358)</f>
        <v>33284.800056825909</v>
      </c>
      <c r="AO29" s="111">
        <f>AN$29*'Population Treasury'!AZ$51*'Statistics NZ'!AZ$358/('Population Treasury'!AY$51*'Statistics NZ'!AY$358)</f>
        <v>33255.274102145333</v>
      </c>
      <c r="AP29" s="111">
        <f>AO$29*'Population Treasury'!BA$51*'Statistics NZ'!BA$358/('Population Treasury'!AZ$51*'Statistics NZ'!AZ$358)</f>
        <v>33220.959471419774</v>
      </c>
      <c r="AQ29" s="111">
        <f>AP$29*'Population Treasury'!BB$51*'Statistics NZ'!BB$358/('Population Treasury'!BA$51*'Statistics NZ'!BA$358)</f>
        <v>33166.063204545782</v>
      </c>
      <c r="AR29" s="111">
        <f>AQ$29*'Population Treasury'!BC$51*'Statistics NZ'!BC$358/('Population Treasury'!BB$51*'Statistics NZ'!BB$358)</f>
        <v>33258.244483580391</v>
      </c>
      <c r="AS29" s="111">
        <f>AR$29*'Population Treasury'!BD$51*'Statistics NZ'!BD$358/('Population Treasury'!BC$51*'Statistics NZ'!BC$358)</f>
        <v>33325.746801775669</v>
      </c>
      <c r="AT29" s="111">
        <f>AS$29*'Population Treasury'!BE$51*'Statistics NZ'!BE$358/('Population Treasury'!BD$51*'Statistics NZ'!BD$358)</f>
        <v>33374.829343978796</v>
      </c>
      <c r="AU29" s="111">
        <f>AT$29*'Population Treasury'!BF$51*'Statistics NZ'!BF$358/('Population Treasury'!BE$51*'Statistics NZ'!BE$358)</f>
        <v>33407.605190131755</v>
      </c>
      <c r="AV29" s="111">
        <f>AU$29*'Population Treasury'!BG$51*'Statistics NZ'!BG$358/('Population Treasury'!BF$51*'Statistics NZ'!BF$358)</f>
        <v>33428.381823493692</v>
      </c>
      <c r="AW29" s="111">
        <f>AV$29*'Population Treasury'!BH$51*'Statistics NZ'!BH$358/('Population Treasury'!BG$51*'Statistics NZ'!BG$358)</f>
        <v>33462.393247057327</v>
      </c>
      <c r="AX29" s="111">
        <f>AW$29*'Population Treasury'!BI$51*'Statistics NZ'!BI$358/('Population Treasury'!BH$51*'Statistics NZ'!BH$358)</f>
        <v>33482.973290778566</v>
      </c>
      <c r="AY29" s="111">
        <f>AX$29*'Population Treasury'!BJ$51*'Statistics NZ'!BJ$358/('Population Treasury'!BI$51*'Statistics NZ'!BI$358)</f>
        <v>33505.68303371068</v>
      </c>
      <c r="AZ29" s="111">
        <f>AY$29*'Population Treasury'!BK$51*'Statistics NZ'!BK$358/('Population Treasury'!BJ$51*'Statistics NZ'!BJ$358)</f>
        <v>33547.33086361926</v>
      </c>
      <c r="BA29" s="111">
        <f>AZ$29*'Population Treasury'!BL$51*'Statistics NZ'!BL$358/('Population Treasury'!BK$51*'Statistics NZ'!BK$358)</f>
        <v>33592.417266866491</v>
      </c>
      <c r="BB29" s="195">
        <f>BA$29*'Population Treasury'!BM$51*'Statistics NZ'!BM$358/('Population Treasury'!BL$51*'Statistics NZ'!BL$358)</f>
        <v>33671.53459481454</v>
      </c>
      <c r="BC29" s="195">
        <f>BB$29*'Population Treasury'!BN$51*'Statistics NZ'!BN$358/('Population Treasury'!BM$51*'Statistics NZ'!BM$358)</f>
        <v>33766.96170014736</v>
      </c>
      <c r="BD29" s="195">
        <f>BC$29*'Population Treasury'!BO$51*'Statistics NZ'!BO$358/('Population Treasury'!BN$51*'Statistics NZ'!BN$358)</f>
        <v>33887.064514776161</v>
      </c>
      <c r="BE29" s="195">
        <f>BD$29*'Population Treasury'!BP$51*'Statistics NZ'!BP$358/('Population Treasury'!BO$51*'Statistics NZ'!BO$358)</f>
        <v>33994.845620308515</v>
      </c>
      <c r="BF29" s="195">
        <f>BE$29*'Population Treasury'!BQ$51*'Statistics NZ'!BQ$358/('Population Treasury'!BP$51*'Statistics NZ'!BP$358)</f>
        <v>34136.809613635538</v>
      </c>
    </row>
    <row r="30" spans="1:58">
      <c r="A30" s="124">
        <v>35</v>
      </c>
      <c r="B30" s="118">
        <f>'Population Treasury'!M$52*'Statistics NZ'!M$359*'Economic Forecasts'!O$8/B$7</f>
        <v>23756.74154538384</v>
      </c>
      <c r="C30" s="118">
        <f>'Population Treasury'!N$52*'Statistics NZ'!N$359*'Economic Forecasts'!P$8/C$7</f>
        <v>25068.336120130214</v>
      </c>
      <c r="D30" s="118">
        <f>'Population Treasury'!O$52*'Statistics NZ'!O$359*'Economic Forecasts'!Q$8/D$7</f>
        <v>25844.062179094995</v>
      </c>
      <c r="E30" s="203">
        <f>'Population Treasury'!P$52*'Statistics NZ'!P$359*'Economic Forecasts'!R$8/E$7</f>
        <v>26726.355704548609</v>
      </c>
      <c r="F30" s="121">
        <f>'Population Treasury'!Q$52*'Statistics NZ'!Q$359*'Economic Forecasts'!S$8/F$7</f>
        <v>27332.342933933676</v>
      </c>
      <c r="G30" s="121">
        <f>'Population Treasury'!R$52*'Statistics NZ'!R$359*'Economic Forecasts'!T$8/G$7</f>
        <v>28302.653885140724</v>
      </c>
      <c r="H30" s="121">
        <f>'Population Treasury'!S$52*'Statistics NZ'!S$359*'Economic Forecasts'!U$8/H$7</f>
        <v>30570.658453025011</v>
      </c>
      <c r="I30" s="121">
        <f>'Population Treasury'!T$52*'Statistics NZ'!T$359*'Economic Forecasts'!V$8/I$7</f>
        <v>31127.393640328391</v>
      </c>
      <c r="J30" s="205">
        <f>'Population Treasury'!U$52*'Statistics NZ'!U$359*'Economic Forecasts'!W$8/J$7</f>
        <v>32778.278962498902</v>
      </c>
      <c r="K30" s="111">
        <f>J$30*'Population Treasury'!V$52*'Statistics NZ'!V$359/('Population Treasury'!U$52*'Statistics NZ'!U$359)</f>
        <v>33480.111962034738</v>
      </c>
      <c r="L30" s="111">
        <f>K$30*'Population Treasury'!W$52*'Statistics NZ'!W$359/('Population Treasury'!V$52*'Statistics NZ'!V$359)</f>
        <v>33384.853292309985</v>
      </c>
      <c r="M30" s="111">
        <f>L$30*'Population Treasury'!X$52*'Statistics NZ'!X$359/('Population Treasury'!W$52*'Statistics NZ'!W$359)</f>
        <v>32979.197478436829</v>
      </c>
      <c r="N30" s="111">
        <f>M$30*'Population Treasury'!Y$52*'Statistics NZ'!Y$359/('Population Treasury'!X$52*'Statistics NZ'!X$359)</f>
        <v>32129.221466336952</v>
      </c>
      <c r="O30" s="111">
        <f>N$30*'Population Treasury'!Z$52*'Statistics NZ'!Z$359/('Population Treasury'!Y$52*'Statistics NZ'!Y$359)</f>
        <v>32080.93095903012</v>
      </c>
      <c r="P30" s="111">
        <f>O$30*'Population Treasury'!AA$52*'Statistics NZ'!AA$359/('Population Treasury'!Z$52*'Statistics NZ'!Z$359)</f>
        <v>31876.547464698895</v>
      </c>
      <c r="Q30" s="111">
        <f>P$30*'Population Treasury'!AB$52*'Statistics NZ'!AB$359/('Population Treasury'!AA$52*'Statistics NZ'!AA$359)</f>
        <v>31665.94113737145</v>
      </c>
      <c r="R30" s="111">
        <f>Q$30*'Population Treasury'!AC$52*'Statistics NZ'!AC$359/('Population Treasury'!AB$52*'Statistics NZ'!AB$359)</f>
        <v>31701.788870982389</v>
      </c>
      <c r="S30" s="111">
        <f>R$30*'Population Treasury'!AD$52*'Statistics NZ'!AD$359/('Population Treasury'!AC$52*'Statistics NZ'!AC$359)</f>
        <v>31269.213513812625</v>
      </c>
      <c r="T30" s="111">
        <f>S$30*'Population Treasury'!AE$52*'Statistics NZ'!AE$359/('Population Treasury'!AD$52*'Statistics NZ'!AD$359)</f>
        <v>31954.665307217354</v>
      </c>
      <c r="U30" s="111">
        <f>T$30*'Population Treasury'!AF$52*'Statistics NZ'!AF$359/('Population Treasury'!AE$52*'Statistics NZ'!AE$359)</f>
        <v>31679.162308909497</v>
      </c>
      <c r="V30" s="111">
        <f>U$30*'Population Treasury'!AG$52*'Statistics NZ'!AG$359/('Population Treasury'!AF$52*'Statistics NZ'!AF$359)</f>
        <v>30936.398518422131</v>
      </c>
      <c r="W30" s="111">
        <f>V$30*'Population Treasury'!AH$52*'Statistics NZ'!AH$359/('Population Treasury'!AG$52*'Statistics NZ'!AG$359)</f>
        <v>30689.171534016932</v>
      </c>
      <c r="X30" s="111">
        <f>W$30*'Population Treasury'!AI$52*'Statistics NZ'!AI$359/('Population Treasury'!AH$52*'Statistics NZ'!AH$359)</f>
        <v>31391.356998282878</v>
      </c>
      <c r="Y30" s="111">
        <f>X$30*'Population Treasury'!AJ$52*'Statistics NZ'!AJ$359/('Population Treasury'!AI$52*'Statistics NZ'!AI$359)</f>
        <v>31526.551462734016</v>
      </c>
      <c r="Z30" s="111">
        <f>Y$30*'Population Treasury'!AK$52*'Statistics NZ'!AK$359/('Population Treasury'!AJ$52*'Statistics NZ'!AJ$359)</f>
        <v>32229.008465919567</v>
      </c>
      <c r="AA30" s="111">
        <f>Z$30*'Population Treasury'!AL$52*'Statistics NZ'!AL$359/('Population Treasury'!AK$52*'Statistics NZ'!AK$359)</f>
        <v>33537.08631373445</v>
      </c>
      <c r="AB30" s="111">
        <f>AA$30*'Population Treasury'!AM$52*'Statistics NZ'!AM$359/('Population Treasury'!AL$52*'Statistics NZ'!AL$359)</f>
        <v>34642.08987794639</v>
      </c>
      <c r="AC30" s="111">
        <f>AB$30*'Population Treasury'!AN$52*'Statistics NZ'!AN$359/('Population Treasury'!AM$52*'Statistics NZ'!AM$359)</f>
        <v>34513.782033250754</v>
      </c>
      <c r="AD30" s="111">
        <f>AC$30*'Population Treasury'!AO$52*'Statistics NZ'!AO$359/('Population Treasury'!AN$52*'Statistics NZ'!AN$359)</f>
        <v>35388.275064329187</v>
      </c>
      <c r="AE30" s="111">
        <f>AD$30*'Population Treasury'!AP$52*'Statistics NZ'!AP$359/('Population Treasury'!AO$52*'Statistics NZ'!AO$359)</f>
        <v>35333.555920274746</v>
      </c>
      <c r="AF30" s="111">
        <f>AE$30*'Population Treasury'!AQ$52*'Statistics NZ'!AQ$359/('Population Treasury'!AP$52*'Statistics NZ'!AP$359)</f>
        <v>35269.792951644966</v>
      </c>
      <c r="AG30" s="111">
        <f>AF$30*'Population Treasury'!AR$52*'Statistics NZ'!AR$359/('Population Treasury'!AQ$52*'Statistics NZ'!AQ$359)</f>
        <v>35207.005880180601</v>
      </c>
      <c r="AH30" s="111">
        <f>AG$30*'Population Treasury'!AS$52*'Statistics NZ'!AS$359/('Population Treasury'!AR$52*'Statistics NZ'!AR$359)</f>
        <v>34279.014234304937</v>
      </c>
      <c r="AI30" s="111">
        <f>AH$30*'Population Treasury'!AT$52*'Statistics NZ'!AT$359/('Population Treasury'!AS$52*'Statistics NZ'!AS$359)</f>
        <v>34336.923975401784</v>
      </c>
      <c r="AJ30" s="111">
        <f>AI$30*'Population Treasury'!AU$52*'Statistics NZ'!AU$359/('Population Treasury'!AT$52*'Statistics NZ'!AT$359)</f>
        <v>34037.736482703258</v>
      </c>
      <c r="AK30" s="111">
        <f>AJ$30*'Population Treasury'!AV$52*'Statistics NZ'!AV$359/('Population Treasury'!AU$52*'Statistics NZ'!AU$359)</f>
        <v>34239.77576906178</v>
      </c>
      <c r="AL30" s="111">
        <f>AK$30*'Population Treasury'!AW$52*'Statistics NZ'!AW$359/('Population Treasury'!AV$52*'Statistics NZ'!AV$359)</f>
        <v>33567.229381802666</v>
      </c>
      <c r="AM30" s="111">
        <f>AL$30*'Population Treasury'!AX$52*'Statistics NZ'!AX$359/('Population Treasury'!AW$52*'Statistics NZ'!AW$359)</f>
        <v>33214.992555656245</v>
      </c>
      <c r="AN30" s="111">
        <f>AM$30*'Population Treasury'!AY$52*'Statistics NZ'!AY$359/('Population Treasury'!AX$52*'Statistics NZ'!AX$359)</f>
        <v>33352.517389047658</v>
      </c>
      <c r="AO30" s="111">
        <f>AN$30*'Population Treasury'!AZ$52*'Statistics NZ'!AZ$359/('Population Treasury'!AY$52*'Statistics NZ'!AY$359)</f>
        <v>32882.137885649376</v>
      </c>
      <c r="AP30" s="111">
        <f>AO$30*'Population Treasury'!BA$52*'Statistics NZ'!BA$359/('Population Treasury'!AZ$52*'Statistics NZ'!AZ$359)</f>
        <v>32853.733153597874</v>
      </c>
      <c r="AQ30" s="111">
        <f>AP$30*'Population Treasury'!BB$52*'Statistics NZ'!BB$359/('Population Treasury'!BA$52*'Statistics NZ'!BA$359)</f>
        <v>32819.691034452517</v>
      </c>
      <c r="AR30" s="111">
        <f>AQ$30*'Population Treasury'!BC$52*'Statistics NZ'!BC$359/('Population Treasury'!BB$52*'Statistics NZ'!BB$359)</f>
        <v>32765.016592363692</v>
      </c>
      <c r="AS30" s="111">
        <f>AR$30*'Population Treasury'!BD$52*'Statistics NZ'!BD$359/('Population Treasury'!BC$52*'Statistics NZ'!BC$359)</f>
        <v>32856.987134885843</v>
      </c>
      <c r="AT30" s="111">
        <f>AS$30*'Population Treasury'!BE$52*'Statistics NZ'!BE$359/('Population Treasury'!BD$52*'Statistics NZ'!BD$359)</f>
        <v>32932.590107316115</v>
      </c>
      <c r="AU30" s="111">
        <f>AT$30*'Population Treasury'!BF$52*'Statistics NZ'!BF$359/('Population Treasury'!BE$52*'Statistics NZ'!BE$359)</f>
        <v>32972.990529483788</v>
      </c>
      <c r="AV30" s="111">
        <f>AU$30*'Population Treasury'!BG$52*'Statistics NZ'!BG$359/('Population Treasury'!BF$52*'Statistics NZ'!BF$359)</f>
        <v>33005.373168385835</v>
      </c>
      <c r="AW30" s="111">
        <f>AV$30*'Population Treasury'!BH$52*'Statistics NZ'!BH$359/('Population Treasury'!BG$52*'Statistics NZ'!BG$359)</f>
        <v>33025.663007161755</v>
      </c>
      <c r="AX30" s="111">
        <f>AW$30*'Population Treasury'!BI$52*'Statistics NZ'!BI$359/('Population Treasury'!BH$52*'Statistics NZ'!BH$359)</f>
        <v>33038.913492710257</v>
      </c>
      <c r="AY30" s="111">
        <f>AX$30*'Population Treasury'!BJ$52*'Statistics NZ'!BJ$359/('Population Treasury'!BI$52*'Statistics NZ'!BI$359)</f>
        <v>33070.086105799666</v>
      </c>
      <c r="AZ30" s="111">
        <f>AY$30*'Population Treasury'!BK$52*'Statistics NZ'!BK$359/('Population Treasury'!BJ$52*'Statistics NZ'!BJ$359)</f>
        <v>33101.345210983105</v>
      </c>
      <c r="BA30" s="111">
        <f>AZ$30*'Population Treasury'!BL$52*'Statistics NZ'!BL$359/('Population Treasury'!BK$52*'Statistics NZ'!BK$359)</f>
        <v>33142.441936594543</v>
      </c>
      <c r="BB30" s="195">
        <f>BA$30*'Population Treasury'!BM$52*'Statistics NZ'!BM$359/('Population Treasury'!BL$52*'Statistics NZ'!BL$359)</f>
        <v>33187.086790704889</v>
      </c>
      <c r="BC30" s="195">
        <f>BB$30*'Population Treasury'!BN$52*'Statistics NZ'!BN$359/('Population Treasury'!BM$52*'Statistics NZ'!BM$359)</f>
        <v>33265.661002247398</v>
      </c>
      <c r="BD30" s="195">
        <f>BC$30*'Population Treasury'!BO$52*'Statistics NZ'!BO$359/('Population Treasury'!BN$52*'Statistics NZ'!BN$359)</f>
        <v>33360.619825544643</v>
      </c>
      <c r="BE30" s="195">
        <f>BD$30*'Population Treasury'!BP$52*'Statistics NZ'!BP$359/('Population Treasury'!BO$52*'Statistics NZ'!BO$359)</f>
        <v>33470.930779004681</v>
      </c>
      <c r="BF30" s="195">
        <f>BE$30*'Population Treasury'!BQ$52*'Statistics NZ'!BQ$359/('Population Treasury'!BP$52*'Statistics NZ'!BP$359)</f>
        <v>33608.000792912106</v>
      </c>
    </row>
    <row r="31" spans="1:58">
      <c r="A31" s="124">
        <v>36</v>
      </c>
      <c r="B31" s="118">
        <f>'Population Treasury'!M$53*'Statistics NZ'!M$360*'Economic Forecasts'!O$8/B$7</f>
        <v>23319.028888965495</v>
      </c>
      <c r="C31" s="118">
        <f>'Population Treasury'!N$53*'Statistics NZ'!N$360*'Economic Forecasts'!P$8/C$7</f>
        <v>24780.281672621139</v>
      </c>
      <c r="D31" s="118">
        <f>'Population Treasury'!O$53*'Statistics NZ'!O$360*'Economic Forecasts'!Q$8/D$7</f>
        <v>25559.384008920002</v>
      </c>
      <c r="E31" s="203">
        <f>'Population Treasury'!P$53*'Statistics NZ'!P$360*'Economic Forecasts'!R$8/E$7</f>
        <v>26432.602244510061</v>
      </c>
      <c r="F31" s="121">
        <f>'Population Treasury'!Q$53*'Statistics NZ'!Q$360*'Economic Forecasts'!S$8/F$7</f>
        <v>27187.166995924585</v>
      </c>
      <c r="G31" s="121">
        <f>'Population Treasury'!R$53*'Statistics NZ'!R$360*'Economic Forecasts'!T$8/G$7</f>
        <v>27974.730102271737</v>
      </c>
      <c r="H31" s="121">
        <f>'Population Treasury'!S$53*'Statistics NZ'!S$360*'Economic Forecasts'!U$8/H$7</f>
        <v>28926.584855125391</v>
      </c>
      <c r="I31" s="121">
        <f>'Population Treasury'!T$53*'Statistics NZ'!T$360*'Economic Forecasts'!V$8/I$7</f>
        <v>31196.842647153841</v>
      </c>
      <c r="J31" s="205">
        <f>'Population Treasury'!U$53*'Statistics NZ'!U$360*'Economic Forecasts'!W$8/J$7</f>
        <v>31758.583773409402</v>
      </c>
      <c r="K31" s="111">
        <f>J$31*'Population Treasury'!V$53*'Statistics NZ'!V$360/('Population Treasury'!U$53*'Statistics NZ'!U$360)</f>
        <v>33362.703122928026</v>
      </c>
      <c r="L31" s="111">
        <f>K$31*'Population Treasury'!W$53*'Statistics NZ'!W$360/('Population Treasury'!V$53*'Statistics NZ'!V$360)</f>
        <v>34050.949513571664</v>
      </c>
      <c r="M31" s="111">
        <f>L$31*'Population Treasury'!X$53*'Statistics NZ'!X$360/('Population Treasury'!W$53*'Statistics NZ'!W$360)</f>
        <v>33912.817189970847</v>
      </c>
      <c r="N31" s="111">
        <f>M$31*'Population Treasury'!Y$53*'Statistics NZ'!Y$360/('Population Treasury'!X$53*'Statistics NZ'!X$360)</f>
        <v>33470.723294802694</v>
      </c>
      <c r="O31" s="111">
        <f>N$31*'Population Treasury'!Z$53*'Statistics NZ'!Z$360/('Population Treasury'!Y$53*'Statistics NZ'!Y$360)</f>
        <v>32583.966501016475</v>
      </c>
      <c r="P31" s="111">
        <f>O$31*'Population Treasury'!AA$53*'Statistics NZ'!AA$360/('Population Treasury'!Z$53*'Statistics NZ'!Z$360)</f>
        <v>32518.48651034373</v>
      </c>
      <c r="Q31" s="111">
        <f>P$31*'Population Treasury'!AB$53*'Statistics NZ'!AB$360/('Population Treasury'!AA$53*'Statistics NZ'!AA$360)</f>
        <v>32290.044163362174</v>
      </c>
      <c r="R31" s="111">
        <f>Q$31*'Population Treasury'!AC$53*'Statistics NZ'!AC$360/('Population Treasury'!AB$53*'Statistics NZ'!AB$360)</f>
        <v>32052.762308395588</v>
      </c>
      <c r="S31" s="111">
        <f>R$31*'Population Treasury'!AD$53*'Statistics NZ'!AD$360/('Population Treasury'!AC$53*'Statistics NZ'!AC$360)</f>
        <v>32057.328891505629</v>
      </c>
      <c r="T31" s="111">
        <f>S$31*'Population Treasury'!AE$53*'Statistics NZ'!AE$360/('Population Treasury'!AD$53*'Statistics NZ'!AD$360)</f>
        <v>31615.822412644251</v>
      </c>
      <c r="U31" s="111">
        <f>T$31*'Population Treasury'!AF$53*'Statistics NZ'!AF$360/('Population Treasury'!AE$53*'Statistics NZ'!AE$360)</f>
        <v>32301.00389295796</v>
      </c>
      <c r="V31" s="111">
        <f>U$31*'Population Treasury'!AG$53*'Statistics NZ'!AG$360/('Population Treasury'!AF$53*'Statistics NZ'!AF$360)</f>
        <v>32024.582878722995</v>
      </c>
      <c r="W31" s="111">
        <f>V$31*'Population Treasury'!AH$53*'Statistics NZ'!AH$360/('Population Treasury'!AG$53*'Statistics NZ'!AG$360)</f>
        <v>31262.661345587072</v>
      </c>
      <c r="X31" s="111">
        <f>W$31*'Population Treasury'!AI$53*'Statistics NZ'!AI$360/('Population Treasury'!AH$53*'Statistics NZ'!AH$360)</f>
        <v>31005.048915037678</v>
      </c>
      <c r="Y31" s="111">
        <f>X$31*'Population Treasury'!AJ$53*'Statistics NZ'!AJ$360/('Population Treasury'!AI$53*'Statistics NZ'!AI$360)</f>
        <v>31706.815811963115</v>
      </c>
      <c r="Z31" s="111">
        <f>Y$31*'Population Treasury'!AK$53*'Statistics NZ'!AK$360/('Population Treasury'!AJ$53*'Statistics NZ'!AJ$360)</f>
        <v>31852.067451280636</v>
      </c>
      <c r="AA31" s="111">
        <f>Z$31*'Population Treasury'!AL$53*'Statistics NZ'!AL$360/('Population Treasury'!AK$53*'Statistics NZ'!AK$360)</f>
        <v>32554.700412250422</v>
      </c>
      <c r="AB31" s="111">
        <f>AA$31*'Population Treasury'!AM$53*'Statistics NZ'!AM$360/('Population Treasury'!AL$53*'Statistics NZ'!AL$360)</f>
        <v>33851.185345409627</v>
      </c>
      <c r="AC31" s="111">
        <f>AB$31*'Population Treasury'!AN$53*'Statistics NZ'!AN$360/('Population Treasury'!AM$53*'Statistics NZ'!AM$360)</f>
        <v>34938.301561559776</v>
      </c>
      <c r="AD31" s="111">
        <f>AC$31*'Population Treasury'!AO$53*'Statistics NZ'!AO$360/('Population Treasury'!AN$53*'Statistics NZ'!AN$360)</f>
        <v>34828.270735627761</v>
      </c>
      <c r="AE31" s="111">
        <f>AD$31*'Population Treasury'!AP$53*'Statistics NZ'!AP$360/('Population Treasury'!AO$53*'Statistics NZ'!AO$360)</f>
        <v>35693.295494878294</v>
      </c>
      <c r="AF31" s="111">
        <f>AE$31*'Population Treasury'!AQ$53*'Statistics NZ'!AQ$360/('Population Treasury'!AP$53*'Statistics NZ'!AP$360)</f>
        <v>35636.900955670084</v>
      </c>
      <c r="AG31" s="111">
        <f>AF$31*'Population Treasury'!AR$53*'Statistics NZ'!AR$360/('Population Treasury'!AQ$53*'Statistics NZ'!AQ$360)</f>
        <v>35564.021674868833</v>
      </c>
      <c r="AH31" s="111">
        <f>AG$31*'Population Treasury'!AS$53*'Statistics NZ'!AS$360/('Population Treasury'!AR$53*'Statistics NZ'!AR$360)</f>
        <v>35501.711304487399</v>
      </c>
      <c r="AI31" s="111">
        <f>AH$31*'Population Treasury'!AT$53*'Statistics NZ'!AT$360/('Population Treasury'!AS$53*'Statistics NZ'!AS$360)</f>
        <v>34573.704183404348</v>
      </c>
      <c r="AJ31" s="111">
        <f>AI$31*'Population Treasury'!AU$53*'Statistics NZ'!AU$360/('Population Treasury'!AT$53*'Statistics NZ'!AT$360)</f>
        <v>34633.360752723478</v>
      </c>
      <c r="AK31" s="111">
        <f>AJ$31*'Population Treasury'!AV$53*'Statistics NZ'!AV$360/('Population Treasury'!AU$53*'Statistics NZ'!AU$360)</f>
        <v>34332.226821710552</v>
      </c>
      <c r="AL31" s="111">
        <f>AK$31*'Population Treasury'!AW$53*'Statistics NZ'!AW$360/('Population Treasury'!AV$53*'Statistics NZ'!AV$360)</f>
        <v>34543.678336364894</v>
      </c>
      <c r="AM31" s="111">
        <f>AL$31*'Population Treasury'!AX$53*'Statistics NZ'!AX$360/('Population Treasury'!AW$53*'Statistics NZ'!AW$360)</f>
        <v>33857.477079581528</v>
      </c>
      <c r="AN31" s="111">
        <f>AM$31*'Population Treasury'!AY$53*'Statistics NZ'!AY$360/('Population Treasury'!AX$53*'Statistics NZ'!AX$360)</f>
        <v>33504.184937074846</v>
      </c>
      <c r="AO31" s="111">
        <f>AN$31*'Population Treasury'!AZ$53*'Statistics NZ'!AZ$360/('Population Treasury'!AY$53*'Statistics NZ'!AY$360)</f>
        <v>33635.207984439876</v>
      </c>
      <c r="AP31" s="111">
        <f>AO$31*'Population Treasury'!BA$53*'Statistics NZ'!BA$360/('Population Treasury'!AZ$53*'Statistics NZ'!AZ$360)</f>
        <v>33181.076565545518</v>
      </c>
      <c r="AQ31" s="111">
        <f>AP$31*'Population Treasury'!BB$53*'Statistics NZ'!BB$360/('Population Treasury'!BA$53*'Statistics NZ'!BA$360)</f>
        <v>33152.318735475747</v>
      </c>
      <c r="AR31" s="111">
        <f>AQ$31*'Population Treasury'!BC$53*'Statistics NZ'!BC$360/('Population Treasury'!BB$53*'Statistics NZ'!BB$360)</f>
        <v>33107.139977179606</v>
      </c>
      <c r="AS31" s="111">
        <f>AR$31*'Population Treasury'!BD$53*'Statistics NZ'!BD$360/('Population Treasury'!BC$53*'Statistics NZ'!BC$360)</f>
        <v>33043.559217879687</v>
      </c>
      <c r="AT31" s="111">
        <f>AS$31*'Population Treasury'!BE$53*'Statistics NZ'!BE$360/('Population Treasury'!BD$53*'Statistics NZ'!BD$360)</f>
        <v>33143.986570695095</v>
      </c>
      <c r="AU31" s="111">
        <f>AT$31*'Population Treasury'!BF$53*'Statistics NZ'!BF$360/('Population Treasury'!BE$53*'Statistics NZ'!BE$360)</f>
        <v>33220.166302790822</v>
      </c>
      <c r="AV31" s="111">
        <f>AU$31*'Population Treasury'!BG$53*'Statistics NZ'!BG$360/('Population Treasury'!BF$53*'Statistics NZ'!BF$360)</f>
        <v>33260.73175359489</v>
      </c>
      <c r="AW31" s="111">
        <f>AV$31*'Population Treasury'!BH$53*'Statistics NZ'!BH$360/('Population Treasury'!BG$53*'Statistics NZ'!BG$360)</f>
        <v>33295.45197594029</v>
      </c>
      <c r="AX31" s="111">
        <f>AW$31*'Population Treasury'!BI$53*'Statistics NZ'!BI$360/('Population Treasury'!BH$53*'Statistics NZ'!BH$360)</f>
        <v>33313.263885288521</v>
      </c>
      <c r="AY31" s="111">
        <f>AX$31*'Population Treasury'!BJ$53*'Statistics NZ'!BJ$360/('Population Treasury'!BI$53*'Statistics NZ'!BI$360)</f>
        <v>33338.508167845001</v>
      </c>
      <c r="AZ31" s="111">
        <f>AY$31*'Population Treasury'!BK$53*'Statistics NZ'!BK$360/('Population Treasury'!BJ$53*'Statistics NZ'!BJ$360)</f>
        <v>33358.818133344757</v>
      </c>
      <c r="BA31" s="111">
        <f>AZ$31*'Population Treasury'!BL$53*'Statistics NZ'!BL$360/('Population Treasury'!BK$53*'Statistics NZ'!BK$360)</f>
        <v>33381.243819799551</v>
      </c>
      <c r="BB31" s="195">
        <f>BA$31*'Population Treasury'!BM$53*'Statistics NZ'!BM$360/('Population Treasury'!BL$53*'Statistics NZ'!BL$360)</f>
        <v>33422.569987755138</v>
      </c>
      <c r="BC31" s="195">
        <f>BB$31*'Population Treasury'!BN$53*'Statistics NZ'!BN$360/('Population Treasury'!BM$53*'Statistics NZ'!BM$360)</f>
        <v>33475.780184051895</v>
      </c>
      <c r="BD31" s="195">
        <f>BC$31*'Population Treasury'!BO$53*'Statistics NZ'!BO$360/('Population Treasury'!BN$53*'Statistics NZ'!BN$360)</f>
        <v>33546.202138257853</v>
      </c>
      <c r="BE31" s="195">
        <f>BD$31*'Population Treasury'!BP$53*'Statistics NZ'!BP$360/('Population Treasury'!BO$53*'Statistics NZ'!BO$360)</f>
        <v>33649.716797636349</v>
      </c>
      <c r="BF31" s="195">
        <f>BE$31*'Population Treasury'!BQ$53*'Statistics NZ'!BQ$360/('Population Treasury'!BP$53*'Statistics NZ'!BP$360)</f>
        <v>33761.202268239969</v>
      </c>
    </row>
    <row r="32" spans="1:58">
      <c r="A32" s="124">
        <v>37</v>
      </c>
      <c r="B32" s="118">
        <f>'Population Treasury'!M$54*'Statistics NZ'!M$361*'Economic Forecasts'!O$8/B$7</f>
        <v>23446.275316352087</v>
      </c>
      <c r="C32" s="118">
        <f>'Population Treasury'!N$54*'Statistics NZ'!N$361*'Economic Forecasts'!P$8/C$7</f>
        <v>24343.428822841768</v>
      </c>
      <c r="D32" s="118">
        <f>'Population Treasury'!O$54*'Statistics NZ'!O$361*'Economic Forecasts'!Q$8/D$7</f>
        <v>25333.956305888092</v>
      </c>
      <c r="E32" s="203">
        <f>'Population Treasury'!P$54*'Statistics NZ'!P$361*'Economic Forecasts'!R$8/E$7</f>
        <v>26214.470299471581</v>
      </c>
      <c r="F32" s="121">
        <f>'Population Treasury'!Q$54*'Statistics NZ'!Q$361*'Economic Forecasts'!S$8/F$7</f>
        <v>26959.386199576766</v>
      </c>
      <c r="G32" s="121">
        <f>'Population Treasury'!R$54*'Statistics NZ'!R$361*'Economic Forecasts'!T$8/G$7</f>
        <v>27914.011921857102</v>
      </c>
      <c r="H32" s="121">
        <f>'Population Treasury'!S$54*'Statistics NZ'!S$361*'Economic Forecasts'!U$8/H$7</f>
        <v>28667.759528546463</v>
      </c>
      <c r="I32" s="121">
        <f>'Population Treasury'!T$54*'Statistics NZ'!T$361*'Economic Forecasts'!V$8/I$7</f>
        <v>29631.903272046075</v>
      </c>
      <c r="J32" s="205">
        <f>'Population Treasury'!U$54*'Statistics NZ'!U$361*'Economic Forecasts'!W$8/J$7</f>
        <v>31931.679495251807</v>
      </c>
      <c r="K32" s="111">
        <f>J$32*'Population Treasury'!V$54*'Statistics NZ'!V$361/('Population Treasury'!U$54*'Statistics NZ'!U$361)</f>
        <v>32422.019460266165</v>
      </c>
      <c r="L32" s="111">
        <f>K$32*'Population Treasury'!W$54*'Statistics NZ'!W$361/('Population Treasury'!V$54*'Statistics NZ'!V$361)</f>
        <v>34016.95566078135</v>
      </c>
      <c r="M32" s="111">
        <f>L$32*'Population Treasury'!X$54*'Statistics NZ'!X$361/('Population Treasury'!W$54*'Statistics NZ'!W$361)</f>
        <v>34675.055671689974</v>
      </c>
      <c r="N32" s="111">
        <f>M$32*'Population Treasury'!Y$54*'Statistics NZ'!Y$361/('Population Treasury'!X$54*'Statistics NZ'!X$361)</f>
        <v>34513.074913862496</v>
      </c>
      <c r="O32" s="111">
        <f>N$32*'Population Treasury'!Z$54*'Statistics NZ'!Z$361/('Population Treasury'!Y$54*'Statistics NZ'!Y$361)</f>
        <v>34041.075922082382</v>
      </c>
      <c r="P32" s="111">
        <f>O$32*'Population Treasury'!AA$54*'Statistics NZ'!AA$361/('Population Treasury'!Z$54*'Statistics NZ'!Z$361)</f>
        <v>33135.82627952881</v>
      </c>
      <c r="Q32" s="111">
        <f>P$32*'Population Treasury'!AB$54*'Statistics NZ'!AB$361/('Population Treasury'!AA$54*'Statistics NZ'!AA$361)</f>
        <v>33026.639997688326</v>
      </c>
      <c r="R32" s="111">
        <f>Q$32*'Population Treasury'!AC$54*'Statistics NZ'!AC$361/('Population Treasury'!AB$54*'Statistics NZ'!AB$361)</f>
        <v>32767.054856977473</v>
      </c>
      <c r="S32" s="111">
        <f>R$32*'Population Treasury'!AD$54*'Statistics NZ'!AD$361/('Population Treasury'!AC$54*'Statistics NZ'!AC$361)</f>
        <v>32511.928286054757</v>
      </c>
      <c r="T32" s="111">
        <f>S$32*'Population Treasury'!AE$54*'Statistics NZ'!AE$361/('Population Treasury'!AD$54*'Statistics NZ'!AD$361)</f>
        <v>32502.875561562807</v>
      </c>
      <c r="U32" s="111">
        <f>T$32*'Population Treasury'!AF$54*'Statistics NZ'!AF$361/('Population Treasury'!AE$54*'Statistics NZ'!AE$361)</f>
        <v>32054.459475583764</v>
      </c>
      <c r="V32" s="111">
        <f>U$32*'Population Treasury'!AG$54*'Statistics NZ'!AG$361/('Population Treasury'!AF$54*'Statistics NZ'!AF$361)</f>
        <v>32740.374489054713</v>
      </c>
      <c r="W32" s="111">
        <f>V$32*'Population Treasury'!AH$54*'Statistics NZ'!AH$361/('Population Treasury'!AG$54*'Statistics NZ'!AG$361)</f>
        <v>32446.197894292884</v>
      </c>
      <c r="X32" s="111">
        <f>W$32*'Population Treasury'!AI$54*'Statistics NZ'!AI$361/('Population Treasury'!AH$54*'Statistics NZ'!AH$361)</f>
        <v>31685.463270703625</v>
      </c>
      <c r="Y32" s="111">
        <f>X$32*'Population Treasury'!AJ$54*'Statistics NZ'!AJ$361/('Population Treasury'!AI$54*'Statistics NZ'!AI$361)</f>
        <v>31427.211330069258</v>
      </c>
      <c r="Z32" s="111">
        <f>Y$32*'Population Treasury'!AK$54*'Statistics NZ'!AK$361/('Population Treasury'!AJ$54*'Statistics NZ'!AJ$361)</f>
        <v>32131.604516948122</v>
      </c>
      <c r="AA32" s="111">
        <f>Z$32*'Population Treasury'!AL$54*'Statistics NZ'!AL$361/('Population Treasury'!AK$54*'Statistics NZ'!AK$361)</f>
        <v>32257.146306474198</v>
      </c>
      <c r="AB32" s="111">
        <f>AA$32*'Population Treasury'!AM$54*'Statistics NZ'!AM$361/('Population Treasury'!AL$54*'Statistics NZ'!AL$361)</f>
        <v>32969.608447873652</v>
      </c>
      <c r="AC32" s="111">
        <f>AB$32*'Population Treasury'!AN$54*'Statistics NZ'!AN$361/('Population Treasury'!AM$54*'Statistics NZ'!AM$361)</f>
        <v>34268.778577889869</v>
      </c>
      <c r="AD32" s="111">
        <f>AC$32*'Population Treasury'!AO$54*'Statistics NZ'!AO$361/('Population Treasury'!AN$54*'Statistics NZ'!AN$361)</f>
        <v>35373.407739909555</v>
      </c>
      <c r="AE32" s="111">
        <f>AD$32*'Population Treasury'!AP$54*'Statistics NZ'!AP$361/('Population Treasury'!AO$54*'Statistics NZ'!AO$361)</f>
        <v>35234.782561463217</v>
      </c>
      <c r="AF32" s="111">
        <f>AE$32*'Population Treasury'!AQ$54*'Statistics NZ'!AQ$361/('Population Treasury'!AP$54*'Statistics NZ'!AP$361)</f>
        <v>36109.535755807461</v>
      </c>
      <c r="AG32" s="111">
        <f>AF$32*'Population Treasury'!AR$54*'Statistics NZ'!AR$361/('Population Treasury'!AQ$54*'Statistics NZ'!AQ$361)</f>
        <v>36054.04555675586</v>
      </c>
      <c r="AH32" s="111">
        <f>AG$32*'Population Treasury'!AS$54*'Statistics NZ'!AS$361/('Population Treasury'!AR$54*'Statistics NZ'!AR$361)</f>
        <v>35984.758711891853</v>
      </c>
      <c r="AI32" s="111">
        <f>AH$32*'Population Treasury'!AT$54*'Statistics NZ'!AT$361/('Population Treasury'!AS$54*'Statistics NZ'!AS$361)</f>
        <v>35912.143379167224</v>
      </c>
      <c r="AJ32" s="111">
        <f>AI$32*'Population Treasury'!AU$54*'Statistics NZ'!AU$361/('Population Treasury'!AT$54*'Statistics NZ'!AT$361)</f>
        <v>34984.100317846751</v>
      </c>
      <c r="AK32" s="111">
        <f>AJ$32*'Population Treasury'!AV$54*'Statistics NZ'!AV$361/('Population Treasury'!AU$54*'Statistics NZ'!AU$361)</f>
        <v>35042.909938036879</v>
      </c>
      <c r="AL32" s="111">
        <f>AK$32*'Population Treasury'!AW$54*'Statistics NZ'!AW$361/('Population Treasury'!AV$54*'Statistics NZ'!AV$361)</f>
        <v>34750.04358984212</v>
      </c>
      <c r="AM32" s="111">
        <f>AL$32*'Population Treasury'!AX$54*'Statistics NZ'!AX$361/('Population Treasury'!AW$54*'Statistics NZ'!AW$361)</f>
        <v>34941.820407678213</v>
      </c>
      <c r="AN32" s="111">
        <f>AM$32*'Population Treasury'!AY$54*'Statistics NZ'!AY$361/('Population Treasury'!AX$54*'Statistics NZ'!AX$361)</f>
        <v>34257.401214100697</v>
      </c>
      <c r="AO32" s="111">
        <f>AN$32*'Population Treasury'!AZ$54*'Statistics NZ'!AZ$361/('Population Treasury'!AY$54*'Statistics NZ'!AY$361)</f>
        <v>33911.150847805977</v>
      </c>
      <c r="AP32" s="111">
        <f>AO$32*'Population Treasury'!BA$54*'Statistics NZ'!BA$361/('Population Treasury'!AZ$54*'Statistics NZ'!AZ$361)</f>
        <v>34029.309694916643</v>
      </c>
      <c r="AQ32" s="111">
        <f>AP$32*'Population Treasury'!BB$54*'Statistics NZ'!BB$361/('Population Treasury'!BA$54*'Statistics NZ'!BA$361)</f>
        <v>33562.817553146931</v>
      </c>
      <c r="AR32" s="111">
        <f>AQ$32*'Population Treasury'!BC$54*'Statistics NZ'!BC$361/('Population Treasury'!BB$54*'Statistics NZ'!BB$361)</f>
        <v>33541.265200451213</v>
      </c>
      <c r="AS32" s="111">
        <f>AR$32*'Population Treasury'!BD$54*'Statistics NZ'!BD$361/('Population Treasury'!BC$54*'Statistics NZ'!BC$361)</f>
        <v>33506.172812281591</v>
      </c>
      <c r="AT32" s="111">
        <f>AS$32*'Population Treasury'!BE$54*'Statistics NZ'!BE$361/('Population Treasury'!BD$54*'Statistics NZ'!BD$361)</f>
        <v>33450.726694339268</v>
      </c>
      <c r="AU32" s="111">
        <f>AT$32*'Population Treasury'!BF$54*'Statistics NZ'!BF$361/('Population Treasury'!BE$54*'Statistics NZ'!BE$361)</f>
        <v>33534.433643634889</v>
      </c>
      <c r="AV32" s="111">
        <f>AU$32*'Population Treasury'!BG$54*'Statistics NZ'!BG$361/('Population Treasury'!BF$54*'Statistics NZ'!BF$361)</f>
        <v>33600.319543512436</v>
      </c>
      <c r="AW32" s="111">
        <f>AV$32*'Population Treasury'!BH$54*'Statistics NZ'!BH$361/('Population Treasury'!BG$54*'Statistics NZ'!BG$361)</f>
        <v>33661.023983391147</v>
      </c>
      <c r="AX32" s="111">
        <f>AW$32*'Population Treasury'!BI$54*'Statistics NZ'!BI$361/('Population Treasury'!BH$54*'Statistics NZ'!BH$361)</f>
        <v>33685.584817934883</v>
      </c>
      <c r="AY32" s="111">
        <f>AX$32*'Population Treasury'!BJ$54*'Statistics NZ'!BJ$361/('Population Treasury'!BI$54*'Statistics NZ'!BI$361)</f>
        <v>33707.101403516979</v>
      </c>
      <c r="AZ32" s="111">
        <f>AY$32*'Population Treasury'!BK$54*'Statistics NZ'!BK$361/('Population Treasury'!BJ$54*'Statistics NZ'!BJ$361)</f>
        <v>33730.760076472048</v>
      </c>
      <c r="BA32" s="111">
        <f>AZ$32*'Population Treasury'!BL$54*'Statistics NZ'!BL$361/('Population Treasury'!BK$54*'Statistics NZ'!BK$361)</f>
        <v>33763.559838576686</v>
      </c>
      <c r="BB32" s="195">
        <f>BA$32*'Population Treasury'!BM$54*'Statistics NZ'!BM$361/('Population Treasury'!BL$54*'Statistics NZ'!BL$361)</f>
        <v>33775.872241324112</v>
      </c>
      <c r="BC32" s="195">
        <f>BB$32*'Population Treasury'!BN$54*'Statistics NZ'!BN$361/('Population Treasury'!BM$54*'Statistics NZ'!BM$361)</f>
        <v>33818.4338845682</v>
      </c>
      <c r="BD32" s="195">
        <f>BC$32*'Population Treasury'!BO$54*'Statistics NZ'!BO$361/('Population Treasury'!BN$54*'Statistics NZ'!BN$361)</f>
        <v>33884.341931890711</v>
      </c>
      <c r="BE32" s="195">
        <f>BD$32*'Population Treasury'!BP$54*'Statistics NZ'!BP$361/('Population Treasury'!BO$54*'Statistics NZ'!BO$361)</f>
        <v>33944.301922347957</v>
      </c>
      <c r="BF32" s="195">
        <f>BE$32*'Population Treasury'!BQ$54*'Statistics NZ'!BQ$361/('Population Treasury'!BP$54*'Statistics NZ'!BP$361)</f>
        <v>34048.810432363876</v>
      </c>
    </row>
    <row r="33" spans="1:58">
      <c r="A33" s="124">
        <v>38</v>
      </c>
      <c r="B33" s="118">
        <f>'Population Treasury'!M$55*'Statistics NZ'!M$362*'Economic Forecasts'!O$8/B$7</f>
        <v>23657.273465449049</v>
      </c>
      <c r="C33" s="118">
        <f>'Population Treasury'!N$55*'Statistics NZ'!N$362*'Economic Forecasts'!P$8/C$7</f>
        <v>24506.916072360051</v>
      </c>
      <c r="D33" s="118">
        <f>'Population Treasury'!O$55*'Statistics NZ'!O$362*'Economic Forecasts'!Q$8/D$7</f>
        <v>24936.641027817375</v>
      </c>
      <c r="E33" s="203">
        <f>'Population Treasury'!P$55*'Statistics NZ'!P$362*'Economic Forecasts'!R$8/E$7</f>
        <v>26030.684489920844</v>
      </c>
      <c r="F33" s="121">
        <f>'Population Treasury'!Q$55*'Statistics NZ'!Q$362*'Economic Forecasts'!S$8/F$7</f>
        <v>26790.436210924789</v>
      </c>
      <c r="G33" s="121">
        <f>'Population Treasury'!R$55*'Statistics NZ'!R$362*'Economic Forecasts'!T$8/G$7</f>
        <v>27721.147328081548</v>
      </c>
      <c r="H33" s="121">
        <f>'Population Treasury'!S$55*'Statistics NZ'!S$362*'Economic Forecasts'!U$8/H$7</f>
        <v>28642.778461204452</v>
      </c>
      <c r="I33" s="121">
        <f>'Population Treasury'!T$55*'Statistics NZ'!T$362*'Economic Forecasts'!V$8/I$7</f>
        <v>29413.032049732683</v>
      </c>
      <c r="J33" s="205">
        <f>'Population Treasury'!U$55*'Statistics NZ'!U$362*'Economic Forecasts'!W$8/J$7</f>
        <v>30365.309510896037</v>
      </c>
      <c r="K33" s="111">
        <f>J$33*'Population Treasury'!V$55*'Statistics NZ'!V$362/('Population Treasury'!U$55*'Statistics NZ'!U$362)</f>
        <v>32658.579221904711</v>
      </c>
      <c r="L33" s="111">
        <f>K$33*'Population Treasury'!W$55*'Statistics NZ'!W$362/('Population Treasury'!V$55*'Statistics NZ'!V$362)</f>
        <v>33129.236248840301</v>
      </c>
      <c r="M33" s="111">
        <f>L$33*'Population Treasury'!X$55*'Statistics NZ'!X$362/('Population Treasury'!W$55*'Statistics NZ'!W$362)</f>
        <v>34707.810761389926</v>
      </c>
      <c r="N33" s="111">
        <f>M$33*'Population Treasury'!Y$55*'Statistics NZ'!Y$362/('Population Treasury'!X$55*'Statistics NZ'!X$362)</f>
        <v>35342.661728092316</v>
      </c>
      <c r="O33" s="111">
        <f>N$33*'Population Treasury'!Z$55*'Statistics NZ'!Z$362/('Population Treasury'!Y$55*'Statistics NZ'!Y$362)</f>
        <v>35165.300670285971</v>
      </c>
      <c r="P33" s="111">
        <f>O$33*'Population Treasury'!AA$55*'Statistics NZ'!AA$362/('Population Treasury'!Z$55*'Statistics NZ'!Z$362)</f>
        <v>34653.86469850404</v>
      </c>
      <c r="Q33" s="111">
        <f>P$33*'Population Treasury'!AB$55*'Statistics NZ'!AB$362/('Population Treasury'!AA$55*'Statistics NZ'!AA$362)</f>
        <v>33700.462079103352</v>
      </c>
      <c r="R33" s="111">
        <f>Q$33*'Population Treasury'!AC$55*'Statistics NZ'!AC$362/('Population Treasury'!AB$55*'Statistics NZ'!AB$362)</f>
        <v>33568.196298362978</v>
      </c>
      <c r="S33" s="111">
        <f>R$33*'Population Treasury'!AD$55*'Statistics NZ'!AD$362/('Population Treasury'!AC$55*'Statistics NZ'!AC$362)</f>
        <v>33292.901918596152</v>
      </c>
      <c r="T33" s="111">
        <f>S$33*'Population Treasury'!AE$55*'Statistics NZ'!AE$362/('Population Treasury'!AD$55*'Statistics NZ'!AD$362)</f>
        <v>33019.322119622462</v>
      </c>
      <c r="U33" s="111">
        <f>T$33*'Population Treasury'!AF$55*'Statistics NZ'!AF$362/('Population Treasury'!AE$55*'Statistics NZ'!AE$362)</f>
        <v>33018.431048404018</v>
      </c>
      <c r="V33" s="111">
        <f>U$33*'Population Treasury'!AG$55*'Statistics NZ'!AG$362/('Population Treasury'!AF$55*'Statistics NZ'!AF$362)</f>
        <v>32555.176722601012</v>
      </c>
      <c r="W33" s="111">
        <f>V$33*'Population Treasury'!AH$55*'Statistics NZ'!AH$362/('Population Treasury'!AG$55*'Statistics NZ'!AG$362)</f>
        <v>33230.596949893537</v>
      </c>
      <c r="X33" s="111">
        <f>W$33*'Population Treasury'!AI$55*'Statistics NZ'!AI$362/('Population Treasury'!AH$55*'Statistics NZ'!AH$362)</f>
        <v>32949.294608622069</v>
      </c>
      <c r="Y33" s="111">
        <f>X$33*'Population Treasury'!AJ$55*'Statistics NZ'!AJ$362/('Population Treasury'!AI$55*'Statistics NZ'!AI$362)</f>
        <v>32172.268226592339</v>
      </c>
      <c r="Z33" s="111">
        <f>Y$33*'Population Treasury'!AK$55*'Statistics NZ'!AK$362/('Population Treasury'!AJ$55*'Statistics NZ'!AJ$362)</f>
        <v>31902.798267009308</v>
      </c>
      <c r="AA33" s="111">
        <f>Z$33*'Population Treasury'!AL$55*'Statistics NZ'!AL$362/('Population Treasury'!AK$55*'Statistics NZ'!AK$362)</f>
        <v>32609.164792832522</v>
      </c>
      <c r="AB33" s="111">
        <f>AA$33*'Population Treasury'!AM$55*'Statistics NZ'!AM$362/('Population Treasury'!AL$55*'Statistics NZ'!AL$362)</f>
        <v>32746.376911859614</v>
      </c>
      <c r="AC33" s="111">
        <f>AB$33*'Population Treasury'!AN$55*'Statistics NZ'!AN$362/('Population Treasury'!AM$55*'Statistics NZ'!AM$362)</f>
        <v>33437.658272513618</v>
      </c>
      <c r="AD33" s="111">
        <f>AC$33*'Population Treasury'!AO$55*'Statistics NZ'!AO$362/('Population Treasury'!AN$55*'Statistics NZ'!AN$362)</f>
        <v>34749.144841712834</v>
      </c>
      <c r="AE33" s="111">
        <f>AD$33*'Population Treasury'!AP$55*'Statistics NZ'!AP$362/('Population Treasury'!AO$55*'Statistics NZ'!AO$362)</f>
        <v>35865.147694903462</v>
      </c>
      <c r="AF33" s="111">
        <f>AE$33*'Population Treasury'!AQ$55*'Statistics NZ'!AQ$362/('Population Treasury'!AP$55*'Statistics NZ'!AP$362)</f>
        <v>35728.110946575143</v>
      </c>
      <c r="AG33" s="111">
        <f>AF$33*'Population Treasury'!AR$55*'Statistics NZ'!AR$362/('Population Treasury'!AQ$55*'Statistics NZ'!AQ$362)</f>
        <v>36603.029072408317</v>
      </c>
      <c r="AH33" s="111">
        <f>AG$33*'Population Treasury'!AS$55*'Statistics NZ'!AS$362/('Population Treasury'!AR$55*'Statistics NZ'!AR$362)</f>
        <v>36542.183793082433</v>
      </c>
      <c r="AI33" s="111">
        <f>AH$33*'Population Treasury'!AT$55*'Statistics NZ'!AT$362/('Population Treasury'!AS$55*'Statistics NZ'!AS$362)</f>
        <v>36472.288059523758</v>
      </c>
      <c r="AJ33" s="111">
        <f>AI$33*'Population Treasury'!AU$55*'Statistics NZ'!AU$362/('Population Treasury'!AT$55*'Statistics NZ'!AT$362)</f>
        <v>36402.282103570709</v>
      </c>
      <c r="AK33" s="111">
        <f>AJ$33*'Population Treasury'!AV$55*'Statistics NZ'!AV$362/('Population Treasury'!AU$55*'Statistics NZ'!AU$362)</f>
        <v>35461.900823875512</v>
      </c>
      <c r="AL33" s="111">
        <f>AK$33*'Population Treasury'!AW$55*'Statistics NZ'!AW$362/('Population Treasury'!AV$55*'Statistics NZ'!AV$362)</f>
        <v>35521.665917956976</v>
      </c>
      <c r="AM33" s="111">
        <f>AL$33*'Population Treasury'!AX$55*'Statistics NZ'!AX$362/('Population Treasury'!AW$55*'Statistics NZ'!AW$362)</f>
        <v>35214.298300259237</v>
      </c>
      <c r="AN33" s="111">
        <f>AM$33*'Population Treasury'!AY$55*'Statistics NZ'!AY$362/('Population Treasury'!AX$55*'Statistics NZ'!AX$362)</f>
        <v>35412.54459423037</v>
      </c>
      <c r="AO33" s="111">
        <f>AN$33*'Population Treasury'!AZ$55*'Statistics NZ'!AZ$362/('Population Treasury'!AY$55*'Statistics NZ'!AY$362)</f>
        <v>34722.452136601125</v>
      </c>
      <c r="AP33" s="111">
        <f>AO$33*'Population Treasury'!BA$55*'Statistics NZ'!BA$362/('Population Treasury'!AZ$55*'Statistics NZ'!AZ$362)</f>
        <v>34369.998953797134</v>
      </c>
      <c r="AQ33" s="111">
        <f>AP$33*'Population Treasury'!BB$55*'Statistics NZ'!BB$362/('Population Treasury'!BA$55*'Statistics NZ'!BA$362)</f>
        <v>34497.425850092579</v>
      </c>
      <c r="AR33" s="111">
        <f>AQ$33*'Population Treasury'!BC$55*'Statistics NZ'!BC$362/('Population Treasury'!BB$55*'Statistics NZ'!BB$362)</f>
        <v>34024.991645682072</v>
      </c>
      <c r="AS33" s="111">
        <f>AR$33*'Population Treasury'!BD$55*'Statistics NZ'!BD$362/('Population Treasury'!BC$55*'Statistics NZ'!BC$362)</f>
        <v>34001.69660450011</v>
      </c>
      <c r="AT33" s="111">
        <f>AS$33*'Population Treasury'!BE$55*'Statistics NZ'!BE$362/('Population Treasury'!BD$55*'Statistics NZ'!BD$362)</f>
        <v>33965.368544624835</v>
      </c>
      <c r="AU33" s="111">
        <f>AT$33*'Population Treasury'!BF$55*'Statistics NZ'!BF$362/('Population Treasury'!BE$55*'Statistics NZ'!BE$362)</f>
        <v>33900.079513510049</v>
      </c>
      <c r="AV33" s="111">
        <f>AU$33*'Population Treasury'!BG$55*'Statistics NZ'!BG$362/('Population Treasury'!BF$55*'Statistics NZ'!BF$362)</f>
        <v>34001.807189893108</v>
      </c>
      <c r="AW33" s="111">
        <f>AV$33*'Population Treasury'!BH$55*'Statistics NZ'!BH$362/('Population Treasury'!BG$55*'Statistics NZ'!BG$362)</f>
        <v>34068.594855703923</v>
      </c>
      <c r="AX33" s="111">
        <f>AW$33*'Population Treasury'!BI$55*'Statistics NZ'!BI$362/('Population Treasury'!BH$55*'Statistics NZ'!BH$362)</f>
        <v>34112.93620663917</v>
      </c>
      <c r="AY33" s="111">
        <f>AX$33*'Population Treasury'!BJ$55*'Statistics NZ'!BJ$362/('Population Treasury'!BI$55*'Statistics NZ'!BI$362)</f>
        <v>34147.77917721033</v>
      </c>
      <c r="AZ33" s="111">
        <f>AY$33*'Population Treasury'!BK$55*'Statistics NZ'!BK$362/('Population Treasury'!BJ$55*'Statistics NZ'!BJ$362)</f>
        <v>34168.046412038471</v>
      </c>
      <c r="BA33" s="111">
        <f>AZ$33*'Population Treasury'!BL$55*'Statistics NZ'!BL$362/('Population Treasury'!BK$55*'Statistics NZ'!BK$362)</f>
        <v>34186.917136668366</v>
      </c>
      <c r="BB33" s="195">
        <f>BA$33*'Population Treasury'!BM$55*'Statistics NZ'!BM$362/('Population Treasury'!BL$55*'Statistics NZ'!BL$362)</f>
        <v>34210.162480261453</v>
      </c>
      <c r="BC33" s="195">
        <f>BB$33*'Population Treasury'!BN$55*'Statistics NZ'!BN$362/('Population Treasury'!BM$55*'Statistics NZ'!BM$362)</f>
        <v>34253.255603197613</v>
      </c>
      <c r="BD33" s="195">
        <f>BC$33*'Population Treasury'!BO$55*'Statistics NZ'!BO$362/('Population Treasury'!BN$55*'Statistics NZ'!BN$362)</f>
        <v>34277.700519386664</v>
      </c>
      <c r="BE33" s="195">
        <f>BD$33*'Population Treasury'!BP$55*'Statistics NZ'!BP$362/('Population Treasury'!BO$55*'Statistics NZ'!BO$362)</f>
        <v>34345.325650940125</v>
      </c>
      <c r="BF33" s="195">
        <f>BE$33*'Population Treasury'!BQ$55*'Statistics NZ'!BQ$362/('Population Treasury'!BP$55*'Statistics NZ'!BP$362)</f>
        <v>34417.351572509368</v>
      </c>
    </row>
    <row r="34" spans="1:58">
      <c r="A34" s="124">
        <v>39</v>
      </c>
      <c r="B34" s="118">
        <f>'Population Treasury'!M$56*'Statistics NZ'!M$363*'Economic Forecasts'!O$8/B$7</f>
        <v>23262.490514611909</v>
      </c>
      <c r="C34" s="118">
        <f>'Population Treasury'!N$56*'Statistics NZ'!N$363*'Economic Forecasts'!P$8/C$7</f>
        <v>24612.612021217854</v>
      </c>
      <c r="D34" s="118">
        <f>'Population Treasury'!O$56*'Statistics NZ'!O$363*'Economic Forecasts'!Q$8/D$7</f>
        <v>25004.992393344575</v>
      </c>
      <c r="E34" s="203">
        <f>'Population Treasury'!P$56*'Statistics NZ'!P$363*'Economic Forecasts'!R$8/E$7</f>
        <v>25550.209253212317</v>
      </c>
      <c r="F34" s="121">
        <f>'Population Treasury'!Q$56*'Statistics NZ'!Q$363*'Economic Forecasts'!S$8/F$7</f>
        <v>26579.492833691911</v>
      </c>
      <c r="G34" s="121">
        <f>'Population Treasury'!R$56*'Statistics NZ'!R$363*'Economic Forecasts'!T$8/G$7</f>
        <v>27519.524749972807</v>
      </c>
      <c r="H34" s="121">
        <f>'Population Treasury'!S$56*'Statistics NZ'!S$363*'Economic Forecasts'!U$8/H$7</f>
        <v>28431.634950898329</v>
      </c>
      <c r="I34" s="121">
        <f>'Population Treasury'!T$56*'Statistics NZ'!T$363*'Economic Forecasts'!V$8/I$7</f>
        <v>29341.384048440803</v>
      </c>
      <c r="J34" s="205">
        <f>'Population Treasury'!U$56*'Statistics NZ'!U$363*'Economic Forecasts'!W$8/J$7</f>
        <v>30102.790444484253</v>
      </c>
      <c r="K34" s="111">
        <f>J$34*'Population Treasury'!V$56*'Statistics NZ'!V$363/('Population Treasury'!U$56*'Statistics NZ'!U$363)</f>
        <v>31029.006802525084</v>
      </c>
      <c r="L34" s="111">
        <f>K$34*'Population Treasury'!W$56*'Statistics NZ'!W$363/('Population Treasury'!V$56*'Statistics NZ'!V$363)</f>
        <v>33302.49317327013</v>
      </c>
      <c r="M34" s="111">
        <f>L$34*'Population Treasury'!X$56*'Statistics NZ'!X$363/('Population Treasury'!W$56*'Statistics NZ'!W$363)</f>
        <v>33753.106283075795</v>
      </c>
      <c r="N34" s="111">
        <f>M$34*'Population Treasury'!Y$56*'Statistics NZ'!Y$363/('Population Treasury'!X$56*'Statistics NZ'!X$363)</f>
        <v>35332.171929801101</v>
      </c>
      <c r="O34" s="111">
        <f>N$34*'Population Treasury'!Z$56*'Statistics NZ'!Z$363/('Population Treasury'!Y$56*'Statistics NZ'!Y$363)</f>
        <v>35945.226871702012</v>
      </c>
      <c r="P34" s="111">
        <f>O$34*'Population Treasury'!AA$56*'Statistics NZ'!AA$363/('Population Treasury'!Z$56*'Statistics NZ'!Z$363)</f>
        <v>35732.914647243073</v>
      </c>
      <c r="Q34" s="111">
        <f>P$34*'Population Treasury'!AB$56*'Statistics NZ'!AB$363/('Population Treasury'!AA$56*'Statistics NZ'!AA$363)</f>
        <v>35198.518526928019</v>
      </c>
      <c r="R34" s="111">
        <f>Q$34*'Population Treasury'!AC$56*'Statistics NZ'!AC$363/('Population Treasury'!AB$56*'Statistics NZ'!AB$363)</f>
        <v>34217.557410839952</v>
      </c>
      <c r="S34" s="111">
        <f>R$34*'Population Treasury'!AD$56*'Statistics NZ'!AD$363/('Population Treasury'!AC$56*'Statistics NZ'!AC$363)</f>
        <v>34057.691385591686</v>
      </c>
      <c r="T34" s="111">
        <f>S$34*'Population Treasury'!AE$56*'Statistics NZ'!AE$363/('Population Treasury'!AD$56*'Statistics NZ'!AD$363)</f>
        <v>33768.157620468366</v>
      </c>
      <c r="U34" s="111">
        <f>T$34*'Population Treasury'!AF$56*'Statistics NZ'!AF$363/('Population Treasury'!AE$56*'Statistics NZ'!AE$363)</f>
        <v>33486.96954233721</v>
      </c>
      <c r="V34" s="111">
        <f>U$34*'Population Treasury'!AG$56*'Statistics NZ'!AG$363/('Population Treasury'!AF$56*'Statistics NZ'!AF$363)</f>
        <v>33482.754408537679</v>
      </c>
      <c r="W34" s="111">
        <f>V$34*'Population Treasury'!AH$56*'Statistics NZ'!AH$363/('Population Treasury'!AG$56*'Statistics NZ'!AG$363)</f>
        <v>33013.454662762728</v>
      </c>
      <c r="X34" s="111">
        <f>W$34*'Population Treasury'!AI$56*'Statistics NZ'!AI$363/('Population Treasury'!AH$56*'Statistics NZ'!AH$363)</f>
        <v>33681.164449351221</v>
      </c>
      <c r="Y34" s="111">
        <f>X$34*'Population Treasury'!AJ$56*'Statistics NZ'!AJ$363/('Population Treasury'!AI$56*'Statistics NZ'!AI$363)</f>
        <v>33392.015160244002</v>
      </c>
      <c r="Z34" s="111">
        <f>Y$34*'Population Treasury'!AK$56*'Statistics NZ'!AK$363/('Population Treasury'!AJ$56*'Statistics NZ'!AJ$363)</f>
        <v>32604.615267630117</v>
      </c>
      <c r="AA34" s="111">
        <f>Z$34*'Population Treasury'!AL$56*'Statistics NZ'!AL$363/('Population Treasury'!AK$56*'Statistics NZ'!AK$363)</f>
        <v>32335.580476262137</v>
      </c>
      <c r="AB34" s="111">
        <f>AA$34*'Population Treasury'!AM$56*'Statistics NZ'!AM$363/('Population Treasury'!AL$56*'Statistics NZ'!AL$363)</f>
        <v>33043.84247795985</v>
      </c>
      <c r="AC34" s="111">
        <f>AB$34*'Population Treasury'!AN$56*'Statistics NZ'!AN$363/('Population Treasury'!AM$56*'Statistics NZ'!AM$363)</f>
        <v>33173.310575995842</v>
      </c>
      <c r="AD34" s="111">
        <f>AC$34*'Population Treasury'!AO$56*'Statistics NZ'!AO$363/('Population Treasury'!AN$56*'Statistics NZ'!AN$363)</f>
        <v>33876.711237520765</v>
      </c>
      <c r="AE34" s="111">
        <f>AD$34*'Population Treasury'!AP$56*'Statistics NZ'!AP$363/('Population Treasury'!AO$56*'Statistics NZ'!AO$363)</f>
        <v>35198.407589445713</v>
      </c>
      <c r="AF34" s="111">
        <f>AE$34*'Population Treasury'!AQ$56*'Statistics NZ'!AQ$363/('Population Treasury'!AP$56*'Statistics NZ'!AP$363)</f>
        <v>36305.330746500724</v>
      </c>
      <c r="AG34" s="111">
        <f>AF$34*'Population Treasury'!AR$56*'Statistics NZ'!AR$363/('Population Treasury'!AQ$56*'Statistics NZ'!AQ$363)</f>
        <v>36178.388519787768</v>
      </c>
      <c r="AH34" s="111">
        <f>AG$34*'Population Treasury'!AS$56*'Statistics NZ'!AS$363/('Population Treasury'!AR$56*'Statistics NZ'!AR$363)</f>
        <v>37053.429395485793</v>
      </c>
      <c r="AI34" s="111">
        <f>AH$34*'Population Treasury'!AT$56*'Statistics NZ'!AT$363/('Population Treasury'!AS$56*'Statistics NZ'!AS$363)</f>
        <v>36995.581342608908</v>
      </c>
      <c r="AJ34" s="111">
        <f>AI$34*'Population Treasury'!AU$56*'Statistics NZ'!AU$363/('Population Treasury'!AT$56*'Statistics NZ'!AT$363)</f>
        <v>36906.489276995904</v>
      </c>
      <c r="AK34" s="111">
        <f>AJ$34*'Population Treasury'!AV$56*'Statistics NZ'!AV$363/('Population Treasury'!AU$56*'Statistics NZ'!AU$363)</f>
        <v>36838.95358158982</v>
      </c>
      <c r="AL34" s="111">
        <f>AK$34*'Population Treasury'!AW$56*'Statistics NZ'!AW$363/('Population Treasury'!AV$56*'Statistics NZ'!AV$363)</f>
        <v>35898.556613961577</v>
      </c>
      <c r="AM34" s="111">
        <f>AL$34*'Population Treasury'!AX$56*'Statistics NZ'!AX$363/('Population Treasury'!AW$56*'Statistics NZ'!AW$363)</f>
        <v>35946.871810921715</v>
      </c>
      <c r="AN34" s="111">
        <f>AM$34*'Population Treasury'!AY$56*'Statistics NZ'!AY$363/('Population Treasury'!AX$56*'Statistics NZ'!AX$363)</f>
        <v>35649.651672359789</v>
      </c>
      <c r="AO34" s="111">
        <f>AN$34*'Population Treasury'!AZ$56*'Statistics NZ'!AZ$363/('Population Treasury'!AY$56*'Statistics NZ'!AY$363)</f>
        <v>35845.87948211102</v>
      </c>
      <c r="AP34" s="111">
        <f>AO$34*'Population Treasury'!BA$56*'Statistics NZ'!BA$363/('Population Treasury'!AZ$56*'Statistics NZ'!AZ$363)</f>
        <v>35146.499261123688</v>
      </c>
      <c r="AQ34" s="111">
        <f>AP$34*'Population Treasury'!BB$56*'Statistics NZ'!BB$363/('Population Treasury'!BA$56*'Statistics NZ'!BA$363)</f>
        <v>34787.909048424677</v>
      </c>
      <c r="AR34" s="111">
        <f>AQ$34*'Population Treasury'!BC$56*'Statistics NZ'!BC$363/('Population Treasury'!BB$56*'Statistics NZ'!BB$363)</f>
        <v>34922.668082129603</v>
      </c>
      <c r="AS34" s="111">
        <f>AR$34*'Population Treasury'!BD$56*'Statistics NZ'!BD$363/('Population Treasury'!BC$56*'Statistics NZ'!BC$363)</f>
        <v>34454.905603342588</v>
      </c>
      <c r="AT34" s="111">
        <f>AS$34*'Population Treasury'!BE$56*'Statistics NZ'!BE$363/('Population Treasury'!BD$56*'Statistics NZ'!BD$363)</f>
        <v>34421.341307523813</v>
      </c>
      <c r="AU34" s="111">
        <f>AT$34*'Population Treasury'!BF$56*'Statistics NZ'!BF$363/('Population Treasury'!BE$56*'Statistics NZ'!BE$363)</f>
        <v>34383.783692160549</v>
      </c>
      <c r="AV34" s="111">
        <f>AU$34*'Population Treasury'!BG$56*'Statistics NZ'!BG$363/('Population Treasury'!BF$56*'Statistics NZ'!BF$363)</f>
        <v>34326.547792190846</v>
      </c>
      <c r="AW34" s="111">
        <f>AV$34*'Population Treasury'!BH$56*'Statistics NZ'!BH$363/('Population Treasury'!BG$56*'Statistics NZ'!BG$363)</f>
        <v>34419.991509525149</v>
      </c>
      <c r="AX34" s="111">
        <f>AW$34*'Population Treasury'!BI$56*'Statistics NZ'!BI$363/('Population Treasury'!BH$56*'Statistics NZ'!BH$363)</f>
        <v>34487.672283533466</v>
      </c>
      <c r="AY34" s="111">
        <f>AX$34*'Population Treasury'!BJ$56*'Statistics NZ'!BJ$363/('Population Treasury'!BI$56*'Statistics NZ'!BI$363)</f>
        <v>34539.583158315632</v>
      </c>
      <c r="AZ34" s="111">
        <f>AY$34*'Population Treasury'!BK$56*'Statistics NZ'!BK$363/('Population Treasury'!BJ$56*'Statistics NZ'!BJ$363)</f>
        <v>34569.165026728333</v>
      </c>
      <c r="BA34" s="111">
        <f>AZ$34*'Population Treasury'!BL$56*'Statistics NZ'!BL$363/('Population Treasury'!BK$56*'Statistics NZ'!BK$363)</f>
        <v>34590.897478422237</v>
      </c>
      <c r="BB34" s="195">
        <f>BA$34*'Population Treasury'!BM$56*'Statistics NZ'!BM$363/('Population Treasury'!BL$56*'Statistics NZ'!BL$363)</f>
        <v>34617.892974032642</v>
      </c>
      <c r="BC34" s="195">
        <f>BB$34*'Population Treasury'!BN$56*'Statistics NZ'!BN$363/('Population Treasury'!BM$56*'Statistics NZ'!BM$363)</f>
        <v>34645.715146944669</v>
      </c>
      <c r="BD34" s="195">
        <f>BC$34*'Population Treasury'!BO$56*'Statistics NZ'!BO$363/('Population Treasury'!BN$56*'Statistics NZ'!BN$363)</f>
        <v>34669.926395021066</v>
      </c>
      <c r="BE34" s="195">
        <f>BD$34*'Population Treasury'!BP$56*'Statistics NZ'!BP$363/('Population Treasury'!BO$56*'Statistics NZ'!BO$363)</f>
        <v>34716.073090166996</v>
      </c>
      <c r="BF34" s="195">
        <f>BE$34*'Population Treasury'!BQ$56*'Statistics NZ'!BQ$363/('Population Treasury'!BP$56*'Statistics NZ'!BP$363)</f>
        <v>34765.345538964189</v>
      </c>
    </row>
    <row r="35" spans="1:58">
      <c r="A35" s="124">
        <v>40</v>
      </c>
      <c r="B35" s="118">
        <f>'Population Treasury'!M$57*'Statistics NZ'!M$364*'Economic Forecasts'!O$8/B$7</f>
        <v>23809.422690833304</v>
      </c>
      <c r="C35" s="118">
        <f>'Population Treasury'!N$57*'Statistics NZ'!N$364*'Economic Forecasts'!P$8/C$7</f>
        <v>24236.96112567871</v>
      </c>
      <c r="D35" s="118">
        <f>'Population Treasury'!O$57*'Statistics NZ'!O$364*'Economic Forecasts'!Q$8/D$7</f>
        <v>25102.257845983546</v>
      </c>
      <c r="E35" s="203">
        <f>'Population Treasury'!P$57*'Statistics NZ'!P$364*'Economic Forecasts'!R$8/E$7</f>
        <v>25612.408046630077</v>
      </c>
      <c r="F35" s="121">
        <f>'Population Treasury'!Q$57*'Statistics NZ'!Q$364*'Economic Forecasts'!S$8/F$7</f>
        <v>26091.689200272674</v>
      </c>
      <c r="G35" s="121">
        <f>'Population Treasury'!R$57*'Statistics NZ'!R$364*'Economic Forecasts'!T$8/G$7</f>
        <v>27315.847751417219</v>
      </c>
      <c r="H35" s="121">
        <f>'Population Treasury'!S$57*'Statistics NZ'!S$364*'Economic Forecasts'!U$8/H$7</f>
        <v>28224.308934945111</v>
      </c>
      <c r="I35" s="121">
        <f>'Population Treasury'!T$57*'Statistics NZ'!T$364*'Economic Forecasts'!V$8/I$7</f>
        <v>29097.150250614752</v>
      </c>
      <c r="J35" s="205">
        <f>'Population Treasury'!U$57*'Statistics NZ'!U$364*'Economic Forecasts'!W$8/J$7</f>
        <v>29988.416454630933</v>
      </c>
      <c r="K35" s="111">
        <f>J$35*'Population Treasury'!V$57*'Statistics NZ'!V$364/('Population Treasury'!U$57*'Statistics NZ'!U$364)</f>
        <v>30657.406971576649</v>
      </c>
      <c r="L35" s="111">
        <f>K$35*'Population Treasury'!W$57*'Statistics NZ'!W$364/('Population Treasury'!V$57*'Statistics NZ'!V$364)</f>
        <v>31522.198450235584</v>
      </c>
      <c r="M35" s="111">
        <f>L$35*'Population Treasury'!X$57*'Statistics NZ'!X$364/('Population Treasury'!W$57*'Statistics NZ'!W$364)</f>
        <v>33757.463270957087</v>
      </c>
      <c r="N35" s="111">
        <f>M$35*'Population Treasury'!Y$57*'Statistics NZ'!Y$364/('Population Treasury'!X$57*'Statistics NZ'!X$364)</f>
        <v>34155.674893157993</v>
      </c>
      <c r="O35" s="111">
        <f>N$35*'Population Treasury'!Z$57*'Statistics NZ'!Z$364/('Population Treasury'!Y$57*'Statistics NZ'!Y$364)</f>
        <v>35691.982949756231</v>
      </c>
      <c r="P35" s="111">
        <f>O$35*'Population Treasury'!AA$57*'Statistics NZ'!AA$364/('Population Treasury'!Z$57*'Statistics NZ'!Z$364)</f>
        <v>36278.346700562404</v>
      </c>
      <c r="Q35" s="111">
        <f>P$35*'Population Treasury'!AB$57*'Statistics NZ'!AB$364/('Population Treasury'!AA$57*'Statistics NZ'!AA$364)</f>
        <v>36019.817424227185</v>
      </c>
      <c r="R35" s="111">
        <f>Q$35*'Population Treasury'!AC$57*'Statistics NZ'!AC$364/('Population Treasury'!AB$57*'Statistics NZ'!AB$364)</f>
        <v>35457.431140524044</v>
      </c>
      <c r="S35" s="111">
        <f>R$35*'Population Treasury'!AD$57*'Statistics NZ'!AD$364/('Population Treasury'!AC$57*'Statistics NZ'!AC$364)</f>
        <v>34437.639181097729</v>
      </c>
      <c r="T35" s="111">
        <f>S$35*'Population Treasury'!AE$57*'Statistics NZ'!AE$364/('Population Treasury'!AD$57*'Statistics NZ'!AD$364)</f>
        <v>34279.174653403934</v>
      </c>
      <c r="U35" s="111">
        <f>T$35*'Population Treasury'!AF$57*'Statistics NZ'!AF$364/('Population Treasury'!AE$57*'Statistics NZ'!AE$364)</f>
        <v>33984.446141583852</v>
      </c>
      <c r="V35" s="111">
        <f>U$35*'Population Treasury'!AG$57*'Statistics NZ'!AG$364/('Population Treasury'!AF$57*'Statistics NZ'!AF$364)</f>
        <v>33682.301329024645</v>
      </c>
      <c r="W35" s="111">
        <f>V$35*'Population Treasury'!AH$57*'Statistics NZ'!AH$364/('Population Treasury'!AG$57*'Statistics NZ'!AG$364)</f>
        <v>33680.095553546824</v>
      </c>
      <c r="X35" s="111">
        <f>W$35*'Population Treasury'!AI$57*'Statistics NZ'!AI$364/('Population Treasury'!AH$57*'Statistics NZ'!AH$364)</f>
        <v>33193.891082080787</v>
      </c>
      <c r="Y35" s="111">
        <f>X$35*'Population Treasury'!AJ$57*'Statistics NZ'!AJ$364/('Population Treasury'!AI$57*'Statistics NZ'!AI$364)</f>
        <v>33871.654360604472</v>
      </c>
      <c r="Z35" s="111">
        <f>Y$35*'Population Treasury'!AK$57*'Statistics NZ'!AK$364/('Population Treasury'!AJ$57*'Statistics NZ'!AJ$364)</f>
        <v>33573.972289802834</v>
      </c>
      <c r="AA35" s="111">
        <f>Z$35*'Population Treasury'!AL$57*'Statistics NZ'!AL$364/('Population Treasury'!AK$57*'Statistics NZ'!AK$364)</f>
        <v>32771.261571978044</v>
      </c>
      <c r="AB35" s="111">
        <f>AA$35*'Population Treasury'!AM$57*'Statistics NZ'!AM$364/('Population Treasury'!AL$57*'Statistics NZ'!AL$364)</f>
        <v>32502.524081488202</v>
      </c>
      <c r="AC35" s="111">
        <f>AB$35*'Population Treasury'!AN$57*'Statistics NZ'!AN$364/('Population Treasury'!AM$57*'Statistics NZ'!AM$364)</f>
        <v>33212.831797035222</v>
      </c>
      <c r="AD35" s="111">
        <f>AC$35*'Population Treasury'!AO$57*'Statistics NZ'!AO$364/('Population Treasury'!AN$57*'Statistics NZ'!AN$364)</f>
        <v>33342.441071795263</v>
      </c>
      <c r="AE35" s="111">
        <f>AD$35*'Population Treasury'!AP$57*'Statistics NZ'!AP$364/('Population Treasury'!AO$57*'Statistics NZ'!AO$364)</f>
        <v>34057.867812224038</v>
      </c>
      <c r="AF35" s="111">
        <f>AE$35*'Population Treasury'!AQ$57*'Statistics NZ'!AQ$364/('Population Treasury'!AP$57*'Statistics NZ'!AP$364)</f>
        <v>35391.986393965868</v>
      </c>
      <c r="AG35" s="111">
        <f>AF$35*'Population Treasury'!AR$57*'Statistics NZ'!AR$364/('Population Treasury'!AQ$57*'Statistics NZ'!AQ$364)</f>
        <v>36488.255660373572</v>
      </c>
      <c r="AH35" s="111">
        <f>AG$35*'Population Treasury'!AS$57*'Statistics NZ'!AS$364/('Population Treasury'!AR$57*'Statistics NZ'!AR$364)</f>
        <v>36363.106503787756</v>
      </c>
      <c r="AI35" s="111">
        <f>AH$35*'Population Treasury'!AT$57*'Statistics NZ'!AT$364/('Population Treasury'!AS$57*'Statistics NZ'!AS$364)</f>
        <v>37250.186523968034</v>
      </c>
      <c r="AJ35" s="111">
        <f>AI$35*'Population Treasury'!AU$57*'Statistics NZ'!AU$364/('Population Treasury'!AT$57*'Statistics NZ'!AT$364)</f>
        <v>37183.793603525766</v>
      </c>
      <c r="AK35" s="111">
        <f>AJ$35*'Population Treasury'!AV$57*'Statistics NZ'!AV$364/('Population Treasury'!AU$57*'Statistics NZ'!AU$364)</f>
        <v>37108.274524336841</v>
      </c>
      <c r="AL35" s="111">
        <f>AK$35*'Population Treasury'!AW$57*'Statistics NZ'!AW$364/('Population Treasury'!AV$57*'Statistics NZ'!AV$364)</f>
        <v>37031.563536623456</v>
      </c>
      <c r="AM35" s="111">
        <f>AL$35*'Population Treasury'!AX$57*'Statistics NZ'!AX$364/('Population Treasury'!AW$57*'Statistics NZ'!AW$364)</f>
        <v>36068.587184075695</v>
      </c>
      <c r="AN35" s="111">
        <f>AM$35*'Population Treasury'!AY$57*'Statistics NZ'!AY$364/('Population Treasury'!AX$57*'Statistics NZ'!AX$364)</f>
        <v>36130.295957926093</v>
      </c>
      <c r="AO35" s="111">
        <f>AN$35*'Population Treasury'!AZ$57*'Statistics NZ'!AZ$364/('Population Treasury'!AY$57*'Statistics NZ'!AY$364)</f>
        <v>35818.105281454431</v>
      </c>
      <c r="AP35" s="111">
        <f>AO$35*'Population Treasury'!BA$57*'Statistics NZ'!BA$364/('Population Treasury'!AZ$57*'Statistics NZ'!AZ$364)</f>
        <v>36034.267332906013</v>
      </c>
      <c r="AQ35" s="111">
        <f>AP$35*'Population Treasury'!BB$57*'Statistics NZ'!BB$364/('Population Treasury'!BA$57*'Statistics NZ'!BA$364)</f>
        <v>35331.949504798235</v>
      </c>
      <c r="AR35" s="111">
        <f>AQ$35*'Population Treasury'!BC$57*'Statistics NZ'!BC$364/('Population Treasury'!BB$57*'Statistics NZ'!BB$364)</f>
        <v>34977.150700340389</v>
      </c>
      <c r="AS35" s="111">
        <f>AR$35*'Population Treasury'!BD$57*'Statistics NZ'!BD$364/('Population Treasury'!BC$57*'Statistics NZ'!BC$364)</f>
        <v>35099.915268559533</v>
      </c>
      <c r="AT35" s="111">
        <f>AS$35*'Population Treasury'!BE$57*'Statistics NZ'!BE$364/('Population Treasury'!BD$57*'Statistics NZ'!BD$364)</f>
        <v>34625.686369605268</v>
      </c>
      <c r="AU35" s="111">
        <f>AT$35*'Population Treasury'!BF$57*'Statistics NZ'!BF$364/('Population Treasury'!BE$57*'Statistics NZ'!BE$364)</f>
        <v>34589.391694103928</v>
      </c>
      <c r="AV35" s="111">
        <f>AU$35*'Population Treasury'!BG$57*'Statistics NZ'!BG$364/('Population Treasury'!BF$57*'Statistics NZ'!BF$364)</f>
        <v>34550.319938157656</v>
      </c>
      <c r="AW35" s="111">
        <f>AV$35*'Population Treasury'!BH$57*'Statistics NZ'!BH$364/('Population Treasury'!BG$57*'Statistics NZ'!BG$364)</f>
        <v>34491.995406878465</v>
      </c>
      <c r="AX35" s="111">
        <f>AW$35*'Population Treasury'!BI$57*'Statistics NZ'!BI$364/('Population Treasury'!BH$57*'Statistics NZ'!BH$364)</f>
        <v>34586.309879836052</v>
      </c>
      <c r="AY35" s="111">
        <f>AX$35*'Population Treasury'!BJ$57*'Statistics NZ'!BJ$364/('Population Treasury'!BI$57*'Statistics NZ'!BI$364)</f>
        <v>34666.031562221033</v>
      </c>
      <c r="AZ35" s="111">
        <f>AY$35*'Population Treasury'!BK$57*'Statistics NZ'!BK$364/('Population Treasury'!BJ$57*'Statistics NZ'!BJ$364)</f>
        <v>34710.691023701067</v>
      </c>
      <c r="BA35" s="111">
        <f>AZ$35*'Population Treasury'!BL$57*'Statistics NZ'!BL$364/('Population Treasury'!BK$57*'Statistics NZ'!BK$364)</f>
        <v>34739.276241473504</v>
      </c>
      <c r="BB35" s="195">
        <f>BA$35*'Population Treasury'!BM$57*'Statistics NZ'!BM$364/('Population Treasury'!BL$57*'Statistics NZ'!BL$364)</f>
        <v>34762.792403102183</v>
      </c>
      <c r="BC35" s="195">
        <f>BB$35*'Population Treasury'!BN$57*'Statistics NZ'!BN$364/('Population Treasury'!BM$57*'Statistics NZ'!BM$364)</f>
        <v>34783.188537778457</v>
      </c>
      <c r="BD35" s="195">
        <f>BC$35*'Population Treasury'!BO$57*'Statistics NZ'!BO$364/('Population Treasury'!BN$57*'Statistics NZ'!BN$364)</f>
        <v>34800.965060051181</v>
      </c>
      <c r="BE35" s="195">
        <f>BD$35*'Population Treasury'!BP$57*'Statistics NZ'!BP$364/('Population Treasury'!BO$57*'Statistics NZ'!BO$364)</f>
        <v>34848.039565755986</v>
      </c>
      <c r="BF35" s="195">
        <f>BE$35*'Population Treasury'!BQ$57*'Statistics NZ'!BQ$364/('Population Treasury'!BP$57*'Statistics NZ'!BP$364)</f>
        <v>34884.896492180662</v>
      </c>
    </row>
    <row r="36" spans="1:58">
      <c r="A36" s="124">
        <v>41</v>
      </c>
      <c r="B36" s="118">
        <f>'Population Treasury'!M$58*'Statistics NZ'!M$365*'Economic Forecasts'!O$8/B$7</f>
        <v>24024.808627169994</v>
      </c>
      <c r="C36" s="118">
        <f>'Population Treasury'!N$58*'Statistics NZ'!N$365*'Economic Forecasts'!P$8/C$7</f>
        <v>24732.387177808854</v>
      </c>
      <c r="D36" s="118">
        <f>'Population Treasury'!O$58*'Statistics NZ'!O$365*'Economic Forecasts'!Q$8/D$7</f>
        <v>24701.047599283509</v>
      </c>
      <c r="E36" s="203">
        <f>'Population Treasury'!P$58*'Statistics NZ'!P$365*'Economic Forecasts'!R$8/E$7</f>
        <v>25673.073657781832</v>
      </c>
      <c r="F36" s="121">
        <f>'Population Treasury'!Q$58*'Statistics NZ'!Q$365*'Economic Forecasts'!S$8/F$7</f>
        <v>26183.832132450327</v>
      </c>
      <c r="G36" s="121">
        <f>'Population Treasury'!R$58*'Statistics NZ'!R$365*'Economic Forecasts'!T$8/G$7</f>
        <v>26837.842921554504</v>
      </c>
      <c r="H36" s="121">
        <f>'Population Treasury'!S$58*'Statistics NZ'!S$365*'Economic Forecasts'!U$8/H$7</f>
        <v>28025.467445358543</v>
      </c>
      <c r="I36" s="121">
        <f>'Population Treasury'!T$58*'Statistics NZ'!T$365*'Economic Forecasts'!V$8/I$7</f>
        <v>28891.188665235964</v>
      </c>
      <c r="J36" s="205">
        <f>'Population Treasury'!U$58*'Statistics NZ'!U$365*'Economic Forecasts'!W$8/J$7</f>
        <v>29765.575963813189</v>
      </c>
      <c r="K36" s="111">
        <f>J$36*'Population Treasury'!V$58*'Statistics NZ'!V$365/('Population Treasury'!U$58*'Statistics NZ'!U$365)</f>
        <v>30597.736937410202</v>
      </c>
      <c r="L36" s="111">
        <f>K$36*'Population Treasury'!W$58*'Statistics NZ'!W$365/('Population Treasury'!V$58*'Statistics NZ'!V$365)</f>
        <v>31267.981910786482</v>
      </c>
      <c r="M36" s="111">
        <f>L$36*'Population Treasury'!X$58*'Statistics NZ'!X$365/('Population Treasury'!W$58*'Statistics NZ'!W$365)</f>
        <v>32111.046316503853</v>
      </c>
      <c r="N36" s="111">
        <f>M$36*'Population Treasury'!Y$58*'Statistics NZ'!Y$365/('Population Treasury'!X$58*'Statistics NZ'!X$365)</f>
        <v>34382.652967071925</v>
      </c>
      <c r="O36" s="111">
        <f>N$36*'Population Treasury'!Z$58*'Statistics NZ'!Z$365/('Population Treasury'!Y$58*'Statistics NZ'!Y$365)</f>
        <v>34764.72456799855</v>
      </c>
      <c r="P36" s="111">
        <f>O$36*'Population Treasury'!AA$58*'Statistics NZ'!AA$365/('Population Treasury'!Z$58*'Statistics NZ'!Z$365)</f>
        <v>36305.693592381074</v>
      </c>
      <c r="Q36" s="111">
        <f>P$36*'Population Treasury'!AB$58*'Statistics NZ'!AB$365/('Population Treasury'!AA$58*'Statistics NZ'!AA$365)</f>
        <v>36873.988674611479</v>
      </c>
      <c r="R36" s="111">
        <f>Q$36*'Population Treasury'!AC$58*'Statistics NZ'!AC$365/('Population Treasury'!AB$58*'Statistics NZ'!AB$365)</f>
        <v>36596.956684027347</v>
      </c>
      <c r="S36" s="111">
        <f>R$36*'Population Treasury'!AD$58*'Statistics NZ'!AD$365/('Population Treasury'!AC$58*'Statistics NZ'!AC$365)</f>
        <v>36007.428925919608</v>
      </c>
      <c r="T36" s="111">
        <f>S$36*'Population Treasury'!AE$58*'Statistics NZ'!AE$365/('Population Treasury'!AD$58*'Statistics NZ'!AD$365)</f>
        <v>34976.413887566705</v>
      </c>
      <c r="U36" s="111">
        <f>T$36*'Population Treasury'!AF$58*'Statistics NZ'!AF$365/('Population Treasury'!AE$58*'Statistics NZ'!AE$365)</f>
        <v>34800.862847099779</v>
      </c>
      <c r="V36" s="111">
        <f>U$36*'Population Treasury'!AG$58*'Statistics NZ'!AG$365/('Population Treasury'!AF$58*'Statistics NZ'!AF$365)</f>
        <v>34510.934085138186</v>
      </c>
      <c r="W36" s="111">
        <f>V$36*'Population Treasury'!AH$58*'Statistics NZ'!AH$365/('Population Treasury'!AG$58*'Statistics NZ'!AG$365)</f>
        <v>34207.648128734807</v>
      </c>
      <c r="X36" s="111">
        <f>W$36*'Population Treasury'!AI$58*'Statistics NZ'!AI$365/('Population Treasury'!AH$58*'Statistics NZ'!AH$365)</f>
        <v>34188.250933757226</v>
      </c>
      <c r="Y36" s="111">
        <f>X$36*'Population Treasury'!AJ$58*'Statistics NZ'!AJ$365/('Population Treasury'!AI$58*'Statistics NZ'!AI$365)</f>
        <v>33706.397857051888</v>
      </c>
      <c r="Z36" s="111">
        <f>Y$36*'Population Treasury'!AK$58*'Statistics NZ'!AK$365/('Population Treasury'!AJ$58*'Statistics NZ'!AJ$365)</f>
        <v>34387.082118332131</v>
      </c>
      <c r="AA36" s="111">
        <f>Z$36*'Population Treasury'!AL$58*'Statistics NZ'!AL$365/('Population Treasury'!AK$58*'Statistics NZ'!AK$365)</f>
        <v>34074.114076820093</v>
      </c>
      <c r="AB36" s="111">
        <f>AA$36*'Population Treasury'!AM$58*'Statistics NZ'!AM$365/('Population Treasury'!AL$58*'Statistics NZ'!AL$365)</f>
        <v>33274.562728820645</v>
      </c>
      <c r="AC36" s="111">
        <f>AB$36*'Population Treasury'!AN$58*'Statistics NZ'!AN$365/('Population Treasury'!AM$58*'Statistics NZ'!AM$365)</f>
        <v>32983.048654463018</v>
      </c>
      <c r="AD36" s="111">
        <f>AC$36*'Population Treasury'!AO$58*'Statistics NZ'!AO$365/('Population Treasury'!AN$58*'Statistics NZ'!AN$365)</f>
        <v>33707.6803363582</v>
      </c>
      <c r="AE36" s="111">
        <f>AD$36*'Population Treasury'!AP$58*'Statistics NZ'!AP$365/('Population Treasury'!AO$58*'Statistics NZ'!AO$365)</f>
        <v>33840.111149742072</v>
      </c>
      <c r="AF36" s="111">
        <f>AE$36*'Population Treasury'!AQ$58*'Statistics NZ'!AQ$365/('Population Treasury'!AP$58*'Statistics NZ'!AP$365)</f>
        <v>34555.881675945326</v>
      </c>
      <c r="AG36" s="111">
        <f>AF$36*'Population Treasury'!AR$58*'Statistics NZ'!AR$365/('Population Treasury'!AQ$58*'Statistics NZ'!AQ$365)</f>
        <v>35902.594335988346</v>
      </c>
      <c r="AH36" s="111">
        <f>AG$36*'Population Treasury'!AS$58*'Statistics NZ'!AS$365/('Population Treasury'!AR$58*'Statistics NZ'!AR$365)</f>
        <v>37021.578235514768</v>
      </c>
      <c r="AI36" s="111">
        <f>AH$36*'Population Treasury'!AT$58*'Statistics NZ'!AT$365/('Population Treasury'!AS$58*'Statistics NZ'!AS$365)</f>
        <v>36886.893942681643</v>
      </c>
      <c r="AJ36" s="111">
        <f>AI$36*'Population Treasury'!AU$58*'Statistics NZ'!AU$365/('Population Treasury'!AT$58*'Statistics NZ'!AT$365)</f>
        <v>37786.097838301852</v>
      </c>
      <c r="AK36" s="111">
        <f>AJ$36*'Population Treasury'!AV$58*'Statistics NZ'!AV$365/('Population Treasury'!AU$58*'Statistics NZ'!AU$365)</f>
        <v>37712.033230856832</v>
      </c>
      <c r="AL36" s="111">
        <f>AK$36*'Population Treasury'!AW$58*'Statistics NZ'!AW$365/('Population Treasury'!AV$58*'Statistics NZ'!AV$365)</f>
        <v>37630.69093593437</v>
      </c>
      <c r="AM36" s="111">
        <f>AL$36*'Population Treasury'!AX$58*'Statistics NZ'!AX$365/('Population Treasury'!AW$58*'Statistics NZ'!AW$365)</f>
        <v>37557.684324285518</v>
      </c>
      <c r="AN36" s="111">
        <f>AM$36*'Population Treasury'!AY$58*'Statistics NZ'!AY$365/('Population Treasury'!AX$58*'Statistics NZ'!AX$365)</f>
        <v>36592.546548792408</v>
      </c>
      <c r="AO36" s="111">
        <f>AN$36*'Population Treasury'!AZ$58*'Statistics NZ'!AZ$365/('Population Treasury'!AY$58*'Statistics NZ'!AY$365)</f>
        <v>36643.324688717046</v>
      </c>
      <c r="AP36" s="111">
        <f>AO$36*'Population Treasury'!BA$58*'Statistics NZ'!BA$365/('Population Treasury'!AZ$58*'Statistics NZ'!AZ$365)</f>
        <v>36340.091794447209</v>
      </c>
      <c r="AQ36" s="111">
        <f>AP$36*'Population Treasury'!BB$58*'Statistics NZ'!BB$365/('Population Treasury'!BA$58*'Statistics NZ'!BA$365)</f>
        <v>36543.179806382461</v>
      </c>
      <c r="AR36" s="111">
        <f>AQ$36*'Population Treasury'!BC$58*'Statistics NZ'!BC$365/('Population Treasury'!BB$58*'Statistics NZ'!BB$365)</f>
        <v>35839.035044646742</v>
      </c>
      <c r="AS36" s="111">
        <f>AR$36*'Population Treasury'!BD$58*'Statistics NZ'!BD$365/('Population Treasury'!BC$58*'Statistics NZ'!BC$365)</f>
        <v>35474.963032280357</v>
      </c>
      <c r="AT36" s="111">
        <f>AS$36*'Population Treasury'!BE$58*'Statistics NZ'!BE$365/('Population Treasury'!BD$58*'Statistics NZ'!BD$365)</f>
        <v>35615.506067127855</v>
      </c>
      <c r="AU36" s="111">
        <f>AT$36*'Population Treasury'!BF$58*'Statistics NZ'!BF$365/('Population Treasury'!BE$58*'Statistics NZ'!BE$365)</f>
        <v>35111.909451842883</v>
      </c>
      <c r="AV36" s="111">
        <f>AU$36*'Population Treasury'!BG$58*'Statistics NZ'!BG$365/('Population Treasury'!BF$58*'Statistics NZ'!BF$365)</f>
        <v>35093.257450682111</v>
      </c>
      <c r="AW36" s="111">
        <f>AV$36*'Population Treasury'!BH$58*'Statistics NZ'!BH$365/('Population Treasury'!BG$58*'Statistics NZ'!BG$365)</f>
        <v>35052.298492466616</v>
      </c>
      <c r="AX36" s="111">
        <f>AW$36*'Population Treasury'!BI$58*'Statistics NZ'!BI$365/('Population Treasury'!BH$58*'Statistics NZ'!BH$365)</f>
        <v>34983.434939510102</v>
      </c>
      <c r="AY36" s="111">
        <f>AX$36*'Population Treasury'!BJ$58*'Statistics NZ'!BJ$365/('Population Treasury'!BI$58*'Statistics NZ'!BI$365)</f>
        <v>35098.894467363272</v>
      </c>
      <c r="AZ36" s="111">
        <f>AY$36*'Population Treasury'!BK$58*'Statistics NZ'!BK$365/('Population Treasury'!BJ$58*'Statistics NZ'!BJ$365)</f>
        <v>35159.823584648861</v>
      </c>
      <c r="BA36" s="111">
        <f>AZ$36*'Population Treasury'!BL$58*'Statistics NZ'!BL$365/('Population Treasury'!BK$58*'Statistics NZ'!BK$365)</f>
        <v>35214.749520089565</v>
      </c>
      <c r="BB36" s="195">
        <f>BA$36*'Population Treasury'!BM$58*'Statistics NZ'!BM$365/('Population Treasury'!BL$58*'Statistics NZ'!BL$365)</f>
        <v>35245.798583328135</v>
      </c>
      <c r="BC36" s="195">
        <f>BB$36*'Population Treasury'!BN$58*'Statistics NZ'!BN$365/('Population Treasury'!BM$58*'Statistics NZ'!BM$365)</f>
        <v>35271.559395273354</v>
      </c>
      <c r="BD36" s="195">
        <f>BC$36*'Population Treasury'!BO$58*'Statistics NZ'!BO$365/('Population Treasury'!BN$58*'Statistics NZ'!BN$365)</f>
        <v>35293.731947653796</v>
      </c>
      <c r="BE36" s="195">
        <f>BD$36*'Population Treasury'!BP$58*'Statistics NZ'!BP$365/('Population Treasury'!BO$58*'Statistics NZ'!BO$365)</f>
        <v>35323.540988339744</v>
      </c>
      <c r="BF36" s="195">
        <f>BE$36*'Population Treasury'!BQ$58*'Statistics NZ'!BQ$365/('Population Treasury'!BP$58*'Statistics NZ'!BP$365)</f>
        <v>35343.841115115007</v>
      </c>
    </row>
    <row r="37" spans="1:58">
      <c r="A37" s="124">
        <v>42</v>
      </c>
      <c r="B37" s="118">
        <f>'Population Treasury'!M$59*'Statistics NZ'!M$366*'Economic Forecasts'!O$8/B$7</f>
        <v>25530.840993178786</v>
      </c>
      <c r="C37" s="118">
        <f>'Population Treasury'!N$59*'Statistics NZ'!N$366*'Economic Forecasts'!P$8/C$7</f>
        <v>24874.477152296524</v>
      </c>
      <c r="D37" s="118">
        <f>'Population Treasury'!O$59*'Statistics NZ'!O$366*'Economic Forecasts'!Q$8/D$7</f>
        <v>25097.553547431489</v>
      </c>
      <c r="E37" s="203">
        <f>'Population Treasury'!P$59*'Statistics NZ'!P$366*'Economic Forecasts'!R$8/E$7</f>
        <v>25186.329702854138</v>
      </c>
      <c r="F37" s="121">
        <f>'Population Treasury'!Q$59*'Statistics NZ'!Q$366*'Economic Forecasts'!S$8/F$7</f>
        <v>26186.426825137063</v>
      </c>
      <c r="G37" s="121">
        <f>'Population Treasury'!R$59*'Statistics NZ'!R$366*'Economic Forecasts'!T$8/G$7</f>
        <v>26867.716880771259</v>
      </c>
      <c r="H37" s="121">
        <f>'Population Treasury'!S$59*'Statistics NZ'!S$366*'Economic Forecasts'!U$8/H$7</f>
        <v>27464.573335274166</v>
      </c>
      <c r="I37" s="121">
        <f>'Population Treasury'!T$59*'Statistics NZ'!T$366*'Economic Forecasts'!V$8/I$7</f>
        <v>28613.641165889923</v>
      </c>
      <c r="J37" s="205">
        <f>'Population Treasury'!U$59*'Statistics NZ'!U$366*'Economic Forecasts'!W$8/J$7</f>
        <v>29497.021026400333</v>
      </c>
      <c r="K37" s="111">
        <f>J$37*'Population Treasury'!V$59*'Statistics NZ'!V$366/('Population Treasury'!U$59*'Statistics NZ'!U$366)</f>
        <v>30318.427525291805</v>
      </c>
      <c r="L37" s="111">
        <f>K$37*'Population Treasury'!W$59*'Statistics NZ'!W$366/('Population Treasury'!V$59*'Statistics NZ'!V$366)</f>
        <v>31137.520852021804</v>
      </c>
      <c r="M37" s="111">
        <f>L$37*'Population Treasury'!X$59*'Statistics NZ'!X$366/('Population Treasury'!W$59*'Statistics NZ'!W$366)</f>
        <v>31790.837227514883</v>
      </c>
      <c r="N37" s="111">
        <f>M$37*'Population Treasury'!Y$59*'Statistics NZ'!Y$366/('Population Treasury'!X$59*'Statistics NZ'!X$366)</f>
        <v>32631.886733827439</v>
      </c>
      <c r="O37" s="111">
        <f>N$37*'Population Treasury'!Z$59*'Statistics NZ'!Z$366/('Population Treasury'!Y$59*'Statistics NZ'!Y$366)</f>
        <v>34896.979432981148</v>
      </c>
      <c r="P37" s="111">
        <f>O$37*'Population Treasury'!AA$59*'Statistics NZ'!AA$366/('Population Treasury'!Z$59*'Statistics NZ'!Z$366)</f>
        <v>35274.33576481224</v>
      </c>
      <c r="Q37" s="111">
        <f>P$37*'Population Treasury'!AB$59*'Statistics NZ'!AB$366/('Population Treasury'!AA$59*'Statistics NZ'!AA$366)</f>
        <v>36822.471658697046</v>
      </c>
      <c r="R37" s="111">
        <f>Q$37*'Population Treasury'!AC$59*'Statistics NZ'!AC$366/('Population Treasury'!AB$59*'Statistics NZ'!AB$366)</f>
        <v>37381.813029402059</v>
      </c>
      <c r="S37" s="111">
        <f>R$37*'Population Treasury'!AD$59*'Statistics NZ'!AD$366/('Population Treasury'!AC$59*'Statistics NZ'!AC$366)</f>
        <v>37085.688617135376</v>
      </c>
      <c r="T37" s="111">
        <f>S$37*'Population Treasury'!AE$59*'Statistics NZ'!AE$366/('Population Treasury'!AD$59*'Statistics NZ'!AD$366)</f>
        <v>36480.436781603799</v>
      </c>
      <c r="U37" s="111">
        <f>T$37*'Population Treasury'!AF$59*'Statistics NZ'!AF$366/('Population Treasury'!AE$59*'Statistics NZ'!AE$366)</f>
        <v>35438.242382248158</v>
      </c>
      <c r="V37" s="111">
        <f>U$37*'Population Treasury'!AG$59*'Statistics NZ'!AG$366/('Population Treasury'!AF$59*'Statistics NZ'!AF$366)</f>
        <v>35262.687168227421</v>
      </c>
      <c r="W37" s="111">
        <f>V$37*'Population Treasury'!AH$59*'Statistics NZ'!AH$366/('Population Treasury'!AG$59*'Statistics NZ'!AG$366)</f>
        <v>34959.035287528815</v>
      </c>
      <c r="X37" s="111">
        <f>W$37*'Population Treasury'!AI$59*'Statistics NZ'!AI$366/('Population Treasury'!AH$59*'Statistics NZ'!AH$366)</f>
        <v>34647.903494315076</v>
      </c>
      <c r="Y37" s="111">
        <f>X$37*'Population Treasury'!AJ$59*'Statistics NZ'!AJ$366/('Population Treasury'!AI$59*'Statistics NZ'!AI$366)</f>
        <v>34627.123363985273</v>
      </c>
      <c r="Z37" s="111">
        <f>Y$37*'Population Treasury'!AK$59*'Statistics NZ'!AK$366/('Population Treasury'!AJ$59*'Statistics NZ'!AJ$366)</f>
        <v>34131.461719660845</v>
      </c>
      <c r="AA37" s="111">
        <f>Z$37*'Population Treasury'!AL$59*'Statistics NZ'!AL$366/('Population Treasury'!AK$59*'Statistics NZ'!AK$366)</f>
        <v>34831.349073555612</v>
      </c>
      <c r="AB37" s="111">
        <f>AA$37*'Population Treasury'!AM$59*'Statistics NZ'!AM$366/('Population Treasury'!AL$59*'Statistics NZ'!AL$366)</f>
        <v>34511.198175020618</v>
      </c>
      <c r="AC37" s="111">
        <f>AB$37*'Population Treasury'!AN$59*'Statistics NZ'!AN$366/('Population Treasury'!AM$59*'Statistics NZ'!AM$366)</f>
        <v>33695.709984299603</v>
      </c>
      <c r="AD37" s="111">
        <f>AC$37*'Population Treasury'!AO$59*'Statistics NZ'!AO$366/('Population Treasury'!AN$59*'Statistics NZ'!AN$366)</f>
        <v>33414.587572069402</v>
      </c>
      <c r="AE37" s="111">
        <f>AD$37*'Population Treasury'!AP$59*'Statistics NZ'!AP$366/('Population Treasury'!AO$59*'Statistics NZ'!AO$366)</f>
        <v>34131.678174487206</v>
      </c>
      <c r="AF37" s="111">
        <f>AE$37*'Population Treasury'!AQ$59*'Statistics NZ'!AQ$366/('Population Treasury'!AP$59*'Statistics NZ'!AP$366)</f>
        <v>34266.641015238492</v>
      </c>
      <c r="AG37" s="111">
        <f>AF$37*'Population Treasury'!AR$59*'Statistics NZ'!AR$366/('Population Treasury'!AQ$59*'Statistics NZ'!AQ$366)</f>
        <v>34982.695488084049</v>
      </c>
      <c r="AH37" s="111">
        <f>AG$37*'Population Treasury'!AS$59*'Statistics NZ'!AS$366/('Population Treasury'!AR$59*'Statistics NZ'!AR$366)</f>
        <v>36353.818397460855</v>
      </c>
      <c r="AI37" s="111">
        <f>AH$37*'Population Treasury'!AT$59*'Statistics NZ'!AT$366/('Population Treasury'!AS$59*'Statistics NZ'!AS$366)</f>
        <v>37471.877387594534</v>
      </c>
      <c r="AJ37" s="111">
        <f>AI$37*'Population Treasury'!AU$59*'Statistics NZ'!AU$366/('Population Treasury'!AT$59*'Statistics NZ'!AT$366)</f>
        <v>37349.40129789793</v>
      </c>
      <c r="AK37" s="111">
        <f>AJ$37*'Population Treasury'!AV$59*'Statistics NZ'!AV$366/('Population Treasury'!AU$59*'Statistics NZ'!AU$366)</f>
        <v>38238.650667229223</v>
      </c>
      <c r="AL37" s="111">
        <f>AK$37*'Population Treasury'!AW$59*'Statistics NZ'!AW$366/('Population Treasury'!AV$59*'Statistics NZ'!AV$366)</f>
        <v>38168.43094873934</v>
      </c>
      <c r="AM37" s="111">
        <f>AL$37*'Population Treasury'!AX$59*'Statistics NZ'!AX$366/('Population Treasury'!AW$59*'Statistics NZ'!AW$366)</f>
        <v>38078.778275786608</v>
      </c>
      <c r="AN37" s="111">
        <f>AM$37*'Population Treasury'!AY$59*'Statistics NZ'!AY$366/('Population Treasury'!AX$59*'Statistics NZ'!AX$366)</f>
        <v>38009.101253894187</v>
      </c>
      <c r="AO37" s="111">
        <f>AN$37*'Population Treasury'!AZ$59*'Statistics NZ'!AZ$366/('Population Treasury'!AY$59*'Statistics NZ'!AY$366)</f>
        <v>37043.90804754573</v>
      </c>
      <c r="AP37" s="111">
        <f>AO$37*'Population Treasury'!BA$59*'Statistics NZ'!BA$366/('Population Treasury'!AZ$59*'Statistics NZ'!AZ$366)</f>
        <v>37095.932131507434</v>
      </c>
      <c r="AQ37" s="111">
        <f>AP$37*'Population Treasury'!BB$59*'Statistics NZ'!BB$366/('Population Treasury'!BA$59*'Statistics NZ'!BA$366)</f>
        <v>36777.433854547155</v>
      </c>
      <c r="AR37" s="111">
        <f>AQ$37*'Population Treasury'!BC$59*'Statistics NZ'!BC$366/('Population Treasury'!BB$59*'Statistics NZ'!BB$366)</f>
        <v>36990.044928167852</v>
      </c>
      <c r="AS37" s="111">
        <f>AR$37*'Population Treasury'!BD$59*'Statistics NZ'!BD$366/('Population Treasury'!BC$59*'Statistics NZ'!BC$366)</f>
        <v>36273.378993153674</v>
      </c>
      <c r="AT37" s="111">
        <f>AS$37*'Population Treasury'!BE$59*'Statistics NZ'!BE$366/('Population Treasury'!BD$59*'Statistics NZ'!BD$366)</f>
        <v>35912.426259446402</v>
      </c>
      <c r="AU37" s="111">
        <f>AT$37*'Population Treasury'!BF$59*'Statistics NZ'!BF$366/('Population Treasury'!BE$59*'Statistics NZ'!BE$366)</f>
        <v>36040.569863213525</v>
      </c>
      <c r="AV37" s="111">
        <f>AU$37*'Population Treasury'!BG$59*'Statistics NZ'!BG$366/('Population Treasury'!BF$59*'Statistics NZ'!BF$366)</f>
        <v>35558.508136950273</v>
      </c>
      <c r="AW37" s="111">
        <f>AV$37*'Population Treasury'!BH$59*'Statistics NZ'!BH$366/('Population Treasury'!BG$59*'Statistics NZ'!BG$366)</f>
        <v>35537.467925394682</v>
      </c>
      <c r="AX37" s="111">
        <f>AW$37*'Population Treasury'!BI$59*'Statistics NZ'!BI$366/('Population Treasury'!BH$59*'Statistics NZ'!BH$366)</f>
        <v>35476.688069733711</v>
      </c>
      <c r="AY37" s="111">
        <f>AX$37*'Population Treasury'!BJ$59*'Statistics NZ'!BJ$366/('Population Treasury'!BI$59*'Statistics NZ'!BI$366)</f>
        <v>35424.583349700843</v>
      </c>
      <c r="AZ37" s="111">
        <f>AY$37*'Population Treasury'!BK$59*'Statistics NZ'!BK$366/('Population Treasury'!BJ$59*'Statistics NZ'!BJ$366)</f>
        <v>35521.334986841714</v>
      </c>
      <c r="BA37" s="111">
        <f>AZ$37*'Population Treasury'!BL$59*'Statistics NZ'!BL$366/('Population Treasury'!BK$59*'Statistics NZ'!BK$366)</f>
        <v>35603.15874244654</v>
      </c>
      <c r="BB37" s="195">
        <f>BA$37*'Population Treasury'!BM$59*'Statistics NZ'!BM$366/('Population Treasury'!BL$59*'Statistics NZ'!BL$366)</f>
        <v>35639.778184461837</v>
      </c>
      <c r="BC37" s="195">
        <f>BB$37*'Population Treasury'!BN$59*'Statistics NZ'!BN$366/('Population Treasury'!BM$59*'Statistics NZ'!BM$366)</f>
        <v>35683.000048399022</v>
      </c>
      <c r="BD37" s="195">
        <f>BC$37*'Population Treasury'!BO$59*'Statistics NZ'!BO$366/('Population Treasury'!BN$59*'Statistics NZ'!BN$366)</f>
        <v>35699.584426196714</v>
      </c>
      <c r="BE37" s="195">
        <f>BD$37*'Population Treasury'!BP$59*'Statistics NZ'!BP$366/('Population Treasury'!BO$59*'Statistics NZ'!BO$366)</f>
        <v>35724.610236013483</v>
      </c>
      <c r="BF37" s="195">
        <f>BE$37*'Population Treasury'!BQ$59*'Statistics NZ'!BQ$366/('Population Treasury'!BP$59*'Statistics NZ'!BP$366)</f>
        <v>35747.22011030517</v>
      </c>
    </row>
    <row r="38" spans="1:58">
      <c r="A38" s="124">
        <v>43</v>
      </c>
      <c r="B38" s="118">
        <f>'Population Treasury'!M$60*'Statistics NZ'!M$367*'Economic Forecasts'!O$8/B$7</f>
        <v>26820.591565362283</v>
      </c>
      <c r="C38" s="118">
        <f>'Population Treasury'!N$60*'Statistics NZ'!N$367*'Economic Forecasts'!P$8/C$7</f>
        <v>26294.658050421938</v>
      </c>
      <c r="D38" s="118">
        <f>'Population Treasury'!O$60*'Statistics NZ'!O$367*'Economic Forecasts'!Q$8/D$7</f>
        <v>25185.624505005249</v>
      </c>
      <c r="E38" s="203">
        <f>'Population Treasury'!P$60*'Statistics NZ'!P$367*'Economic Forecasts'!R$8/E$7</f>
        <v>25494.199526556007</v>
      </c>
      <c r="F38" s="121">
        <f>'Population Treasury'!Q$60*'Statistics NZ'!Q$367*'Economic Forecasts'!S$8/F$7</f>
        <v>25653.199282731232</v>
      </c>
      <c r="G38" s="121">
        <f>'Population Treasury'!R$60*'Statistics NZ'!R$367*'Economic Forecasts'!T$8/G$7</f>
        <v>26826.388089741446</v>
      </c>
      <c r="H38" s="121">
        <f>'Population Treasury'!S$60*'Statistics NZ'!S$367*'Economic Forecasts'!U$8/H$7</f>
        <v>27455.212887655711</v>
      </c>
      <c r="I38" s="121">
        <f>'Population Treasury'!T$60*'Statistics NZ'!T$367*'Economic Forecasts'!V$8/I$7</f>
        <v>27999.10438550276</v>
      </c>
      <c r="J38" s="205">
        <f>'Population Treasury'!U$60*'Statistics NZ'!U$367*'Economic Forecasts'!W$8/J$7</f>
        <v>29158.676609909016</v>
      </c>
      <c r="K38" s="111">
        <f>J$38*'Population Treasury'!V$60*'Statistics NZ'!V$367/('Population Treasury'!U$60*'Statistics NZ'!U$367)</f>
        <v>29981.364866262913</v>
      </c>
      <c r="L38" s="111">
        <f>K$38*'Population Treasury'!W$60*'Statistics NZ'!W$367/('Population Treasury'!V$60*'Statistics NZ'!V$367)</f>
        <v>30792.299526840146</v>
      </c>
      <c r="M38" s="111">
        <f>L$38*'Population Treasury'!X$60*'Statistics NZ'!X$367/('Population Treasury'!W$60*'Statistics NZ'!W$367)</f>
        <v>31609.197400197099</v>
      </c>
      <c r="N38" s="111">
        <f>M$38*'Population Treasury'!Y$60*'Statistics NZ'!Y$367/('Population Treasury'!X$60*'Statistics NZ'!X$367)</f>
        <v>32253.052844922924</v>
      </c>
      <c r="O38" s="111">
        <f>N$38*'Population Treasury'!Z$60*'Statistics NZ'!Z$367/('Population Treasury'!Y$60*'Statistics NZ'!Y$367)</f>
        <v>33101.32676613552</v>
      </c>
      <c r="P38" s="111">
        <f>O$38*'Population Treasury'!AA$60*'Statistics NZ'!AA$367/('Population Treasury'!Z$60*'Statistics NZ'!Z$367)</f>
        <v>35372.716756927373</v>
      </c>
      <c r="Q38" s="111">
        <f>P$38*'Population Treasury'!AB$60*'Statistics NZ'!AB$367/('Population Treasury'!AA$60*'Statistics NZ'!AA$367)</f>
        <v>35742.962363068204</v>
      </c>
      <c r="R38" s="111">
        <f>Q$38*'Population Treasury'!AC$60*'Statistics NZ'!AC$367/('Population Treasury'!AB$60*'Statistics NZ'!AB$367)</f>
        <v>37289.351066745345</v>
      </c>
      <c r="S38" s="111">
        <f>R$38*'Population Treasury'!AD$60*'Statistics NZ'!AD$367/('Population Treasury'!AC$60*'Statistics NZ'!AC$367)</f>
        <v>37839.773755233618</v>
      </c>
      <c r="T38" s="111">
        <f>S$38*'Population Treasury'!AE$60*'Statistics NZ'!AE$367/('Population Treasury'!AD$60*'Statistics NZ'!AD$367)</f>
        <v>37535.349507214472</v>
      </c>
      <c r="U38" s="111">
        <f>T$38*'Population Treasury'!AF$60*'Statistics NZ'!AF$367/('Population Treasury'!AE$60*'Statistics NZ'!AE$367)</f>
        <v>36933.920952773165</v>
      </c>
      <c r="V38" s="111">
        <f>U$38*'Population Treasury'!AG$60*'Statistics NZ'!AG$367/('Population Treasury'!AF$60*'Statistics NZ'!AF$367)</f>
        <v>35871.571812532973</v>
      </c>
      <c r="W38" s="111">
        <f>V$38*'Population Treasury'!AH$60*'Statistics NZ'!AH$367/('Population Treasury'!AG$60*'Statistics NZ'!AG$367)</f>
        <v>35678.443879217855</v>
      </c>
      <c r="X38" s="111">
        <f>W$38*'Population Treasury'!AI$60*'Statistics NZ'!AI$367/('Population Treasury'!AH$60*'Statistics NZ'!AH$367)</f>
        <v>35369.812319548539</v>
      </c>
      <c r="Y38" s="111">
        <f>X$38*'Population Treasury'!AJ$60*'Statistics NZ'!AJ$367/('Population Treasury'!AI$60*'Statistics NZ'!AI$367)</f>
        <v>35068.33643037107</v>
      </c>
      <c r="Z38" s="111">
        <f>Y$38*'Population Treasury'!AK$60*'Statistics NZ'!AK$367/('Population Treasury'!AJ$60*'Statistics NZ'!AJ$367)</f>
        <v>35048.495946280505</v>
      </c>
      <c r="AA38" s="111">
        <f>Z$38*'Population Treasury'!AL$60*'Statistics NZ'!AL$367/('Population Treasury'!AK$60*'Statistics NZ'!AK$367)</f>
        <v>34547.818903522602</v>
      </c>
      <c r="AB38" s="111">
        <f>AA$38*'Population Treasury'!AM$60*'Statistics NZ'!AM$367/('Population Treasury'!AL$60*'Statistics NZ'!AL$367)</f>
        <v>35250.386225815761</v>
      </c>
      <c r="AC38" s="111">
        <f>AB$38*'Population Treasury'!AN$60*'Statistics NZ'!AN$367/('Population Treasury'!AM$60*'Statistics NZ'!AM$367)</f>
        <v>34923.025767235536</v>
      </c>
      <c r="AD38" s="111">
        <f>AC$38*'Population Treasury'!AO$60*'Statistics NZ'!AO$367/('Population Treasury'!AN$60*'Statistics NZ'!AN$367)</f>
        <v>34099.668209008072</v>
      </c>
      <c r="AE38" s="111">
        <f>AD$38*'Population Treasury'!AP$60*'Statistics NZ'!AP$367/('Population Treasury'!AO$60*'Statistics NZ'!AO$367)</f>
        <v>33809.140437575428</v>
      </c>
      <c r="AF38" s="111">
        <f>AE$38*'Population Treasury'!AQ$60*'Statistics NZ'!AQ$367/('Population Treasury'!AP$60*'Statistics NZ'!AP$367)</f>
        <v>34538.54155219021</v>
      </c>
      <c r="AG38" s="111">
        <f>AF$38*'Population Treasury'!AR$60*'Statistics NZ'!AR$367/('Population Treasury'!AQ$60*'Statistics NZ'!AQ$367)</f>
        <v>34665.928648486348</v>
      </c>
      <c r="AH38" s="111">
        <f>AG$38*'Population Treasury'!AS$60*'Statistics NZ'!AS$367/('Population Treasury'!AR$60*'Statistics NZ'!AR$367)</f>
        <v>35394.133439005345</v>
      </c>
      <c r="AI38" s="111">
        <f>AH$38*'Population Treasury'!AT$60*'Statistics NZ'!AT$367/('Population Treasury'!AS$60*'Statistics NZ'!AS$367)</f>
        <v>36765.887267100261</v>
      </c>
      <c r="AJ38" s="111">
        <f>AI$38*'Population Treasury'!AU$60*'Statistics NZ'!AU$367/('Population Treasury'!AT$60*'Statistics NZ'!AT$367)</f>
        <v>37905.080546514153</v>
      </c>
      <c r="AK38" s="111">
        <f>AJ$38*'Population Treasury'!AV$60*'Statistics NZ'!AV$367/('Population Treasury'!AU$60*'Statistics NZ'!AU$367)</f>
        <v>37774.616353568112</v>
      </c>
      <c r="AL38" s="111">
        <f>AK$38*'Population Treasury'!AW$60*'Statistics NZ'!AW$367/('Population Treasury'!AV$60*'Statistics NZ'!AV$367)</f>
        <v>38686.090359579983</v>
      </c>
      <c r="AM38" s="111">
        <f>AL$38*'Population Treasury'!AX$60*'Statistics NZ'!AX$367/('Population Treasury'!AW$60*'Statistics NZ'!AW$367)</f>
        <v>38619.92685341974</v>
      </c>
      <c r="AN38" s="111">
        <f>AM$38*'Population Treasury'!AY$60*'Statistics NZ'!AY$367/('Population Treasury'!AX$60*'Statistics NZ'!AX$367)</f>
        <v>38534.355066618911</v>
      </c>
      <c r="AO38" s="111">
        <f>AN$38*'Population Treasury'!AZ$60*'Statistics NZ'!AZ$367/('Population Treasury'!AY$60*'Statistics NZ'!AY$367)</f>
        <v>38455.996731802799</v>
      </c>
      <c r="AP38" s="111">
        <f>AO$38*'Population Treasury'!BA$60*'Statistics NZ'!BA$367/('Population Treasury'!AZ$60*'Statistics NZ'!AZ$367)</f>
        <v>37476.788065374909</v>
      </c>
      <c r="AQ38" s="111">
        <f>AP$38*'Population Treasury'!BB$60*'Statistics NZ'!BB$367/('Population Treasury'!BA$60*'Statistics NZ'!BA$367)</f>
        <v>37530.049905547588</v>
      </c>
      <c r="AR38" s="111">
        <f>AQ$38*'Population Treasury'!BC$60*'Statistics NZ'!BC$367/('Population Treasury'!BB$60*'Statistics NZ'!BB$367)</f>
        <v>37208.537379105888</v>
      </c>
      <c r="AS38" s="111">
        <f>AR$38*'Population Treasury'!BD$60*'Statistics NZ'!BD$367/('Population Treasury'!BC$60*'Statistics NZ'!BC$367)</f>
        <v>37418.45643667948</v>
      </c>
      <c r="AT38" s="111">
        <f>AS$38*'Population Treasury'!BE$60*'Statistics NZ'!BE$367/('Population Treasury'!BD$60*'Statistics NZ'!BD$367)</f>
        <v>36701.092152227575</v>
      </c>
      <c r="AU38" s="111">
        <f>AT$38*'Population Treasury'!BF$60*'Statistics NZ'!BF$367/('Population Treasury'!BE$60*'Statistics NZ'!BE$367)</f>
        <v>36331.595428002169</v>
      </c>
      <c r="AV38" s="111">
        <f>AU$38*'Population Treasury'!BG$60*'Statistics NZ'!BG$367/('Population Treasury'!BF$60*'Statistics NZ'!BF$367)</f>
        <v>36456.886751039325</v>
      </c>
      <c r="AW38" s="111">
        <f>AV$38*'Population Treasury'!BH$60*'Statistics NZ'!BH$367/('Population Treasury'!BG$60*'Statistics NZ'!BG$367)</f>
        <v>35978.190446638284</v>
      </c>
      <c r="AX38" s="111">
        <f>AW$38*'Population Treasury'!BI$60*'Statistics NZ'!BI$367/('Population Treasury'!BH$60*'Statistics NZ'!BH$367)</f>
        <v>35945.888305483961</v>
      </c>
      <c r="AY38" s="111">
        <f>AX$38*'Population Treasury'!BJ$60*'Statistics NZ'!BJ$367/('Population Treasury'!BI$60*'Statistics NZ'!BI$367)</f>
        <v>35892.09927756009</v>
      </c>
      <c r="AZ38" s="111">
        <f>AY$38*'Population Treasury'!BK$60*'Statistics NZ'!BK$367/('Population Treasury'!BJ$60*'Statistics NZ'!BJ$367)</f>
        <v>35829.964702021687</v>
      </c>
      <c r="BA38" s="111">
        <f>AZ$38*'Population Treasury'!BL$60*'Statistics NZ'!BL$367/('Population Treasury'!BK$60*'Statistics NZ'!BK$367)</f>
        <v>35947.509804063237</v>
      </c>
      <c r="BB38" s="195">
        <f>BA$38*'Population Treasury'!BM$60*'Statistics NZ'!BM$367/('Population Treasury'!BL$60*'Statistics NZ'!BL$367)</f>
        <v>36010.710294153781</v>
      </c>
      <c r="BC38" s="195">
        <f>BB$38*'Population Treasury'!BN$60*'Statistics NZ'!BN$367/('Population Treasury'!BM$60*'Statistics NZ'!BM$367)</f>
        <v>36068.694520230521</v>
      </c>
      <c r="BD38" s="195">
        <f>BC$38*'Population Treasury'!BO$60*'Statistics NZ'!BO$367/('Population Treasury'!BN$60*'Statistics NZ'!BN$367)</f>
        <v>36102.596689975217</v>
      </c>
      <c r="BE38" s="195">
        <f>BD$38*'Population Treasury'!BP$60*'Statistics NZ'!BP$367/('Population Treasury'!BO$60*'Statistics NZ'!BO$367)</f>
        <v>36121.200696010179</v>
      </c>
      <c r="BF38" s="195">
        <f>BE$38*'Population Treasury'!BQ$60*'Statistics NZ'!BQ$367/('Population Treasury'!BP$60*'Statistics NZ'!BP$367)</f>
        <v>36138.846205216149</v>
      </c>
    </row>
    <row r="39" spans="1:58">
      <c r="A39" s="124">
        <v>44</v>
      </c>
      <c r="B39" s="118">
        <f>'Population Treasury'!M$61*'Statistics NZ'!M$368*'Economic Forecasts'!O$8/B$7</f>
        <v>27754.263399159176</v>
      </c>
      <c r="C39" s="118">
        <f>'Population Treasury'!N$61*'Statistics NZ'!N$368*'Economic Forecasts'!P$8/C$7</f>
        <v>27672.833942392059</v>
      </c>
      <c r="D39" s="118">
        <f>'Population Treasury'!O$61*'Statistics NZ'!O$368*'Economic Forecasts'!Q$8/D$7</f>
        <v>26548.349501408975</v>
      </c>
      <c r="E39" s="203">
        <f>'Population Treasury'!P$61*'Statistics NZ'!P$368*'Economic Forecasts'!R$8/E$7</f>
        <v>25573.909026184061</v>
      </c>
      <c r="F39" s="121">
        <f>'Population Treasury'!Q$61*'Statistics NZ'!Q$368*'Economic Forecasts'!S$8/F$7</f>
        <v>25967.945759812832</v>
      </c>
      <c r="G39" s="121">
        <f>'Population Treasury'!R$61*'Statistics NZ'!R$368*'Economic Forecasts'!T$8/G$7</f>
        <v>26280.129257724893</v>
      </c>
      <c r="H39" s="121">
        <f>'Population Treasury'!S$61*'Statistics NZ'!S$368*'Economic Forecasts'!U$8/H$7</f>
        <v>27421.311611772478</v>
      </c>
      <c r="I39" s="121">
        <f>'Population Treasury'!T$61*'Statistics NZ'!T$368*'Economic Forecasts'!V$8/I$7</f>
        <v>27971.870554181256</v>
      </c>
      <c r="J39" s="205">
        <f>'Population Treasury'!U$61*'Statistics NZ'!U$368*'Economic Forecasts'!W$8/J$7</f>
        <v>28525.426191881619</v>
      </c>
      <c r="K39" s="111">
        <f>J$39*'Population Treasury'!V$61*'Statistics NZ'!V$368/('Population Treasury'!U$61*'Statistics NZ'!U$368)</f>
        <v>29639.517238138909</v>
      </c>
      <c r="L39" s="111">
        <f>K$39*'Population Treasury'!W$61*'Statistics NZ'!W$368/('Population Treasury'!V$61*'Statistics NZ'!V$368)</f>
        <v>30461.645414866838</v>
      </c>
      <c r="M39" s="111">
        <f>L$39*'Population Treasury'!X$61*'Statistics NZ'!X$368/('Population Treasury'!W$61*'Statistics NZ'!W$368)</f>
        <v>31286.006244009186</v>
      </c>
      <c r="N39" s="111">
        <f>M$39*'Population Treasury'!Y$61*'Statistics NZ'!Y$368/('Population Treasury'!X$61*'Statistics NZ'!X$368)</f>
        <v>32100.113905088914</v>
      </c>
      <c r="O39" s="111">
        <f>N$39*'Population Treasury'!Z$61*'Statistics NZ'!Z$368/('Population Treasury'!Y$61*'Statistics NZ'!Y$368)</f>
        <v>32735.607300309366</v>
      </c>
      <c r="P39" s="111">
        <f>O$39*'Population Treasury'!AA$61*'Statistics NZ'!AA$368/('Population Treasury'!Z$61*'Statistics NZ'!Z$368)</f>
        <v>33571.827227030306</v>
      </c>
      <c r="Q39" s="111">
        <f>P$39*'Population Treasury'!AB$61*'Statistics NZ'!AB$368/('Population Treasury'!AA$61*'Statistics NZ'!AA$368)</f>
        <v>35867.193605025233</v>
      </c>
      <c r="R39" s="111">
        <f>Q$39*'Population Treasury'!AC$61*'Statistics NZ'!AC$368/('Population Treasury'!AB$61*'Statistics NZ'!AB$368)</f>
        <v>36222.893428947609</v>
      </c>
      <c r="S39" s="111">
        <f>R$39*'Population Treasury'!AD$61*'Statistics NZ'!AD$368/('Population Treasury'!AC$61*'Statistics NZ'!AC$368)</f>
        <v>37764.542532285974</v>
      </c>
      <c r="T39" s="111">
        <f>S$39*'Population Treasury'!AE$61*'Statistics NZ'!AE$368/('Population Treasury'!AD$61*'Statistics NZ'!AD$368)</f>
        <v>38326.792891029319</v>
      </c>
      <c r="U39" s="111">
        <f>T$39*'Population Treasury'!AF$61*'Statistics NZ'!AF$368/('Population Treasury'!AE$61*'Statistics NZ'!AE$368)</f>
        <v>38023.271598257365</v>
      </c>
      <c r="V39" s="111">
        <f>U$39*'Population Treasury'!AG$61*'Statistics NZ'!AG$368/('Population Treasury'!AF$61*'Statistics NZ'!AF$368)</f>
        <v>37407.365457470871</v>
      </c>
      <c r="W39" s="111">
        <f>V$39*'Population Treasury'!AH$61*'Statistics NZ'!AH$368/('Population Treasury'!AG$61*'Statistics NZ'!AG$368)</f>
        <v>36342.724136596</v>
      </c>
      <c r="X39" s="111">
        <f>W$39*'Population Treasury'!AI$61*'Statistics NZ'!AI$368/('Population Treasury'!AH$61*'Statistics NZ'!AH$368)</f>
        <v>36160.622051072693</v>
      </c>
      <c r="Y39" s="111">
        <f>X$39*'Population Treasury'!AJ$61*'Statistics NZ'!AJ$368/('Population Treasury'!AI$61*'Statistics NZ'!AI$368)</f>
        <v>35838.979901683357</v>
      </c>
      <c r="Z39" s="111">
        <f>Y$39*'Population Treasury'!AK$61*'Statistics NZ'!AK$368/('Population Treasury'!AJ$61*'Statistics NZ'!AJ$368)</f>
        <v>35527.793337967974</v>
      </c>
      <c r="AA39" s="111">
        <f>Z$39*'Population Treasury'!AL$61*'Statistics NZ'!AL$368/('Population Treasury'!AK$61*'Statistics NZ'!AK$368)</f>
        <v>35510.940330241676</v>
      </c>
      <c r="AB39" s="111">
        <f>AA$39*'Population Treasury'!AM$61*'Statistics NZ'!AM$368/('Population Treasury'!AL$61*'Statistics NZ'!AL$368)</f>
        <v>34996.535528741602</v>
      </c>
      <c r="AC39" s="111">
        <f>AB$39*'Population Treasury'!AN$61*'Statistics NZ'!AN$368/('Population Treasury'!AM$61*'Statistics NZ'!AM$368)</f>
        <v>35709.999421047607</v>
      </c>
      <c r="AD39" s="111">
        <f>AC$39*'Population Treasury'!AO$61*'Statistics NZ'!AO$368/('Population Treasury'!AN$61*'Statistics NZ'!AN$368)</f>
        <v>35376.17569318496</v>
      </c>
      <c r="AE39" s="111">
        <f>AD$39*'Population Treasury'!AP$61*'Statistics NZ'!AP$368/('Population Treasury'!AO$61*'Statistics NZ'!AO$368)</f>
        <v>34549.333552943346</v>
      </c>
      <c r="AF39" s="111">
        <f>AE$39*'Population Treasury'!AQ$61*'Statistics NZ'!AQ$368/('Population Treasury'!AP$61*'Statistics NZ'!AP$368)</f>
        <v>34247.6927992907</v>
      </c>
      <c r="AG39" s="111">
        <f>AF$39*'Population Treasury'!AR$61*'Statistics NZ'!AR$368/('Population Treasury'!AQ$61*'Statistics NZ'!AQ$368)</f>
        <v>34991.670413511034</v>
      </c>
      <c r="AH39" s="111">
        <f>AG$39*'Population Treasury'!AS$61*'Statistics NZ'!AS$368/('Population Treasury'!AR$61*'Statistics NZ'!AR$368)</f>
        <v>35131.001285483486</v>
      </c>
      <c r="AI39" s="111">
        <f>AH$39*'Population Treasury'!AT$61*'Statistics NZ'!AT$368/('Population Treasury'!AS$61*'Statistics NZ'!AS$368)</f>
        <v>35859.535633870328</v>
      </c>
      <c r="AJ39" s="111">
        <f>AI$39*'Population Treasury'!AU$61*'Statistics NZ'!AU$368/('Population Treasury'!AT$61*'Statistics NZ'!AT$368)</f>
        <v>37234.952917050643</v>
      </c>
      <c r="AK39" s="111">
        <f>AJ$39*'Population Treasury'!AV$61*'Statistics NZ'!AV$368/('Population Treasury'!AU$61*'Statistics NZ'!AU$368)</f>
        <v>38396.91628117716</v>
      </c>
      <c r="AL39" s="111">
        <f>AK$39*'Population Treasury'!AW$61*'Statistics NZ'!AW$368/('Population Treasury'!AV$61*'Statistics NZ'!AV$368)</f>
        <v>38257.099114329132</v>
      </c>
      <c r="AM39" s="111">
        <f>AL$39*'Population Treasury'!AX$61*'Statistics NZ'!AX$368/('Population Treasury'!AW$61*'Statistics NZ'!AW$368)</f>
        <v>39180.705302930452</v>
      </c>
      <c r="AN39" s="111">
        <f>AM$39*'Population Treasury'!AY$61*'Statistics NZ'!AY$368/('Population Treasury'!AX$61*'Statistics NZ'!AX$368)</f>
        <v>39107.25093340157</v>
      </c>
      <c r="AO39" s="111">
        <f>AN$39*'Population Treasury'!AZ$61*'Statistics NZ'!AZ$368/('Population Treasury'!AY$61*'Statistics NZ'!AY$368)</f>
        <v>39014.16678583165</v>
      </c>
      <c r="AP39" s="111">
        <f>AO$39*'Population Treasury'!BA$61*'Statistics NZ'!BA$368/('Population Treasury'!AZ$61*'Statistics NZ'!AZ$368)</f>
        <v>38939.85786241787</v>
      </c>
      <c r="AQ39" s="111">
        <f>AP$39*'Population Treasury'!BB$61*'Statistics NZ'!BB$368/('Population Treasury'!BA$61*'Statistics NZ'!BA$368)</f>
        <v>37948.260054677376</v>
      </c>
      <c r="AR39" s="111">
        <f>AQ$39*'Population Treasury'!BC$61*'Statistics NZ'!BC$368/('Population Treasury'!BB$61*'Statistics NZ'!BB$368)</f>
        <v>38002.997286571634</v>
      </c>
      <c r="AS39" s="111">
        <f>AR$39*'Population Treasury'!BD$61*'Statistics NZ'!BD$368/('Population Treasury'!BC$61*'Statistics NZ'!BC$368)</f>
        <v>37690.148120066966</v>
      </c>
      <c r="AT39" s="111">
        <f>AS$39*'Population Treasury'!BE$61*'Statistics NZ'!BE$368/('Population Treasury'!BD$61*'Statistics NZ'!BD$368)</f>
        <v>37896.764324384298</v>
      </c>
      <c r="AU39" s="111">
        <f>AT$39*'Population Treasury'!BF$61*'Statistics NZ'!BF$368/('Population Treasury'!BE$61*'Statistics NZ'!BE$368)</f>
        <v>37175.911589299569</v>
      </c>
      <c r="AV39" s="111">
        <f>AU$39*'Population Treasury'!BG$61*'Statistics NZ'!BG$368/('Population Treasury'!BF$61*'Statistics NZ'!BF$368)</f>
        <v>36804.988959943483</v>
      </c>
      <c r="AW39" s="111">
        <f>AV$39*'Population Treasury'!BH$61*'Statistics NZ'!BH$368/('Population Treasury'!BG$61*'Statistics NZ'!BG$368)</f>
        <v>36938.174342211409</v>
      </c>
      <c r="AX39" s="111">
        <f>AW$39*'Population Treasury'!BI$61*'Statistics NZ'!BI$368/('Population Treasury'!BH$61*'Statistics NZ'!BH$368)</f>
        <v>36440.808365152625</v>
      </c>
      <c r="AY39" s="111">
        <f>AX$39*'Population Treasury'!BJ$61*'Statistics NZ'!BJ$368/('Population Treasury'!BI$61*'Statistics NZ'!BI$368)</f>
        <v>36404.934836962741</v>
      </c>
      <c r="AZ39" s="111">
        <f>AY$39*'Population Treasury'!BK$61*'Statistics NZ'!BK$368/('Population Treasury'!BJ$61*'Statistics NZ'!BJ$368)</f>
        <v>36358.528887815322</v>
      </c>
      <c r="BA39" s="111">
        <f>AZ$39*'Population Treasury'!BL$61*'Statistics NZ'!BL$368/('Population Treasury'!BK$61*'Statistics NZ'!BK$368)</f>
        <v>36305.844088062375</v>
      </c>
      <c r="BB39" s="195">
        <f>BA$39*'Population Treasury'!BM$61*'Statistics NZ'!BM$368/('Population Treasury'!BL$61*'Statistics NZ'!BL$368)</f>
        <v>36404.182016090046</v>
      </c>
      <c r="BC39" s="195">
        <f>BB$39*'Population Treasury'!BN$61*'Statistics NZ'!BN$368/('Population Treasury'!BM$61*'Statistics NZ'!BM$368)</f>
        <v>36478.272542784704</v>
      </c>
      <c r="BD39" s="195">
        <f>BC$39*'Population Treasury'!BO$61*'Statistics NZ'!BO$368/('Population Treasury'!BN$61*'Statistics NZ'!BN$368)</f>
        <v>36528.515260227468</v>
      </c>
      <c r="BE39" s="195">
        <f>BD$39*'Population Treasury'!BP$61*'Statistics NZ'!BP$368/('Population Treasury'!BO$61*'Statistics NZ'!BO$368)</f>
        <v>36574.096122045019</v>
      </c>
      <c r="BF39" s="195">
        <f>BE$39*'Population Treasury'!BQ$61*'Statistics NZ'!BQ$368/('Population Treasury'!BP$61*'Statistics NZ'!BP$368)</f>
        <v>36596.64015712215</v>
      </c>
    </row>
    <row r="40" spans="1:58">
      <c r="A40" s="124">
        <v>45</v>
      </c>
      <c r="B40" s="118">
        <f>'Population Treasury'!M$62*'Statistics NZ'!M$369*'Economic Forecasts'!O$8/B$7</f>
        <v>29151.914306764174</v>
      </c>
      <c r="C40" s="118">
        <f>'Population Treasury'!N$62*'Statistics NZ'!N$369*'Economic Forecasts'!P$8/C$7</f>
        <v>28564.480732942811</v>
      </c>
      <c r="D40" s="118">
        <f>'Population Treasury'!O$62*'Statistics NZ'!O$369*'Economic Forecasts'!Q$8/D$7</f>
        <v>27875.552120702614</v>
      </c>
      <c r="E40" s="203">
        <f>'Population Treasury'!P$62*'Statistics NZ'!P$369*'Economic Forecasts'!R$8/E$7</f>
        <v>26912.597436216849</v>
      </c>
      <c r="F40" s="121">
        <f>'Population Treasury'!Q$62*'Statistics NZ'!Q$369*'Economic Forecasts'!S$8/F$7</f>
        <v>26022.457415923011</v>
      </c>
      <c r="G40" s="121">
        <f>'Population Treasury'!R$62*'Statistics NZ'!R$369*'Economic Forecasts'!T$8/G$7</f>
        <v>26582.911392018734</v>
      </c>
      <c r="H40" s="121">
        <f>'Population Treasury'!S$62*'Statistics NZ'!S$369*'Economic Forecasts'!U$8/H$7</f>
        <v>26813.447869710119</v>
      </c>
      <c r="I40" s="121">
        <f>'Population Treasury'!T$62*'Statistics NZ'!T$369*'Economic Forecasts'!V$8/I$7</f>
        <v>27853.28963348992</v>
      </c>
      <c r="J40" s="205">
        <f>'Population Treasury'!U$62*'Statistics NZ'!U$369*'Economic Forecasts'!W$8/J$7</f>
        <v>28389.974922068377</v>
      </c>
      <c r="K40" s="111">
        <f>J$40*'Population Treasury'!V$62*'Statistics NZ'!V$369/('Population Treasury'!U$62*'Statistics NZ'!U$369)</f>
        <v>28810.793279444617</v>
      </c>
      <c r="L40" s="111">
        <f>K$40*'Population Treasury'!W$62*'Statistics NZ'!W$369/('Population Treasury'!V$62*'Statistics NZ'!V$369)</f>
        <v>29866.040232352607</v>
      </c>
      <c r="M40" s="111">
        <f>L$40*'Population Treasury'!X$62*'Statistics NZ'!X$369/('Population Treasury'!W$62*'Statistics NZ'!W$369)</f>
        <v>30637.737563878065</v>
      </c>
      <c r="N40" s="111">
        <f>M$40*'Population Treasury'!Y$62*'Statistics NZ'!Y$369/('Population Treasury'!X$62*'Statistics NZ'!X$369)</f>
        <v>31408.441145602497</v>
      </c>
      <c r="O40" s="111">
        <f>N$40*'Population Treasury'!Z$62*'Statistics NZ'!Z$369/('Population Treasury'!Y$62*'Statistics NZ'!Y$369)</f>
        <v>32175.384789460149</v>
      </c>
      <c r="P40" s="111">
        <f>O$40*'Population Treasury'!AA$62*'Statistics NZ'!AA$369/('Population Treasury'!Z$62*'Statistics NZ'!Z$369)</f>
        <v>32794.789508496629</v>
      </c>
      <c r="Q40" s="111">
        <f>P$40*'Population Treasury'!AB$62*'Statistics NZ'!AB$369/('Population Treasury'!AA$62*'Statistics NZ'!AA$369)</f>
        <v>33610.226981354375</v>
      </c>
      <c r="R40" s="111">
        <f>Q$40*'Population Treasury'!AC$62*'Statistics NZ'!AC$369/('Population Treasury'!AB$62*'Statistics NZ'!AB$369)</f>
        <v>35902.155417693859</v>
      </c>
      <c r="S40" s="111">
        <f>R$40*'Population Treasury'!AD$62*'Statistics NZ'!AD$369/('Population Treasury'!AC$62*'Statistics NZ'!AC$369)</f>
        <v>36260.942088391872</v>
      </c>
      <c r="T40" s="111">
        <f>S$40*'Population Treasury'!AE$62*'Statistics NZ'!AE$369/('Population Treasury'!AD$62*'Statistics NZ'!AD$369)</f>
        <v>37828.49759046331</v>
      </c>
      <c r="U40" s="111">
        <f>T$40*'Population Treasury'!AF$62*'Statistics NZ'!AF$369/('Population Treasury'!AE$62*'Statistics NZ'!AE$369)</f>
        <v>38391.391261009165</v>
      </c>
      <c r="V40" s="111">
        <f>U$40*'Population Treasury'!AG$62*'Statistics NZ'!AG$369/('Population Treasury'!AF$62*'Statistics NZ'!AF$369)</f>
        <v>38081.270040276126</v>
      </c>
      <c r="W40" s="111">
        <f>V$40*'Population Treasury'!AH$62*'Statistics NZ'!AH$369/('Population Treasury'!AG$62*'Statistics NZ'!AG$369)</f>
        <v>37459.143623019554</v>
      </c>
      <c r="X40" s="111">
        <f>W$40*'Population Treasury'!AI$62*'Statistics NZ'!AI$369/('Population Treasury'!AH$62*'Statistics NZ'!AH$369)</f>
        <v>36382.844748566968</v>
      </c>
      <c r="Y40" s="111">
        <f>X$40*'Population Treasury'!AJ$62*'Statistics NZ'!AJ$369/('Population Treasury'!AI$62*'Statistics NZ'!AI$369)</f>
        <v>36182.91581151494</v>
      </c>
      <c r="Z40" s="111">
        <f>Y$40*'Population Treasury'!AK$62*'Statistics NZ'!AK$369/('Population Treasury'!AJ$62*'Statistics NZ'!AJ$369)</f>
        <v>35866.036951107177</v>
      </c>
      <c r="AA40" s="111">
        <f>Z$40*'Population Treasury'!AL$62*'Statistics NZ'!AL$369/('Population Treasury'!AK$62*'Statistics NZ'!AK$369)</f>
        <v>35555.61671346418</v>
      </c>
      <c r="AB40" s="111">
        <f>AA$40*'Population Treasury'!AM$62*'Statistics NZ'!AM$369/('Population Treasury'!AL$62*'Statistics NZ'!AL$369)</f>
        <v>35531.753579251614</v>
      </c>
      <c r="AC40" s="111">
        <f>AB$40*'Population Treasury'!AN$62*'Statistics NZ'!AN$369/('Population Treasury'!AM$62*'Statistics NZ'!AM$369)</f>
        <v>35011.495625284493</v>
      </c>
      <c r="AD40" s="111">
        <f>AC$40*'Population Treasury'!AO$62*'Statistics NZ'!AO$369/('Population Treasury'!AN$62*'Statistics NZ'!AN$369)</f>
        <v>35727.441674418529</v>
      </c>
      <c r="AE40" s="111">
        <f>AD$40*'Population Treasury'!AP$62*'Statistics NZ'!AP$369/('Population Treasury'!AO$62*'Statistics NZ'!AO$369)</f>
        <v>35398.335297146681</v>
      </c>
      <c r="AF40" s="111">
        <f>AE$40*'Population Treasury'!AQ$62*'Statistics NZ'!AQ$369/('Population Treasury'!AP$62*'Statistics NZ'!AP$369)</f>
        <v>34564.609462950029</v>
      </c>
      <c r="AG40" s="111">
        <f>AF$40*'Population Treasury'!AR$62*'Statistics NZ'!AR$369/('Population Treasury'!AQ$62*'Statistics NZ'!AQ$369)</f>
        <v>34253.328679166269</v>
      </c>
      <c r="AH40" s="111">
        <f>AG$40*'Population Treasury'!AS$62*'Statistics NZ'!AS$369/('Population Treasury'!AR$62*'Statistics NZ'!AR$369)</f>
        <v>35009.014600815652</v>
      </c>
      <c r="AI40" s="111">
        <f>AH$40*'Population Treasury'!AT$62*'Statistics NZ'!AT$369/('Population Treasury'!AS$62*'Statistics NZ'!AS$369)</f>
        <v>35142.155515206701</v>
      </c>
      <c r="AJ40" s="111">
        <f>AI$40*'Population Treasury'!AU$62*'Statistics NZ'!AU$369/('Population Treasury'!AT$62*'Statistics NZ'!AT$369)</f>
        <v>35882.835756328954</v>
      </c>
      <c r="AK40" s="111">
        <f>AJ$40*'Population Treasury'!AV$62*'Statistics NZ'!AV$369/('Population Treasury'!AU$62*'Statistics NZ'!AU$369)</f>
        <v>37270.80292376635</v>
      </c>
      <c r="AL40" s="111">
        <f>AK$40*'Population Treasury'!AW$62*'Statistics NZ'!AW$369/('Population Treasury'!AV$62*'Statistics NZ'!AV$369)</f>
        <v>38452.645072980777</v>
      </c>
      <c r="AM40" s="111">
        <f>AL$40*'Population Treasury'!AX$62*'Statistics NZ'!AX$369/('Population Treasury'!AW$62*'Statistics NZ'!AW$369)</f>
        <v>38306.163198583592</v>
      </c>
      <c r="AN40" s="111">
        <f>AM$40*'Population Treasury'!AY$62*'Statistics NZ'!AY$369/('Population Treasury'!AX$62*'Statistics NZ'!AX$369)</f>
        <v>39250.899963373646</v>
      </c>
      <c r="AO40" s="111">
        <f>AN$40*'Population Treasury'!AZ$62*'Statistics NZ'!AZ$369/('Population Treasury'!AY$62*'Statistics NZ'!AY$369)</f>
        <v>39170.19513096592</v>
      </c>
      <c r="AP40" s="111">
        <f>AO$40*'Population Treasury'!BA$62*'Statistics NZ'!BA$369/('Population Treasury'!AZ$62*'Statistics NZ'!AZ$369)</f>
        <v>39081.740793508638</v>
      </c>
      <c r="AQ40" s="111">
        <f>AP$40*'Population Treasury'!BB$62*'Statistics NZ'!BB$369/('Population Treasury'!BA$62*'Statistics NZ'!BA$369)</f>
        <v>39000.756028263437</v>
      </c>
      <c r="AR40" s="111">
        <f>AQ$40*'Population Treasury'!BC$62*'Statistics NZ'!BC$369/('Population Treasury'!BB$62*'Statistics NZ'!BB$369)</f>
        <v>38007.499328855476</v>
      </c>
      <c r="AS40" s="111">
        <f>AR$40*'Population Treasury'!BD$62*'Statistics NZ'!BD$369/('Population Treasury'!BC$62*'Statistics NZ'!BC$369)</f>
        <v>38063.724796457718</v>
      </c>
      <c r="AT40" s="111">
        <f>AS$40*'Population Treasury'!BE$62*'Statistics NZ'!BE$369/('Population Treasury'!BD$62*'Statistics NZ'!BD$369)</f>
        <v>37724.343856059539</v>
      </c>
      <c r="AU40" s="111">
        <f>AT$40*'Population Treasury'!BF$62*'Statistics NZ'!BF$369/('Population Treasury'!BE$62*'Statistics NZ'!BE$369)</f>
        <v>37950.59593381374</v>
      </c>
      <c r="AV40" s="111">
        <f>AU$40*'Population Treasury'!BG$62*'Statistics NZ'!BG$369/('Population Treasury'!BF$62*'Statistics NZ'!BF$369)</f>
        <v>37214.629059323386</v>
      </c>
      <c r="AW40" s="111">
        <f>AV$40*'Population Treasury'!BH$62*'Statistics NZ'!BH$369/('Population Treasury'!BG$62*'Statistics NZ'!BG$369)</f>
        <v>36835.236959384762</v>
      </c>
      <c r="AX40" s="111">
        <f>AW$40*'Population Treasury'!BI$62*'Statistics NZ'!BI$369/('Population Treasury'!BH$62*'Statistics NZ'!BH$369)</f>
        <v>36974.991629834243</v>
      </c>
      <c r="AY40" s="111">
        <f>AX$40*'Population Treasury'!BJ$62*'Statistics NZ'!BJ$369/('Population Treasury'!BI$62*'Statistics NZ'!BI$369)</f>
        <v>36469.493925713141</v>
      </c>
      <c r="AZ40" s="111">
        <f>AY$40*'Population Treasury'!BK$62*'Statistics NZ'!BK$369/('Population Treasury'!BJ$62*'Statistics NZ'!BJ$369)</f>
        <v>36440.411414214308</v>
      </c>
      <c r="BA40" s="111">
        <f>AZ$40*'Population Treasury'!BL$62*'Statistics NZ'!BL$369/('Population Treasury'!BK$62*'Statistics NZ'!BK$369)</f>
        <v>36402.853231718909</v>
      </c>
      <c r="BB40" s="195">
        <f>BA$40*'Population Treasury'!BM$62*'Statistics NZ'!BM$369/('Population Treasury'!BL$62*'Statistics NZ'!BL$369)</f>
        <v>36328.220307441159</v>
      </c>
      <c r="BC40" s="195">
        <f>BB$40*'Population Treasury'!BN$62*'Statistics NZ'!BN$369/('Population Treasury'!BM$62*'Statistics NZ'!BM$369)</f>
        <v>36448.140843483256</v>
      </c>
      <c r="BD40" s="195">
        <f>BC$40*'Population Treasury'!BO$62*'Statistics NZ'!BO$369/('Population Treasury'!BN$62*'Statistics NZ'!BN$369)</f>
        <v>36514.163827113414</v>
      </c>
      <c r="BE40" s="195">
        <f>BD$40*'Population Treasury'!BP$62*'Statistics NZ'!BP$369/('Population Treasury'!BO$62*'Statistics NZ'!BO$369)</f>
        <v>36575.752822122697</v>
      </c>
      <c r="BF40" s="195">
        <f>BE$40*'Population Treasury'!BQ$62*'Statistics NZ'!BQ$369/('Population Treasury'!BP$62*'Statistics NZ'!BP$369)</f>
        <v>36602.81293295569</v>
      </c>
    </row>
    <row r="41" spans="1:58">
      <c r="A41" s="124">
        <v>46</v>
      </c>
      <c r="B41" s="118">
        <f>'Population Treasury'!M$63*'Statistics NZ'!M$370*'Economic Forecasts'!O$8/B$7</f>
        <v>29667.264740603732</v>
      </c>
      <c r="C41" s="118">
        <f>'Population Treasury'!N$63*'Statistics NZ'!N$370*'Economic Forecasts'!P$8/C$7</f>
        <v>29910.308939939827</v>
      </c>
      <c r="D41" s="118">
        <f>'Population Treasury'!O$63*'Statistics NZ'!O$370*'Economic Forecasts'!Q$8/D$7</f>
        <v>28660.370081231515</v>
      </c>
      <c r="E41" s="203">
        <f>'Population Treasury'!P$63*'Statistics NZ'!P$370*'Economic Forecasts'!R$8/E$7</f>
        <v>28143.205595985055</v>
      </c>
      <c r="F41" s="121">
        <f>'Population Treasury'!Q$63*'Statistics NZ'!Q$370*'Economic Forecasts'!S$8/F$7</f>
        <v>27321.707111791729</v>
      </c>
      <c r="G41" s="121">
        <f>'Population Treasury'!R$63*'Statistics NZ'!R$370*'Economic Forecasts'!T$8/G$7</f>
        <v>26576.370049808349</v>
      </c>
      <c r="H41" s="121">
        <f>'Population Treasury'!S$63*'Statistics NZ'!S$370*'Economic Forecasts'!U$8/H$7</f>
        <v>27061.122232233498</v>
      </c>
      <c r="I41" s="121">
        <f>'Population Treasury'!T$63*'Statistics NZ'!T$370*'Economic Forecasts'!V$8/I$7</f>
        <v>27169.513756399519</v>
      </c>
      <c r="J41" s="205">
        <f>'Population Treasury'!U$63*'Statistics NZ'!U$370*'Economic Forecasts'!W$8/J$7</f>
        <v>28226.865057337454</v>
      </c>
      <c r="K41" s="111">
        <f>J$41*'Population Treasury'!V$63*'Statistics NZ'!V$370/('Population Treasury'!U$63*'Statistics NZ'!U$370)</f>
        <v>28667.428104159026</v>
      </c>
      <c r="L41" s="111">
        <f>K$41*'Population Treasury'!W$63*'Statistics NZ'!W$370/('Population Treasury'!V$63*'Statistics NZ'!V$370)</f>
        <v>29086.16247104001</v>
      </c>
      <c r="M41" s="111">
        <f>L$41*'Population Treasury'!X$63*'Statistics NZ'!X$370/('Population Treasury'!W$63*'Statistics NZ'!W$370)</f>
        <v>30150.889078461623</v>
      </c>
      <c r="N41" s="111">
        <f>M$41*'Population Treasury'!Y$63*'Statistics NZ'!Y$370/('Population Treasury'!X$63*'Statistics NZ'!X$370)</f>
        <v>30922.094676767145</v>
      </c>
      <c r="O41" s="111">
        <f>N$41*'Population Treasury'!Z$63*'Statistics NZ'!Z$370/('Population Treasury'!Y$63*'Statistics NZ'!Y$370)</f>
        <v>31702.957987450136</v>
      </c>
      <c r="P41" s="111">
        <f>O$41*'Population Treasury'!AA$63*'Statistics NZ'!AA$370/('Population Treasury'!Z$63*'Statistics NZ'!Z$370)</f>
        <v>32473.456768645636</v>
      </c>
      <c r="Q41" s="111">
        <f>P$41*'Population Treasury'!AB$63*'Statistics NZ'!AB$370/('Population Treasury'!AA$63*'Statistics NZ'!AA$370)</f>
        <v>33092.951059448154</v>
      </c>
      <c r="R41" s="111">
        <f>Q$41*'Population Treasury'!AC$63*'Statistics NZ'!AC$370/('Population Treasury'!AB$63*'Statistics NZ'!AB$370)</f>
        <v>33923.855185393091</v>
      </c>
      <c r="S41" s="111">
        <f>R$41*'Population Treasury'!AD$63*'Statistics NZ'!AD$370/('Population Treasury'!AC$63*'Statistics NZ'!AC$370)</f>
        <v>36227.340464266752</v>
      </c>
      <c r="T41" s="111">
        <f>S$41*'Population Treasury'!AE$63*'Statistics NZ'!AE$370/('Population Treasury'!AD$63*'Statistics NZ'!AD$370)</f>
        <v>36582.939804694943</v>
      </c>
      <c r="U41" s="111">
        <f>T$41*'Population Treasury'!AF$63*'Statistics NZ'!AF$370/('Population Treasury'!AE$63*'Statistics NZ'!AE$370)</f>
        <v>38158.287041505457</v>
      </c>
      <c r="V41" s="111">
        <f>U$41*'Population Treasury'!AG$63*'Statistics NZ'!AG$370/('Population Treasury'!AF$63*'Statistics NZ'!AF$370)</f>
        <v>38714.835372794943</v>
      </c>
      <c r="W41" s="111">
        <f>V$41*'Population Treasury'!AH$63*'Statistics NZ'!AH$370/('Population Treasury'!AG$63*'Statistics NZ'!AG$370)</f>
        <v>38415.852232871701</v>
      </c>
      <c r="X41" s="111">
        <f>W$41*'Population Treasury'!AI$63*'Statistics NZ'!AI$370/('Population Treasury'!AH$63*'Statistics NZ'!AH$370)</f>
        <v>37778.776464169365</v>
      </c>
      <c r="Y41" s="111">
        <f>X$41*'Population Treasury'!AJ$63*'Statistics NZ'!AJ$370/('Population Treasury'!AI$63*'Statistics NZ'!AI$370)</f>
        <v>36691.271267867407</v>
      </c>
      <c r="Z41" s="111">
        <f>Y$41*'Population Treasury'!AK$63*'Statistics NZ'!AK$370/('Population Treasury'!AJ$63*'Statistics NZ'!AJ$370)</f>
        <v>36512.598682229924</v>
      </c>
      <c r="AA41" s="111">
        <f>Z$41*'Population Treasury'!AL$63*'Statistics NZ'!AL$370/('Population Treasury'!AK$63*'Statistics NZ'!AK$370)</f>
        <v>36181.208497531283</v>
      </c>
      <c r="AB41" s="111">
        <f>AA$41*'Population Treasury'!AM$63*'Statistics NZ'!AM$370/('Population Treasury'!AL$63*'Statistics NZ'!AL$370)</f>
        <v>35860.905319474783</v>
      </c>
      <c r="AC41" s="111">
        <f>AB$41*'Population Treasury'!AN$63*'Statistics NZ'!AN$370/('Population Treasury'!AM$63*'Statistics NZ'!AM$370)</f>
        <v>35836.900829416896</v>
      </c>
      <c r="AD41" s="111">
        <f>AC$41*'Population Treasury'!AO$63*'Statistics NZ'!AO$370/('Population Treasury'!AN$63*'Statistics NZ'!AN$370)</f>
        <v>35331.465279616772</v>
      </c>
      <c r="AE41" s="111">
        <f>AD$41*'Population Treasury'!AP$63*'Statistics NZ'!AP$370/('Population Treasury'!AO$63*'Statistics NZ'!AO$370)</f>
        <v>36039.181382812756</v>
      </c>
      <c r="AF41" s="111">
        <f>AE$41*'Population Treasury'!AQ$63*'Statistics NZ'!AQ$370/('Population Treasury'!AP$63*'Statistics NZ'!AP$370)</f>
        <v>35723.196635334694</v>
      </c>
      <c r="AG41" s="111">
        <f>AF$41*'Population Treasury'!AR$63*'Statistics NZ'!AR$370/('Population Treasury'!AQ$63*'Statistics NZ'!AQ$370)</f>
        <v>34861.423552161665</v>
      </c>
      <c r="AH41" s="111">
        <f>AG$41*'Population Treasury'!AS$63*'Statistics NZ'!AS$370/('Population Treasury'!AR$63*'Statistics NZ'!AR$370)</f>
        <v>34560.701798290887</v>
      </c>
      <c r="AI41" s="111">
        <f>AH$41*'Population Treasury'!AT$63*'Statistics NZ'!AT$370/('Population Treasury'!AS$63*'Statistics NZ'!AS$370)</f>
        <v>35310.961051224964</v>
      </c>
      <c r="AJ41" s="111">
        <f>AI$41*'Population Treasury'!AU$63*'Statistics NZ'!AU$370/('Population Treasury'!AT$63*'Statistics NZ'!AT$370)</f>
        <v>35454.235214168868</v>
      </c>
      <c r="AK41" s="111">
        <f>AJ$41*'Population Treasury'!AV$63*'Statistics NZ'!AV$370/('Population Treasury'!AU$63*'Statistics NZ'!AU$370)</f>
        <v>36207.00346309469</v>
      </c>
      <c r="AL41" s="111">
        <f>AK$41*'Population Treasury'!AW$63*'Statistics NZ'!AW$370/('Population Treasury'!AV$63*'Statistics NZ'!AV$370)</f>
        <v>37607.396916680744</v>
      </c>
      <c r="AM41" s="111">
        <f>AL$41*'Population Treasury'!AX$63*'Statistics NZ'!AX$370/('Population Treasury'!AW$63*'Statistics NZ'!AW$370)</f>
        <v>38791.220551513135</v>
      </c>
      <c r="AN41" s="111">
        <f>AM$41*'Population Treasury'!AY$63*'Statistics NZ'!AY$370/('Population Treasury'!AX$63*'Statistics NZ'!AX$370)</f>
        <v>38644.043979257076</v>
      </c>
      <c r="AO41" s="111">
        <f>AN$41*'Population Treasury'!AZ$63*'Statistics NZ'!AZ$370/('Population Treasury'!AY$63*'Statistics NZ'!AY$370)</f>
        <v>39581.280584205691</v>
      </c>
      <c r="AP41" s="111">
        <f>AO$41*'Population Treasury'!BA$63*'Statistics NZ'!BA$370/('Population Treasury'!AZ$63*'Statistics NZ'!AZ$370)</f>
        <v>39513.439621577993</v>
      </c>
      <c r="AQ41" s="111">
        <f>AP$41*'Population Treasury'!BB$63*'Statistics NZ'!BB$370/('Population Treasury'!BA$63*'Statistics NZ'!BA$370)</f>
        <v>39428.698716828723</v>
      </c>
      <c r="AR41" s="111">
        <f>AQ$41*'Population Treasury'!BC$63*'Statistics NZ'!BC$370/('Population Treasury'!BB$63*'Statistics NZ'!BB$370)</f>
        <v>39349.50436944903</v>
      </c>
      <c r="AS41" s="111">
        <f>AR$41*'Population Treasury'!BD$63*'Statistics NZ'!BD$370/('Population Treasury'!BC$63*'Statistics NZ'!BC$370)</f>
        <v>38333.217891595137</v>
      </c>
      <c r="AT41" s="111">
        <f>AS$41*'Population Treasury'!BE$63*'Statistics NZ'!BE$370/('Population Treasury'!BD$63*'Statistics NZ'!BD$370)</f>
        <v>38390.602299020436</v>
      </c>
      <c r="AU41" s="111">
        <f>AT$41*'Population Treasury'!BF$63*'Statistics NZ'!BF$370/('Population Treasury'!BE$63*'Statistics NZ'!BE$370)</f>
        <v>38060.415143827071</v>
      </c>
      <c r="AV41" s="111">
        <f>AU$41*'Population Treasury'!BG$63*'Statistics NZ'!BG$370/('Population Treasury'!BF$63*'Statistics NZ'!BF$370)</f>
        <v>38284.184204107507</v>
      </c>
      <c r="AW41" s="111">
        <f>AV$41*'Population Treasury'!BH$63*'Statistics NZ'!BH$370/('Population Treasury'!BG$63*'Statistics NZ'!BG$370)</f>
        <v>37547.769261292604</v>
      </c>
      <c r="AX41" s="111">
        <f>AW$41*'Population Treasury'!BI$63*'Statistics NZ'!BI$370/('Population Treasury'!BH$63*'Statistics NZ'!BH$370)</f>
        <v>37160.072917312646</v>
      </c>
      <c r="AY41" s="111">
        <f>AX$41*'Population Treasury'!BJ$63*'Statistics NZ'!BJ$370/('Population Treasury'!BI$63*'Statistics NZ'!BI$370)</f>
        <v>37308.43172836813</v>
      </c>
      <c r="AZ41" s="111">
        <f>AY$41*'Population Treasury'!BK$63*'Statistics NZ'!BK$370/('Population Treasury'!BJ$63*'Statistics NZ'!BJ$370)</f>
        <v>36793.150724568652</v>
      </c>
      <c r="BA41" s="111">
        <f>AZ$41*'Population Treasury'!BL$63*'Statistics NZ'!BL$370/('Population Treasury'!BK$63*'Statistics NZ'!BK$370)</f>
        <v>36772.761509267926</v>
      </c>
      <c r="BB41" s="195">
        <f>BA$41*'Population Treasury'!BM$63*'Statistics NZ'!BM$370/('Population Treasury'!BL$63*'Statistics NZ'!BL$370)</f>
        <v>36714.757070832849</v>
      </c>
      <c r="BC41" s="195">
        <f>BB$41*'Population Treasury'!BN$63*'Statistics NZ'!BN$370/('Population Treasury'!BM$63*'Statistics NZ'!BM$370)</f>
        <v>36657.626410035249</v>
      </c>
      <c r="BD41" s="195">
        <f>BC$41*'Population Treasury'!BO$63*'Statistics NZ'!BO$370/('Population Treasury'!BN$63*'Statistics NZ'!BN$370)</f>
        <v>36768.941980506112</v>
      </c>
      <c r="BE41" s="195">
        <f>BD$41*'Population Treasury'!BP$63*'Statistics NZ'!BP$370/('Population Treasury'!BO$63*'Statistics NZ'!BO$370)</f>
        <v>36845.683462544315</v>
      </c>
      <c r="BF41" s="195">
        <f>BE$41*'Population Treasury'!BQ$63*'Statistics NZ'!BQ$370/('Population Treasury'!BP$63*'Statistics NZ'!BP$370)</f>
        <v>36899.064141766066</v>
      </c>
    </row>
    <row r="42" spans="1:58">
      <c r="A42" s="124">
        <v>47</v>
      </c>
      <c r="B42" s="118">
        <f>'Population Treasury'!M$64*'Statistics NZ'!M$371*'Economic Forecasts'!O$8/B$7</f>
        <v>28615.87263988634</v>
      </c>
      <c r="C42" s="118">
        <f>'Population Treasury'!N$64*'Statistics NZ'!N$371*'Economic Forecasts'!P$8/C$7</f>
        <v>30268.672925247392</v>
      </c>
      <c r="D42" s="118">
        <f>'Population Treasury'!O$64*'Statistics NZ'!O$371*'Economic Forecasts'!Q$8/D$7</f>
        <v>29896.485325836238</v>
      </c>
      <c r="E42" s="203">
        <f>'Population Treasury'!P$64*'Statistics NZ'!P$371*'Economic Forecasts'!R$8/E$7</f>
        <v>28828.74142514394</v>
      </c>
      <c r="F42" s="121">
        <f>'Population Treasury'!Q$64*'Statistics NZ'!Q$371*'Economic Forecasts'!S$8/F$7</f>
        <v>28485.890332897685</v>
      </c>
      <c r="G42" s="121">
        <f>'Population Treasury'!R$64*'Statistics NZ'!R$371*'Economic Forecasts'!T$8/G$7</f>
        <v>27814.033354169336</v>
      </c>
      <c r="H42" s="121">
        <f>'Population Treasury'!S$64*'Statistics NZ'!S$371*'Economic Forecasts'!U$8/H$7</f>
        <v>26959.461784648229</v>
      </c>
      <c r="I42" s="121">
        <f>'Population Treasury'!T$64*'Statistics NZ'!T$371*'Economic Forecasts'!V$8/I$7</f>
        <v>27301.944069094396</v>
      </c>
      <c r="J42" s="205">
        <f>'Population Treasury'!U$64*'Statistics NZ'!U$371*'Economic Forecasts'!W$8/J$7</f>
        <v>27435.403213287143</v>
      </c>
      <c r="K42" s="111">
        <f>J$42*'Population Treasury'!V$64*'Statistics NZ'!V$371/('Population Treasury'!U$64*'Statistics NZ'!U$371)</f>
        <v>28392.994358046053</v>
      </c>
      <c r="L42" s="111">
        <f>K$42*'Population Treasury'!W$64*'Statistics NZ'!W$371/('Population Treasury'!V$64*'Statistics NZ'!V$371)</f>
        <v>28821.811105334567</v>
      </c>
      <c r="M42" s="111">
        <f>L$42*'Population Treasury'!X$64*'Statistics NZ'!X$371/('Population Treasury'!W$64*'Statistics NZ'!W$371)</f>
        <v>29249.172101144552</v>
      </c>
      <c r="N42" s="111">
        <f>M$42*'Population Treasury'!Y$64*'Statistics NZ'!Y$371/('Population Treasury'!X$64*'Statistics NZ'!X$371)</f>
        <v>30311.991340325723</v>
      </c>
      <c r="O42" s="111">
        <f>N$42*'Population Treasury'!Z$64*'Statistics NZ'!Z$371/('Population Treasury'!Y$64*'Statistics NZ'!Y$371)</f>
        <v>31080.917729674227</v>
      </c>
      <c r="P42" s="111">
        <f>O$42*'Population Treasury'!AA$64*'Statistics NZ'!AA$371/('Population Treasury'!Z$64*'Statistics NZ'!Z$371)</f>
        <v>31857.907408114432</v>
      </c>
      <c r="Q42" s="111">
        <f>P$42*'Population Treasury'!AB$64*'Statistics NZ'!AB$371/('Population Treasury'!AA$64*'Statistics NZ'!AA$371)</f>
        <v>32636.954508042367</v>
      </c>
      <c r="R42" s="111">
        <f>Q$42*'Population Treasury'!AC$64*'Statistics NZ'!AC$371/('Population Treasury'!AB$64*'Statistics NZ'!AB$371)</f>
        <v>33243.576723788174</v>
      </c>
      <c r="S42" s="111">
        <f>R$42*'Population Treasury'!AD$64*'Statistics NZ'!AD$371/('Population Treasury'!AC$64*'Statistics NZ'!AC$371)</f>
        <v>34070.425834907954</v>
      </c>
      <c r="T42" s="111">
        <f>S$42*'Population Treasury'!AE$64*'Statistics NZ'!AE$371/('Population Treasury'!AD$64*'Statistics NZ'!AD$371)</f>
        <v>36397.740819543797</v>
      </c>
      <c r="U42" s="111">
        <f>T$42*'Population Treasury'!AF$64*'Statistics NZ'!AF$371/('Population Treasury'!AE$64*'Statistics NZ'!AE$371)</f>
        <v>36739.609574923248</v>
      </c>
      <c r="V42" s="111">
        <f>U$42*'Population Treasury'!AG$64*'Statistics NZ'!AG$371/('Population Treasury'!AF$64*'Statistics NZ'!AF$371)</f>
        <v>38323.779707689711</v>
      </c>
      <c r="W42" s="111">
        <f>V$42*'Population Treasury'!AH$64*'Statistics NZ'!AH$371/('Population Treasury'!AG$64*'Statistics NZ'!AG$371)</f>
        <v>38895.682937909238</v>
      </c>
      <c r="X42" s="111">
        <f>W$42*'Population Treasury'!AI$64*'Statistics NZ'!AI$371/('Population Treasury'!AH$64*'Statistics NZ'!AH$371)</f>
        <v>38587.449534415115</v>
      </c>
      <c r="Y42" s="111">
        <f>X$42*'Population Treasury'!AJ$64*'Statistics NZ'!AJ$371/('Population Treasury'!AI$64*'Statistics NZ'!AI$371)</f>
        <v>37938.355615933251</v>
      </c>
      <c r="Z42" s="111">
        <f>Y$42*'Population Treasury'!AK$64*'Statistics NZ'!AK$371/('Population Treasury'!AJ$64*'Statistics NZ'!AJ$371)</f>
        <v>36850.439687794526</v>
      </c>
      <c r="AA42" s="111">
        <f>Z$42*'Population Treasury'!AL$64*'Statistics NZ'!AL$371/('Population Treasury'!AK$64*'Statistics NZ'!AK$371)</f>
        <v>36652.96935208467</v>
      </c>
      <c r="AB42" s="111">
        <f>AA$42*'Population Treasury'!AM$64*'Statistics NZ'!AM$371/('Population Treasury'!AL$64*'Statistics NZ'!AL$371)</f>
        <v>36332.40401217786</v>
      </c>
      <c r="AC42" s="111">
        <f>AB$42*'Population Treasury'!AN$64*'Statistics NZ'!AN$371/('Population Treasury'!AM$64*'Statistics NZ'!AM$371)</f>
        <v>36013.753828158733</v>
      </c>
      <c r="AD42" s="111">
        <f>AC$42*'Population Treasury'!AO$64*'Statistics NZ'!AO$371/('Population Treasury'!AN$64*'Statistics NZ'!AN$371)</f>
        <v>35994.75757050611</v>
      </c>
      <c r="AE42" s="111">
        <f>AD$42*'Population Treasury'!AP$64*'Statistics NZ'!AP$371/('Population Treasury'!AO$64*'Statistics NZ'!AO$371)</f>
        <v>35471.529071668308</v>
      </c>
      <c r="AF42" s="111">
        <f>AE$42*'Population Treasury'!AQ$64*'Statistics NZ'!AQ$371/('Population Treasury'!AP$64*'Statistics NZ'!AP$371)</f>
        <v>36190.939955265174</v>
      </c>
      <c r="AG42" s="111">
        <f>AF$42*'Population Treasury'!AR$64*'Statistics NZ'!AR$371/('Population Treasury'!AQ$64*'Statistics NZ'!AQ$371)</f>
        <v>35865.829639513366</v>
      </c>
      <c r="AH42" s="111">
        <f>AG$42*'Population Treasury'!AS$64*'Statistics NZ'!AS$371/('Population Treasury'!AR$64*'Statistics NZ'!AR$371)</f>
        <v>35006.79956793772</v>
      </c>
      <c r="AI42" s="111">
        <f>AH$42*'Population Treasury'!AT$64*'Statistics NZ'!AT$371/('Population Treasury'!AS$64*'Statistics NZ'!AS$371)</f>
        <v>34694.738578175733</v>
      </c>
      <c r="AJ42" s="111">
        <f>AI$42*'Population Treasury'!AU$64*'Statistics NZ'!AU$371/('Population Treasury'!AT$64*'Statistics NZ'!AT$371)</f>
        <v>35446.16256826387</v>
      </c>
      <c r="AK42" s="111">
        <f>AJ$42*'Population Treasury'!AV$64*'Statistics NZ'!AV$371/('Population Treasury'!AU$64*'Statistics NZ'!AU$371)</f>
        <v>35592.065259871859</v>
      </c>
      <c r="AL42" s="111">
        <f>AK$42*'Population Treasury'!AW$64*'Statistics NZ'!AW$371/('Population Treasury'!AV$64*'Statistics NZ'!AV$371)</f>
        <v>36333.244872429779</v>
      </c>
      <c r="AM42" s="111">
        <f>AL$42*'Population Treasury'!AX$64*'Statistics NZ'!AX$371/('Population Treasury'!AW$64*'Statistics NZ'!AW$371)</f>
        <v>37745.729698735508</v>
      </c>
      <c r="AN42" s="111">
        <f>AM$42*'Population Treasury'!AY$64*'Statistics NZ'!AY$371/('Population Treasury'!AX$64*'Statistics NZ'!AX$371)</f>
        <v>38929.205637276013</v>
      </c>
      <c r="AO42" s="111">
        <f>AN$42*'Population Treasury'!AZ$64*'Statistics NZ'!AZ$371/('Population Treasury'!AY$64*'Statistics NZ'!AY$371)</f>
        <v>38794.836246760191</v>
      </c>
      <c r="AP42" s="111">
        <f>AO$42*'Population Treasury'!BA$64*'Statistics NZ'!BA$371/('Population Treasury'!AZ$64*'Statistics NZ'!AZ$371)</f>
        <v>39730.827754351572</v>
      </c>
      <c r="AQ42" s="111">
        <f>AP$42*'Population Treasury'!BB$64*'Statistics NZ'!BB$371/('Population Treasury'!BA$64*'Statistics NZ'!BA$371)</f>
        <v>39676.923762870741</v>
      </c>
      <c r="AR42" s="111">
        <f>AQ$42*'Population Treasury'!BC$64*'Statistics NZ'!BC$371/('Population Treasury'!BB$64*'Statistics NZ'!BB$371)</f>
        <v>39571.432729804321</v>
      </c>
      <c r="AS42" s="111">
        <f>AR$42*'Population Treasury'!BD$64*'Statistics NZ'!BD$371/('Population Treasury'!BC$64*'Statistics NZ'!BC$371)</f>
        <v>39493.865857144767</v>
      </c>
      <c r="AT42" s="111">
        <f>AS$42*'Population Treasury'!BE$64*'Statistics NZ'!BE$371/('Population Treasury'!BD$64*'Statistics NZ'!BD$371)</f>
        <v>38477.503352992033</v>
      </c>
      <c r="AU42" s="111">
        <f>AT$42*'Population Treasury'!BF$64*'Statistics NZ'!BF$371/('Population Treasury'!BE$64*'Statistics NZ'!BE$371)</f>
        <v>38535.501207168883</v>
      </c>
      <c r="AV42" s="111">
        <f>AU$42*'Population Treasury'!BG$64*'Statistics NZ'!BG$371/('Population Treasury'!BF$64*'Statistics NZ'!BF$371)</f>
        <v>38203.759597561846</v>
      </c>
      <c r="AW42" s="111">
        <f>AV$42*'Population Treasury'!BH$64*'Statistics NZ'!BH$371/('Population Treasury'!BG$64*'Statistics NZ'!BG$371)</f>
        <v>38435.473206147522</v>
      </c>
      <c r="AX42" s="111">
        <f>AW$42*'Population Treasury'!BI$64*'Statistics NZ'!BI$371/('Population Treasury'!BH$64*'Statistics NZ'!BH$371)</f>
        <v>37692.881209526669</v>
      </c>
      <c r="AY42" s="111">
        <f>AX$42*'Population Treasury'!BJ$64*'Statistics NZ'!BJ$371/('Population Treasury'!BI$64*'Statistics NZ'!BI$371)</f>
        <v>37303.204851439848</v>
      </c>
      <c r="AZ42" s="111">
        <f>AY$42*'Population Treasury'!BK$64*'Statistics NZ'!BK$371/('Population Treasury'!BJ$64*'Statistics NZ'!BJ$371)</f>
        <v>37459.378372920772</v>
      </c>
      <c r="BA42" s="111">
        <f>AZ$42*'Population Treasury'!BL$64*'Statistics NZ'!BL$371/('Population Treasury'!BK$64*'Statistics NZ'!BK$371)</f>
        <v>36930.861805165914</v>
      </c>
      <c r="BB42" s="195">
        <f>BA$42*'Population Treasury'!BM$64*'Statistics NZ'!BM$371/('Population Treasury'!BL$64*'Statistics NZ'!BL$371)</f>
        <v>36909.291586046849</v>
      </c>
      <c r="BC42" s="195">
        <f>BB$42*'Population Treasury'!BN$64*'Statistics NZ'!BN$371/('Population Treasury'!BM$64*'Statistics NZ'!BM$371)</f>
        <v>36859.570115921124</v>
      </c>
      <c r="BD42" s="195">
        <f>BC$42*'Population Treasury'!BO$64*'Statistics NZ'!BO$371/('Population Treasury'!BN$64*'Statistics NZ'!BN$371)</f>
        <v>36801.869772128346</v>
      </c>
      <c r="BE42" s="195">
        <f>BD$42*'Population Treasury'!BP$64*'Statistics NZ'!BP$371/('Population Treasury'!BO$64*'Statistics NZ'!BO$371)</f>
        <v>36913.653337978918</v>
      </c>
      <c r="BF42" s="195">
        <f>BE$42*'Population Treasury'!BQ$64*'Statistics NZ'!BQ$371/('Population Treasury'!BP$64*'Statistics NZ'!BP$371)</f>
        <v>36991.005605890867</v>
      </c>
    </row>
    <row r="43" spans="1:58">
      <c r="A43" s="124">
        <v>48</v>
      </c>
      <c r="B43" s="118">
        <f>'Population Treasury'!M$65*'Statistics NZ'!M$372*'Economic Forecasts'!O$8/B$7</f>
        <v>28707.851895580647</v>
      </c>
      <c r="C43" s="118">
        <f>'Population Treasury'!N$65*'Statistics NZ'!N$372*'Economic Forecasts'!P$8/C$7</f>
        <v>29135.03680503312</v>
      </c>
      <c r="D43" s="118">
        <f>'Population Treasury'!O$65*'Statistics NZ'!O$372*'Economic Forecasts'!Q$8/D$7</f>
        <v>30245.760868090008</v>
      </c>
      <c r="E43" s="203">
        <f>'Population Treasury'!P$65*'Statistics NZ'!P$372*'Economic Forecasts'!R$8/E$7</f>
        <v>29898.513313830179</v>
      </c>
      <c r="F43" s="121">
        <f>'Population Treasury'!Q$65*'Statistics NZ'!Q$372*'Economic Forecasts'!S$8/F$7</f>
        <v>29117.957905133462</v>
      </c>
      <c r="G43" s="121">
        <f>'Population Treasury'!R$65*'Statistics NZ'!R$372*'Economic Forecasts'!T$8/G$7</f>
        <v>28905.463742636544</v>
      </c>
      <c r="H43" s="121">
        <f>'Population Treasury'!S$65*'Statistics NZ'!S$372*'Economic Forecasts'!U$8/H$7</f>
        <v>28120.634821217569</v>
      </c>
      <c r="I43" s="121">
        <f>'Population Treasury'!T$65*'Statistics NZ'!T$372*'Economic Forecasts'!V$8/I$7</f>
        <v>27114.975641452998</v>
      </c>
      <c r="J43" s="205">
        <f>'Population Treasury'!U$65*'Statistics NZ'!U$372*'Economic Forecasts'!W$8/J$7</f>
        <v>27461.138027890323</v>
      </c>
      <c r="K43" s="111">
        <f>J$43*'Population Treasury'!V$65*'Statistics NZ'!V$372/('Population Treasury'!U$65*'Statistics NZ'!U$372)</f>
        <v>27474.959753422707</v>
      </c>
      <c r="L43" s="111">
        <f>K$43*'Population Treasury'!W$65*'Statistics NZ'!W$372/('Population Treasury'!V$65*'Statistics NZ'!V$372)</f>
        <v>28429.599848111047</v>
      </c>
      <c r="M43" s="111">
        <f>L$43*'Population Treasury'!X$65*'Statistics NZ'!X$372/('Population Treasury'!W$65*'Statistics NZ'!W$372)</f>
        <v>28856.606529296485</v>
      </c>
      <c r="N43" s="111">
        <f>M$43*'Population Treasury'!Y$65*'Statistics NZ'!Y$372/('Population Treasury'!X$65*'Statistics NZ'!X$372)</f>
        <v>29279.557528253383</v>
      </c>
      <c r="O43" s="111">
        <f>N$43*'Population Treasury'!Z$65*'Statistics NZ'!Z$372/('Population Treasury'!Y$65*'Statistics NZ'!Y$372)</f>
        <v>30319.960051899943</v>
      </c>
      <c r="P43" s="111">
        <f>O$43*'Population Treasury'!AA$65*'Statistics NZ'!AA$372/('Population Treasury'!Z$65*'Statistics NZ'!Z$372)</f>
        <v>31086.333318829344</v>
      </c>
      <c r="Q43" s="111">
        <f>P$43*'Population Treasury'!AB$65*'Statistics NZ'!AB$372/('Population Treasury'!AA$65*'Statistics NZ'!AA$372)</f>
        <v>31851.227715529214</v>
      </c>
      <c r="R43" s="111">
        <f>Q$43*'Population Treasury'!AC$65*'Statistics NZ'!AC$372/('Population Treasury'!AB$65*'Statistics NZ'!AB$372)</f>
        <v>32625.68045374113</v>
      </c>
      <c r="S43" s="111">
        <f>R$43*'Population Treasury'!AD$65*'Statistics NZ'!AD$372/('Population Treasury'!AC$65*'Statistics NZ'!AC$372)</f>
        <v>33229.834485242951</v>
      </c>
      <c r="T43" s="111">
        <f>S$43*'Population Treasury'!AE$65*'Statistics NZ'!AE$372/('Population Treasury'!AD$65*'Statistics NZ'!AD$372)</f>
        <v>34056.220293566141</v>
      </c>
      <c r="U43" s="111">
        <f>T$43*'Population Treasury'!AF$65*'Statistics NZ'!AF$372/('Population Treasury'!AE$65*'Statistics NZ'!AE$372)</f>
        <v>36363.915066399073</v>
      </c>
      <c r="V43" s="111">
        <f>U$43*'Population Treasury'!AG$65*'Statistics NZ'!AG$372/('Population Treasury'!AF$65*'Statistics NZ'!AF$372)</f>
        <v>36725.120095731108</v>
      </c>
      <c r="W43" s="111">
        <f>V$43*'Population Treasury'!AH$65*'Statistics NZ'!AH$372/('Population Treasury'!AG$65*'Statistics NZ'!AG$372)</f>
        <v>38308.700217208505</v>
      </c>
      <c r="X43" s="111">
        <f>W$43*'Population Treasury'!AI$65*'Statistics NZ'!AI$372/('Population Treasury'!AH$65*'Statistics NZ'!AH$372)</f>
        <v>38868.818544419541</v>
      </c>
      <c r="Y43" s="111">
        <f>X$43*'Population Treasury'!AJ$65*'Statistics NZ'!AJ$372/('Population Treasury'!AI$65*'Statistics NZ'!AI$372)</f>
        <v>38560.841769659994</v>
      </c>
      <c r="Z43" s="111">
        <f>Y$43*'Population Treasury'!AK$65*'Statistics NZ'!AK$372/('Population Treasury'!AJ$65*'Statistics NZ'!AJ$372)</f>
        <v>37911.122271675726</v>
      </c>
      <c r="AA43" s="111">
        <f>Z$43*'Population Treasury'!AL$65*'Statistics NZ'!AL$372/('Population Treasury'!AK$65*'Statistics NZ'!AK$372)</f>
        <v>36821.846574219941</v>
      </c>
      <c r="AB43" s="111">
        <f>AA$43*'Population Treasury'!AM$65*'Statistics NZ'!AM$372/('Population Treasury'!AL$65*'Statistics NZ'!AL$372)</f>
        <v>36624.534213846418</v>
      </c>
      <c r="AC43" s="111">
        <f>AB$43*'Population Treasury'!AN$65*'Statistics NZ'!AN$372/('Population Treasury'!AM$65*'Statistics NZ'!AM$372)</f>
        <v>36285.895802952538</v>
      </c>
      <c r="AD43" s="111">
        <f>AC$43*'Population Treasury'!AO$65*'Statistics NZ'!AO$372/('Population Treasury'!AN$65*'Statistics NZ'!AN$372)</f>
        <v>35966.079544776956</v>
      </c>
      <c r="AE43" s="111">
        <f>AD$43*'Population Treasury'!AP$65*'Statistics NZ'!AP$372/('Population Treasury'!AO$65*'Statistics NZ'!AO$372)</f>
        <v>35938.154476878626</v>
      </c>
      <c r="AF43" s="111">
        <f>AE$43*'Population Treasury'!AQ$65*'Statistics NZ'!AQ$372/('Population Treasury'!AP$65*'Statistics NZ'!AP$372)</f>
        <v>35415.211192685187</v>
      </c>
      <c r="AG43" s="111">
        <f>AF$43*'Population Treasury'!AR$65*'Statistics NZ'!AR$372/('Population Treasury'!AQ$65*'Statistics NZ'!AQ$372)</f>
        <v>36143.862611862962</v>
      </c>
      <c r="AH43" s="111">
        <f>AG$43*'Population Treasury'!AS$65*'Statistics NZ'!AS$372/('Population Treasury'!AR$65*'Statistics NZ'!AR$372)</f>
        <v>35818.953125175045</v>
      </c>
      <c r="AI43" s="111">
        <f>AH$43*'Population Treasury'!AT$65*'Statistics NZ'!AT$372/('Population Treasury'!AS$65*'Statistics NZ'!AS$372)</f>
        <v>34960.190650698183</v>
      </c>
      <c r="AJ43" s="111">
        <f>AI$43*'Population Treasury'!AU$65*'Statistics NZ'!AU$372/('Population Treasury'!AT$65*'Statistics NZ'!AT$372)</f>
        <v>34649.440701376538</v>
      </c>
      <c r="AK43" s="111">
        <f>AJ$43*'Population Treasury'!AV$65*'Statistics NZ'!AV$372/('Population Treasury'!AU$65*'Statistics NZ'!AU$372)</f>
        <v>35399.697197493915</v>
      </c>
      <c r="AL43" s="111">
        <f>AK$43*'Population Treasury'!AW$65*'Statistics NZ'!AW$372/('Population Treasury'!AV$65*'Statistics NZ'!AV$372)</f>
        <v>35545.729607733498</v>
      </c>
      <c r="AM43" s="111">
        <f>AL$43*'Population Treasury'!AX$65*'Statistics NZ'!AX$372/('Population Treasury'!AW$65*'Statistics NZ'!AW$372)</f>
        <v>36286.930890496005</v>
      </c>
      <c r="AN43" s="111">
        <f>AM$43*'Population Treasury'!AY$65*'Statistics NZ'!AY$372/('Population Treasury'!AX$65*'Statistics NZ'!AX$372)</f>
        <v>37699.449113386661</v>
      </c>
      <c r="AO43" s="111">
        <f>AN$43*'Population Treasury'!AZ$65*'Statistics NZ'!AZ$372/('Population Treasury'!AY$65*'Statistics NZ'!AY$372)</f>
        <v>38882.886590868038</v>
      </c>
      <c r="AP43" s="111">
        <f>AO$43*'Population Treasury'!BA$65*'Statistics NZ'!BA$372/('Population Treasury'!AZ$65*'Statistics NZ'!AZ$372)</f>
        <v>38748.613079583673</v>
      </c>
      <c r="AQ43" s="111">
        <f>AP$43*'Population Treasury'!BB$65*'Statistics NZ'!BB$372/('Population Treasury'!BA$65*'Statistics NZ'!BA$372)</f>
        <v>39674.106452167965</v>
      </c>
      <c r="AR43" s="111">
        <f>AQ$43*'Population Treasury'!BC$65*'Statistics NZ'!BC$372/('Population Treasury'!BB$65*'Statistics NZ'!BB$372)</f>
        <v>39620.277938692903</v>
      </c>
      <c r="AS43" s="111">
        <f>AR$43*'Population Treasury'!BD$65*'Statistics NZ'!BD$372/('Population Treasury'!BC$65*'Statistics NZ'!BC$372)</f>
        <v>39525.610511662511</v>
      </c>
      <c r="AT43" s="111">
        <f>AS$43*'Population Treasury'!BE$65*'Statistics NZ'!BE$372/('Population Treasury'!BD$65*'Statistics NZ'!BD$372)</f>
        <v>39437.380836626719</v>
      </c>
      <c r="AU43" s="111">
        <f>AT$43*'Population Treasury'!BF$65*'Statistics NZ'!BF$372/('Population Treasury'!BE$65*'Statistics NZ'!BE$372)</f>
        <v>38442.410090153833</v>
      </c>
      <c r="AV43" s="111">
        <f>AU$43*'Population Treasury'!BG$65*'Statistics NZ'!BG$372/('Population Treasury'!BF$65*'Statistics NZ'!BF$372)</f>
        <v>38500.475689032835</v>
      </c>
      <c r="AW43" s="111">
        <f>AV$43*'Population Treasury'!BH$65*'Statistics NZ'!BH$372/('Population Treasury'!BG$65*'Statistics NZ'!BG$372)</f>
        <v>38156.445360351427</v>
      </c>
      <c r="AX43" s="111">
        <f>AW$43*'Population Treasury'!BI$65*'Statistics NZ'!BI$372/('Population Treasury'!BH$65*'Statistics NZ'!BH$372)</f>
        <v>38390.912734451762</v>
      </c>
      <c r="AY43" s="111">
        <f>AX$43*'Population Treasury'!BJ$65*'Statistics NZ'!BJ$372/('Population Treasury'!BI$65*'Statistics NZ'!BI$372)</f>
        <v>37636.011136791538</v>
      </c>
      <c r="AZ43" s="111">
        <f>AY$43*'Population Treasury'!BK$65*'Statistics NZ'!BK$372/('Population Treasury'!BJ$65*'Statistics NZ'!BJ$372)</f>
        <v>37255.367280747851</v>
      </c>
      <c r="BA43" s="111">
        <f>AZ$43*'Population Treasury'!BL$65*'Statistics NZ'!BL$372/('Population Treasury'!BK$65*'Statistics NZ'!BK$372)</f>
        <v>37411.4776032144</v>
      </c>
      <c r="BB43" s="195">
        <f>BA$43*'Population Treasury'!BM$65*'Statistics NZ'!BM$372/('Population Treasury'!BL$65*'Statistics NZ'!BL$372)</f>
        <v>36882.797547992886</v>
      </c>
      <c r="BC43" s="195">
        <f>BB$43*'Population Treasury'!BN$65*'Statistics NZ'!BN$372/('Population Treasury'!BM$65*'Statistics NZ'!BM$372)</f>
        <v>36861.173206138505</v>
      </c>
      <c r="BD43" s="195">
        <f>BC$43*'Population Treasury'!BO$65*'Statistics NZ'!BO$372/('Population Treasury'!BN$65*'Statistics NZ'!BN$372)</f>
        <v>36811.416656447698</v>
      </c>
      <c r="BE43" s="195">
        <f>BD$43*'Population Treasury'!BP$65*'Statistics NZ'!BP$372/('Population Treasury'!BO$65*'Statistics NZ'!BO$372)</f>
        <v>36764.513391821776</v>
      </c>
      <c r="BF43" s="195">
        <f>BE$43*'Population Treasury'!BQ$65*'Statistics NZ'!BQ$372/('Population Treasury'!BP$65*'Statistics NZ'!BP$372)</f>
        <v>36865.496445890305</v>
      </c>
    </row>
    <row r="44" spans="1:58">
      <c r="A44" s="124">
        <v>49</v>
      </c>
      <c r="B44" s="118">
        <f>'Population Treasury'!M$66*'Statistics NZ'!M$373*'Economic Forecasts'!O$8/B$7</f>
        <v>28242.977772506154</v>
      </c>
      <c r="C44" s="118">
        <f>'Population Treasury'!N$66*'Statistics NZ'!N$373*'Economic Forecasts'!P$8/C$7</f>
        <v>29209.600110751871</v>
      </c>
      <c r="D44" s="118">
        <f>'Population Treasury'!O$66*'Statistics NZ'!O$373*'Economic Forecasts'!Q$8/D$7</f>
        <v>28951.436973918277</v>
      </c>
      <c r="E44" s="203">
        <f>'Population Treasury'!P$66*'Statistics NZ'!P$373*'Economic Forecasts'!R$8/E$7</f>
        <v>30250.314434999411</v>
      </c>
      <c r="F44" s="121">
        <f>'Population Treasury'!Q$66*'Statistics NZ'!Q$373*'Economic Forecasts'!S$8/F$7</f>
        <v>30131.622923531177</v>
      </c>
      <c r="G44" s="121">
        <f>'Population Treasury'!R$66*'Statistics NZ'!R$373*'Economic Forecasts'!T$8/G$7</f>
        <v>29472.488321180252</v>
      </c>
      <c r="H44" s="121">
        <f>'Population Treasury'!S$66*'Statistics NZ'!S$373*'Economic Forecasts'!U$8/H$7</f>
        <v>29163.466570686331</v>
      </c>
      <c r="I44" s="121">
        <f>'Population Treasury'!T$66*'Statistics NZ'!T$373*'Economic Forecasts'!V$8/I$7</f>
        <v>28207.592367065768</v>
      </c>
      <c r="J44" s="205">
        <f>'Population Treasury'!U$66*'Statistics NZ'!U$373*'Economic Forecasts'!W$8/J$7</f>
        <v>27182.289487175221</v>
      </c>
      <c r="K44" s="111">
        <f>J$44*'Population Treasury'!V$66*'Statistics NZ'!V$373/('Population Treasury'!U$66*'Statistics NZ'!U$373)</f>
        <v>27429.371648869423</v>
      </c>
      <c r="L44" s="111">
        <f>K$44*'Population Treasury'!W$66*'Statistics NZ'!W$373/('Population Treasury'!V$66*'Statistics NZ'!V$373)</f>
        <v>27429.632484018162</v>
      </c>
      <c r="M44" s="111">
        <f>L$44*'Population Treasury'!X$66*'Statistics NZ'!X$373/('Population Treasury'!W$66*'Statistics NZ'!W$373)</f>
        <v>28370.736338919589</v>
      </c>
      <c r="N44" s="111">
        <f>M$44*'Population Treasury'!Y$66*'Statistics NZ'!Y$373/('Population Treasury'!X$66*'Statistics NZ'!X$373)</f>
        <v>28795.10594999187</v>
      </c>
      <c r="O44" s="111">
        <f>N$44*'Population Treasury'!Z$66*'Statistics NZ'!Z$373/('Population Treasury'!Y$66*'Statistics NZ'!Y$373)</f>
        <v>29204.444878151444</v>
      </c>
      <c r="P44" s="111">
        <f>O$44*'Population Treasury'!AA$66*'Statistics NZ'!AA$373/('Population Treasury'!Z$66*'Statistics NZ'!Z$373)</f>
        <v>30242.147148473898</v>
      </c>
      <c r="Q44" s="111">
        <f>P$44*'Population Treasury'!AB$66*'Statistics NZ'!AB$373/('Population Treasury'!AA$66*'Statistics NZ'!AA$373)</f>
        <v>31005.817775409356</v>
      </c>
      <c r="R44" s="111">
        <f>Q$44*'Population Treasury'!AC$66*'Statistics NZ'!AC$373/('Population Treasury'!AB$66*'Statistics NZ'!AB$373)</f>
        <v>31757.548744631356</v>
      </c>
      <c r="S44" s="111">
        <f>R$44*'Population Treasury'!AD$66*'Statistics NZ'!AD$373/('Population Treasury'!AC$66*'Statistics NZ'!AC$373)</f>
        <v>32517.941924237144</v>
      </c>
      <c r="T44" s="111">
        <f>S$44*'Population Treasury'!AE$66*'Statistics NZ'!AE$373/('Population Treasury'!AD$66*'Statistics NZ'!AD$373)</f>
        <v>33121.95321550464</v>
      </c>
      <c r="U44" s="111">
        <f>T$44*'Population Treasury'!AF$66*'Statistics NZ'!AF$373/('Population Treasury'!AE$66*'Statistics NZ'!AE$373)</f>
        <v>33937.616426535169</v>
      </c>
      <c r="V44" s="111">
        <f>U$44*'Population Treasury'!AG$66*'Statistics NZ'!AG$373/('Population Treasury'!AF$66*'Statistics NZ'!AF$373)</f>
        <v>36254.605478799378</v>
      </c>
      <c r="W44" s="111">
        <f>V$44*'Population Treasury'!AH$66*'Statistics NZ'!AH$373/('Population Treasury'!AG$66*'Statistics NZ'!AG$373)</f>
        <v>36585.32860175892</v>
      </c>
      <c r="X44" s="111">
        <f>W$44*'Population Treasury'!AI$66*'Statistics NZ'!AI$373/('Population Treasury'!AH$66*'Statistics NZ'!AH$373)</f>
        <v>38159.883615121762</v>
      </c>
      <c r="Y44" s="111">
        <f>X$44*'Population Treasury'!AJ$66*'Statistics NZ'!AJ$373/('Population Treasury'!AI$66*'Statistics NZ'!AI$373)</f>
        <v>38719.873706088132</v>
      </c>
      <c r="Z44" s="111">
        <f>Y$44*'Population Treasury'!AK$66*'Statistics NZ'!AK$373/('Population Treasury'!AJ$66*'Statistics NZ'!AJ$373)</f>
        <v>38402.296298886875</v>
      </c>
      <c r="AA44" s="111">
        <f>Z$44*'Population Treasury'!AL$66*'Statistics NZ'!AL$373/('Population Treasury'!AK$66*'Statistics NZ'!AK$373)</f>
        <v>37762.629749054831</v>
      </c>
      <c r="AB44" s="111">
        <f>AA$44*'Population Treasury'!AM$66*'Statistics NZ'!AM$373/('Population Treasury'!AL$66*'Statistics NZ'!AL$373)</f>
        <v>36673.456918680989</v>
      </c>
      <c r="AC44" s="111">
        <f>AB$44*'Population Treasury'!AN$66*'Statistics NZ'!AN$373/('Population Treasury'!AM$66*'Statistics NZ'!AM$373)</f>
        <v>36475.816377298397</v>
      </c>
      <c r="AD44" s="111">
        <f>AC$44*'Population Treasury'!AO$66*'Statistics NZ'!AO$373/('Population Treasury'!AN$66*'Statistics NZ'!AN$373)</f>
        <v>36136.104532667276</v>
      </c>
      <c r="AE44" s="111">
        <f>AD$44*'Population Treasury'!AP$66*'Statistics NZ'!AP$373/('Population Treasury'!AO$66*'Statistics NZ'!AO$373)</f>
        <v>35815.846305852669</v>
      </c>
      <c r="AF44" s="111">
        <f>AE$44*'Population Treasury'!AQ$66*'Statistics NZ'!AQ$373/('Population Treasury'!AP$66*'Statistics NZ'!AP$373)</f>
        <v>35796.284432446948</v>
      </c>
      <c r="AG44" s="111">
        <f>AF$44*'Population Treasury'!AR$66*'Statistics NZ'!AR$373/('Population Treasury'!AQ$66*'Statistics NZ'!AQ$373)</f>
        <v>35272.103921788796</v>
      </c>
      <c r="AH44" s="111">
        <f>AG$44*'Population Treasury'!AS$66*'Statistics NZ'!AS$373/('Population Treasury'!AR$66*'Statistics NZ'!AR$373)</f>
        <v>35980.121364354207</v>
      </c>
      <c r="AI44" s="111">
        <f>AH$44*'Population Treasury'!AT$66*'Statistics NZ'!AT$373/('Population Treasury'!AS$66*'Statistics NZ'!AS$373)</f>
        <v>35654.181092430037</v>
      </c>
      <c r="AJ44" s="111">
        <f>AI$44*'Population Treasury'!AU$66*'Statistics NZ'!AU$373/('Population Treasury'!AT$66*'Statistics NZ'!AT$373)</f>
        <v>34793.065535630609</v>
      </c>
      <c r="AK44" s="111">
        <f>AJ$44*'Population Treasury'!AV$66*'Statistics NZ'!AV$373/('Population Treasury'!AU$66*'Statistics NZ'!AU$373)</f>
        <v>34492.457940509084</v>
      </c>
      <c r="AL44" s="111">
        <f>AK$44*'Population Treasury'!AW$66*'Statistics NZ'!AW$373/('Population Treasury'!AV$66*'Statistics NZ'!AV$373)</f>
        <v>35231.77006715638</v>
      </c>
      <c r="AM44" s="111">
        <f>AL$44*'Population Treasury'!AX$66*'Statistics NZ'!AX$373/('Population Treasury'!AW$66*'Statistics NZ'!AW$373)</f>
        <v>35377.070908126268</v>
      </c>
      <c r="AN44" s="111">
        <f>AM$44*'Population Treasury'!AY$66*'Statistics NZ'!AY$373/('Population Treasury'!AX$66*'Statistics NZ'!AX$373)</f>
        <v>36128.58501292664</v>
      </c>
      <c r="AO44" s="111">
        <f>AN$44*'Population Treasury'!AZ$66*'Statistics NZ'!AZ$373/('Population Treasury'!AY$66*'Statistics NZ'!AY$373)</f>
        <v>37540.92901264134</v>
      </c>
      <c r="AP44" s="111">
        <f>AO$44*'Population Treasury'!BA$66*'Statistics NZ'!BA$373/('Population Treasury'!AZ$66*'Statistics NZ'!AZ$373)</f>
        <v>38714.120759632649</v>
      </c>
      <c r="AQ44" s="111">
        <f>AP$44*'Population Treasury'!BB$66*'Statistics NZ'!BB$373/('Population Treasury'!BA$66*'Statistics NZ'!BA$373)</f>
        <v>38567.47451441695</v>
      </c>
      <c r="AR44" s="111">
        <f>AQ$44*'Population Treasury'!BC$66*'Statistics NZ'!BC$373/('Population Treasury'!BB$66*'Statistics NZ'!BB$373)</f>
        <v>39515.222797078364</v>
      </c>
      <c r="AS44" s="111">
        <f>AR$44*'Population Treasury'!BD$66*'Statistics NZ'!BD$373/('Population Treasury'!BC$66*'Statistics NZ'!BC$373)</f>
        <v>39448.50606022367</v>
      </c>
      <c r="AT44" s="111">
        <f>AS$44*'Population Treasury'!BE$66*'Statistics NZ'!BE$373/('Population Treasury'!BD$66*'Statistics NZ'!BD$373)</f>
        <v>39354.154325697818</v>
      </c>
      <c r="AU44" s="111">
        <f>AT$44*'Population Treasury'!BF$66*'Statistics NZ'!BF$373/('Population Treasury'!BE$66*'Statistics NZ'!BE$373)</f>
        <v>39274.23198891538</v>
      </c>
      <c r="AV44" s="111">
        <f>AU$44*'Population Treasury'!BG$66*'Statistics NZ'!BG$373/('Population Treasury'!BF$66*'Statistics NZ'!BF$373)</f>
        <v>38270.083176359993</v>
      </c>
      <c r="AW44" s="111">
        <f>AV$44*'Population Treasury'!BH$66*'Statistics NZ'!BH$373/('Population Treasury'!BG$66*'Statistics NZ'!BG$373)</f>
        <v>38327.79920343111</v>
      </c>
      <c r="AX44" s="111">
        <f>AW$44*'Population Treasury'!BI$66*'Statistics NZ'!BI$373/('Population Treasury'!BH$66*'Statistics NZ'!BH$373)</f>
        <v>37995.392718882489</v>
      </c>
      <c r="AY44" s="111">
        <f>AX$44*'Population Treasury'!BJ$66*'Statistics NZ'!BJ$373/('Population Treasury'!BI$66*'Statistics NZ'!BI$373)</f>
        <v>38229.024895192175</v>
      </c>
      <c r="AZ44" s="111">
        <f>AY$44*'Population Treasury'!BK$66*'Statistics NZ'!BK$373/('Population Treasury'!BJ$66*'Statistics NZ'!BJ$373)</f>
        <v>37477.6171143963</v>
      </c>
      <c r="BA44" s="111">
        <f>AZ$44*'Population Treasury'!BL$66*'Statistics NZ'!BL$373/('Population Treasury'!BK$66*'Statistics NZ'!BK$373)</f>
        <v>37109.337336621895</v>
      </c>
      <c r="BB44" s="195">
        <f>BA$44*'Population Treasury'!BM$66*'Statistics NZ'!BM$373/('Population Treasury'!BL$66*'Statistics NZ'!BL$373)</f>
        <v>37246.916072441163</v>
      </c>
      <c r="BC44" s="195">
        <f>BB$44*'Population Treasury'!BN$66*'Statistics NZ'!BN$373/('Population Treasury'!BM$66*'Statistics NZ'!BM$373)</f>
        <v>36729.593888701653</v>
      </c>
      <c r="BD44" s="195">
        <f>BC$44*'Population Treasury'!BO$66*'Statistics NZ'!BO$373/('Population Treasury'!BN$66*'Statistics NZ'!BN$373)</f>
        <v>36708.586706873575</v>
      </c>
      <c r="BE44" s="195">
        <f>BD$44*'Population Treasury'!BP$66*'Statistics NZ'!BP$373/('Population Treasury'!BO$66*'Statistics NZ'!BO$373)</f>
        <v>36659.304317702925</v>
      </c>
      <c r="BF44" s="195">
        <f>BE$44*'Population Treasury'!BQ$66*'Statistics NZ'!BQ$373/('Population Treasury'!BP$66*'Statistics NZ'!BP$373)</f>
        <v>36612.694985391317</v>
      </c>
    </row>
    <row r="45" spans="1:58">
      <c r="A45" s="124">
        <v>50</v>
      </c>
      <c r="B45" s="118">
        <f>'Population Treasury'!M$67*'Statistics NZ'!M$374*'Economic Forecasts'!O$8/B$7</f>
        <v>27664.527894155992</v>
      </c>
      <c r="C45" s="118">
        <f>'Population Treasury'!N$67*'Statistics NZ'!N$374*'Economic Forecasts'!P$8/C$7</f>
        <v>28633.438205353763</v>
      </c>
      <c r="D45" s="118">
        <f>'Population Treasury'!O$67*'Statistics NZ'!O$374*'Economic Forecasts'!Q$8/D$7</f>
        <v>29022.46710406947</v>
      </c>
      <c r="E45" s="203">
        <f>'Population Treasury'!P$67*'Statistics NZ'!P$374*'Economic Forecasts'!R$8/E$7</f>
        <v>28888.486678142501</v>
      </c>
      <c r="F45" s="121">
        <f>'Population Treasury'!Q$67*'Statistics NZ'!Q$374*'Economic Forecasts'!S$8/F$7</f>
        <v>30397.812189732569</v>
      </c>
      <c r="G45" s="121">
        <f>'Population Treasury'!R$67*'Statistics NZ'!R$374*'Economic Forecasts'!T$8/G$7</f>
        <v>30426.247695093713</v>
      </c>
      <c r="H45" s="121">
        <f>'Population Treasury'!S$67*'Statistics NZ'!S$374*'Economic Forecasts'!U$8/H$7</f>
        <v>29656.606651510912</v>
      </c>
      <c r="I45" s="121">
        <f>'Population Treasury'!T$67*'Statistics NZ'!T$374*'Economic Forecasts'!V$8/I$7</f>
        <v>29158.858363163741</v>
      </c>
      <c r="J45" s="205">
        <f>'Population Treasury'!U$67*'Statistics NZ'!U$374*'Economic Forecasts'!W$8/J$7</f>
        <v>28189.724280814746</v>
      </c>
      <c r="K45" s="111">
        <f>J$45*'Population Treasury'!V$67*'Statistics NZ'!V$374/('Population Treasury'!U$67*'Statistics NZ'!U$374)</f>
        <v>27032.892344464643</v>
      </c>
      <c r="L45" s="111">
        <f>K$45*'Population Treasury'!W$67*'Statistics NZ'!W$374/('Population Treasury'!V$67*'Statistics NZ'!V$374)</f>
        <v>27236.796075447583</v>
      </c>
      <c r="M45" s="111">
        <f>L$45*'Population Treasury'!X$67*'Statistics NZ'!X$374/('Population Treasury'!W$67*'Statistics NZ'!W$374)</f>
        <v>27216.29655000602</v>
      </c>
      <c r="N45" s="111">
        <f>M$45*'Population Treasury'!Y$67*'Statistics NZ'!Y$374/('Population Treasury'!X$67*'Statistics NZ'!X$374)</f>
        <v>28138.663706387211</v>
      </c>
      <c r="O45" s="111">
        <f>N$45*'Population Treasury'!Z$67*'Statistics NZ'!Z$374/('Population Treasury'!Y$67*'Statistics NZ'!Y$374)</f>
        <v>28527.718293770569</v>
      </c>
      <c r="P45" s="111">
        <f>O$45*'Population Treasury'!AA$67*'Statistics NZ'!AA$374/('Population Treasury'!Z$67*'Statistics NZ'!Z$374)</f>
        <v>28925.272937253379</v>
      </c>
      <c r="Q45" s="111">
        <f>P$45*'Population Treasury'!AB$67*'Statistics NZ'!AB$374/('Population Treasury'!AA$67*'Statistics NZ'!AA$374)</f>
        <v>29943.108127210828</v>
      </c>
      <c r="R45" s="111">
        <f>Q$45*'Population Treasury'!AC$67*'Statistics NZ'!AC$374/('Population Treasury'!AB$67*'Statistics NZ'!AB$374)</f>
        <v>30689.846889485732</v>
      </c>
      <c r="S45" s="111">
        <f>R$45*'Population Treasury'!AD$67*'Statistics NZ'!AD$374/('Population Treasury'!AC$67*'Statistics NZ'!AC$374)</f>
        <v>31427.414751146167</v>
      </c>
      <c r="T45" s="111">
        <f>S$45*'Population Treasury'!AE$67*'Statistics NZ'!AE$374/('Population Treasury'!AD$67*'Statistics NZ'!AD$374)</f>
        <v>32188.466956460048</v>
      </c>
      <c r="U45" s="111">
        <f>T$45*'Population Treasury'!AF$67*'Statistics NZ'!AF$374/('Population Treasury'!AE$67*'Statistics NZ'!AE$374)</f>
        <v>32780.986498381215</v>
      </c>
      <c r="V45" s="111">
        <f>U$45*'Population Treasury'!AG$67*'Statistics NZ'!AG$374/('Population Treasury'!AF$67*'Statistics NZ'!AF$374)</f>
        <v>33586.391905406155</v>
      </c>
      <c r="W45" s="111">
        <f>V$45*'Population Treasury'!AH$67*'Statistics NZ'!AH$374/('Population Treasury'!AG$67*'Statistics NZ'!AG$374)</f>
        <v>35891.061740732424</v>
      </c>
      <c r="X45" s="111">
        <f>W$45*'Population Treasury'!AI$67*'Statistics NZ'!AI$374/('Population Treasury'!AH$67*'Statistics NZ'!AH$374)</f>
        <v>36223.367222323075</v>
      </c>
      <c r="Y45" s="111">
        <f>X$45*'Population Treasury'!AJ$67*'Statistics NZ'!AJ$374/('Population Treasury'!AI$67*'Statistics NZ'!AI$374)</f>
        <v>37786.998837083229</v>
      </c>
      <c r="Z45" s="111">
        <f>Y$45*'Population Treasury'!AK$67*'Statistics NZ'!AK$374/('Population Treasury'!AJ$67*'Statistics NZ'!AJ$374)</f>
        <v>38340.604598430051</v>
      </c>
      <c r="AA45" s="111">
        <f>Z$45*'Population Treasury'!AL$67*'Statistics NZ'!AL$374/('Population Treasury'!AK$67*'Statistics NZ'!AK$374)</f>
        <v>38011.452554710675</v>
      </c>
      <c r="AB45" s="111">
        <f>AA$45*'Population Treasury'!AM$67*'Statistics NZ'!AM$374/('Population Treasury'!AL$67*'Statistics NZ'!AL$374)</f>
        <v>37373.673117330887</v>
      </c>
      <c r="AC45" s="111">
        <f>AB$45*'Population Treasury'!AN$67*'Statistics NZ'!AN$374/('Population Treasury'!AM$67*'Statistics NZ'!AM$374)</f>
        <v>36275.558440077955</v>
      </c>
      <c r="AD45" s="111">
        <f>AC$45*'Population Treasury'!AO$67*'Statistics NZ'!AO$374/('Population Treasury'!AN$67*'Statistics NZ'!AN$374)</f>
        <v>36086.288520984708</v>
      </c>
      <c r="AE45" s="111">
        <f>AD$45*'Population Treasury'!AP$67*'Statistics NZ'!AP$374/('Population Treasury'!AO$67*'Statistics NZ'!AO$374)</f>
        <v>35763.903441893104</v>
      </c>
      <c r="AF45" s="111">
        <f>AE$45*'Population Treasury'!AQ$67*'Statistics NZ'!AQ$374/('Population Treasury'!AP$67*'Statistics NZ'!AP$374)</f>
        <v>35434.121805353003</v>
      </c>
      <c r="AG45" s="111">
        <f>AF$45*'Population Treasury'!AR$67*'Statistics NZ'!AR$374/('Population Treasury'!AQ$67*'Statistics NZ'!AQ$374)</f>
        <v>35400.01229890807</v>
      </c>
      <c r="AH45" s="111">
        <f>AG$45*'Population Treasury'!AS$67*'Statistics NZ'!AS$374/('Population Treasury'!AR$67*'Statistics NZ'!AR$374)</f>
        <v>34893.345550671853</v>
      </c>
      <c r="AI45" s="111">
        <f>AH$45*'Population Treasury'!AT$67*'Statistics NZ'!AT$374/('Population Treasury'!AS$67*'Statistics NZ'!AS$374)</f>
        <v>35589.785007786137</v>
      </c>
      <c r="AJ45" s="111">
        <f>AI$45*'Population Treasury'!AU$67*'Statistics NZ'!AU$374/('Population Treasury'!AT$67*'Statistics NZ'!AT$374)</f>
        <v>35263.151382085511</v>
      </c>
      <c r="AK45" s="111">
        <f>AJ$45*'Population Treasury'!AV$67*'Statistics NZ'!AV$374/('Population Treasury'!AU$67*'Statistics NZ'!AU$374)</f>
        <v>34421.212932012124</v>
      </c>
      <c r="AL45" s="111">
        <f>AK$45*'Population Treasury'!AW$67*'Statistics NZ'!AW$374/('Population Treasury'!AV$67*'Statistics NZ'!AV$374)</f>
        <v>34110.212463598837</v>
      </c>
      <c r="AM45" s="111">
        <f>AL$45*'Population Treasury'!AX$67*'Statistics NZ'!AX$374/('Population Treasury'!AW$67*'Statistics NZ'!AW$374)</f>
        <v>34858.688433211726</v>
      </c>
      <c r="AN45" s="111">
        <f>AM$45*'Population Treasury'!AY$67*'Statistics NZ'!AY$374/('Population Treasury'!AX$67*'Statistics NZ'!AX$374)</f>
        <v>34991.20712341585</v>
      </c>
      <c r="AO45" s="111">
        <f>AN$45*'Population Treasury'!AZ$67*'Statistics NZ'!AZ$374/('Population Treasury'!AY$67*'Statistics NZ'!AY$374)</f>
        <v>35743.82640215545</v>
      </c>
      <c r="AP45" s="111">
        <f>AO$45*'Population Treasury'!BA$67*'Statistics NZ'!BA$374/('Population Treasury'!AZ$67*'Statistics NZ'!AZ$374)</f>
        <v>37144.097596242842</v>
      </c>
      <c r="AQ45" s="111">
        <f>AP$45*'Population Treasury'!BB$67*'Statistics NZ'!BB$374/('Population Treasury'!BA$67*'Statistics NZ'!BA$374)</f>
        <v>38316.284248934586</v>
      </c>
      <c r="AR45" s="111">
        <f>AQ$45*'Population Treasury'!BC$67*'Statistics NZ'!BC$374/('Population Treasury'!BB$67*'Statistics NZ'!BB$374)</f>
        <v>38168.681504475695</v>
      </c>
      <c r="AS45" s="111">
        <f>AR$45*'Population Treasury'!BD$67*'Statistics NZ'!BD$374/('Population Treasury'!BC$67*'Statistics NZ'!BC$374)</f>
        <v>39094.111359586823</v>
      </c>
      <c r="AT45" s="111">
        <f>AS$45*'Population Treasury'!BE$67*'Statistics NZ'!BE$374/('Population Treasury'!BD$67*'Statistics NZ'!BD$374)</f>
        <v>39037.231267854469</v>
      </c>
      <c r="AU45" s="111">
        <f>AT$45*'Population Treasury'!BF$67*'Statistics NZ'!BF$374/('Population Treasury'!BE$67*'Statistics NZ'!BE$374)</f>
        <v>38941.043833543226</v>
      </c>
      <c r="AV45" s="111">
        <f>AU$45*'Population Treasury'!BG$67*'Statistics NZ'!BG$374/('Population Treasury'!BF$67*'Statistics NZ'!BF$374)</f>
        <v>38882.281459081802</v>
      </c>
      <c r="AW45" s="111">
        <f>AV$45*'Population Treasury'!BH$67*'Statistics NZ'!BH$374/('Population Treasury'!BG$67*'Statistics NZ'!BG$374)</f>
        <v>37867.508767432555</v>
      </c>
      <c r="AX45" s="111">
        <f>AW$45*'Population Treasury'!BI$67*'Statistics NZ'!BI$374/('Population Treasury'!BH$67*'Statistics NZ'!BH$374)</f>
        <v>37933.769610978306</v>
      </c>
      <c r="AY45" s="111">
        <f>AX$45*'Population Treasury'!BJ$67*'Statistics NZ'!BJ$374/('Population Treasury'!BI$67*'Statistics NZ'!BI$374)</f>
        <v>37602.834047488985</v>
      </c>
      <c r="AZ45" s="111">
        <f>AY$45*'Population Treasury'!BK$67*'Statistics NZ'!BK$374/('Population Treasury'!BJ$67*'Statistics NZ'!BJ$374)</f>
        <v>37828.52143418209</v>
      </c>
      <c r="BA45" s="111">
        <f>AZ$45*'Population Treasury'!BL$67*'Statistics NZ'!BL$374/('Population Treasury'!BK$67*'Statistics NZ'!BK$374)</f>
        <v>37092.294230397471</v>
      </c>
      <c r="BB45" s="195">
        <f>BA$45*'Population Treasury'!BM$67*'Statistics NZ'!BM$374/('Population Treasury'!BL$67*'Statistics NZ'!BL$374)</f>
        <v>36706.696683565635</v>
      </c>
      <c r="BC45" s="195">
        <f>BB$45*'Population Treasury'!BN$67*'Statistics NZ'!BN$374/('Population Treasury'!BM$67*'Statistics NZ'!BM$374)</f>
        <v>36855.61938573041</v>
      </c>
      <c r="BD45" s="195">
        <f>BC$45*'Population Treasury'!BO$67*'Statistics NZ'!BO$374/('Population Treasury'!BN$67*'Statistics NZ'!BN$374)</f>
        <v>36342.268195277204</v>
      </c>
      <c r="BE45" s="195">
        <f>BD$45*'Population Treasury'!BP$67*'Statistics NZ'!BP$374/('Population Treasury'!BO$67*'Statistics NZ'!BO$374)</f>
        <v>36312.794698785707</v>
      </c>
      <c r="BF45" s="195">
        <f>BE$45*'Population Treasury'!BQ$67*'Statistics NZ'!BQ$374/('Population Treasury'!BP$67*'Statistics NZ'!BP$374)</f>
        <v>36273.967291696179</v>
      </c>
    </row>
    <row r="46" spans="1:58">
      <c r="A46" s="124">
        <v>51</v>
      </c>
      <c r="B46" s="118">
        <f>'Population Treasury'!M$68*'Statistics NZ'!M$375*'Economic Forecasts'!O$8/B$7</f>
        <v>27089.60055292564</v>
      </c>
      <c r="C46" s="118">
        <f>'Population Treasury'!N$68*'Statistics NZ'!N$375*'Economic Forecasts'!P$8/C$7</f>
        <v>27980.152251176703</v>
      </c>
      <c r="D46" s="118">
        <f>'Population Treasury'!O$68*'Statistics NZ'!O$375*'Economic Forecasts'!Q$8/D$7</f>
        <v>28349.745226085357</v>
      </c>
      <c r="E46" s="203">
        <f>'Population Treasury'!P$68*'Statistics NZ'!P$375*'Economic Forecasts'!R$8/E$7</f>
        <v>28932.880081780244</v>
      </c>
      <c r="F46" s="121">
        <f>'Population Treasury'!Q$68*'Statistics NZ'!Q$375*'Economic Forecasts'!S$8/F$7</f>
        <v>28997.534196331169</v>
      </c>
      <c r="G46" s="121">
        <f>'Population Treasury'!R$68*'Statistics NZ'!R$375*'Economic Forecasts'!T$8/G$7</f>
        <v>30639.96476543129</v>
      </c>
      <c r="H46" s="121">
        <f>'Population Treasury'!S$68*'Statistics NZ'!S$375*'Economic Forecasts'!U$8/H$7</f>
        <v>30541.351832544882</v>
      </c>
      <c r="I46" s="121">
        <f>'Population Treasury'!T$68*'Statistics NZ'!T$375*'Economic Forecasts'!V$8/I$7</f>
        <v>29615.057028153511</v>
      </c>
      <c r="J46" s="205">
        <f>'Population Treasury'!U$68*'Statistics NZ'!U$375*'Economic Forecasts'!W$8/J$7</f>
        <v>29116.597603764949</v>
      </c>
      <c r="K46" s="111">
        <f>J$46*'Population Treasury'!V$68*'Statistics NZ'!V$375/('Population Treasury'!U$68*'Statistics NZ'!U$375)</f>
        <v>28004.614965643806</v>
      </c>
      <c r="L46" s="111">
        <f>K$46*'Population Treasury'!W$68*'Statistics NZ'!W$375/('Population Treasury'!V$68*'Statistics NZ'!V$375)</f>
        <v>26847.73343397721</v>
      </c>
      <c r="M46" s="111">
        <f>L$46*'Population Treasury'!X$68*'Statistics NZ'!X$375/('Population Treasury'!W$68*'Statistics NZ'!W$375)</f>
        <v>27051.794277386678</v>
      </c>
      <c r="N46" s="111">
        <f>M$46*'Population Treasury'!Y$68*'Statistics NZ'!Y$375/('Population Treasury'!X$68*'Statistics NZ'!X$375)</f>
        <v>27019.835717174192</v>
      </c>
      <c r="O46" s="111">
        <f>N$46*'Population Treasury'!Z$68*'Statistics NZ'!Z$375/('Population Treasury'!Y$68*'Statistics NZ'!Y$375)</f>
        <v>27931.979971924007</v>
      </c>
      <c r="P46" s="111">
        <f>O$46*'Population Treasury'!AA$68*'Statistics NZ'!AA$375/('Population Treasury'!Z$68*'Statistics NZ'!Z$375)</f>
        <v>28320.368086066803</v>
      </c>
      <c r="Q46" s="111">
        <f>P$46*'Population Treasury'!AB$68*'Statistics NZ'!AB$375/('Population Treasury'!AA$68*'Statistics NZ'!AA$375)</f>
        <v>28707.123255010432</v>
      </c>
      <c r="R46" s="111">
        <f>Q$46*'Population Treasury'!AC$68*'Statistics NZ'!AC$375/('Population Treasury'!AB$68*'Statistics NZ'!AB$375)</f>
        <v>29724.815497753105</v>
      </c>
      <c r="S46" s="111">
        <f>R$46*'Population Treasury'!AD$68*'Statistics NZ'!AD$375/('Population Treasury'!AC$68*'Statistics NZ'!AC$375)</f>
        <v>30449.767861218501</v>
      </c>
      <c r="T46" s="111">
        <f>S$46*'Population Treasury'!AE$68*'Statistics NZ'!AE$375/('Population Treasury'!AD$68*'Statistics NZ'!AD$375)</f>
        <v>31197.717359449929</v>
      </c>
      <c r="U46" s="111">
        <f>T$46*'Population Treasury'!AF$68*'Statistics NZ'!AF$375/('Population Treasury'!AE$68*'Statistics NZ'!AE$375)</f>
        <v>31938.151206184746</v>
      </c>
      <c r="V46" s="111">
        <f>U$46*'Population Treasury'!AG$68*'Statistics NZ'!AG$375/('Population Treasury'!AF$68*'Statistics NZ'!AF$375)</f>
        <v>32530.049304171094</v>
      </c>
      <c r="W46" s="111">
        <f>V$46*'Population Treasury'!AH$68*'Statistics NZ'!AH$375/('Population Treasury'!AG$68*'Statistics NZ'!AG$375)</f>
        <v>33325.658354459927</v>
      </c>
      <c r="X46" s="111">
        <f>W$46*'Population Treasury'!AI$68*'Statistics NZ'!AI$375/('Population Treasury'!AH$68*'Statistics NZ'!AH$375)</f>
        <v>35597.765912419629</v>
      </c>
      <c r="Y46" s="111">
        <f>X$46*'Population Treasury'!AJ$68*'Statistics NZ'!AJ$375/('Population Treasury'!AI$68*'Statistics NZ'!AI$375)</f>
        <v>35941.507571767863</v>
      </c>
      <c r="Z46" s="111">
        <f>Y$46*'Population Treasury'!AK$68*'Statistics NZ'!AK$375/('Population Treasury'!AJ$68*'Statistics NZ'!AJ$375)</f>
        <v>37485.419337836393</v>
      </c>
      <c r="AA46" s="111">
        <f>Z$46*'Population Treasury'!AL$68*'Statistics NZ'!AL$375/('Population Treasury'!AK$68*'Statistics NZ'!AK$375)</f>
        <v>38032.725069523083</v>
      </c>
      <c r="AB46" s="111">
        <f>AA$46*'Population Treasury'!AM$68*'Statistics NZ'!AM$375/('Population Treasury'!AL$68*'Statistics NZ'!AL$375)</f>
        <v>37712.906694354322</v>
      </c>
      <c r="AC46" s="111">
        <f>AB$46*'Population Treasury'!AN$68*'Statistics NZ'!AN$375/('Population Treasury'!AM$68*'Statistics NZ'!AM$375)</f>
        <v>37067.263809994867</v>
      </c>
      <c r="AD46" s="111">
        <f>AC$46*'Population Treasury'!AO$68*'Statistics NZ'!AO$375/('Population Treasury'!AN$68*'Statistics NZ'!AN$375)</f>
        <v>35979.946637405264</v>
      </c>
      <c r="AE46" s="111">
        <f>AD$46*'Population Treasury'!AP$68*'Statistics NZ'!AP$375/('Population Treasury'!AO$68*'Statistics NZ'!AO$375)</f>
        <v>35800.085081402249</v>
      </c>
      <c r="AF46" s="111">
        <f>AE$46*'Population Treasury'!AQ$68*'Statistics NZ'!AQ$375/('Population Treasury'!AP$68*'Statistics NZ'!AP$375)</f>
        <v>35465.56943841523</v>
      </c>
      <c r="AG46" s="111">
        <f>AF$46*'Population Treasury'!AR$68*'Statistics NZ'!AR$375/('Population Treasury'!AQ$68*'Statistics NZ'!AQ$375)</f>
        <v>35144.467262150109</v>
      </c>
      <c r="AH46" s="111">
        <f>AG$46*'Population Treasury'!AS$68*'Statistics NZ'!AS$375/('Population Treasury'!AR$68*'Statistics NZ'!AR$375)</f>
        <v>35103.886432348452</v>
      </c>
      <c r="AI46" s="111">
        <f>AH$46*'Population Treasury'!AT$68*'Statistics NZ'!AT$375/('Population Treasury'!AS$68*'Statistics NZ'!AS$375)</f>
        <v>34604.792835301392</v>
      </c>
      <c r="AJ46" s="111">
        <f>AI$46*'Population Treasury'!AU$68*'Statistics NZ'!AU$375/('Population Treasury'!AT$68*'Statistics NZ'!AT$375)</f>
        <v>35300.719318868039</v>
      </c>
      <c r="AK46" s="111">
        <f>AJ$46*'Population Treasury'!AV$68*'Statistics NZ'!AV$375/('Population Treasury'!AU$68*'Statistics NZ'!AU$375)</f>
        <v>34971.769988016509</v>
      </c>
      <c r="AL46" s="111">
        <f>AK$46*'Population Treasury'!AW$68*'Statistics NZ'!AW$375/('Population Treasury'!AV$68*'Statistics NZ'!AV$375)</f>
        <v>34128.166054815709</v>
      </c>
      <c r="AM46" s="111">
        <f>AL$46*'Population Treasury'!AX$68*'Statistics NZ'!AX$375/('Population Treasury'!AW$68*'Statistics NZ'!AW$375)</f>
        <v>33836.139520307937</v>
      </c>
      <c r="AN46" s="111">
        <f>AM$46*'Population Treasury'!AY$68*'Statistics NZ'!AY$375/('Population Treasury'!AX$68*'Statistics NZ'!AX$375)</f>
        <v>34573.062406024059</v>
      </c>
      <c r="AO46" s="111">
        <f>AN$46*'Population Treasury'!AZ$68*'Statistics NZ'!AZ$375/('Population Treasury'!AY$68*'Statistics NZ'!AY$375)</f>
        <v>34704.085181959956</v>
      </c>
      <c r="AP46" s="111">
        <f>AO$46*'Population Treasury'!BA$68*'Statistics NZ'!BA$375/('Population Treasury'!AZ$68*'Statistics NZ'!AZ$375)</f>
        <v>35444.788078043901</v>
      </c>
      <c r="AQ46" s="111">
        <f>AP$46*'Population Treasury'!BB$68*'Statistics NZ'!BB$375/('Population Treasury'!BA$68*'Statistics NZ'!BA$375)</f>
        <v>36823.798008408638</v>
      </c>
      <c r="AR46" s="111">
        <f>AQ$46*'Population Treasury'!BC$68*'Statistics NZ'!BC$375/('Population Treasury'!BB$68*'Statistics NZ'!BB$375)</f>
        <v>37996.374393404891</v>
      </c>
      <c r="AS46" s="111">
        <f>AR$46*'Population Treasury'!BD$68*'Statistics NZ'!BD$375/('Population Treasury'!BC$68*'Statistics NZ'!BC$375)</f>
        <v>37868.327700581991</v>
      </c>
      <c r="AT46" s="111">
        <f>AS$46*'Population Treasury'!BE$68*'Statistics NZ'!BE$375/('Population Treasury'!BD$68*'Statistics NZ'!BD$375)</f>
        <v>38781.908695809165</v>
      </c>
      <c r="AU46" s="111">
        <f>AT$46*'Population Treasury'!BF$68*'Statistics NZ'!BF$375/('Population Treasury'!BE$68*'Statistics NZ'!BE$375)</f>
        <v>38722.586753632932</v>
      </c>
      <c r="AV46" s="111">
        <f>AU$46*'Population Treasury'!BG$68*'Statistics NZ'!BG$375/('Population Treasury'!BF$68*'Statistics NZ'!BF$375)</f>
        <v>38636.060607259627</v>
      </c>
      <c r="AW46" s="111">
        <f>AV$46*'Population Treasury'!BH$68*'Statistics NZ'!BH$375/('Population Treasury'!BG$68*'Statistics NZ'!BG$375)</f>
        <v>38552.503928312806</v>
      </c>
      <c r="AX46" s="111">
        <f>AW$46*'Population Treasury'!BI$68*'Statistics NZ'!BI$375/('Population Treasury'!BH$68*'Statistics NZ'!BH$375)</f>
        <v>37560.658292323984</v>
      </c>
      <c r="AY46" s="111">
        <f>AX$46*'Population Treasury'!BJ$68*'Statistics NZ'!BJ$375/('Population Treasury'!BI$68*'Statistics NZ'!BI$375)</f>
        <v>37626.099957421109</v>
      </c>
      <c r="AZ46" s="111">
        <f>AY$46*'Population Treasury'!BK$68*'Statistics NZ'!BK$375/('Population Treasury'!BJ$68*'Statistics NZ'!BJ$375)</f>
        <v>37298.512158290905</v>
      </c>
      <c r="BA46" s="111">
        <f>AZ$46*'Population Treasury'!BL$68*'Statistics NZ'!BL$375/('Population Treasury'!BK$68*'Statistics NZ'!BK$375)</f>
        <v>37513.864375725032</v>
      </c>
      <c r="BB46" s="195">
        <f>BA$46*'Population Treasury'!BM$68*'Statistics NZ'!BM$375/('Population Treasury'!BL$68*'Statistics NZ'!BL$375)</f>
        <v>36785.625534856554</v>
      </c>
      <c r="BC46" s="195">
        <f>BB$46*'Population Treasury'!BN$68*'Statistics NZ'!BN$375/('Population Treasury'!BM$68*'Statistics NZ'!BM$375)</f>
        <v>36415.253126658514</v>
      </c>
      <c r="BD46" s="195">
        <f>BC$46*'Population Treasury'!BO$68*'Statistics NZ'!BO$375/('Population Treasury'!BN$68*'Statistics NZ'!BN$375)</f>
        <v>36544.820999835159</v>
      </c>
      <c r="BE46" s="195">
        <f>BD$46*'Population Treasury'!BP$68*'Statistics NZ'!BP$375/('Population Treasury'!BO$68*'Statistics NZ'!BO$375)</f>
        <v>36057.115853977462</v>
      </c>
      <c r="BF46" s="195">
        <f>BE$46*'Population Treasury'!BQ$68*'Statistics NZ'!BQ$375/('Population Treasury'!BP$68*'Statistics NZ'!BP$375)</f>
        <v>36038.16359641395</v>
      </c>
    </row>
    <row r="47" spans="1:58">
      <c r="A47" s="124">
        <v>52</v>
      </c>
      <c r="B47" s="118">
        <f>'Population Treasury'!M$69*'Statistics NZ'!M$376*'Economic Forecasts'!O$8/B$7</f>
        <v>27341.63773013683</v>
      </c>
      <c r="C47" s="118">
        <f>'Population Treasury'!N$69*'Statistics NZ'!N$376*'Economic Forecasts'!P$8/C$7</f>
        <v>27363.305204579447</v>
      </c>
      <c r="D47" s="118">
        <f>'Population Treasury'!O$69*'Statistics NZ'!O$376*'Economic Forecasts'!Q$8/D$7</f>
        <v>27601.427846612489</v>
      </c>
      <c r="E47" s="203">
        <f>'Population Treasury'!P$69*'Statistics NZ'!P$376*'Economic Forecasts'!R$8/E$7</f>
        <v>28250.20321585553</v>
      </c>
      <c r="F47" s="121">
        <f>'Population Treasury'!Q$69*'Statistics NZ'!Q$376*'Economic Forecasts'!S$8/F$7</f>
        <v>28964.550318021207</v>
      </c>
      <c r="G47" s="121">
        <f>'Population Treasury'!R$69*'Statistics NZ'!R$376*'Economic Forecasts'!T$8/G$7</f>
        <v>29159.430755775989</v>
      </c>
      <c r="H47" s="121">
        <f>'Population Treasury'!S$69*'Statistics NZ'!S$376*'Economic Forecasts'!U$8/H$7</f>
        <v>30698.798185184998</v>
      </c>
      <c r="I47" s="121">
        <f>'Population Treasury'!T$69*'Statistics NZ'!T$376*'Economic Forecasts'!V$8/I$7</f>
        <v>30469.445519602294</v>
      </c>
      <c r="J47" s="205">
        <f>'Population Treasury'!U$69*'Statistics NZ'!U$376*'Economic Forecasts'!W$8/J$7</f>
        <v>29542.113562905546</v>
      </c>
      <c r="K47" s="111">
        <f>J$47*'Population Treasury'!V$69*'Statistics NZ'!V$376/('Population Treasury'!U$69*'Statistics NZ'!U$376)</f>
        <v>28922.746769121815</v>
      </c>
      <c r="L47" s="111">
        <f>K$47*'Population Treasury'!W$69*'Statistics NZ'!W$376/('Population Treasury'!V$69*'Statistics NZ'!V$376)</f>
        <v>27811.321198663572</v>
      </c>
      <c r="M47" s="111">
        <f>L$47*'Population Treasury'!X$69*'Statistics NZ'!X$376/('Population Treasury'!W$69*'Statistics NZ'!W$376)</f>
        <v>26645.247361807706</v>
      </c>
      <c r="N47" s="111">
        <f>M$47*'Population Treasury'!Y$69*'Statistics NZ'!Y$376/('Population Treasury'!X$69*'Statistics NZ'!X$376)</f>
        <v>26858.383253750741</v>
      </c>
      <c r="O47" s="111">
        <f>N$47*'Population Treasury'!Z$69*'Statistics NZ'!Z$376/('Population Treasury'!Y$69*'Statistics NZ'!Y$376)</f>
        <v>26816.54971805252</v>
      </c>
      <c r="P47" s="111">
        <f>O$47*'Population Treasury'!AA$69*'Statistics NZ'!AA$376/('Population Treasury'!Z$69*'Statistics NZ'!Z$376)</f>
        <v>27709.34671579659</v>
      </c>
      <c r="Q47" s="111">
        <f>P$47*'Population Treasury'!AB$69*'Statistics NZ'!AB$376/('Population Treasury'!AA$69*'Statistics NZ'!AA$376)</f>
        <v>28095.325020771204</v>
      </c>
      <c r="R47" s="111">
        <f>Q$47*'Population Treasury'!AC$69*'Statistics NZ'!AC$376/('Population Treasury'!AB$69*'Statistics NZ'!AB$376)</f>
        <v>28472.757526337435</v>
      </c>
      <c r="S47" s="111">
        <f>R$47*'Population Treasury'!AD$69*'Statistics NZ'!AD$376/('Population Treasury'!AC$69*'Statistics NZ'!AC$376)</f>
        <v>29479.324799580441</v>
      </c>
      <c r="T47" s="111">
        <f>S$47*'Population Treasury'!AE$69*'Statistics NZ'!AE$376/('Population Treasury'!AD$69*'Statistics NZ'!AD$376)</f>
        <v>30212.948631587453</v>
      </c>
      <c r="U47" s="111">
        <f>T$47*'Population Treasury'!AF$69*'Statistics NZ'!AF$376/('Population Treasury'!AE$69*'Statistics NZ'!AE$376)</f>
        <v>30949.315269903782</v>
      </c>
      <c r="V47" s="111">
        <f>U$47*'Population Treasury'!AG$69*'Statistics NZ'!AG$376/('Population Treasury'!AF$69*'Statistics NZ'!AF$376)</f>
        <v>31682.251672772243</v>
      </c>
      <c r="W47" s="111">
        <f>V$47*'Population Treasury'!AH$69*'Statistics NZ'!AH$376/('Population Treasury'!AG$69*'Statistics NZ'!AG$376)</f>
        <v>32262.571827331623</v>
      </c>
      <c r="X47" s="111">
        <f>W$47*'Population Treasury'!AI$69*'Statistics NZ'!AI$376/('Population Treasury'!AH$69*'Statistics NZ'!AH$376)</f>
        <v>33048.630903259909</v>
      </c>
      <c r="Y47" s="111">
        <f>X$47*'Population Treasury'!AJ$69*'Statistics NZ'!AJ$376/('Population Treasury'!AI$69*'Statistics NZ'!AI$376)</f>
        <v>35307.912698582797</v>
      </c>
      <c r="Z47" s="111">
        <f>Y$47*'Population Treasury'!AK$69*'Statistics NZ'!AK$376/('Population Treasury'!AJ$69*'Statistics NZ'!AJ$376)</f>
        <v>35643.488397175468</v>
      </c>
      <c r="AA47" s="111">
        <f>Z$47*'Population Treasury'!AL$69*'Statistics NZ'!AL$376/('Population Treasury'!AK$69*'Statistics NZ'!AK$376)</f>
        <v>37169.654251530425</v>
      </c>
      <c r="AB47" s="111">
        <f>AA$47*'Population Treasury'!AM$69*'Statistics NZ'!AM$376/('Population Treasury'!AL$69*'Statistics NZ'!AL$376)</f>
        <v>37720.118410773524</v>
      </c>
      <c r="AC47" s="111">
        <f>AB$47*'Population Treasury'!AN$69*'Statistics NZ'!AN$376/('Population Treasury'!AM$69*'Statistics NZ'!AM$376)</f>
        <v>37399.00406221985</v>
      </c>
      <c r="AD47" s="111">
        <f>AC$47*'Population Treasury'!AO$69*'Statistics NZ'!AO$376/('Population Treasury'!AN$69*'Statistics NZ'!AN$376)</f>
        <v>36765.314422382857</v>
      </c>
      <c r="AE47" s="111">
        <f>AD$47*'Population Treasury'!AP$69*'Statistics NZ'!AP$376/('Population Treasury'!AO$69*'Statistics NZ'!AO$376)</f>
        <v>35688.831275465622</v>
      </c>
      <c r="AF47" s="111">
        <f>AE$47*'Population Treasury'!AQ$69*'Statistics NZ'!AQ$376/('Population Treasury'!AP$69*'Statistics NZ'!AP$376)</f>
        <v>35488.504569386234</v>
      </c>
      <c r="AG47" s="111">
        <f>AF$47*'Population Treasury'!AR$69*'Statistics NZ'!AR$376/('Population Treasury'!AQ$69*'Statistics NZ'!AQ$376)</f>
        <v>35160.916845960761</v>
      </c>
      <c r="AH47" s="111">
        <f>AG$47*'Population Treasury'!AS$69*'Statistics NZ'!AS$376/('Population Treasury'!AR$69*'Statistics NZ'!AR$376)</f>
        <v>34839.292669954761</v>
      </c>
      <c r="AI47" s="111">
        <f>AH$47*'Population Treasury'!AT$69*'Statistics NZ'!AT$376/('Population Treasury'!AS$69*'Statistics NZ'!AS$376)</f>
        <v>34813.081649059772</v>
      </c>
      <c r="AJ47" s="111">
        <f>AI$47*'Population Treasury'!AU$69*'Statistics NZ'!AU$376/('Population Treasury'!AT$69*'Statistics NZ'!AT$376)</f>
        <v>34310.264819385986</v>
      </c>
      <c r="AK47" s="111">
        <f>AJ$47*'Population Treasury'!AV$69*'Statistics NZ'!AV$376/('Population Treasury'!AU$69*'Statistics NZ'!AU$376)</f>
        <v>35005.609677381952</v>
      </c>
      <c r="AL47" s="111">
        <f>AK$47*'Population Treasury'!AW$69*'Statistics NZ'!AW$376/('Population Treasury'!AV$69*'Statistics NZ'!AV$376)</f>
        <v>34683.145726567695</v>
      </c>
      <c r="AM47" s="111">
        <f>AL$47*'Population Treasury'!AX$69*'Statistics NZ'!AX$376/('Population Treasury'!AW$69*'Statistics NZ'!AW$376)</f>
        <v>33847.669558884649</v>
      </c>
      <c r="AN47" s="111">
        <f>AM$47*'Population Treasury'!AY$69*'Statistics NZ'!AY$376/('Population Treasury'!AX$69*'Statistics NZ'!AX$376)</f>
        <v>33536.278421321622</v>
      </c>
      <c r="AO47" s="111">
        <f>AN$47*'Population Treasury'!AZ$69*'Statistics NZ'!AZ$376/('Population Treasury'!AY$69*'Statistics NZ'!AY$376)</f>
        <v>34290.736536391349</v>
      </c>
      <c r="AP47" s="111">
        <f>AO$47*'Population Treasury'!BA$69*'Statistics NZ'!BA$376/('Population Treasury'!AZ$69*'Statistics NZ'!AZ$376)</f>
        <v>34411.13288103661</v>
      </c>
      <c r="AQ47" s="111">
        <f>AP$47*'Population Treasury'!BB$69*'Statistics NZ'!BB$376/('Population Treasury'!BA$69*'Statistics NZ'!BA$376)</f>
        <v>35151.570834155522</v>
      </c>
      <c r="AR47" s="111">
        <f>AQ$47*'Population Treasury'!BC$69*'Statistics NZ'!BC$376/('Population Treasury'!BB$69*'Statistics NZ'!BB$376)</f>
        <v>36527.522636915106</v>
      </c>
      <c r="AS47" s="111">
        <f>AR$47*'Population Treasury'!BD$69*'Statistics NZ'!BD$376/('Population Treasury'!BC$69*'Statistics NZ'!BC$376)</f>
        <v>37688.82372788967</v>
      </c>
      <c r="AT47" s="111">
        <f>AS$47*'Population Treasury'!BE$69*'Statistics NZ'!BE$376/('Population Treasury'!BD$69*'Statistics NZ'!BD$376)</f>
        <v>37540.108529457095</v>
      </c>
      <c r="AU47" s="111">
        <f>AT$47*'Population Treasury'!BF$69*'Statistics NZ'!BF$376/('Population Treasury'!BE$69*'Statistics NZ'!BE$376)</f>
        <v>38463.782769656224</v>
      </c>
      <c r="AV47" s="111">
        <f>AU$47*'Population Treasury'!BG$69*'Statistics NZ'!BG$376/('Population Treasury'!BF$69*'Statistics NZ'!BF$376)</f>
        <v>38403.41160832825</v>
      </c>
      <c r="AW47" s="111">
        <f>AV$47*'Population Treasury'!BH$69*'Statistics NZ'!BH$376/('Population Treasury'!BG$69*'Statistics NZ'!BG$376)</f>
        <v>38311.519314344318</v>
      </c>
      <c r="AX47" s="111">
        <f>AW$47*'Population Treasury'!BI$69*'Statistics NZ'!BI$376/('Population Treasury'!BH$69*'Statistics NZ'!BH$376)</f>
        <v>38239.230145898036</v>
      </c>
      <c r="AY47" s="111">
        <f>AX$47*'Population Treasury'!BJ$69*'Statistics NZ'!BJ$376/('Population Treasury'!BI$69*'Statistics NZ'!BI$376)</f>
        <v>37246.04809803942</v>
      </c>
      <c r="AZ47" s="111">
        <f>AY$47*'Population Treasury'!BK$69*'Statistics NZ'!BK$376/('Population Treasury'!BJ$69*'Statistics NZ'!BJ$376)</f>
        <v>37322.701119399193</v>
      </c>
      <c r="BA47" s="111">
        <f>AZ$47*'Population Treasury'!BL$69*'Statistics NZ'!BL$376/('Population Treasury'!BK$69*'Statistics NZ'!BK$376)</f>
        <v>36985.138629477296</v>
      </c>
      <c r="BB47" s="195">
        <f>BA$47*'Population Treasury'!BM$69*'Statistics NZ'!BM$376/('Population Treasury'!BL$69*'Statistics NZ'!BL$376)</f>
        <v>37211.320180460272</v>
      </c>
      <c r="BC47" s="195">
        <f>BB$47*'Population Treasury'!BN$69*'Statistics NZ'!BN$376/('Population Treasury'!BM$69*'Statistics NZ'!BM$376)</f>
        <v>36482.44220089505</v>
      </c>
      <c r="BD47" s="195">
        <f>BC$47*'Population Treasury'!BO$69*'Statistics NZ'!BO$376/('Population Treasury'!BN$69*'Statistics NZ'!BN$376)</f>
        <v>36117.62168145804</v>
      </c>
      <c r="BE47" s="195">
        <f>BD$47*'Population Treasury'!BP$69*'Statistics NZ'!BP$376/('Population Treasury'!BO$69*'Statistics NZ'!BO$376)</f>
        <v>36258.07818501709</v>
      </c>
      <c r="BF47" s="195">
        <f>BE$47*'Population Treasury'!BQ$69*'Statistics NZ'!BQ$376/('Population Treasury'!BP$69*'Statistics NZ'!BP$376)</f>
        <v>35755.074048391572</v>
      </c>
    </row>
    <row r="48" spans="1:58">
      <c r="A48" s="124">
        <v>53</v>
      </c>
      <c r="B48" s="118">
        <f>'Population Treasury'!M$70*'Statistics NZ'!M$377*'Economic Forecasts'!O$8/B$7</f>
        <v>27953.063694995777</v>
      </c>
      <c r="C48" s="118">
        <f>'Population Treasury'!N$70*'Statistics NZ'!N$377*'Economic Forecasts'!P$8/C$7</f>
        <v>27645.421998034504</v>
      </c>
      <c r="D48" s="118">
        <f>'Population Treasury'!O$70*'Statistics NZ'!O$377*'Economic Forecasts'!Q$8/D$7</f>
        <v>27022.753789674174</v>
      </c>
      <c r="E48" s="203">
        <f>'Population Treasury'!P$70*'Statistics NZ'!P$377*'Economic Forecasts'!R$8/E$7</f>
        <v>27454.581934710714</v>
      </c>
      <c r="F48" s="121">
        <f>'Population Treasury'!Q$70*'Statistics NZ'!Q$377*'Economic Forecasts'!S$8/F$7</f>
        <v>28259.690756702235</v>
      </c>
      <c r="G48" s="121">
        <f>'Population Treasury'!R$70*'Statistics NZ'!R$377*'Economic Forecasts'!T$8/G$7</f>
        <v>29116.840178336897</v>
      </c>
      <c r="H48" s="121">
        <f>'Population Treasury'!S$70*'Statistics NZ'!S$377*'Economic Forecasts'!U$8/H$7</f>
        <v>29200.094000160992</v>
      </c>
      <c r="I48" s="121">
        <f>'Population Treasury'!T$70*'Statistics NZ'!T$377*'Economic Forecasts'!V$8/I$7</f>
        <v>30626.946855030626</v>
      </c>
      <c r="J48" s="205">
        <f>'Population Treasury'!U$70*'Statistics NZ'!U$377*'Economic Forecasts'!W$8/J$7</f>
        <v>30399.153376322567</v>
      </c>
      <c r="K48" s="111">
        <f>J$48*'Population Treasury'!V$70*'Statistics NZ'!V$377/('Population Treasury'!U$70*'Statistics NZ'!U$377)</f>
        <v>29325.208889964164</v>
      </c>
      <c r="L48" s="111">
        <f>K$48*'Population Treasury'!W$70*'Statistics NZ'!W$377/('Population Treasury'!V$70*'Statistics NZ'!V$377)</f>
        <v>28715.391432945064</v>
      </c>
      <c r="M48" s="111">
        <f>L$48*'Population Treasury'!X$70*'Statistics NZ'!X$377/('Population Treasury'!W$70*'Statistics NZ'!W$377)</f>
        <v>27614.943667116211</v>
      </c>
      <c r="N48" s="111">
        <f>M$48*'Population Treasury'!Y$70*'Statistics NZ'!Y$377/('Population Treasury'!X$70*'Statistics NZ'!X$377)</f>
        <v>26457.704606341824</v>
      </c>
      <c r="O48" s="111">
        <f>N$48*'Population Treasury'!Z$70*'Statistics NZ'!Z$377/('Population Treasury'!Y$70*'Statistics NZ'!Y$377)</f>
        <v>26662.092823714542</v>
      </c>
      <c r="P48" s="111">
        <f>O$48*'Population Treasury'!AA$70*'Statistics NZ'!AA$377/('Population Treasury'!Z$70*'Statistics NZ'!Z$377)</f>
        <v>26619.012074751132</v>
      </c>
      <c r="Q48" s="111">
        <f>P$48*'Population Treasury'!AB$70*'Statistics NZ'!AB$377/('Population Treasury'!AA$70*'Statistics NZ'!AA$377)</f>
        <v>27510.999087124725</v>
      </c>
      <c r="R48" s="111">
        <f>Q$48*'Population Treasury'!AC$70*'Statistics NZ'!AC$377/('Population Treasury'!AB$70*'Statistics NZ'!AB$377)</f>
        <v>27886.829126242446</v>
      </c>
      <c r="S48" s="111">
        <f>R$48*'Population Treasury'!AD$70*'Statistics NZ'!AD$377/('Population Treasury'!AC$70*'Statistics NZ'!AC$377)</f>
        <v>28273.653702635635</v>
      </c>
      <c r="T48" s="111">
        <f>S$48*'Population Treasury'!AE$70*'Statistics NZ'!AE$377/('Population Treasury'!AD$70*'Statistics NZ'!AD$377)</f>
        <v>29268.910682357939</v>
      </c>
      <c r="U48" s="111">
        <f>T$48*'Population Treasury'!AF$70*'Statistics NZ'!AF$377/('Population Treasury'!AE$70*'Statistics NZ'!AE$377)</f>
        <v>29993.297696614314</v>
      </c>
      <c r="V48" s="111">
        <f>U$48*'Population Treasury'!AG$70*'Statistics NZ'!AG$377/('Population Treasury'!AF$70*'Statistics NZ'!AF$377)</f>
        <v>30708.766910201015</v>
      </c>
      <c r="W48" s="111">
        <f>V$48*'Population Treasury'!AH$70*'Statistics NZ'!AH$377/('Population Treasury'!AG$70*'Statistics NZ'!AG$377)</f>
        <v>31450.568578842427</v>
      </c>
      <c r="X48" s="111">
        <f>W$48*'Population Treasury'!AI$70*'Statistics NZ'!AI$377/('Population Treasury'!AH$70*'Statistics NZ'!AH$377)</f>
        <v>32019.383826517864</v>
      </c>
      <c r="Y48" s="111">
        <f>X$48*'Population Treasury'!AJ$70*'Statistics NZ'!AJ$377/('Population Treasury'!AI$70*'Statistics NZ'!AI$377)</f>
        <v>32808.449731361208</v>
      </c>
      <c r="Z48" s="111">
        <f>Y$48*'Population Treasury'!AK$70*'Statistics NZ'!AK$377/('Population Treasury'!AJ$70*'Statistics NZ'!AJ$377)</f>
        <v>35053.300575552617</v>
      </c>
      <c r="AA48" s="111">
        <f>Z$48*'Population Treasury'!AL$70*'Statistics NZ'!AL$377/('Population Treasury'!AK$70*'Statistics NZ'!AK$377)</f>
        <v>35371.490249983552</v>
      </c>
      <c r="AB48" s="111">
        <f>AA$48*'Population Treasury'!AM$70*'Statistics NZ'!AM$377/('Population Treasury'!AL$70*'Statistics NZ'!AL$377)</f>
        <v>36908.394727846535</v>
      </c>
      <c r="AC48" s="111">
        <f>AB$48*'Population Treasury'!AN$70*'Statistics NZ'!AN$377/('Population Treasury'!AM$70*'Statistics NZ'!AM$377)</f>
        <v>37432.908035829641</v>
      </c>
      <c r="AD48" s="111">
        <f>AC$48*'Population Treasury'!AO$70*'Statistics NZ'!AO$377/('Population Treasury'!AN$70*'Statistics NZ'!AN$377)</f>
        <v>37121.106643706415</v>
      </c>
      <c r="AE48" s="111">
        <f>AD$48*'Population Treasury'!AP$70*'Statistics NZ'!AP$377/('Population Treasury'!AO$70*'Statistics NZ'!AO$377)</f>
        <v>36489.897327585844</v>
      </c>
      <c r="AF48" s="111">
        <f>AE$48*'Population Treasury'!AQ$70*'Statistics NZ'!AQ$377/('Population Treasury'!AP$70*'Statistics NZ'!AP$377)</f>
        <v>35424.200583575119</v>
      </c>
      <c r="AG48" s="111">
        <f>AF$48*'Population Treasury'!AR$70*'Statistics NZ'!AR$377/('Population Treasury'!AQ$70*'Statistics NZ'!AQ$377)</f>
        <v>35222.996853922145</v>
      </c>
      <c r="AH48" s="111">
        <f>AG$48*'Population Treasury'!AS$70*'Statistics NZ'!AS$377/('Population Treasury'!AR$70*'Statistics NZ'!AR$377)</f>
        <v>34892.457079052234</v>
      </c>
      <c r="AI48" s="111">
        <f>AH$48*'Population Treasury'!AT$70*'Statistics NZ'!AT$377/('Population Treasury'!AS$70*'Statistics NZ'!AS$377)</f>
        <v>34580.94525619597</v>
      </c>
      <c r="AJ48" s="111">
        <f>AI$48*'Population Treasury'!AU$70*'Statistics NZ'!AU$377/('Population Treasury'!AT$70*'Statistics NZ'!AT$377)</f>
        <v>34557.627364405758</v>
      </c>
      <c r="AK48" s="111">
        <f>AJ$48*'Population Treasury'!AV$70*'Statistics NZ'!AV$377/('Population Treasury'!AU$70*'Statistics NZ'!AU$377)</f>
        <v>34052.960924528663</v>
      </c>
      <c r="AL48" s="111">
        <f>AK$48*'Population Treasury'!AW$70*'Statistics NZ'!AW$377/('Population Treasury'!AV$70*'Statistics NZ'!AV$377)</f>
        <v>34736.651664922218</v>
      </c>
      <c r="AM48" s="111">
        <f>AL$48*'Population Treasury'!AX$70*'Statistics NZ'!AX$377/('Population Treasury'!AW$70*'Statistics NZ'!AW$377)</f>
        <v>34414.010322347072</v>
      </c>
      <c r="AN48" s="111">
        <f>AM$48*'Population Treasury'!AY$70*'Statistics NZ'!AY$377/('Population Treasury'!AX$70*'Statistics NZ'!AX$377)</f>
        <v>33575.582006604636</v>
      </c>
      <c r="AO48" s="111">
        <f>AN$48*'Population Treasury'!AZ$70*'Statistics NZ'!AZ$377/('Population Treasury'!AY$70*'Statistics NZ'!AY$377)</f>
        <v>33284.439486384552</v>
      </c>
      <c r="AP48" s="111">
        <f>AO$48*'Population Treasury'!BA$70*'Statistics NZ'!BA$377/('Population Treasury'!AZ$70*'Statistics NZ'!AZ$377)</f>
        <v>34025.912317792106</v>
      </c>
      <c r="AQ48" s="111">
        <f>AP$48*'Population Treasury'!BB$70*'Statistics NZ'!BB$377/('Population Treasury'!BA$70*'Statistics NZ'!BA$377)</f>
        <v>34146.418433121369</v>
      </c>
      <c r="AR48" s="111">
        <f>AQ$48*'Population Treasury'!BC$70*'Statistics NZ'!BC$377/('Population Treasury'!BB$70*'Statistics NZ'!BB$377)</f>
        <v>34874.969969248217</v>
      </c>
      <c r="AS48" s="111">
        <f>AR$48*'Population Treasury'!BD$70*'Statistics NZ'!BD$377/('Population Treasury'!BC$70*'Statistics NZ'!BC$377)</f>
        <v>36260.543617016046</v>
      </c>
      <c r="AT48" s="111">
        <f>AS$48*'Population Treasury'!BE$70*'Statistics NZ'!BE$377/('Population Treasury'!BD$70*'Statistics NZ'!BD$377)</f>
        <v>37400.448211184354</v>
      </c>
      <c r="AU48" s="111">
        <f>AT$48*'Population Treasury'!BF$70*'Statistics NZ'!BF$377/('Population Treasury'!BE$70*'Statistics NZ'!BE$377)</f>
        <v>37260.685083734155</v>
      </c>
      <c r="AV48" s="111">
        <f>AU$48*'Population Treasury'!BG$70*'Statistics NZ'!BG$377/('Population Treasury'!BF$70*'Statistics NZ'!BF$377)</f>
        <v>38174.012492160655</v>
      </c>
      <c r="AW48" s="111">
        <f>AV$48*'Population Treasury'!BH$70*'Statistics NZ'!BH$377/('Population Treasury'!BG$70*'Statistics NZ'!BG$377)</f>
        <v>38121.557846233169</v>
      </c>
      <c r="AX48" s="111">
        <f>AW$48*'Population Treasury'!BI$70*'Statistics NZ'!BI$377/('Population Treasury'!BH$70*'Statistics NZ'!BH$377)</f>
        <v>38039.388676234405</v>
      </c>
      <c r="AY48" s="111">
        <f>AX$48*'Population Treasury'!BJ$70*'Statistics NZ'!BJ$377/('Population Treasury'!BI$70*'Statistics NZ'!BI$377)</f>
        <v>37963.729781392627</v>
      </c>
      <c r="AZ48" s="111">
        <f>AY$48*'Population Treasury'!BK$70*'Statistics NZ'!BK$377/('Population Treasury'!BJ$70*'Statistics NZ'!BJ$377)</f>
        <v>36982.776657580151</v>
      </c>
      <c r="BA48" s="111">
        <f>AZ$48*'Population Treasury'!BL$70*'Statistics NZ'!BL$377/('Population Treasury'!BK$70*'Statistics NZ'!BK$377)</f>
        <v>37037.563016376531</v>
      </c>
      <c r="BB48" s="195">
        <f>BA$48*'Population Treasury'!BM$70*'Statistics NZ'!BM$377/('Population Treasury'!BL$70*'Statistics NZ'!BL$377)</f>
        <v>36722.914649221457</v>
      </c>
      <c r="BC48" s="195">
        <f>BB$48*'Population Treasury'!BN$70*'Statistics NZ'!BN$377/('Population Treasury'!BM$70*'Statistics NZ'!BM$377)</f>
        <v>36941.562988947211</v>
      </c>
      <c r="BD48" s="195">
        <f>BC$48*'Population Treasury'!BO$70*'Statistics NZ'!BO$377/('Population Treasury'!BN$70*'Statistics NZ'!BN$377)</f>
        <v>36217.336055682412</v>
      </c>
      <c r="BE48" s="195">
        <f>BD$48*'Population Treasury'!BP$70*'Statistics NZ'!BP$377/('Population Treasury'!BO$70*'Statistics NZ'!BO$377)</f>
        <v>35857.480268684369</v>
      </c>
      <c r="BF48" s="195">
        <f>BE$48*'Population Treasury'!BQ$70*'Statistics NZ'!BQ$377/('Population Treasury'!BP$70*'Statistics NZ'!BP$377)</f>
        <v>35999.53454938186</v>
      </c>
    </row>
    <row r="49" spans="1:58">
      <c r="A49" s="124">
        <v>54</v>
      </c>
      <c r="B49" s="118">
        <f>'Population Treasury'!M$71*'Statistics NZ'!M$378*'Economic Forecasts'!O$8/B$7</f>
        <v>28331.997577825405</v>
      </c>
      <c r="C49" s="118">
        <f>'Population Treasury'!N$71*'Statistics NZ'!N$378*'Economic Forecasts'!P$8/C$7</f>
        <v>28191.542672674961</v>
      </c>
      <c r="D49" s="118">
        <f>'Population Treasury'!O$71*'Statistics NZ'!O$378*'Economic Forecasts'!Q$8/D$7</f>
        <v>27228.301947801818</v>
      </c>
      <c r="E49" s="203">
        <f>'Population Treasury'!P$71*'Statistics NZ'!P$378*'Economic Forecasts'!R$8/E$7</f>
        <v>26884.542166711988</v>
      </c>
      <c r="F49" s="121">
        <f>'Population Treasury'!Q$71*'Statistics NZ'!Q$378*'Economic Forecasts'!S$8/F$7</f>
        <v>27451.604241226614</v>
      </c>
      <c r="G49" s="121">
        <f>'Population Treasury'!R$71*'Statistics NZ'!R$378*'Economic Forecasts'!T$8/G$7</f>
        <v>28384.54735554627</v>
      </c>
      <c r="H49" s="121">
        <f>'Population Treasury'!S$71*'Statistics NZ'!S$378*'Economic Forecasts'!U$8/H$7</f>
        <v>29145.991088768704</v>
      </c>
      <c r="I49" s="121">
        <f>'Population Treasury'!T$71*'Statistics NZ'!T$378*'Economic Forecasts'!V$8/I$7</f>
        <v>29141.649275537638</v>
      </c>
      <c r="J49" s="205">
        <f>'Population Treasury'!U$71*'Statistics NZ'!U$378*'Economic Forecasts'!W$8/J$7</f>
        <v>30555.121147661328</v>
      </c>
      <c r="K49" s="111">
        <f>J$49*'Population Treasury'!V$71*'Statistics NZ'!V$378/('Population Treasury'!U$71*'Statistics NZ'!U$378)</f>
        <v>30197.930916447247</v>
      </c>
      <c r="L49" s="111">
        <f>K$49*'Population Treasury'!W$71*'Statistics NZ'!W$378/('Population Treasury'!V$71*'Statistics NZ'!V$378)</f>
        <v>29144.555742825003</v>
      </c>
      <c r="M49" s="111">
        <f>L$49*'Population Treasury'!X$71*'Statistics NZ'!X$378/('Population Treasury'!W$71*'Statistics NZ'!W$378)</f>
        <v>28524.764461949442</v>
      </c>
      <c r="N49" s="111">
        <f>M$49*'Population Treasury'!Y$71*'Statistics NZ'!Y$378/('Population Treasury'!X$71*'Statistics NZ'!X$378)</f>
        <v>27433.761636325948</v>
      </c>
      <c r="O49" s="111">
        <f>N$49*'Population Treasury'!Z$71*'Statistics NZ'!Z$378/('Population Treasury'!Y$71*'Statistics NZ'!Y$378)</f>
        <v>26288.694944130377</v>
      </c>
      <c r="P49" s="111">
        <f>O$49*'Population Treasury'!AA$71*'Statistics NZ'!AA$378/('Population Treasury'!Z$71*'Statistics NZ'!Z$378)</f>
        <v>26482.626524366769</v>
      </c>
      <c r="Q49" s="111">
        <f>P$49*'Population Treasury'!AB$71*'Statistics NZ'!AB$378/('Population Treasury'!AA$71*'Statistics NZ'!AA$378)</f>
        <v>26447.734147837597</v>
      </c>
      <c r="R49" s="111">
        <f>Q$49*'Population Treasury'!AC$71*'Statistics NZ'!AC$378/('Population Treasury'!AB$71*'Statistics NZ'!AB$378)</f>
        <v>27331.234046323705</v>
      </c>
      <c r="S49" s="111">
        <f>R$49*'Population Treasury'!AD$71*'Statistics NZ'!AD$378/('Population Treasury'!AC$71*'Statistics NZ'!AC$378)</f>
        <v>27706.267506577628</v>
      </c>
      <c r="T49" s="111">
        <f>S$49*'Population Treasury'!AE$71*'Statistics NZ'!AE$378/('Population Treasury'!AD$71*'Statistics NZ'!AD$378)</f>
        <v>28082.060593549919</v>
      </c>
      <c r="U49" s="111">
        <f>T$49*'Population Treasury'!AF$71*'Statistics NZ'!AF$378/('Population Treasury'!AE$71*'Statistics NZ'!AE$378)</f>
        <v>29076.84188965346</v>
      </c>
      <c r="V49" s="111">
        <f>U$49*'Population Treasury'!AG$71*'Statistics NZ'!AG$378/('Population Treasury'!AF$71*'Statistics NZ'!AF$378)</f>
        <v>29790.102733676056</v>
      </c>
      <c r="W49" s="111">
        <f>V$49*'Population Treasury'!AH$71*'Statistics NZ'!AH$378/('Population Treasury'!AG$71*'Statistics NZ'!AG$378)</f>
        <v>30505.043267318852</v>
      </c>
      <c r="X49" s="111">
        <f>W$49*'Population Treasury'!AI$71*'Statistics NZ'!AI$378/('Population Treasury'!AH$71*'Statistics NZ'!AH$378)</f>
        <v>31248.076653142216</v>
      </c>
      <c r="Y49" s="111">
        <f>X$49*'Population Treasury'!AJ$71*'Statistics NZ'!AJ$378/('Population Treasury'!AI$71*'Statistics NZ'!AI$378)</f>
        <v>31816.306735131297</v>
      </c>
      <c r="Z49" s="111">
        <f>Y$49*'Population Treasury'!AK$71*'Statistics NZ'!AK$378/('Population Treasury'!AJ$71*'Statistics NZ'!AJ$378)</f>
        <v>32604.556346569403</v>
      </c>
      <c r="AA49" s="111">
        <f>Z$49*'Population Treasury'!AL$71*'Statistics NZ'!AL$378/('Population Treasury'!AK$71*'Statistics NZ'!AK$378)</f>
        <v>34819.066818844185</v>
      </c>
      <c r="AB49" s="111">
        <f>AA$49*'Population Treasury'!AM$71*'Statistics NZ'!AM$378/('Population Treasury'!AL$71*'Statistics NZ'!AL$378)</f>
        <v>35148.394623134685</v>
      </c>
      <c r="AC49" s="111">
        <f>AB$49*'Population Treasury'!AN$71*'Statistics NZ'!AN$378/('Population Treasury'!AM$71*'Statistics NZ'!AM$378)</f>
        <v>36656.59989764791</v>
      </c>
      <c r="AD49" s="111">
        <f>AC$49*'Population Treasury'!AO$71*'Statistics NZ'!AO$378/('Population Treasury'!AN$71*'Statistics NZ'!AN$378)</f>
        <v>37193.940894976848</v>
      </c>
      <c r="AE49" s="111">
        <f>AD$49*'Population Treasury'!AP$71*'Statistics NZ'!AP$378/('Population Treasury'!AO$71*'Statistics NZ'!AO$378)</f>
        <v>36890.026407593861</v>
      </c>
      <c r="AF49" s="111">
        <f>AE$49*'Population Treasury'!AQ$71*'Statistics NZ'!AQ$378/('Population Treasury'!AP$71*'Statistics NZ'!AP$378)</f>
        <v>36262.562437380882</v>
      </c>
      <c r="AG49" s="111">
        <f>AF$49*'Population Treasury'!AR$71*'Statistics NZ'!AR$378/('Population Treasury'!AQ$71*'Statistics NZ'!AQ$378)</f>
        <v>35186.938911873505</v>
      </c>
      <c r="AH49" s="111">
        <f>AG$49*'Population Treasury'!AS$71*'Statistics NZ'!AS$378/('Population Treasury'!AR$71*'Statistics NZ'!AR$378)</f>
        <v>34995.2772034913</v>
      </c>
      <c r="AI49" s="111">
        <f>AH$49*'Population Treasury'!AT$71*'Statistics NZ'!AT$378/('Population Treasury'!AS$71*'Statistics NZ'!AS$378)</f>
        <v>34681.571260481775</v>
      </c>
      <c r="AJ49" s="111">
        <f>AI$49*'Population Treasury'!AU$71*'Statistics NZ'!AU$378/('Population Treasury'!AT$71*'Statistics NZ'!AT$378)</f>
        <v>34360.588180530925</v>
      </c>
      <c r="AK49" s="111">
        <f>AJ$49*'Population Treasury'!AV$71*'Statistics NZ'!AV$378/('Population Treasury'!AU$71*'Statistics NZ'!AU$378)</f>
        <v>34342.434122279883</v>
      </c>
      <c r="AL49" s="111">
        <f>AK$49*'Population Treasury'!AW$71*'Statistics NZ'!AW$378/('Population Treasury'!AV$71*'Statistics NZ'!AV$378)</f>
        <v>33834.902640460547</v>
      </c>
      <c r="AM49" s="111">
        <f>AL$49*'Population Treasury'!AX$71*'Statistics NZ'!AX$378/('Population Treasury'!AW$71*'Statistics NZ'!AW$378)</f>
        <v>34518.130149938392</v>
      </c>
      <c r="AN49" s="111">
        <f>AM$49*'Population Treasury'!AY$71*'Statistics NZ'!AY$378/('Population Treasury'!AX$71*'Statistics NZ'!AX$378)</f>
        <v>34202.425058110624</v>
      </c>
      <c r="AO49" s="111">
        <f>AN$49*'Population Treasury'!AZ$71*'Statistics NZ'!AZ$378/('Population Treasury'!AY$71*'Statistics NZ'!AY$378)</f>
        <v>33374.385299057671</v>
      </c>
      <c r="AP49" s="111">
        <f>AO$49*'Population Treasury'!BA$71*'Statistics NZ'!BA$378/('Population Treasury'!AZ$71*'Statistics NZ'!AZ$378)</f>
        <v>33071.612041956367</v>
      </c>
      <c r="AQ49" s="111">
        <f>AP$49*'Population Treasury'!BB$71*'Statistics NZ'!BB$378/('Population Treasury'!BA$71*'Statistics NZ'!BA$378)</f>
        <v>33802.796612199287</v>
      </c>
      <c r="AR49" s="111">
        <f>AQ$49*'Population Treasury'!BC$71*'Statistics NZ'!BC$378/('Population Treasury'!BB$71*'Statistics NZ'!BB$378)</f>
        <v>33931.038020379041</v>
      </c>
      <c r="AS49" s="111">
        <f>AR$49*'Population Treasury'!BD$71*'Statistics NZ'!BD$378/('Population Treasury'!BC$71*'Statistics NZ'!BC$378)</f>
        <v>34659.366475891511</v>
      </c>
      <c r="AT49" s="111">
        <f>AS$49*'Population Treasury'!BE$71*'Statistics NZ'!BE$378/('Population Treasury'!BD$71*'Statistics NZ'!BD$378)</f>
        <v>36022.77171740435</v>
      </c>
      <c r="AU49" s="111">
        <f>AT$49*'Population Treasury'!BF$71*'Statistics NZ'!BF$378/('Population Treasury'!BE$71*'Statistics NZ'!BE$378)</f>
        <v>37173.088175746569</v>
      </c>
      <c r="AV49" s="111">
        <f>AU$49*'Population Treasury'!BG$71*'Statistics NZ'!BG$378/('Population Treasury'!BF$71*'Statistics NZ'!BF$378)</f>
        <v>37032.263139242415</v>
      </c>
      <c r="AW49" s="111">
        <f>AV$49*'Population Treasury'!BH$71*'Statistics NZ'!BH$378/('Population Treasury'!BG$71*'Statistics NZ'!BG$378)</f>
        <v>37945.469987145465</v>
      </c>
      <c r="AX49" s="111">
        <f>AW$49*'Population Treasury'!BI$71*'Statistics NZ'!BI$378/('Population Treasury'!BH$71*'Statistics NZ'!BH$378)</f>
        <v>37890.985172684348</v>
      </c>
      <c r="AY49" s="111">
        <f>AX$49*'Population Treasury'!BJ$71*'Statistics NZ'!BJ$378/('Population Treasury'!BI$71*'Statistics NZ'!BI$378)</f>
        <v>37806.835432421416</v>
      </c>
      <c r="AZ49" s="111">
        <f>AY$49*'Population Treasury'!BK$71*'Statistics NZ'!BK$378/('Population Treasury'!BJ$71*'Statistics NZ'!BJ$378)</f>
        <v>37741.477648015505</v>
      </c>
      <c r="BA49" s="111">
        <f>AZ$49*'Population Treasury'!BL$71*'Statistics NZ'!BL$378/('Population Treasury'!BK$71*'Statistics NZ'!BK$378)</f>
        <v>36760.666837221892</v>
      </c>
      <c r="BB49" s="195">
        <f>BA$49*'Population Treasury'!BM$71*'Statistics NZ'!BM$378/('Population Treasury'!BL$71*'Statistics NZ'!BL$378)</f>
        <v>36813.341227789402</v>
      </c>
      <c r="BC49" s="195">
        <f>BB$49*'Population Treasury'!BN$71*'Statistics NZ'!BN$378/('Population Treasury'!BM$71*'Statistics NZ'!BM$378)</f>
        <v>36501.731533882004</v>
      </c>
      <c r="BD49" s="195">
        <f>BC$49*'Population Treasury'!BO$71*'Statistics NZ'!BO$378/('Population Treasury'!BN$71*'Statistics NZ'!BN$378)</f>
        <v>36730.654537284732</v>
      </c>
      <c r="BE49" s="195">
        <f>BD$49*'Population Treasury'!BP$71*'Statistics NZ'!BP$378/('Population Treasury'!BO$71*'Statistics NZ'!BO$378)</f>
        <v>36002.801100824923</v>
      </c>
      <c r="BF49" s="195">
        <f>BE$49*'Population Treasury'!BQ$71*'Statistics NZ'!BQ$378/('Population Treasury'!BP$71*'Statistics NZ'!BP$378)</f>
        <v>35636.118030097176</v>
      </c>
    </row>
    <row r="50" spans="1:58">
      <c r="A50" s="124">
        <v>55</v>
      </c>
      <c r="B50" s="118">
        <f>'Population Treasury'!M$72*'Statistics NZ'!M$379*'Economic Forecasts'!O$8/B$7</f>
        <v>27637.468292416845</v>
      </c>
      <c r="C50" s="118">
        <f>'Population Treasury'!N$72*'Statistics NZ'!N$379*'Economic Forecasts'!P$8/C$7</f>
        <v>28492.928994184807</v>
      </c>
      <c r="D50" s="118">
        <f>'Population Treasury'!O$72*'Statistics NZ'!O$379*'Economic Forecasts'!Q$8/D$7</f>
        <v>27731.166574423914</v>
      </c>
      <c r="E50" s="203">
        <f>'Population Treasury'!P$72*'Statistics NZ'!P$379*'Economic Forecasts'!R$8/E$7</f>
        <v>27066.356251255238</v>
      </c>
      <c r="F50" s="121">
        <f>'Population Treasury'!Q$72*'Statistics NZ'!Q$379*'Economic Forecasts'!S$8/F$7</f>
        <v>26799.838771710005</v>
      </c>
      <c r="G50" s="121">
        <f>'Population Treasury'!R$72*'Statistics NZ'!R$379*'Economic Forecasts'!T$8/G$7</f>
        <v>27490.658075034851</v>
      </c>
      <c r="H50" s="121">
        <f>'Population Treasury'!S$72*'Statistics NZ'!S$379*'Economic Forecasts'!U$8/H$7</f>
        <v>28352.649806371825</v>
      </c>
      <c r="I50" s="121">
        <f>'Population Treasury'!T$72*'Statistics NZ'!T$379*'Economic Forecasts'!V$8/I$7</f>
        <v>29045.320706143939</v>
      </c>
      <c r="J50" s="205">
        <f>'Population Treasury'!U$72*'Statistics NZ'!U$379*'Economic Forecasts'!W$8/J$7</f>
        <v>29061.648853532151</v>
      </c>
      <c r="K50" s="111">
        <f>J$50*'Population Treasury'!V$72*'Statistics NZ'!V$379/('Population Treasury'!U$72*'Statistics NZ'!U$379)</f>
        <v>30378.516615365388</v>
      </c>
      <c r="L50" s="111">
        <f>K$50*'Population Treasury'!W$72*'Statistics NZ'!W$379/('Population Treasury'!V$72*'Statistics NZ'!V$379)</f>
        <v>30045.316550277061</v>
      </c>
      <c r="M50" s="111">
        <f>L$50*'Population Treasury'!X$72*'Statistics NZ'!X$379/('Population Treasury'!W$72*'Statistics NZ'!W$379)</f>
        <v>29009.099238488652</v>
      </c>
      <c r="N50" s="111">
        <f>M$50*'Population Treasury'!Y$72*'Statistics NZ'!Y$379/('Population Treasury'!X$72*'Statistics NZ'!X$379)</f>
        <v>28410.200121502658</v>
      </c>
      <c r="O50" s="111">
        <f>N$50*'Population Treasury'!Z$72*'Statistics NZ'!Z$379/('Population Treasury'!Y$72*'Statistics NZ'!Y$379)</f>
        <v>27339.979337516597</v>
      </c>
      <c r="P50" s="111">
        <f>O$50*'Population Treasury'!AA$72*'Statistics NZ'!AA$379/('Population Treasury'!Z$72*'Statistics NZ'!Z$379)</f>
        <v>26210.764844747871</v>
      </c>
      <c r="Q50" s="111">
        <f>P$50*'Population Treasury'!AB$72*'Statistics NZ'!AB$379/('Population Treasury'!AA$72*'Statistics NZ'!AA$379)</f>
        <v>26420.382367380444</v>
      </c>
      <c r="R50" s="111">
        <f>Q$50*'Population Treasury'!AC$72*'Statistics NZ'!AC$379/('Population Treasury'!AB$72*'Statistics NZ'!AB$379)</f>
        <v>26377.602029863901</v>
      </c>
      <c r="S50" s="111">
        <f>R$50*'Population Treasury'!AD$72*'Statistics NZ'!AD$379/('Population Treasury'!AC$72*'Statistics NZ'!AC$379)</f>
        <v>27262.087291909229</v>
      </c>
      <c r="T50" s="111">
        <f>S$50*'Population Treasury'!AE$72*'Statistics NZ'!AE$379/('Population Treasury'!AD$72*'Statistics NZ'!AD$379)</f>
        <v>27635.91904622678</v>
      </c>
      <c r="U50" s="111">
        <f>T$50*'Population Treasury'!AF$72*'Statistics NZ'!AF$379/('Population Treasury'!AE$72*'Statistics NZ'!AE$379)</f>
        <v>28011.602013628788</v>
      </c>
      <c r="V50" s="111">
        <f>U$50*'Population Treasury'!AG$72*'Statistics NZ'!AG$379/('Population Treasury'!AF$72*'Statistics NZ'!AF$379)</f>
        <v>28995.093348562437</v>
      </c>
      <c r="W50" s="111">
        <f>V$50*'Population Treasury'!AH$72*'Statistics NZ'!AH$379/('Population Treasury'!AG$72*'Statistics NZ'!AG$379)</f>
        <v>29708.149444266637</v>
      </c>
      <c r="X50" s="111">
        <f>W$50*'Population Treasury'!AI$72*'Statistics NZ'!AI$379/('Population Treasury'!AH$72*'Statistics NZ'!AH$379)</f>
        <v>30411.652694511165</v>
      </c>
      <c r="Y50" s="111">
        <f>X$50*'Population Treasury'!AJ$72*'Statistics NZ'!AJ$379/('Population Treasury'!AI$72*'Statistics NZ'!AI$379)</f>
        <v>31145.49117975937</v>
      </c>
      <c r="Z50" s="111">
        <f>Y$50*'Population Treasury'!AK$72*'Statistics NZ'!AK$379/('Population Treasury'!AJ$72*'Statistics NZ'!AJ$379)</f>
        <v>31713.044646385522</v>
      </c>
      <c r="AA50" s="111">
        <f>Z$50*'Population Treasury'!AL$72*'Statistics NZ'!AL$379/('Population Treasury'!AK$72*'Statistics NZ'!AK$379)</f>
        <v>32493.843891865981</v>
      </c>
      <c r="AB50" s="111">
        <f>AA$50*'Population Treasury'!AM$72*'Statistics NZ'!AM$379/('Population Treasury'!AL$72*'Statistics NZ'!AL$379)</f>
        <v>34704.538793321262</v>
      </c>
      <c r="AC50" s="111">
        <f>AB$50*'Population Treasury'!AN$72*'Statistics NZ'!AN$379/('Population Treasury'!AM$72*'Statistics NZ'!AM$379)</f>
        <v>35025.757967644931</v>
      </c>
      <c r="AD50" s="111">
        <f>AC$50*'Population Treasury'!AO$72*'Statistics NZ'!AO$379/('Population Treasury'!AN$72*'Statistics NZ'!AN$379)</f>
        <v>36525.309428694018</v>
      </c>
      <c r="AE50" s="111">
        <f>AD$50*'Population Treasury'!AP$72*'Statistics NZ'!AP$379/('Population Treasury'!AO$72*'Statistics NZ'!AO$379)</f>
        <v>37047.884834557146</v>
      </c>
      <c r="AF50" s="111">
        <f>AE$50*'Population Treasury'!AQ$72*'Statistics NZ'!AQ$379/('Population Treasury'!AP$72*'Statistics NZ'!AP$379)</f>
        <v>36742.695548216252</v>
      </c>
      <c r="AG50" s="111">
        <f>AF$50*'Population Treasury'!AR$72*'Statistics NZ'!AR$379/('Population Treasury'!AQ$72*'Statistics NZ'!AQ$379)</f>
        <v>36118.187878881894</v>
      </c>
      <c r="AH50" s="111">
        <f>AG$50*'Population Treasury'!AS$72*'Statistics NZ'!AS$379/('Population Treasury'!AR$72*'Statistics NZ'!AR$379)</f>
        <v>35072.645286360377</v>
      </c>
      <c r="AI50" s="111">
        <f>AH$50*'Population Treasury'!AT$72*'Statistics NZ'!AT$379/('Population Treasury'!AS$72*'Statistics NZ'!AS$379)</f>
        <v>34880.06555573902</v>
      </c>
      <c r="AJ50" s="111">
        <f>AI$50*'Population Treasury'!AU$72*'Statistics NZ'!AU$379/('Population Treasury'!AT$72*'Statistics NZ'!AT$379)</f>
        <v>34563.094674956592</v>
      </c>
      <c r="AK50" s="111">
        <f>AJ$50*'Population Treasury'!AV$72*'Statistics NZ'!AV$379/('Population Treasury'!AU$72*'Statistics NZ'!AU$379)</f>
        <v>34241.683699078123</v>
      </c>
      <c r="AL50" s="111">
        <f>AK$50*'Population Treasury'!AW$72*'Statistics NZ'!AW$379/('Population Treasury'!AV$72*'Statistics NZ'!AV$379)</f>
        <v>34227.367818327002</v>
      </c>
      <c r="AM50" s="111">
        <f>AL$50*'Population Treasury'!AX$72*'Statistics NZ'!AX$379/('Population Treasury'!AW$72*'Statistics NZ'!AW$379)</f>
        <v>33717.825485279398</v>
      </c>
      <c r="AN50" s="111">
        <f>AM$50*'Population Treasury'!AY$72*'Statistics NZ'!AY$379/('Population Treasury'!AX$72*'Statistics NZ'!AX$379)</f>
        <v>34400.463064701136</v>
      </c>
      <c r="AO50" s="111">
        <f>AN$50*'Population Treasury'!AZ$72*'Statistics NZ'!AZ$379/('Population Treasury'!AY$72*'Statistics NZ'!AY$379)</f>
        <v>34093.501247211745</v>
      </c>
      <c r="AP50" s="111">
        <f>AO$50*'Population Treasury'!BA$72*'Statistics NZ'!BA$379/('Population Treasury'!AZ$72*'Statistics NZ'!AZ$379)</f>
        <v>33271.331453319544</v>
      </c>
      <c r="AQ50" s="111">
        <f>AP$50*'Population Treasury'!BB$72*'Statistics NZ'!BB$379/('Population Treasury'!BA$72*'Statistics NZ'!BA$379)</f>
        <v>32979.747843584963</v>
      </c>
      <c r="AR50" s="111">
        <f>AQ$50*'Population Treasury'!BC$72*'Statistics NZ'!BC$379/('Population Treasury'!BB$72*'Statistics NZ'!BB$379)</f>
        <v>33699.60196210954</v>
      </c>
      <c r="AS50" s="111">
        <f>AR$50*'Population Treasury'!BD$72*'Statistics NZ'!BD$379/('Population Treasury'!BC$72*'Statistics NZ'!BC$379)</f>
        <v>33836.314574076438</v>
      </c>
      <c r="AT50" s="111">
        <f>AS$50*'Population Treasury'!BE$72*'Statistics NZ'!BE$379/('Population Treasury'!BD$72*'Statistics NZ'!BD$379)</f>
        <v>34552.766956217281</v>
      </c>
      <c r="AU50" s="111">
        <f>AT$50*'Population Treasury'!BF$72*'Statistics NZ'!BF$379/('Population Treasury'!BE$72*'Statistics NZ'!BE$379)</f>
        <v>35906.791387863617</v>
      </c>
      <c r="AV50" s="111">
        <f>AU$50*'Population Treasury'!BG$72*'Statistics NZ'!BG$379/('Population Treasury'!BF$72*'Statistics NZ'!BF$379)</f>
        <v>37045.827501186504</v>
      </c>
      <c r="AW50" s="111">
        <f>AV$50*'Population Treasury'!BH$72*'Statistics NZ'!BH$379/('Population Treasury'!BG$72*'Statistics NZ'!BG$379)</f>
        <v>36902.596732663376</v>
      </c>
      <c r="AX50" s="111">
        <f>AW$50*'Population Treasury'!BI$72*'Statistics NZ'!BI$379/('Population Treasury'!BH$72*'Statistics NZ'!BH$379)</f>
        <v>37825.724980750361</v>
      </c>
      <c r="AY50" s="111">
        <f>AX$50*'Population Treasury'!BJ$72*'Statistics NZ'!BJ$379/('Population Treasury'!BI$72*'Statistics NZ'!BI$379)</f>
        <v>37758.706821367792</v>
      </c>
      <c r="AZ50" s="111">
        <f>AY$50*'Population Treasury'!BK$72*'Statistics NZ'!BK$379/('Population Treasury'!BJ$72*'Statistics NZ'!BJ$379)</f>
        <v>37672.101894006642</v>
      </c>
      <c r="BA50" s="111">
        <f>AZ$50*'Population Treasury'!BL$72*'Statistics NZ'!BL$379/('Population Treasury'!BK$72*'Statistics NZ'!BK$379)</f>
        <v>37604.59162773643</v>
      </c>
      <c r="BB50" s="195">
        <f>BA$50*'Population Treasury'!BM$72*'Statistics NZ'!BM$379/('Population Treasury'!BL$72*'Statistics NZ'!BL$379)</f>
        <v>36636.01234214077</v>
      </c>
      <c r="BC50" s="195">
        <f>BB$50*'Population Treasury'!BN$72*'Statistics NZ'!BN$379/('Population Treasury'!BM$72*'Statistics NZ'!BM$379)</f>
        <v>36698.277451228088</v>
      </c>
      <c r="BD50" s="195">
        <f>BC$50*'Population Treasury'!BO$72*'Statistics NZ'!BO$379/('Population Treasury'!BN$72*'Statistics NZ'!BN$379)</f>
        <v>36387.122893505832</v>
      </c>
      <c r="BE50" s="195">
        <f>BD$50*'Population Treasury'!BP$72*'Statistics NZ'!BP$379/('Population Treasury'!BO$72*'Statistics NZ'!BO$379)</f>
        <v>36608.779600779781</v>
      </c>
      <c r="BF50" s="195">
        <f>BE$50*'Population Treasury'!BQ$72*'Statistics NZ'!BQ$379/('Population Treasury'!BP$72*'Statistics NZ'!BP$379)</f>
        <v>35898.659756659828</v>
      </c>
    </row>
    <row r="51" spans="1:58">
      <c r="A51" s="124">
        <v>56</v>
      </c>
      <c r="B51" s="118">
        <f>'Population Treasury'!M$73*'Statistics NZ'!M$380*'Economic Forecasts'!O$8/B$7</f>
        <v>26717.054664982679</v>
      </c>
      <c r="C51" s="118">
        <f>'Population Treasury'!N$73*'Statistics NZ'!N$380*'Economic Forecasts'!P$8/C$7</f>
        <v>27709.278908221011</v>
      </c>
      <c r="D51" s="118">
        <f>'Population Treasury'!O$73*'Statistics NZ'!O$380*'Economic Forecasts'!Q$8/D$7</f>
        <v>27971.455011712842</v>
      </c>
      <c r="E51" s="203">
        <f>'Population Treasury'!P$73*'Statistics NZ'!P$380*'Economic Forecasts'!R$8/E$7</f>
        <v>27468.680726064667</v>
      </c>
      <c r="F51" s="121">
        <f>'Population Treasury'!Q$73*'Statistics NZ'!Q$380*'Economic Forecasts'!S$8/F$7</f>
        <v>26929.007443056213</v>
      </c>
      <c r="G51" s="121">
        <f>'Population Treasury'!R$73*'Statistics NZ'!R$380*'Economic Forecasts'!T$8/G$7</f>
        <v>26792.918308860142</v>
      </c>
      <c r="H51" s="121">
        <f>'Population Treasury'!S$73*'Statistics NZ'!S$380*'Economic Forecasts'!U$8/H$7</f>
        <v>27408.950478902996</v>
      </c>
      <c r="I51" s="121">
        <f>'Population Treasury'!T$73*'Statistics NZ'!T$380*'Economic Forecasts'!V$8/I$7</f>
        <v>28193.854063796753</v>
      </c>
      <c r="J51" s="205">
        <f>'Population Treasury'!U$73*'Statistics NZ'!U$380*'Economic Forecasts'!W$8/J$7</f>
        <v>28899.512962250916</v>
      </c>
      <c r="K51" s="111">
        <f>J$51*'Population Treasury'!V$73*'Statistics NZ'!V$380/('Population Treasury'!U$73*'Statistics NZ'!U$380)</f>
        <v>28796.61399494877</v>
      </c>
      <c r="L51" s="111">
        <f>K$51*'Population Treasury'!W$73*'Statistics NZ'!W$380/('Population Treasury'!V$73*'Statistics NZ'!V$380)</f>
        <v>30109.00840139456</v>
      </c>
      <c r="M51" s="111">
        <f>L$51*'Population Treasury'!X$73*'Statistics NZ'!X$380/('Population Treasury'!W$73*'Statistics NZ'!W$380)</f>
        <v>29781.981460877327</v>
      </c>
      <c r="N51" s="111">
        <f>M$51*'Population Treasury'!Y$73*'Statistics NZ'!Y$380/('Population Treasury'!X$73*'Statistics NZ'!X$380)</f>
        <v>28745.611595150378</v>
      </c>
      <c r="O51" s="111">
        <f>N$51*'Population Treasury'!Z$73*'Statistics NZ'!Z$380/('Population Treasury'!Y$73*'Statistics NZ'!Y$380)</f>
        <v>28152.587328152447</v>
      </c>
      <c r="P51" s="111">
        <f>O$51*'Population Treasury'!AA$73*'Statistics NZ'!AA$380/('Population Treasury'!Z$73*'Statistics NZ'!Z$380)</f>
        <v>27102.19920634852</v>
      </c>
      <c r="Q51" s="111">
        <f>P$51*'Population Treasury'!AB$73*'Statistics NZ'!AB$380/('Population Treasury'!AA$73*'Statistics NZ'!AA$380)</f>
        <v>25972.062355425987</v>
      </c>
      <c r="R51" s="111">
        <f>Q$51*'Population Treasury'!AC$73*'Statistics NZ'!AC$380/('Population Treasury'!AB$73*'Statistics NZ'!AB$380)</f>
        <v>26188.189586383374</v>
      </c>
      <c r="S51" s="111">
        <f>R$51*'Population Treasury'!AD$73*'Statistics NZ'!AD$380/('Population Treasury'!AC$73*'Statistics NZ'!AC$380)</f>
        <v>26151.946611607225</v>
      </c>
      <c r="T51" s="111">
        <f>S$51*'Population Treasury'!AE$73*'Statistics NZ'!AE$380/('Population Treasury'!AD$73*'Statistics NZ'!AD$380)</f>
        <v>27015.75485210001</v>
      </c>
      <c r="U51" s="111">
        <f>T$51*'Population Treasury'!AF$73*'Statistics NZ'!AF$380/('Population Treasury'!AE$73*'Statistics NZ'!AE$380)</f>
        <v>27387.632869829667</v>
      </c>
      <c r="V51" s="111">
        <f>U$51*'Population Treasury'!AG$73*'Statistics NZ'!AG$380/('Population Treasury'!AF$73*'Statistics NZ'!AF$380)</f>
        <v>27762.976991426785</v>
      </c>
      <c r="W51" s="111">
        <f>V$51*'Population Treasury'!AH$73*'Statistics NZ'!AH$380/('Population Treasury'!AG$73*'Statistics NZ'!AG$380)</f>
        <v>28734.832534570352</v>
      </c>
      <c r="X51" s="111">
        <f>W$51*'Population Treasury'!AI$73*'Statistics NZ'!AI$380/('Population Treasury'!AH$73*'Statistics NZ'!AH$380)</f>
        <v>29447.479257054369</v>
      </c>
      <c r="Y51" s="111">
        <f>X$51*'Population Treasury'!AJ$73*'Statistics NZ'!AJ$380/('Population Treasury'!AI$73*'Statistics NZ'!AI$380)</f>
        <v>30150.148417493772</v>
      </c>
      <c r="Z51" s="111">
        <f>Y$51*'Population Treasury'!AK$73*'Statistics NZ'!AK$380/('Population Treasury'!AJ$73*'Statistics NZ'!AJ$380)</f>
        <v>30875.237529814371</v>
      </c>
      <c r="AA51" s="111">
        <f>Z$51*'Population Treasury'!AL$73*'Statistics NZ'!AL$380/('Population Treasury'!AK$73*'Statistics NZ'!AK$380)</f>
        <v>31423.803419563887</v>
      </c>
      <c r="AB51" s="111">
        <f>AA$51*'Population Treasury'!AM$73*'Statistics NZ'!AM$380/('Population Treasury'!AL$73*'Statistics NZ'!AL$380)</f>
        <v>32193.700769539715</v>
      </c>
      <c r="AC51" s="111">
        <f>AB$51*'Population Treasury'!AN$73*'Statistics NZ'!AN$380/('Population Treasury'!AM$73*'Statistics NZ'!AM$380)</f>
        <v>34391.140668530148</v>
      </c>
      <c r="AD51" s="111">
        <f>AC$51*'Population Treasury'!AO$73*'Statistics NZ'!AO$380/('Population Treasury'!AN$73*'Statistics NZ'!AN$380)</f>
        <v>34705.321580644828</v>
      </c>
      <c r="AE51" s="111">
        <f>AD$51*'Population Treasury'!AP$73*'Statistics NZ'!AP$380/('Population Treasury'!AO$73*'Statistics NZ'!AO$380)</f>
        <v>36196.997306590209</v>
      </c>
      <c r="AF51" s="111">
        <f>AE$51*'Population Treasury'!AQ$73*'Statistics NZ'!AQ$380/('Population Treasury'!AP$73*'Statistics NZ'!AP$380)</f>
        <v>36724.276441816983</v>
      </c>
      <c r="AG51" s="111">
        <f>AF$51*'Population Treasury'!AR$73*'Statistics NZ'!AR$380/('Population Treasury'!AQ$73*'Statistics NZ'!AQ$380)</f>
        <v>36427.777702940642</v>
      </c>
      <c r="AH51" s="111">
        <f>AG$51*'Population Treasury'!AS$73*'Statistics NZ'!AS$380/('Population Treasury'!AR$73*'Statistics NZ'!AR$380)</f>
        <v>35807.126507252047</v>
      </c>
      <c r="AI51" s="111">
        <f>AH$51*'Population Treasury'!AT$73*'Statistics NZ'!AT$380/('Population Treasury'!AS$73*'Statistics NZ'!AS$380)</f>
        <v>34753.3653504053</v>
      </c>
      <c r="AJ51" s="111">
        <f>AI$51*'Population Treasury'!AU$73*'Statistics NZ'!AU$380/('Population Treasury'!AT$73*'Statistics NZ'!AT$380)</f>
        <v>34568.23569211665</v>
      </c>
      <c r="AK51" s="111">
        <f>AJ$51*'Population Treasury'!AV$73*'Statistics NZ'!AV$380/('Population Treasury'!AU$73*'Statistics NZ'!AU$380)</f>
        <v>34258.820230801757</v>
      </c>
      <c r="AL51" s="111">
        <f>AK$51*'Population Treasury'!AW$73*'Statistics NZ'!AW$380/('Population Treasury'!AV$73*'Statistics NZ'!AV$380)</f>
        <v>33945.645467774273</v>
      </c>
      <c r="AM51" s="111">
        <f>AL$51*'Population Treasury'!AX$73*'Statistics NZ'!AX$380/('Population Treasury'!AW$73*'Statistics NZ'!AW$380)</f>
        <v>33914.610528105462</v>
      </c>
      <c r="AN51" s="111">
        <f>AM$51*'Population Treasury'!AY$73*'Statistics NZ'!AY$380/('Population Treasury'!AX$73*'Statistics NZ'!AX$380)</f>
        <v>33429.470477348295</v>
      </c>
      <c r="AO51" s="111">
        <f>AN$51*'Population Treasury'!AZ$73*'Statistics NZ'!AZ$380/('Population Treasury'!AY$73*'Statistics NZ'!AY$380)</f>
        <v>34111.350131967789</v>
      </c>
      <c r="AP51" s="111">
        <f>AO$51*'Population Treasury'!BA$73*'Statistics NZ'!BA$380/('Population Treasury'!AZ$73*'Statistics NZ'!AZ$380)</f>
        <v>33791.43467450529</v>
      </c>
      <c r="AQ51" s="111">
        <f>AP$51*'Population Treasury'!BB$73*'Statistics NZ'!BB$380/('Population Treasury'!BA$73*'Statistics NZ'!BA$380)</f>
        <v>32976.290945380089</v>
      </c>
      <c r="AR51" s="111">
        <f>AQ$51*'Population Treasury'!BC$73*'Statistics NZ'!BC$380/('Population Treasury'!BB$73*'Statistics NZ'!BB$380)</f>
        <v>32684.35758473102</v>
      </c>
      <c r="AS51" s="111">
        <f>AR$51*'Population Treasury'!BD$73*'Statistics NZ'!BD$380/('Population Treasury'!BC$73*'Statistics NZ'!BC$380)</f>
        <v>33402.180477096583</v>
      </c>
      <c r="AT51" s="111">
        <f>AS$51*'Population Treasury'!BE$73*'Statistics NZ'!BE$380/('Population Treasury'!BD$73*'Statistics NZ'!BD$380)</f>
        <v>33536.73649039703</v>
      </c>
      <c r="AU51" s="111">
        <f>AT$51*'Population Treasury'!BF$73*'Statistics NZ'!BF$380/('Population Treasury'!BE$73*'Statistics NZ'!BE$380)</f>
        <v>34252.839163149372</v>
      </c>
      <c r="AV51" s="111">
        <f>AU$51*'Population Treasury'!BG$73*'Statistics NZ'!BG$380/('Population Treasury'!BF$73*'Statistics NZ'!BF$380)</f>
        <v>35603.418404158423</v>
      </c>
      <c r="AW51" s="111">
        <f>AV$51*'Population Treasury'!BH$73*'Statistics NZ'!BH$380/('Population Treasury'!BG$73*'Statistics NZ'!BG$380)</f>
        <v>36722.500892713855</v>
      </c>
      <c r="AX51" s="111">
        <f>AW$51*'Population Treasury'!BI$73*'Statistics NZ'!BI$380/('Population Treasury'!BH$73*'Statistics NZ'!BH$380)</f>
        <v>36589.229913325566</v>
      </c>
      <c r="AY51" s="111">
        <f>AX$51*'Population Treasury'!BJ$73*'Statistics NZ'!BJ$380/('Population Treasury'!BI$73*'Statistics NZ'!BI$380)</f>
        <v>37478.674628330868</v>
      </c>
      <c r="AZ51" s="111">
        <f>AY$51*'Population Treasury'!BK$73*'Statistics NZ'!BK$380/('Population Treasury'!BJ$73*'Statistics NZ'!BJ$380)</f>
        <v>37430.058536985212</v>
      </c>
      <c r="BA51" s="111">
        <f>AZ$51*'Population Treasury'!BL$73*'Statistics NZ'!BL$380/('Population Treasury'!BK$73*'Statistics NZ'!BK$380)</f>
        <v>37341.945700479315</v>
      </c>
      <c r="BB51" s="195">
        <f>BA$51*'Population Treasury'!BM$73*'Statistics NZ'!BM$380/('Population Treasury'!BL$73*'Statistics NZ'!BL$380)</f>
        <v>37271.521436078445</v>
      </c>
      <c r="BC51" s="195">
        <f>BB$51*'Population Treasury'!BN$73*'Statistics NZ'!BN$380/('Population Treasury'!BM$73*'Statistics NZ'!BM$380)</f>
        <v>36324.057579726192</v>
      </c>
      <c r="BD51" s="195">
        <f>BC$51*'Population Treasury'!BO$73*'Statistics NZ'!BO$380/('Population Treasury'!BN$73*'Statistics NZ'!BN$380)</f>
        <v>36385.179623418895</v>
      </c>
      <c r="BE51" s="195">
        <f>BD$51*'Population Treasury'!BP$73*'Statistics NZ'!BP$380/('Population Treasury'!BO$73*'Statistics NZ'!BO$380)</f>
        <v>36076.666029853899</v>
      </c>
      <c r="BF51" s="195">
        <f>BE$51*'Population Treasury'!BQ$73*'Statistics NZ'!BQ$380/('Population Treasury'!BP$73*'Statistics NZ'!BP$380)</f>
        <v>36288.663614870296</v>
      </c>
    </row>
    <row r="52" spans="1:58">
      <c r="A52" s="124">
        <v>57</v>
      </c>
      <c r="B52" s="118">
        <f>'Population Treasury'!M$74*'Statistics NZ'!M$381*'Economic Forecasts'!O$8/B$7</f>
        <v>25038.984576121173</v>
      </c>
      <c r="C52" s="118">
        <f>'Population Treasury'!N$74*'Statistics NZ'!N$381*'Economic Forecasts'!P$8/C$7</f>
        <v>26656.982330672221</v>
      </c>
      <c r="D52" s="118">
        <f>'Population Treasury'!O$74*'Statistics NZ'!O$381*'Economic Forecasts'!Q$8/D$7</f>
        <v>27113.956316658176</v>
      </c>
      <c r="E52" s="203">
        <f>'Population Treasury'!P$74*'Statistics NZ'!P$381*'Economic Forecasts'!R$8/E$7</f>
        <v>27657.241036828127</v>
      </c>
      <c r="F52" s="121">
        <f>'Population Treasury'!Q$74*'Statistics NZ'!Q$381*'Economic Forecasts'!S$8/F$7</f>
        <v>27226.472000211506</v>
      </c>
      <c r="G52" s="121">
        <f>'Population Treasury'!R$74*'Statistics NZ'!R$381*'Economic Forecasts'!T$8/G$7</f>
        <v>26829.030543385892</v>
      </c>
      <c r="H52" s="121">
        <f>'Population Treasury'!S$74*'Statistics NZ'!S$381*'Economic Forecasts'!U$8/H$7</f>
        <v>26596.17622122425</v>
      </c>
      <c r="I52" s="121">
        <f>'Population Treasury'!T$74*'Statistics NZ'!T$381*'Economic Forecasts'!V$8/I$7</f>
        <v>27173.131767271676</v>
      </c>
      <c r="J52" s="205">
        <f>'Population Treasury'!U$74*'Statistics NZ'!U$381*'Economic Forecasts'!W$8/J$7</f>
        <v>27949.389565138023</v>
      </c>
      <c r="K52" s="111">
        <f>J$52*'Population Treasury'!V$74*'Statistics NZ'!V$381/('Population Treasury'!U$74*'Statistics NZ'!U$381)</f>
        <v>28543.42682313433</v>
      </c>
      <c r="L52" s="111">
        <f>K$52*'Population Treasury'!W$74*'Statistics NZ'!W$381/('Population Treasury'!V$74*'Statistics NZ'!V$381)</f>
        <v>28448.927768166563</v>
      </c>
      <c r="M52" s="111">
        <f>L$52*'Population Treasury'!X$74*'Statistics NZ'!X$381/('Population Treasury'!W$74*'Statistics NZ'!W$381)</f>
        <v>29739.106200911559</v>
      </c>
      <c r="N52" s="111">
        <f>M$52*'Population Treasury'!Y$74*'Statistics NZ'!Y$381/('Population Treasury'!X$74*'Statistics NZ'!X$381)</f>
        <v>29406.746743913529</v>
      </c>
      <c r="O52" s="111">
        <f>N$52*'Population Treasury'!Z$74*'Statistics NZ'!Z$381/('Population Treasury'!Y$74*'Statistics NZ'!Y$381)</f>
        <v>28392.374528605058</v>
      </c>
      <c r="P52" s="111">
        <f>O$52*'Population Treasury'!AA$74*'Statistics NZ'!AA$381/('Population Treasury'!Z$74*'Statistics NZ'!Z$381)</f>
        <v>27815.093176659302</v>
      </c>
      <c r="Q52" s="111">
        <f>P$52*'Population Treasury'!AB$74*'Statistics NZ'!AB$381/('Population Treasury'!AA$74*'Statistics NZ'!AA$381)</f>
        <v>26773.945014010449</v>
      </c>
      <c r="R52" s="111">
        <f>Q$52*'Population Treasury'!AC$74*'Statistics NZ'!AC$381/('Population Treasury'!AB$74*'Statistics NZ'!AB$381)</f>
        <v>25670.967132235401</v>
      </c>
      <c r="S52" s="111">
        <f>R$52*'Population Treasury'!AD$74*'Statistics NZ'!AD$381/('Population Treasury'!AC$74*'Statistics NZ'!AC$381)</f>
        <v>25856.673453211795</v>
      </c>
      <c r="T52" s="111">
        <f>S$52*'Population Treasury'!AE$74*'Statistics NZ'!AE$381/('Population Treasury'!AD$74*'Statistics NZ'!AD$381)</f>
        <v>25825.789393273619</v>
      </c>
      <c r="U52" s="111">
        <f>T$52*'Population Treasury'!AF$74*'Statistics NZ'!AF$381/('Population Treasury'!AE$74*'Statistics NZ'!AE$381)</f>
        <v>26691.170723682848</v>
      </c>
      <c r="V52" s="111">
        <f>U$52*'Population Treasury'!AG$74*'Statistics NZ'!AG$381/('Population Treasury'!AF$74*'Statistics NZ'!AF$381)</f>
        <v>27049.153906258049</v>
      </c>
      <c r="W52" s="111">
        <f>V$52*'Population Treasury'!AH$74*'Statistics NZ'!AH$381/('Population Treasury'!AG$74*'Statistics NZ'!AG$381)</f>
        <v>27424.014264095618</v>
      </c>
      <c r="X52" s="111">
        <f>W$52*'Population Treasury'!AI$74*'Statistics NZ'!AI$381/('Population Treasury'!AH$74*'Statistics NZ'!AH$381)</f>
        <v>28375.23892472226</v>
      </c>
      <c r="Y52" s="111">
        <f>X$52*'Population Treasury'!AJ$74*'Statistics NZ'!AJ$381/('Population Treasury'!AI$74*'Statistics NZ'!AI$381)</f>
        <v>29085.057398056848</v>
      </c>
      <c r="Z52" s="111">
        <f>Y$52*'Population Treasury'!AK$74*'Statistics NZ'!AK$381/('Population Treasury'!AJ$74*'Statistics NZ'!AJ$381)</f>
        <v>29775.553367037177</v>
      </c>
      <c r="AA52" s="111">
        <f>Z$52*'Population Treasury'!AL$74*'Statistics NZ'!AL$381/('Population Treasury'!AK$74*'Statistics NZ'!AK$381)</f>
        <v>30475.290025398612</v>
      </c>
      <c r="AB52" s="111">
        <f>AA$52*'Population Treasury'!AM$74*'Statistics NZ'!AM$381/('Population Treasury'!AL$74*'Statistics NZ'!AL$381)</f>
        <v>31040.326712449216</v>
      </c>
      <c r="AC52" s="111">
        <f>AB$52*'Population Treasury'!AN$74*'Statistics NZ'!AN$381/('Population Treasury'!AM$74*'Statistics NZ'!AM$381)</f>
        <v>31802.132793670793</v>
      </c>
      <c r="AD52" s="111">
        <f>AC$52*'Population Treasury'!AO$74*'Statistics NZ'!AO$381/('Population Treasury'!AN$74*'Statistics NZ'!AN$381)</f>
        <v>33962.968111009737</v>
      </c>
      <c r="AE52" s="111">
        <f>AD$52*'Population Treasury'!AP$74*'Statistics NZ'!AP$381/('Population Treasury'!AO$74*'Statistics NZ'!AO$381)</f>
        <v>34282.715245905158</v>
      </c>
      <c r="AF52" s="111">
        <f>AE$52*'Population Treasury'!AQ$74*'Statistics NZ'!AQ$381/('Population Treasury'!AP$74*'Statistics NZ'!AP$381)</f>
        <v>35737.725124446719</v>
      </c>
      <c r="AG52" s="111">
        <f>AF$52*'Population Treasury'!AR$74*'Statistics NZ'!AR$381/('Population Treasury'!AQ$74*'Statistics NZ'!AQ$381)</f>
        <v>36253.486770338721</v>
      </c>
      <c r="AH52" s="111">
        <f>AG$52*'Population Treasury'!AS$74*'Statistics NZ'!AS$381/('Population Treasury'!AR$74*'Statistics NZ'!AR$381)</f>
        <v>35955.950024600977</v>
      </c>
      <c r="AI52" s="111">
        <f>AH$52*'Population Treasury'!AT$74*'Statistics NZ'!AT$381/('Population Treasury'!AS$74*'Statistics NZ'!AS$381)</f>
        <v>35350.002218767186</v>
      </c>
      <c r="AJ52" s="111">
        <f>AI$52*'Population Treasury'!AU$74*'Statistics NZ'!AU$381/('Population Treasury'!AT$74*'Statistics NZ'!AT$381)</f>
        <v>34326.653398749979</v>
      </c>
      <c r="AK52" s="111">
        <f>AJ$52*'Population Treasury'!AV$74*'Statistics NZ'!AV$381/('Population Treasury'!AU$74*'Statistics NZ'!AU$381)</f>
        <v>34141.120896607652</v>
      </c>
      <c r="AL52" s="111">
        <f>AK$52*'Population Treasury'!AW$74*'Statistics NZ'!AW$381/('Population Treasury'!AV$74*'Statistics NZ'!AV$381)</f>
        <v>33824.989104635169</v>
      </c>
      <c r="AM52" s="111">
        <f>AL$52*'Population Treasury'!AX$74*'Statistics NZ'!AX$381/('Population Treasury'!AW$74*'Statistics NZ'!AW$381)</f>
        <v>33530.259321918689</v>
      </c>
      <c r="AN52" s="111">
        <f>AM$52*'Population Treasury'!AY$74*'Statistics NZ'!AY$381/('Population Treasury'!AX$74*'Statistics NZ'!AX$381)</f>
        <v>33496.298232185633</v>
      </c>
      <c r="AO52" s="111">
        <f>AN$52*'Population Treasury'!AZ$74*'Statistics NZ'!AZ$381/('Population Treasury'!AY$74*'Statistics NZ'!AY$381)</f>
        <v>33016.638078977601</v>
      </c>
      <c r="AP52" s="111">
        <f>AO$52*'Population Treasury'!BA$74*'Statistics NZ'!BA$381/('Population Treasury'!AZ$74*'Statistics NZ'!AZ$381)</f>
        <v>33686.231006124188</v>
      </c>
      <c r="AQ52" s="111">
        <f>AP$52*'Population Treasury'!BB$74*'Statistics NZ'!BB$381/('Population Treasury'!BA$74*'Statistics NZ'!BA$381)</f>
        <v>33372.514997544415</v>
      </c>
      <c r="AR52" s="111">
        <f>AQ$52*'Population Treasury'!BC$74*'Statistics NZ'!BC$381/('Population Treasury'!BB$74*'Statistics NZ'!BB$381)</f>
        <v>32573.818077604374</v>
      </c>
      <c r="AS52" s="111">
        <f>AR$52*'Population Treasury'!BD$74*'Statistics NZ'!BD$381/('Population Treasury'!BC$74*'Statistics NZ'!BC$381)</f>
        <v>32301.547327371663</v>
      </c>
      <c r="AT52" s="111">
        <f>AS$52*'Population Treasury'!BE$74*'Statistics NZ'!BE$381/('Population Treasury'!BD$74*'Statistics NZ'!BD$381)</f>
        <v>33004.994599764665</v>
      </c>
      <c r="AU52" s="111">
        <f>AT$52*'Population Treasury'!BF$74*'Statistics NZ'!BF$381/('Population Treasury'!BE$74*'Statistics NZ'!BE$381)</f>
        <v>33126.697549997116</v>
      </c>
      <c r="AV52" s="111">
        <f>AU$52*'Population Treasury'!BG$74*'Statistics NZ'!BG$381/('Population Treasury'!BF$74*'Statistics NZ'!BF$381)</f>
        <v>33830.640989186228</v>
      </c>
      <c r="AW52" s="111">
        <f>AV$52*'Population Treasury'!BH$74*'Statistics NZ'!BH$381/('Population Treasury'!BG$74*'Statistics NZ'!BG$381)</f>
        <v>35166.674071659101</v>
      </c>
      <c r="AX52" s="111">
        <f>AW$52*'Population Treasury'!BI$74*'Statistics NZ'!BI$381/('Population Treasury'!BH$74*'Statistics NZ'!BH$381)</f>
        <v>36274.982739775114</v>
      </c>
      <c r="AY52" s="111">
        <f>AX$52*'Population Treasury'!BJ$74*'Statistics NZ'!BJ$381/('Population Treasury'!BI$74*'Statistics NZ'!BI$381)</f>
        <v>36140.994275708144</v>
      </c>
      <c r="AZ52" s="111">
        <f>AY$52*'Population Treasury'!BK$74*'Statistics NZ'!BK$381/('Population Treasury'!BJ$74*'Statistics NZ'!BJ$381)</f>
        <v>37028.277659225234</v>
      </c>
      <c r="BA52" s="111">
        <f>AZ$52*'Population Treasury'!BL$74*'Statistics NZ'!BL$381/('Population Treasury'!BK$74*'Statistics NZ'!BK$381)</f>
        <v>36964.736921682881</v>
      </c>
      <c r="BB52" s="195">
        <f>BA$52*'Population Treasury'!BM$74*'Statistics NZ'!BM$381/('Population Treasury'!BL$74*'Statistics NZ'!BL$381)</f>
        <v>36893.778416324916</v>
      </c>
      <c r="BC52" s="195">
        <f>BB$52*'Population Treasury'!BN$74*'Statistics NZ'!BN$381/('Population Treasury'!BM$74*'Statistics NZ'!BM$381)</f>
        <v>36821.076887055409</v>
      </c>
      <c r="BD52" s="195">
        <f>BC$52*'Population Treasury'!BO$74*'Statistics NZ'!BO$381/('Population Treasury'!BN$74*'Statistics NZ'!BN$381)</f>
        <v>35873.843848661978</v>
      </c>
      <c r="BE52" s="195">
        <f>BD$52*'Population Treasury'!BP$74*'Statistics NZ'!BP$381/('Population Treasury'!BO$74*'Statistics NZ'!BO$381)</f>
        <v>35945.361301578239</v>
      </c>
      <c r="BF52" s="195">
        <f>BE$52*'Population Treasury'!BQ$74*'Statistics NZ'!BQ$381/('Population Treasury'!BP$74*'Statistics NZ'!BP$381)</f>
        <v>35640.700938859816</v>
      </c>
    </row>
    <row r="53" spans="1:58">
      <c r="A53" s="124">
        <v>58</v>
      </c>
      <c r="B53" s="118">
        <f>'Population Treasury'!M$75*'Statistics NZ'!M$382*'Economic Forecasts'!O$8/B$7</f>
        <v>24226.524788912695</v>
      </c>
      <c r="C53" s="118">
        <f>'Population Treasury'!N$75*'Statistics NZ'!N$382*'Economic Forecasts'!P$8/C$7</f>
        <v>24985.705739675217</v>
      </c>
      <c r="D53" s="118">
        <f>'Population Treasury'!O$75*'Statistics NZ'!O$382*'Economic Forecasts'!Q$8/D$7</f>
        <v>26045.800936003525</v>
      </c>
      <c r="E53" s="203">
        <f>'Population Treasury'!P$75*'Statistics NZ'!P$382*'Economic Forecasts'!R$8/E$7</f>
        <v>26806.657194672309</v>
      </c>
      <c r="F53" s="121">
        <f>'Population Treasury'!Q$75*'Statistics NZ'!Q$382*'Economic Forecasts'!S$8/F$7</f>
        <v>27419.817684725247</v>
      </c>
      <c r="G53" s="121">
        <f>'Population Treasury'!R$75*'Statistics NZ'!R$382*'Economic Forecasts'!T$8/G$7</f>
        <v>27136.148971049162</v>
      </c>
      <c r="H53" s="121">
        <f>'Population Treasury'!S$75*'Statistics NZ'!S$382*'Economic Forecasts'!U$8/H$7</f>
        <v>26654.426692390309</v>
      </c>
      <c r="I53" s="121">
        <f>'Population Treasury'!T$75*'Statistics NZ'!T$382*'Economic Forecasts'!V$8/I$7</f>
        <v>26436.706467164528</v>
      </c>
      <c r="J53" s="205">
        <f>'Population Treasury'!U$75*'Statistics NZ'!U$382*'Economic Forecasts'!W$8/J$7</f>
        <v>27009.947138509026</v>
      </c>
      <c r="K53" s="111">
        <f>J$53*'Population Treasury'!V$75*'Statistics NZ'!V$382/('Population Treasury'!U$75*'Statistics NZ'!U$382)</f>
        <v>27705.970357609109</v>
      </c>
      <c r="L53" s="111">
        <f>K$53*'Population Treasury'!W$75*'Statistics NZ'!W$382/('Population Treasury'!V$75*'Statistics NZ'!V$382)</f>
        <v>28289.350573501088</v>
      </c>
      <c r="M53" s="111">
        <f>L$53*'Population Treasury'!X$75*'Statistics NZ'!X$382/('Population Treasury'!W$75*'Statistics NZ'!W$382)</f>
        <v>28185.713374562631</v>
      </c>
      <c r="N53" s="111">
        <f>M$53*'Population Treasury'!Y$75*'Statistics NZ'!Y$382/('Population Treasury'!X$75*'Statistics NZ'!X$382)</f>
        <v>29471.265263759731</v>
      </c>
      <c r="O53" s="111">
        <f>N$53*'Population Treasury'!Z$75*'Statistics NZ'!Z$382/('Population Treasury'!Y$75*'Statistics NZ'!Y$382)</f>
        <v>29138.631653195724</v>
      </c>
      <c r="P53" s="111">
        <f>O$53*'Population Treasury'!AA$75*'Statistics NZ'!AA$382/('Population Treasury'!Z$75*'Statistics NZ'!Z$382)</f>
        <v>28162.391764199518</v>
      </c>
      <c r="Q53" s="111">
        <f>P$53*'Population Treasury'!AB$75*'Statistics NZ'!AB$382/('Population Treasury'!AA$75*'Statistics NZ'!AA$382)</f>
        <v>27571.953546066103</v>
      </c>
      <c r="R53" s="111">
        <f>Q$53*'Population Treasury'!AC$75*'Statistics NZ'!AC$382/('Population Treasury'!AB$75*'Statistics NZ'!AB$382)</f>
        <v>26550.741513922454</v>
      </c>
      <c r="S53" s="111">
        <f>R$53*'Population Treasury'!AD$75*'Statistics NZ'!AD$382/('Population Treasury'!AC$75*'Statistics NZ'!AC$382)</f>
        <v>25455.607820861056</v>
      </c>
      <c r="T53" s="111">
        <f>S$53*'Population Treasury'!AE$75*'Statistics NZ'!AE$382/('Population Treasury'!AD$75*'Statistics NZ'!AD$382)</f>
        <v>25660.727770665875</v>
      </c>
      <c r="U53" s="111">
        <f>T$53*'Population Treasury'!AF$75*'Statistics NZ'!AF$382/('Population Treasury'!AE$75*'Statistics NZ'!AE$382)</f>
        <v>25629.615749142922</v>
      </c>
      <c r="V53" s="111">
        <f>U$53*'Population Treasury'!AG$75*'Statistics NZ'!AG$382/('Population Treasury'!AF$75*'Statistics NZ'!AF$382)</f>
        <v>26485.050558773255</v>
      </c>
      <c r="W53" s="111">
        <f>V$53*'Population Treasury'!AH$75*'Statistics NZ'!AH$382/('Population Treasury'!AG$75*'Statistics NZ'!AG$382)</f>
        <v>26850.164023170841</v>
      </c>
      <c r="X53" s="111">
        <f>W$53*'Population Treasury'!AI$75*'Statistics NZ'!AI$382/('Population Treasury'!AH$75*'Statistics NZ'!AH$382)</f>
        <v>27215.763856181457</v>
      </c>
      <c r="Y53" s="111">
        <f>X$53*'Population Treasury'!AJ$75*'Statistics NZ'!AJ$382/('Population Treasury'!AI$75*'Statistics NZ'!AI$382)</f>
        <v>28174.936973550695</v>
      </c>
      <c r="Z53" s="111">
        <f>Y$53*'Population Treasury'!AK$75*'Statistics NZ'!AK$382/('Population Treasury'!AJ$75*'Statistics NZ'!AJ$382)</f>
        <v>28864.844470677595</v>
      </c>
      <c r="AA53" s="111">
        <f>Z$53*'Population Treasury'!AL$75*'Statistics NZ'!AL$382/('Population Treasury'!AK$75*'Statistics NZ'!AK$382)</f>
        <v>29554.558408570647</v>
      </c>
      <c r="AB53" s="111">
        <f>AA$53*'Population Treasury'!AM$75*'Statistics NZ'!AM$382/('Population Treasury'!AL$75*'Statistics NZ'!AL$382)</f>
        <v>30256.399295697738</v>
      </c>
      <c r="AC53" s="111">
        <f>AB$53*'Population Treasury'!AN$75*'Statistics NZ'!AN$382/('Population Treasury'!AM$75*'Statistics NZ'!AM$382)</f>
        <v>30809.67640367374</v>
      </c>
      <c r="AD53" s="111">
        <f>AC$53*'Population Treasury'!AO$75*'Statistics NZ'!AO$382/('Population Treasury'!AN$75*'Statistics NZ'!AN$382)</f>
        <v>31562.372442547789</v>
      </c>
      <c r="AE53" s="111">
        <f>AD$53*'Population Treasury'!AP$75*'Statistics NZ'!AP$382/('Population Treasury'!AO$75*'Statistics NZ'!AO$382)</f>
        <v>33709.837472246429</v>
      </c>
      <c r="AF53" s="111">
        <f>AE$53*'Population Treasury'!AQ$75*'Statistics NZ'!AQ$382/('Population Treasury'!AP$75*'Statistics NZ'!AP$382)</f>
        <v>34022.221737647546</v>
      </c>
      <c r="AG53" s="111">
        <f>AF$53*'Population Treasury'!AR$75*'Statistics NZ'!AR$382/('Population Treasury'!AQ$75*'Statistics NZ'!AQ$382)</f>
        <v>35469.189296813274</v>
      </c>
      <c r="AH53" s="111">
        <f>AG$53*'Population Treasury'!AS$75*'Statistics NZ'!AS$382/('Population Treasury'!AR$75*'Statistics NZ'!AR$382)</f>
        <v>35990.704863967927</v>
      </c>
      <c r="AI53" s="111">
        <f>AH$53*'Population Treasury'!AT$75*'Statistics NZ'!AT$382/('Population Treasury'!AS$75*'Statistics NZ'!AS$382)</f>
        <v>35691.634044367354</v>
      </c>
      <c r="AJ53" s="111">
        <f>AI$53*'Population Treasury'!AU$75*'Statistics NZ'!AU$382/('Population Treasury'!AT$75*'Statistics NZ'!AT$382)</f>
        <v>35089.161392647075</v>
      </c>
      <c r="AK53" s="111">
        <f>AJ$53*'Population Treasury'!AV$75*'Statistics NZ'!AV$382/('Population Treasury'!AU$75*'Statistics NZ'!AU$382)</f>
        <v>34068.089845226765</v>
      </c>
      <c r="AL53" s="111">
        <f>AK$53*'Population Treasury'!AW$75*'Statistics NZ'!AW$382/('Population Treasury'!AV$75*'Statistics NZ'!AV$382)</f>
        <v>33889.972533431857</v>
      </c>
      <c r="AM53" s="111">
        <f>AL$53*'Population Treasury'!AX$75*'Statistics NZ'!AX$382/('Population Treasury'!AW$75*'Statistics NZ'!AW$382)</f>
        <v>33580.267991559085</v>
      </c>
      <c r="AN53" s="111">
        <f>AM$53*'Population Treasury'!AY$75*'Statistics NZ'!AY$382/('Population Treasury'!AX$75*'Statistics NZ'!AX$382)</f>
        <v>33286.644183193792</v>
      </c>
      <c r="AO53" s="111">
        <f>AN$53*'Population Treasury'!AZ$75*'Statistics NZ'!AZ$382/('Population Treasury'!AY$75*'Statistics NZ'!AY$382)</f>
        <v>33263.725509124437</v>
      </c>
      <c r="AP53" s="111">
        <f>AO$53*'Population Treasury'!BA$75*'Statistics NZ'!BA$382/('Population Treasury'!AZ$75*'Statistics NZ'!AZ$382)</f>
        <v>32779.654381177126</v>
      </c>
      <c r="AQ53" s="111">
        <f>AP$53*'Population Treasury'!BB$75*'Statistics NZ'!BB$382/('Population Treasury'!BA$75*'Statistics NZ'!BA$382)</f>
        <v>33448.532626099994</v>
      </c>
      <c r="AR53" s="111">
        <f>AQ$53*'Population Treasury'!BC$75*'Statistics NZ'!BC$382/('Population Treasury'!BB$75*'Statistics NZ'!BB$382)</f>
        <v>33143.006769373736</v>
      </c>
      <c r="AS53" s="111">
        <f>AR$53*'Population Treasury'!BD$75*'Statistics NZ'!BD$382/('Population Treasury'!BC$75*'Statistics NZ'!BC$382)</f>
        <v>32340.468889227188</v>
      </c>
      <c r="AT53" s="111">
        <f>AS$53*'Population Treasury'!BE$75*'Statistics NZ'!BE$382/('Population Treasury'!BD$75*'Statistics NZ'!BD$382)</f>
        <v>32079.270687324009</v>
      </c>
      <c r="AU53" s="111">
        <f>AT$53*'Population Treasury'!BF$75*'Statistics NZ'!BF$382/('Population Treasury'!BE$75*'Statistics NZ'!BE$382)</f>
        <v>32769.422704154531</v>
      </c>
      <c r="AV53" s="111">
        <f>AU$53*'Population Treasury'!BG$75*'Statistics NZ'!BG$382/('Population Treasury'!BF$75*'Statistics NZ'!BF$382)</f>
        <v>32909.514018509297</v>
      </c>
      <c r="AW53" s="111">
        <f>AV$53*'Population Treasury'!BH$75*'Statistics NZ'!BH$382/('Population Treasury'!BG$75*'Statistics NZ'!BG$382)</f>
        <v>33604.513531810524</v>
      </c>
      <c r="AX53" s="111">
        <f>AW$53*'Population Treasury'!BI$75*'Statistics NZ'!BI$382/('Population Treasury'!BH$75*'Statistics NZ'!BH$382)</f>
        <v>34918.5123151199</v>
      </c>
      <c r="AY53" s="111">
        <f>AX$53*'Population Treasury'!BJ$75*'Statistics NZ'!BJ$382/('Population Treasury'!BI$75*'Statistics NZ'!BI$382)</f>
        <v>36015.700907793442</v>
      </c>
      <c r="AZ53" s="111">
        <f>AY$53*'Population Treasury'!BK$75*'Statistics NZ'!BK$382/('Population Treasury'!BJ$75*'Statistics NZ'!BJ$382)</f>
        <v>35889.950979823923</v>
      </c>
      <c r="BA53" s="111">
        <f>AZ$53*'Population Treasury'!BL$75*'Statistics NZ'!BL$382/('Population Treasury'!BK$75*'Statistics NZ'!BK$382)</f>
        <v>36767.23045076229</v>
      </c>
      <c r="BB53" s="195">
        <f>BA$53*'Population Treasury'!BM$75*'Statistics NZ'!BM$382/('Population Treasury'!BL$75*'Statistics NZ'!BL$382)</f>
        <v>36709.352001930791</v>
      </c>
      <c r="BC53" s="195">
        <f>BB$53*'Population Treasury'!BN$75*'Statistics NZ'!BN$382/('Population Treasury'!BM$75*'Statistics NZ'!BM$382)</f>
        <v>36635.402858106478</v>
      </c>
      <c r="BD53" s="195">
        <f>BC$53*'Population Treasury'!BO$75*'Statistics NZ'!BO$382/('Population Treasury'!BN$75*'Statistics NZ'!BN$382)</f>
        <v>36570.186281494709</v>
      </c>
      <c r="BE53" s="195">
        <f>BD$53*'Population Treasury'!BP$75*'Statistics NZ'!BP$382/('Population Treasury'!BO$75*'Statistics NZ'!BO$382)</f>
        <v>35637.170847904941</v>
      </c>
      <c r="BF53" s="195">
        <f>BE$53*'Population Treasury'!BQ$75*'Statistics NZ'!BQ$382/('Population Treasury'!BP$75*'Statistics NZ'!BP$382)</f>
        <v>35707.694542400983</v>
      </c>
    </row>
    <row r="54" spans="1:58">
      <c r="A54" s="124">
        <v>59</v>
      </c>
      <c r="B54" s="118">
        <f>'Population Treasury'!M$76*'Statistics NZ'!M$383*'Economic Forecasts'!O$8/B$7</f>
        <v>22804.011145048764</v>
      </c>
      <c r="C54" s="118">
        <f>'Population Treasury'!N$76*'Statistics NZ'!N$383*'Economic Forecasts'!P$8/C$7</f>
        <v>24159.822804425417</v>
      </c>
      <c r="D54" s="118">
        <f>'Population Treasury'!O$76*'Statistics NZ'!O$383*'Economic Forecasts'!Q$8/D$7</f>
        <v>24464.874546000483</v>
      </c>
      <c r="E54" s="203">
        <f>'Population Treasury'!P$76*'Statistics NZ'!P$383*'Economic Forecasts'!R$8/E$7</f>
        <v>25745.305129739321</v>
      </c>
      <c r="F54" s="121">
        <f>'Population Treasury'!Q$76*'Statistics NZ'!Q$383*'Economic Forecasts'!S$8/F$7</f>
        <v>26591.086634436586</v>
      </c>
      <c r="G54" s="121">
        <f>'Population Treasury'!R$76*'Statistics NZ'!R$383*'Economic Forecasts'!T$8/G$7</f>
        <v>27362.104454467928</v>
      </c>
      <c r="H54" s="121">
        <f>'Population Treasury'!S$76*'Statistics NZ'!S$383*'Economic Forecasts'!U$8/H$7</f>
        <v>27005.273084963144</v>
      </c>
      <c r="I54" s="121">
        <f>'Population Treasury'!T$76*'Statistics NZ'!T$383*'Economic Forecasts'!V$8/I$7</f>
        <v>26534.501372124934</v>
      </c>
      <c r="J54" s="205">
        <f>'Population Treasury'!U$76*'Statistics NZ'!U$383*'Economic Forecasts'!W$8/J$7</f>
        <v>26321.62588335199</v>
      </c>
      <c r="K54" s="111">
        <f>J$54*'Population Treasury'!V$76*'Statistics NZ'!V$383/('Population Treasury'!U$76*'Statistics NZ'!U$383)</f>
        <v>26800.391982257064</v>
      </c>
      <c r="L54" s="111">
        <f>K$54*'Population Treasury'!W$76*'Statistics NZ'!W$383/('Population Treasury'!V$76*'Statistics NZ'!V$383)</f>
        <v>27493.643965292216</v>
      </c>
      <c r="M54" s="111">
        <f>L$54*'Population Treasury'!X$76*'Statistics NZ'!X$383/('Population Treasury'!W$76*'Statistics NZ'!W$383)</f>
        <v>28085.587012988821</v>
      </c>
      <c r="N54" s="111">
        <f>M$54*'Population Treasury'!Y$76*'Statistics NZ'!Y$383/('Population Treasury'!X$76*'Statistics NZ'!X$383)</f>
        <v>28010.66896737535</v>
      </c>
      <c r="O54" s="111">
        <f>N$54*'Population Treasury'!Z$76*'Statistics NZ'!Z$383/('Population Treasury'!Y$76*'Statistics NZ'!Y$383)</f>
        <v>29293.790956527289</v>
      </c>
      <c r="P54" s="111">
        <f>O$54*'Population Treasury'!AA$76*'Statistics NZ'!AA$383/('Population Treasury'!Z$76*'Statistics NZ'!Z$383)</f>
        <v>28968.158070372563</v>
      </c>
      <c r="Q54" s="111">
        <f>P$54*'Population Treasury'!AB$76*'Statistics NZ'!AB$383/('Population Treasury'!AA$76*'Statistics NZ'!AA$383)</f>
        <v>27993.219280089226</v>
      </c>
      <c r="R54" s="111">
        <f>Q$54*'Population Treasury'!AC$76*'Statistics NZ'!AC$383/('Population Treasury'!AB$76*'Statistics NZ'!AB$383)</f>
        <v>27428.885445155036</v>
      </c>
      <c r="S54" s="111">
        <f>R$54*'Population Treasury'!AD$76*'Statistics NZ'!AD$383/('Population Treasury'!AC$76*'Statistics NZ'!AC$383)</f>
        <v>26416.528652672358</v>
      </c>
      <c r="T54" s="111">
        <f>S$54*'Population Treasury'!AE$76*'Statistics NZ'!AE$383/('Population Treasury'!AD$76*'Statistics NZ'!AD$383)</f>
        <v>25342.35807925991</v>
      </c>
      <c r="U54" s="111">
        <f>T$54*'Population Treasury'!AF$76*'Statistics NZ'!AF$383/('Population Treasury'!AE$76*'Statistics NZ'!AE$383)</f>
        <v>25536.750235304167</v>
      </c>
      <c r="V54" s="111">
        <f>U$54*'Population Treasury'!AG$76*'Statistics NZ'!AG$383/('Population Treasury'!AF$76*'Statistics NZ'!AF$383)</f>
        <v>25515.03660101967</v>
      </c>
      <c r="W54" s="111">
        <f>V$54*'Population Treasury'!AH$76*'Statistics NZ'!AH$383/('Population Treasury'!AG$76*'Statistics NZ'!AG$383)</f>
        <v>26379.495823575042</v>
      </c>
      <c r="X54" s="111">
        <f>W$54*'Population Treasury'!AI$76*'Statistics NZ'!AI$383/('Population Treasury'!AH$76*'Statistics NZ'!AH$383)</f>
        <v>26736.88510488204</v>
      </c>
      <c r="Y54" s="111">
        <f>X$54*'Population Treasury'!AJ$76*'Statistics NZ'!AJ$383/('Population Treasury'!AI$76*'Statistics NZ'!AI$383)</f>
        <v>27091.499520016223</v>
      </c>
      <c r="Z54" s="111">
        <f>Y$54*'Population Treasury'!AK$76*'Statistics NZ'!AK$383/('Population Treasury'!AJ$76*'Statistics NZ'!AJ$383)</f>
        <v>28050.219586585281</v>
      </c>
      <c r="AA54" s="111">
        <f>Z$54*'Population Treasury'!AL$76*'Statistics NZ'!AL$383/('Population Treasury'!AK$76*'Statistics NZ'!AK$383)</f>
        <v>28739.893382745839</v>
      </c>
      <c r="AB54" s="111">
        <f>AA$54*'Population Treasury'!AM$76*'Statistics NZ'!AM$383/('Population Treasury'!AL$76*'Statistics NZ'!AL$383)</f>
        <v>29429.12934298937</v>
      </c>
      <c r="AC54" s="111">
        <f>AB$54*'Population Treasury'!AN$76*'Statistics NZ'!AN$383/('Population Treasury'!AM$76*'Statistics NZ'!AM$383)</f>
        <v>30138.926838507839</v>
      </c>
      <c r="AD54" s="111">
        <f>AC$54*'Population Treasury'!AO$76*'Statistics NZ'!AO$383/('Population Treasury'!AN$76*'Statistics NZ'!AN$383)</f>
        <v>30684.98184754945</v>
      </c>
      <c r="AE54" s="111">
        <f>AD$54*'Population Treasury'!AP$76*'Statistics NZ'!AP$383/('Population Treasury'!AO$76*'Statistics NZ'!AO$383)</f>
        <v>31438.653991813986</v>
      </c>
      <c r="AF54" s="111">
        <f>AE$54*'Population Treasury'!AQ$76*'Statistics NZ'!AQ$383/('Population Treasury'!AP$76*'Statistics NZ'!AP$383)</f>
        <v>33565.265080324745</v>
      </c>
      <c r="AG54" s="111">
        <f>AF$54*'Population Treasury'!AR$76*'Statistics NZ'!AR$383/('Population Treasury'!AQ$76*'Statistics NZ'!AQ$383)</f>
        <v>33879.592170325777</v>
      </c>
      <c r="AH54" s="111">
        <f>AG$54*'Population Treasury'!AS$76*'Statistics NZ'!AS$383/('Population Treasury'!AR$76*'Statistics NZ'!AR$383)</f>
        <v>35334.750684836574</v>
      </c>
      <c r="AI54" s="111">
        <f>AH$54*'Population Treasury'!AT$76*'Statistics NZ'!AT$383/('Population Treasury'!AS$76*'Statistics NZ'!AS$383)</f>
        <v>35848.911557946194</v>
      </c>
      <c r="AJ54" s="111">
        <f>AI$54*'Population Treasury'!AU$76*'Statistics NZ'!AU$383/('Population Treasury'!AT$76*'Statistics NZ'!AT$383)</f>
        <v>35540.265994634137</v>
      </c>
      <c r="AK54" s="111">
        <f>AJ$54*'Population Treasury'!AV$76*'Statistics NZ'!AV$383/('Population Treasury'!AU$76*'Statistics NZ'!AU$383)</f>
        <v>34958.849798496507</v>
      </c>
      <c r="AL54" s="111">
        <f>AK$54*'Population Treasury'!AW$76*'Statistics NZ'!AW$383/('Population Treasury'!AV$76*'Statistics NZ'!AV$383)</f>
        <v>33938.12675171189</v>
      </c>
      <c r="AM54" s="111">
        <f>AL$54*'Population Treasury'!AX$76*'Statistics NZ'!AX$383/('Population Treasury'!AW$76*'Statistics NZ'!AW$383)</f>
        <v>33769.665007717937</v>
      </c>
      <c r="AN54" s="111">
        <f>AM$54*'Population Treasury'!AY$76*'Statistics NZ'!AY$383/('Population Treasury'!AX$76*'Statistics NZ'!AX$383)</f>
        <v>33468.316857987506</v>
      </c>
      <c r="AO54" s="111">
        <f>AN$54*'Population Treasury'!AZ$76*'Statistics NZ'!AZ$383/('Population Treasury'!AY$76*'Statistics NZ'!AY$383)</f>
        <v>33155.054321763724</v>
      </c>
      <c r="AP54" s="111">
        <f>AO$54*'Population Treasury'!BA$76*'Statistics NZ'!BA$383/('Population Treasury'!AZ$76*'Statistics NZ'!AZ$383)</f>
        <v>33137.98536621299</v>
      </c>
      <c r="AQ54" s="111">
        <f>AP$54*'Population Treasury'!BB$76*'Statistics NZ'!BB$383/('Population Treasury'!BA$76*'Statistics NZ'!BA$383)</f>
        <v>32662.491898315475</v>
      </c>
      <c r="AR54" s="111">
        <f>AQ$54*'Population Treasury'!BC$76*'Statistics NZ'!BC$383/('Population Treasury'!BB$76*'Statistics NZ'!BB$383)</f>
        <v>33330.989430048976</v>
      </c>
      <c r="AS54" s="111">
        <f>AR$54*'Population Treasury'!BD$76*'Statistics NZ'!BD$383/('Population Treasury'!BC$76*'Statistics NZ'!BC$383)</f>
        <v>33023.081441276088</v>
      </c>
      <c r="AT54" s="111">
        <f>AS$54*'Population Treasury'!BE$76*'Statistics NZ'!BE$383/('Population Treasury'!BD$76*'Statistics NZ'!BD$383)</f>
        <v>32238.310014145616</v>
      </c>
      <c r="AU54" s="111">
        <f>AT$54*'Population Treasury'!BF$76*'Statistics NZ'!BF$383/('Population Treasury'!BE$76*'Statistics NZ'!BE$383)</f>
        <v>31968.301298869901</v>
      </c>
      <c r="AV54" s="111">
        <f>AU$54*'Population Treasury'!BG$76*'Statistics NZ'!BG$383/('Population Treasury'!BF$76*'Statistics NZ'!BF$383)</f>
        <v>32657.449413123606</v>
      </c>
      <c r="AW54" s="111">
        <f>AV$54*'Population Treasury'!BH$76*'Statistics NZ'!BH$383/('Population Treasury'!BG$76*'Statistics NZ'!BG$383)</f>
        <v>32796.478963502632</v>
      </c>
      <c r="AX54" s="111">
        <f>AW$54*'Population Treasury'!BI$76*'Statistics NZ'!BI$383/('Population Treasury'!BH$76*'Statistics NZ'!BH$383)</f>
        <v>33488.303873863602</v>
      </c>
      <c r="AY54" s="111">
        <f>AX$54*'Population Treasury'!BJ$76*'Statistics NZ'!BJ$383/('Population Treasury'!BI$76*'Statistics NZ'!BI$383)</f>
        <v>34793.346367186474</v>
      </c>
      <c r="AZ54" s="111">
        <f>AY$54*'Population Treasury'!BK$76*'Statistics NZ'!BK$383/('Population Treasury'!BJ$76*'Statistics NZ'!BJ$383)</f>
        <v>35890.83104833652</v>
      </c>
      <c r="BA54" s="111">
        <f>AZ$54*'Population Treasury'!BL$76*'Statistics NZ'!BL$383/('Population Treasury'!BK$76*'Statistics NZ'!BK$383)</f>
        <v>35772.810705884178</v>
      </c>
      <c r="BB54" s="195">
        <f>BA$54*'Population Treasury'!BM$76*'Statistics NZ'!BM$383/('Population Treasury'!BL$76*'Statistics NZ'!BL$383)</f>
        <v>36641.393913401102</v>
      </c>
      <c r="BC54" s="195">
        <f>BB$54*'Population Treasury'!BN$76*'Statistics NZ'!BN$383/('Population Treasury'!BM$76*'Statistics NZ'!BM$383)</f>
        <v>36581.854429394916</v>
      </c>
      <c r="BD54" s="195">
        <f>BC$54*'Population Treasury'!BO$76*'Statistics NZ'!BO$383/('Population Treasury'!BN$76*'Statistics NZ'!BN$383)</f>
        <v>36508.30997004579</v>
      </c>
      <c r="BE54" s="195">
        <f>BD$54*'Population Treasury'!BP$76*'Statistics NZ'!BP$383/('Population Treasury'!BO$76*'Statistics NZ'!BO$383)</f>
        <v>36450.26184173752</v>
      </c>
      <c r="BF54" s="195">
        <f>BE$54*'Population Treasury'!BQ$76*'Statistics NZ'!BQ$383/('Population Treasury'!BP$76*'Statistics NZ'!BP$383)</f>
        <v>35527.37355161806</v>
      </c>
    </row>
    <row r="55" spans="1:58">
      <c r="A55" s="124">
        <v>60</v>
      </c>
      <c r="B55" s="118">
        <f>'Population Treasury'!M$77*'Statistics NZ'!M$384*'Economic Forecasts'!O$8/B$7</f>
        <v>21449.543113580774</v>
      </c>
      <c r="C55" s="118">
        <f>'Population Treasury'!N$77*'Statistics NZ'!N$384*'Economic Forecasts'!P$8/C$7</f>
        <v>22510.460920393863</v>
      </c>
      <c r="D55" s="118">
        <f>'Population Treasury'!O$77*'Statistics NZ'!O$384*'Economic Forecasts'!Q$8/D$7</f>
        <v>23352.132868842164</v>
      </c>
      <c r="E55" s="203">
        <f>'Population Treasury'!P$77*'Statistics NZ'!P$384*'Economic Forecasts'!R$8/E$7</f>
        <v>23931.897626350979</v>
      </c>
      <c r="F55" s="121">
        <f>'Population Treasury'!Q$77*'Statistics NZ'!Q$384*'Economic Forecasts'!S$8/F$7</f>
        <v>25222.089671792477</v>
      </c>
      <c r="G55" s="121">
        <f>'Population Treasury'!R$77*'Statistics NZ'!R$384*'Economic Forecasts'!T$8/G$7</f>
        <v>26197.643971304569</v>
      </c>
      <c r="H55" s="121">
        <f>'Population Treasury'!S$77*'Statistics NZ'!S$384*'Economic Forecasts'!U$8/H$7</f>
        <v>26890.011678480882</v>
      </c>
      <c r="I55" s="121">
        <f>'Population Treasury'!T$77*'Statistics NZ'!T$384*'Economic Forecasts'!V$8/I$7</f>
        <v>26533.514528961725</v>
      </c>
      <c r="J55" s="205">
        <f>'Population Treasury'!U$77*'Statistics NZ'!U$384*'Economic Forecasts'!W$8/J$7</f>
        <v>26093.482529759058</v>
      </c>
      <c r="K55" s="111">
        <f>J$55*'Population Treasury'!V$77*'Statistics NZ'!V$384/('Population Treasury'!U$77*'Statistics NZ'!U$384)</f>
        <v>25794.380009864337</v>
      </c>
      <c r="L55" s="111">
        <f>K$55*'Population Treasury'!W$77*'Statistics NZ'!W$384/('Population Treasury'!V$77*'Statistics NZ'!V$384)</f>
        <v>26295.185085576388</v>
      </c>
      <c r="M55" s="111">
        <f>L$55*'Population Treasury'!X$77*'Statistics NZ'!X$384/('Population Treasury'!W$77*'Statistics NZ'!W$384)</f>
        <v>26989.158831006062</v>
      </c>
      <c r="N55" s="111">
        <f>M$55*'Population Treasury'!Y$77*'Statistics NZ'!Y$384/('Population Treasury'!X$77*'Statistics NZ'!X$384)</f>
        <v>27576.762686492966</v>
      </c>
      <c r="O55" s="111">
        <f>N$55*'Population Treasury'!Z$77*'Statistics NZ'!Z$384/('Population Treasury'!Y$77*'Statistics NZ'!Y$384)</f>
        <v>27509.480610086237</v>
      </c>
      <c r="P55" s="111">
        <f>O$55*'Population Treasury'!AA$77*'Statistics NZ'!AA$384/('Population Treasury'!Z$77*'Statistics NZ'!Z$384)</f>
        <v>28764.861981036247</v>
      </c>
      <c r="Q55" s="111">
        <f>P$55*'Population Treasury'!AB$77*'Statistics NZ'!AB$384/('Population Treasury'!AA$77*'Statistics NZ'!AA$384)</f>
        <v>28465.335526302861</v>
      </c>
      <c r="R55" s="111">
        <f>Q$55*'Population Treasury'!AC$77*'Statistics NZ'!AC$384/('Population Treasury'!AB$77*'Statistics NZ'!AB$384)</f>
        <v>27515.820910900213</v>
      </c>
      <c r="S55" s="111">
        <f>R$55*'Population Treasury'!AD$77*'Statistics NZ'!AD$384/('Population Treasury'!AC$77*'Statistics NZ'!AC$384)</f>
        <v>26965.205151207127</v>
      </c>
      <c r="T55" s="111">
        <f>S$55*'Population Treasury'!AE$77*'Statistics NZ'!AE$384/('Population Treasury'!AD$77*'Statistics NZ'!AD$384)</f>
        <v>25975.75377714559</v>
      </c>
      <c r="U55" s="111">
        <f>T$55*'Population Treasury'!AF$77*'Statistics NZ'!AF$384/('Population Treasury'!AE$77*'Statistics NZ'!AE$384)</f>
        <v>24923.849879410333</v>
      </c>
      <c r="V55" s="111">
        <f>U$55*'Population Treasury'!AG$77*'Statistics NZ'!AG$384/('Population Treasury'!AF$77*'Statistics NZ'!AF$384)</f>
        <v>25128.532758773817</v>
      </c>
      <c r="W55" s="111">
        <f>V$55*'Population Treasury'!AH$77*'Statistics NZ'!AH$384/('Population Treasury'!AG$77*'Statistics NZ'!AG$384)</f>
        <v>25101.968910090847</v>
      </c>
      <c r="X55" s="111">
        <f>W$55*'Population Treasury'!AI$77*'Statistics NZ'!AI$384/('Population Treasury'!AH$77*'Statistics NZ'!AH$384)</f>
        <v>25946.792843071962</v>
      </c>
      <c r="Y55" s="111">
        <f>X$55*'Population Treasury'!AJ$77*'Statistics NZ'!AJ$384/('Population Treasury'!AI$77*'Statistics NZ'!AI$384)</f>
        <v>26308.807521863859</v>
      </c>
      <c r="Z55" s="111">
        <f>Y$55*'Population Treasury'!AK$77*'Statistics NZ'!AK$384/('Population Treasury'!AJ$77*'Statistics NZ'!AJ$384)</f>
        <v>26665.024521460775</v>
      </c>
      <c r="AA55" s="111">
        <f>Z$55*'Population Treasury'!AL$77*'Statistics NZ'!AL$384/('Population Treasury'!AK$77*'Statistics NZ'!AK$384)</f>
        <v>27609.206473958991</v>
      </c>
      <c r="AB55" s="111">
        <f>AA$55*'Population Treasury'!AM$77*'Statistics NZ'!AM$384/('Population Treasury'!AL$77*'Statistics NZ'!AL$384)</f>
        <v>28278.335824606562</v>
      </c>
      <c r="AC55" s="111">
        <f>AB$55*'Population Treasury'!AN$77*'Statistics NZ'!AN$384/('Population Treasury'!AM$77*'Statistics NZ'!AM$384)</f>
        <v>28954.826059196184</v>
      </c>
      <c r="AD55" s="111">
        <f>AC$55*'Population Treasury'!AO$77*'Statistics NZ'!AO$384/('Population Treasury'!AN$77*'Statistics NZ'!AN$384)</f>
        <v>29658.642658747656</v>
      </c>
      <c r="AE55" s="111">
        <f>AD$55*'Population Treasury'!AP$77*'Statistics NZ'!AP$384/('Population Treasury'!AO$77*'Statistics NZ'!AO$384)</f>
        <v>30181.109730185595</v>
      </c>
      <c r="AF55" s="111">
        <f>AE$55*'Population Treasury'!AQ$77*'Statistics NZ'!AQ$384/('Population Treasury'!AP$77*'Statistics NZ'!AP$384)</f>
        <v>30917.357631264138</v>
      </c>
      <c r="AG55" s="111">
        <f>AF$55*'Population Treasury'!AR$77*'Statistics NZ'!AR$384/('Population Treasury'!AQ$77*'Statistics NZ'!AQ$384)</f>
        <v>33005.452793235563</v>
      </c>
      <c r="AH55" s="111">
        <f>AG$55*'Population Treasury'!AS$77*'Statistics NZ'!AS$384/('Population Treasury'!AR$77*'Statistics NZ'!AR$384)</f>
        <v>33317.407797044623</v>
      </c>
      <c r="AI55" s="111">
        <f>AH$55*'Population Treasury'!AT$77*'Statistics NZ'!AT$384/('Population Treasury'!AS$77*'Statistics NZ'!AS$384)</f>
        <v>34738.139713103381</v>
      </c>
      <c r="AJ55" s="111">
        <f>AI$55*'Population Treasury'!AU$77*'Statistics NZ'!AU$384/('Population Treasury'!AT$77*'Statistics NZ'!AT$384)</f>
        <v>35234.936832185827</v>
      </c>
      <c r="AK55" s="111">
        <f>AJ$55*'Population Treasury'!AV$77*'Statistics NZ'!AV$384/('Population Treasury'!AU$77*'Statistics NZ'!AU$384)</f>
        <v>34951.997890249586</v>
      </c>
      <c r="AL55" s="111">
        <f>AK$55*'Population Treasury'!AW$77*'Statistics NZ'!AW$384/('Population Treasury'!AV$77*'Statistics NZ'!AV$384)</f>
        <v>34378.988965440738</v>
      </c>
      <c r="AM55" s="111">
        <f>AL$55*'Population Treasury'!AX$77*'Statistics NZ'!AX$384/('Population Treasury'!AW$77*'Statistics NZ'!AW$384)</f>
        <v>33388.889583024502</v>
      </c>
      <c r="AN55" s="111">
        <f>AM$55*'Population Treasury'!AY$77*'Statistics NZ'!AY$384/('Population Treasury'!AX$77*'Statistics NZ'!AX$384)</f>
        <v>33219.304179446779</v>
      </c>
      <c r="AO55" s="111">
        <f>AN$55*'Population Treasury'!AZ$77*'Statistics NZ'!AZ$384/('Population Treasury'!AY$77*'Statistics NZ'!AY$384)</f>
        <v>32918.655836702346</v>
      </c>
      <c r="AP55" s="111">
        <f>AO$55*'Population Treasury'!BA$77*'Statistics NZ'!BA$384/('Population Treasury'!AZ$77*'Statistics NZ'!AZ$384)</f>
        <v>32625.254269483077</v>
      </c>
      <c r="AQ55" s="111">
        <f>AP$55*'Population Treasury'!BB$77*'Statistics NZ'!BB$384/('Population Treasury'!BA$77*'Statistics NZ'!BA$384)</f>
        <v>32618.047771851299</v>
      </c>
      <c r="AR55" s="111">
        <f>AQ$55*'Population Treasury'!BC$77*'Statistics NZ'!BC$384/('Population Treasury'!BB$77*'Statistics NZ'!BB$384)</f>
        <v>32134.028820381438</v>
      </c>
      <c r="AS55" s="111">
        <f>AR$55*'Population Treasury'!BD$77*'Statistics NZ'!BD$384/('Population Treasury'!BC$77*'Statistics NZ'!BC$384)</f>
        <v>32789.691339299083</v>
      </c>
      <c r="AT55" s="111">
        <f>AS$55*'Population Treasury'!BE$77*'Statistics NZ'!BE$384/('Population Treasury'!BD$77*'Statistics NZ'!BD$384)</f>
        <v>32494.745676974122</v>
      </c>
      <c r="AU55" s="111">
        <f>AT$55*'Population Treasury'!BF$77*'Statistics NZ'!BF$384/('Population Treasury'!BE$77*'Statistics NZ'!BE$384)</f>
        <v>31725.374401588117</v>
      </c>
      <c r="AV55" s="111">
        <f>AU$55*'Population Treasury'!BG$77*'Statistics NZ'!BG$384/('Population Treasury'!BF$77*'Statistics NZ'!BF$384)</f>
        <v>31453.736198465391</v>
      </c>
      <c r="AW55" s="111">
        <f>AV$55*'Population Treasury'!BH$77*'Statistics NZ'!BH$384/('Population Treasury'!BG$77*'Statistics NZ'!BG$384)</f>
        <v>32138.475610489757</v>
      </c>
      <c r="AX55" s="111">
        <f>AW$55*'Population Treasury'!BI$77*'Statistics NZ'!BI$384/('Population Treasury'!BH$77*'Statistics NZ'!BH$384)</f>
        <v>32273.889314944143</v>
      </c>
      <c r="AY55" s="111">
        <f>AX$55*'Population Treasury'!BJ$77*'Statistics NZ'!BJ$384/('Population Treasury'!BI$77*'Statistics NZ'!BI$384)</f>
        <v>32943.829375242254</v>
      </c>
      <c r="AZ55" s="111">
        <f>AY$55*'Population Treasury'!BK$77*'Statistics NZ'!BK$384/('Population Treasury'!BJ$77*'Statistics NZ'!BJ$384)</f>
        <v>34233.729307765156</v>
      </c>
      <c r="BA55" s="111">
        <f>AZ$55*'Population Treasury'!BL$77*'Statistics NZ'!BL$384/('Population Treasury'!BK$77*'Statistics NZ'!BK$384)</f>
        <v>35317.631744446044</v>
      </c>
      <c r="BB55" s="195">
        <f>BA$55*'Population Treasury'!BM$77*'Statistics NZ'!BM$384/('Population Treasury'!BL$77*'Statistics NZ'!BL$384)</f>
        <v>35189.389950962119</v>
      </c>
      <c r="BC55" s="195">
        <f>BB$55*'Population Treasury'!BN$77*'Statistics NZ'!BN$384/('Population Treasury'!BM$77*'Statistics NZ'!BM$384)</f>
        <v>36052.261811195036</v>
      </c>
      <c r="BD55" s="195">
        <f>BC$55*'Population Treasury'!BO$77*'Statistics NZ'!BO$384/('Population Treasury'!BN$77*'Statistics NZ'!BN$384)</f>
        <v>35999.367909860193</v>
      </c>
      <c r="BE55" s="195">
        <f>BD$55*'Population Treasury'!BP$77*'Statistics NZ'!BP$384/('Population Treasury'!BO$77*'Statistics NZ'!BO$384)</f>
        <v>35928.63327436048</v>
      </c>
      <c r="BF55" s="195">
        <f>BE$55*'Population Treasury'!BQ$77*'Statistics NZ'!BQ$384/('Population Treasury'!BP$77*'Statistics NZ'!BP$384)</f>
        <v>35858.012592351297</v>
      </c>
    </row>
    <row r="56" spans="1:58">
      <c r="A56" s="124">
        <v>61</v>
      </c>
      <c r="B56" s="118">
        <f>'Population Treasury'!M$78*'Statistics NZ'!M$385*'Economic Forecasts'!O$8/B$7</f>
        <v>19871.346338941337</v>
      </c>
      <c r="C56" s="118">
        <f>'Population Treasury'!N$78*'Statistics NZ'!N$385*'Economic Forecasts'!P$8/C$7</f>
        <v>20782.466455151443</v>
      </c>
      <c r="D56" s="118">
        <f>'Population Treasury'!O$78*'Statistics NZ'!O$385*'Economic Forecasts'!Q$8/D$7</f>
        <v>21437.978462084375</v>
      </c>
      <c r="E56" s="203">
        <f>'Population Treasury'!P$78*'Statistics NZ'!P$385*'Economic Forecasts'!R$8/E$7</f>
        <v>22437.812847792098</v>
      </c>
      <c r="F56" s="121">
        <f>'Population Treasury'!Q$78*'Statistics NZ'!Q$385*'Economic Forecasts'!S$8/F$7</f>
        <v>23047.462882510434</v>
      </c>
      <c r="G56" s="121">
        <f>'Population Treasury'!R$78*'Statistics NZ'!R$385*'Economic Forecasts'!T$8/G$7</f>
        <v>24423.139050568789</v>
      </c>
      <c r="H56" s="121">
        <f>'Population Treasury'!S$78*'Statistics NZ'!S$385*'Economic Forecasts'!U$8/H$7</f>
        <v>25285.008198859057</v>
      </c>
      <c r="I56" s="121">
        <f>'Population Treasury'!T$78*'Statistics NZ'!T$385*'Economic Forecasts'!V$8/I$7</f>
        <v>25962.005833647287</v>
      </c>
      <c r="J56" s="205">
        <f>'Population Treasury'!U$78*'Statistics NZ'!U$385*'Economic Forecasts'!W$8/J$7</f>
        <v>25625.105811733876</v>
      </c>
      <c r="K56" s="111">
        <f>J$56*'Population Treasury'!V$78*'Statistics NZ'!V$385/('Population Treasury'!U$78*'Statistics NZ'!U$385)</f>
        <v>25113.764196672775</v>
      </c>
      <c r="L56" s="111">
        <f>K$56*'Population Treasury'!W$78*'Statistics NZ'!W$385/('Population Treasury'!V$78*'Statistics NZ'!V$385)</f>
        <v>24833.443469227503</v>
      </c>
      <c r="M56" s="111">
        <f>L$56*'Population Treasury'!X$78*'Statistics NZ'!X$385/('Population Treasury'!W$78*'Statistics NZ'!W$385)</f>
        <v>25321.036668472821</v>
      </c>
      <c r="N56" s="111">
        <f>M$56*'Population Treasury'!Y$78*'Statistics NZ'!Y$385/('Population Treasury'!X$78*'Statistics NZ'!X$385)</f>
        <v>25971.623847329178</v>
      </c>
      <c r="O56" s="111">
        <f>N$56*'Population Treasury'!Z$78*'Statistics NZ'!Z$385/('Population Treasury'!Y$78*'Statistics NZ'!Y$385)</f>
        <v>26550.014549017455</v>
      </c>
      <c r="P56" s="111">
        <f>O$56*'Population Treasury'!AA$78*'Statistics NZ'!AA$385/('Population Treasury'!Z$78*'Statistics NZ'!Z$385)</f>
        <v>26487.137875661494</v>
      </c>
      <c r="Q56" s="111">
        <f>P$56*'Population Treasury'!AB$78*'Statistics NZ'!AB$385/('Population Treasury'!AA$78*'Statistics NZ'!AA$385)</f>
        <v>27694.193030272625</v>
      </c>
      <c r="R56" s="111">
        <f>Q$56*'Population Treasury'!AC$78*'Statistics NZ'!AC$385/('Population Treasury'!AB$78*'Statistics NZ'!AB$385)</f>
        <v>27403.155052700524</v>
      </c>
      <c r="S56" s="111">
        <f>R$56*'Population Treasury'!AD$78*'Statistics NZ'!AD$385/('Population Treasury'!AC$78*'Statistics NZ'!AC$385)</f>
        <v>26489.876595724825</v>
      </c>
      <c r="T56" s="111">
        <f>S$56*'Population Treasury'!AE$78*'Statistics NZ'!AE$385/('Population Treasury'!AD$78*'Statistics NZ'!AD$385)</f>
        <v>25971.544355266094</v>
      </c>
      <c r="U56" s="111">
        <f>T$56*'Population Treasury'!AF$78*'Statistics NZ'!AF$385/('Population Treasury'!AE$78*'Statistics NZ'!AE$385)</f>
        <v>25016.50109911435</v>
      </c>
      <c r="V56" s="111">
        <f>U$56*'Population Treasury'!AG$78*'Statistics NZ'!AG$385/('Population Treasury'!AF$78*'Statistics NZ'!AF$385)</f>
        <v>24005.146771033709</v>
      </c>
      <c r="W56" s="111">
        <f>V$56*'Population Treasury'!AH$78*'Statistics NZ'!AH$385/('Population Treasury'!AG$78*'Statistics NZ'!AG$385)</f>
        <v>24206.711442785443</v>
      </c>
      <c r="X56" s="111">
        <f>W$56*'Population Treasury'!AI$78*'Statistics NZ'!AI$385/('Population Treasury'!AH$78*'Statistics NZ'!AH$385)</f>
        <v>24183.973093368826</v>
      </c>
      <c r="Y56" s="111">
        <f>X$56*'Population Treasury'!AJ$78*'Statistics NZ'!AJ$385/('Population Treasury'!AI$78*'Statistics NZ'!AI$385)</f>
        <v>24991.842040550633</v>
      </c>
      <c r="Z56" s="111">
        <f>Y$56*'Population Treasury'!AK$78*'Statistics NZ'!AK$385/('Population Treasury'!AJ$78*'Statistics NZ'!AJ$385)</f>
        <v>25353.769799634068</v>
      </c>
      <c r="AA56" s="111">
        <f>Z$56*'Population Treasury'!AL$78*'Statistics NZ'!AL$385/('Population Treasury'!AK$78*'Statistics NZ'!AK$385)</f>
        <v>25687.545448508747</v>
      </c>
      <c r="AB56" s="111">
        <f>AA$56*'Population Treasury'!AM$78*'Statistics NZ'!AM$385/('Population Treasury'!AL$78*'Statistics NZ'!AL$385)</f>
        <v>26578.986169221796</v>
      </c>
      <c r="AC56" s="111">
        <f>AB$56*'Population Treasury'!AN$78*'Statistics NZ'!AN$385/('Population Treasury'!AM$78*'Statistics NZ'!AM$385)</f>
        <v>27241.515351119258</v>
      </c>
      <c r="AD56" s="111">
        <f>AC$56*'Population Treasury'!AO$78*'Statistics NZ'!AO$385/('Population Treasury'!AN$78*'Statistics NZ'!AN$385)</f>
        <v>27884.463894349792</v>
      </c>
      <c r="AE56" s="111">
        <f>AD$56*'Population Treasury'!AP$78*'Statistics NZ'!AP$385/('Population Treasury'!AO$78*'Statistics NZ'!AO$385)</f>
        <v>28565.009404957964</v>
      </c>
      <c r="AF56" s="111">
        <f>AE$56*'Population Treasury'!AQ$78*'Statistics NZ'!AQ$385/('Population Treasury'!AP$78*'Statistics NZ'!AP$385)</f>
        <v>29081.077693012816</v>
      </c>
      <c r="AG56" s="111">
        <f>AF$56*'Population Treasury'!AR$78*'Statistics NZ'!AR$385/('Population Treasury'!AQ$78*'Statistics NZ'!AQ$385)</f>
        <v>29792.798847705391</v>
      </c>
      <c r="AH56" s="111">
        <f>AG$56*'Population Treasury'!AS$78*'Statistics NZ'!AS$385/('Population Treasury'!AR$78*'Statistics NZ'!AR$385)</f>
        <v>31785.449857648826</v>
      </c>
      <c r="AI56" s="111">
        <f>AH$56*'Population Treasury'!AT$78*'Statistics NZ'!AT$385/('Population Treasury'!AS$78*'Statistics NZ'!AS$385)</f>
        <v>32081.036987524349</v>
      </c>
      <c r="AJ56" s="111">
        <f>AI$56*'Population Treasury'!AU$78*'Statistics NZ'!AU$385/('Population Treasury'!AT$78*'Statistics NZ'!AT$385)</f>
        <v>33457.684787629179</v>
      </c>
      <c r="AK56" s="111">
        <f>AJ$56*'Population Treasury'!AV$78*'Statistics NZ'!AV$385/('Population Treasury'!AU$78*'Statistics NZ'!AU$385)</f>
        <v>33931.51198791495</v>
      </c>
      <c r="AL56" s="111">
        <f>AK$56*'Population Treasury'!AW$78*'Statistics NZ'!AW$385/('Population Treasury'!AV$78*'Statistics NZ'!AV$385)</f>
        <v>33659.772366094105</v>
      </c>
      <c r="AM56" s="111">
        <f>AL$56*'Population Treasury'!AX$78*'Statistics NZ'!AX$385/('Population Treasury'!AW$78*'Statistics NZ'!AW$385)</f>
        <v>33105.326227442063</v>
      </c>
      <c r="AN56" s="111">
        <f>AM$56*'Population Treasury'!AY$78*'Statistics NZ'!AY$385/('Population Treasury'!AX$78*'Statistics NZ'!AX$385)</f>
        <v>32159.203147703942</v>
      </c>
      <c r="AO56" s="111">
        <f>AN$56*'Population Treasury'!AZ$78*'Statistics NZ'!AZ$385/('Population Treasury'!AY$78*'Statistics NZ'!AY$385)</f>
        <v>31994.346311190951</v>
      </c>
      <c r="AP56" s="111">
        <f>AO$56*'Population Treasury'!BA$78*'Statistics NZ'!BA$385/('Population Treasury'!AZ$78*'Statistics NZ'!AZ$385)</f>
        <v>31706.187001220427</v>
      </c>
      <c r="AQ56" s="111">
        <f>AP$56*'Population Treasury'!BB$78*'Statistics NZ'!BB$385/('Population Treasury'!BA$78*'Statistics NZ'!BA$385)</f>
        <v>31429.178817268676</v>
      </c>
      <c r="AR56" s="111">
        <f>AQ$56*'Population Treasury'!BC$78*'Statistics NZ'!BC$385/('Population Treasury'!BB$78*'Statistics NZ'!BB$385)</f>
        <v>31416.748462043986</v>
      </c>
      <c r="AS56" s="111">
        <f>AR$56*'Population Treasury'!BD$78*'Statistics NZ'!BD$385/('Population Treasury'!BC$78*'Statistics NZ'!BC$385)</f>
        <v>30956.665005765048</v>
      </c>
      <c r="AT56" s="111">
        <f>AS$56*'Population Treasury'!BE$78*'Statistics NZ'!BE$385/('Population Treasury'!BD$78*'Statistics NZ'!BD$385)</f>
        <v>31586.79107143193</v>
      </c>
      <c r="AU56" s="111">
        <f>AT$56*'Population Treasury'!BF$78*'Statistics NZ'!BF$385/('Population Treasury'!BE$78*'Statistics NZ'!BE$385)</f>
        <v>31302.221052441175</v>
      </c>
      <c r="AV56" s="111">
        <f>AU$56*'Population Treasury'!BG$78*'Statistics NZ'!BG$385/('Population Treasury'!BF$78*'Statistics NZ'!BF$385)</f>
        <v>30560.405348160279</v>
      </c>
      <c r="AW56" s="111">
        <f>AV$56*'Population Treasury'!BH$78*'Statistics NZ'!BH$385/('Population Treasury'!BG$78*'Statistics NZ'!BG$385)</f>
        <v>30315.92842761326</v>
      </c>
      <c r="AX56" s="111">
        <f>AW$56*'Population Treasury'!BI$78*'Statistics NZ'!BI$385/('Population Treasury'!BH$78*'Statistics NZ'!BH$385)</f>
        <v>30960.27874231723</v>
      </c>
      <c r="AY56" s="111">
        <f>AX$56*'Population Treasury'!BJ$78*'Statistics NZ'!BJ$385/('Population Treasury'!BI$78*'Statistics NZ'!BI$385)</f>
        <v>31089.21820151222</v>
      </c>
      <c r="AZ56" s="111">
        <f>AY$56*'Population Treasury'!BK$78*'Statistics NZ'!BK$385/('Population Treasury'!BJ$78*'Statistics NZ'!BJ$385)</f>
        <v>31743.893873159177</v>
      </c>
      <c r="BA56" s="111">
        <f>AZ$56*'Population Treasury'!BL$78*'Statistics NZ'!BL$385/('Population Treasury'!BK$78*'Statistics NZ'!BK$385)</f>
        <v>32984.275846525205</v>
      </c>
      <c r="BB56" s="195">
        <f>BA$56*'Population Treasury'!BM$78*'Statistics NZ'!BM$385/('Population Treasury'!BL$78*'Statistics NZ'!BL$385)</f>
        <v>34023.726920915142</v>
      </c>
      <c r="BC56" s="195">
        <f>BB$56*'Population Treasury'!BN$78*'Statistics NZ'!BN$385/('Population Treasury'!BM$78*'Statistics NZ'!BM$385)</f>
        <v>33900.176462853546</v>
      </c>
      <c r="BD56" s="195">
        <f>BC$56*'Population Treasury'!BO$78*'Statistics NZ'!BO$385/('Population Treasury'!BN$78*'Statistics NZ'!BN$385)</f>
        <v>34729.276498188636</v>
      </c>
      <c r="BE56" s="195">
        <f>BD$56*'Population Treasury'!BP$78*'Statistics NZ'!BP$385/('Population Treasury'!BO$78*'Statistics NZ'!BO$385)</f>
        <v>34683.541320709395</v>
      </c>
      <c r="BF56" s="195">
        <f>BE$56*'Population Treasury'!BQ$78*'Statistics NZ'!BQ$385/('Population Treasury'!BP$78*'Statistics NZ'!BP$385)</f>
        <v>34601.53358812401</v>
      </c>
    </row>
    <row r="57" spans="1:58">
      <c r="A57" s="124">
        <v>62</v>
      </c>
      <c r="B57" s="118">
        <f>'Population Treasury'!M$79*'Statistics NZ'!M$386*'Economic Forecasts'!O$8/B$7</f>
        <v>18217.107497426136</v>
      </c>
      <c r="C57" s="118">
        <f>'Population Treasury'!N$79*'Statistics NZ'!N$386*'Economic Forecasts'!P$8/C$7</f>
        <v>19028.978461223352</v>
      </c>
      <c r="D57" s="118">
        <f>'Population Treasury'!O$79*'Statistics NZ'!O$386*'Economic Forecasts'!Q$8/D$7</f>
        <v>19549.538277893145</v>
      </c>
      <c r="E57" s="203">
        <f>'Population Treasury'!P$79*'Statistics NZ'!P$386*'Economic Forecasts'!R$8/E$7</f>
        <v>20404.818864195626</v>
      </c>
      <c r="F57" s="121">
        <f>'Population Treasury'!Q$79*'Statistics NZ'!Q$386*'Economic Forecasts'!S$8/F$7</f>
        <v>21348.406616403983</v>
      </c>
      <c r="G57" s="121">
        <f>'Population Treasury'!R$79*'Statistics NZ'!R$386*'Economic Forecasts'!T$8/G$7</f>
        <v>22066.04183374819</v>
      </c>
      <c r="H57" s="121">
        <f>'Population Treasury'!S$79*'Statistics NZ'!S$386*'Economic Forecasts'!U$8/H$7</f>
        <v>23312.422152535437</v>
      </c>
      <c r="I57" s="121">
        <f>'Population Treasury'!T$79*'Statistics NZ'!T$386*'Economic Forecasts'!V$8/I$7</f>
        <v>24148.042423681974</v>
      </c>
      <c r="J57" s="205">
        <f>'Population Treasury'!U$79*'Statistics NZ'!U$386*'Economic Forecasts'!W$8/J$7</f>
        <v>24803.040482793953</v>
      </c>
      <c r="K57" s="111">
        <f>J$57*'Population Treasury'!V$79*'Statistics NZ'!V$386/('Population Treasury'!U$79*'Statistics NZ'!U$386)</f>
        <v>24401.304695954575</v>
      </c>
      <c r="L57" s="111">
        <f>K$57*'Population Treasury'!W$79*'Statistics NZ'!W$386/('Population Treasury'!V$79*'Statistics NZ'!V$386)</f>
        <v>23912.315776219988</v>
      </c>
      <c r="M57" s="111">
        <f>L$57*'Population Treasury'!X$79*'Statistics NZ'!X$386/('Population Treasury'!W$79*'Statistics NZ'!W$386)</f>
        <v>23647.621351818059</v>
      </c>
      <c r="N57" s="111">
        <f>M$57*'Population Treasury'!Y$79*'Statistics NZ'!Y$386/('Population Treasury'!X$79*'Statistics NZ'!X$386)</f>
        <v>24107.398086122575</v>
      </c>
      <c r="O57" s="111">
        <f>N$57*'Population Treasury'!Z$79*'Statistics NZ'!Z$386/('Population Treasury'!Y$79*'Statistics NZ'!Y$386)</f>
        <v>24743.532197504988</v>
      </c>
      <c r="P57" s="111">
        <f>O$57*'Population Treasury'!AA$79*'Statistics NZ'!AA$386/('Population Treasury'!Z$79*'Statistics NZ'!Z$386)</f>
        <v>25280.910242680315</v>
      </c>
      <c r="Q57" s="111">
        <f>P$57*'Population Treasury'!AB$79*'Statistics NZ'!AB$386/('Population Treasury'!AA$79*'Statistics NZ'!AA$386)</f>
        <v>25229.431819174486</v>
      </c>
      <c r="R57" s="111">
        <f>Q$57*'Population Treasury'!AC$79*'Statistics NZ'!AC$386/('Population Treasury'!AB$79*'Statistics NZ'!AB$386)</f>
        <v>26377.316204639748</v>
      </c>
      <c r="S57" s="111">
        <f>R$57*'Population Treasury'!AD$79*'Statistics NZ'!AD$386/('Population Treasury'!AC$79*'Statistics NZ'!AC$386)</f>
        <v>26106.523843199717</v>
      </c>
      <c r="T57" s="111">
        <f>S$57*'Population Treasury'!AE$79*'Statistics NZ'!AE$386/('Population Treasury'!AD$79*'Statistics NZ'!AD$386)</f>
        <v>25242.572448930812</v>
      </c>
      <c r="U57" s="111">
        <f>T$57*'Population Treasury'!AF$79*'Statistics NZ'!AF$386/('Population Treasury'!AE$79*'Statistics NZ'!AE$386)</f>
        <v>24746.453418325309</v>
      </c>
      <c r="V57" s="111">
        <f>U$57*'Population Treasury'!AG$79*'Statistics NZ'!AG$386/('Population Treasury'!AF$79*'Statistics NZ'!AF$386)</f>
        <v>23847.764748333469</v>
      </c>
      <c r="W57" s="111">
        <f>V$57*'Population Treasury'!AH$79*'Statistics NZ'!AH$386/('Population Treasury'!AG$79*'Statistics NZ'!AG$386)</f>
        <v>22894.810466509534</v>
      </c>
      <c r="X57" s="111">
        <f>W$57*'Population Treasury'!AI$79*'Statistics NZ'!AI$386/('Population Treasury'!AH$79*'Statistics NZ'!AH$386)</f>
        <v>23084.766607833884</v>
      </c>
      <c r="Y57" s="111">
        <f>X$57*'Population Treasury'!AJ$79*'Statistics NZ'!AJ$386/('Population Treasury'!AI$79*'Statistics NZ'!AI$386)</f>
        <v>23061.853504767489</v>
      </c>
      <c r="Z57" s="111">
        <f>Y$57*'Population Treasury'!AK$79*'Statistics NZ'!AK$386/('Population Treasury'!AJ$79*'Statistics NZ'!AJ$386)</f>
        <v>23831.14435597814</v>
      </c>
      <c r="AA57" s="111">
        <f>Z$57*'Population Treasury'!AL$79*'Statistics NZ'!AL$386/('Population Treasury'!AK$79*'Statistics NZ'!AK$386)</f>
        <v>24174.756628091087</v>
      </c>
      <c r="AB57" s="111">
        <f>AA$57*'Population Treasury'!AM$79*'Statistics NZ'!AM$386/('Population Treasury'!AL$79*'Statistics NZ'!AL$386)</f>
        <v>24496.791471920576</v>
      </c>
      <c r="AC57" s="111">
        <f>AB$57*'Population Treasury'!AN$79*'Statistics NZ'!AN$386/('Population Treasury'!AM$79*'Statistics NZ'!AM$386)</f>
        <v>25360.186870118367</v>
      </c>
      <c r="AD57" s="111">
        <f>AC$57*'Population Treasury'!AO$79*'Statistics NZ'!AO$386/('Population Treasury'!AN$79*'Statistics NZ'!AN$386)</f>
        <v>25979.499551218392</v>
      </c>
      <c r="AE57" s="111">
        <f>AD$57*'Population Treasury'!AP$79*'Statistics NZ'!AP$386/('Population Treasury'!AO$79*'Statistics NZ'!AO$386)</f>
        <v>26604.335763246323</v>
      </c>
      <c r="AF57" s="111">
        <f>AE$57*'Population Treasury'!AQ$79*'Statistics NZ'!AQ$386/('Population Treasury'!AP$79*'Statistics NZ'!AP$386)</f>
        <v>27234.084450357808</v>
      </c>
      <c r="AG57" s="111">
        <f>AF$57*'Population Treasury'!AR$79*'Statistics NZ'!AR$386/('Population Treasury'!AQ$79*'Statistics NZ'!AQ$386)</f>
        <v>27723.598665903555</v>
      </c>
      <c r="AH57" s="111">
        <f>AG$57*'Population Treasury'!AS$79*'Statistics NZ'!AS$386/('Population Treasury'!AR$79*'Statistics NZ'!AR$386)</f>
        <v>28401.757323672446</v>
      </c>
      <c r="AI57" s="111">
        <f>AH$57*'Population Treasury'!AT$79*'Statistics NZ'!AT$386/('Population Treasury'!AS$79*'Statistics NZ'!AS$386)</f>
        <v>30304.959865151988</v>
      </c>
      <c r="AJ57" s="111">
        <f>AI$57*'Population Treasury'!AU$79*'Statistics NZ'!AU$386/('Population Treasury'!AT$79*'Statistics NZ'!AT$386)</f>
        <v>30587.598069287928</v>
      </c>
      <c r="AK57" s="111">
        <f>AJ$57*'Population Treasury'!AV$79*'Statistics NZ'!AV$386/('Population Treasury'!AU$79*'Statistics NZ'!AU$386)</f>
        <v>31895.733085382126</v>
      </c>
      <c r="AL57" s="111">
        <f>AK$57*'Population Treasury'!AW$79*'Statistics NZ'!AW$386/('Population Treasury'!AV$79*'Statistics NZ'!AV$386)</f>
        <v>32347.47612666613</v>
      </c>
      <c r="AM57" s="111">
        <f>AL$57*'Population Treasury'!AX$79*'Statistics NZ'!AX$386/('Population Treasury'!AW$79*'Statistics NZ'!AW$386)</f>
        <v>32097.862442665024</v>
      </c>
      <c r="AN57" s="111">
        <f>AM$57*'Population Treasury'!AY$79*'Statistics NZ'!AY$386/('Population Treasury'!AX$79*'Statistics NZ'!AX$386)</f>
        <v>31563.387635990621</v>
      </c>
      <c r="AO57" s="111">
        <f>AN$57*'Population Treasury'!AZ$79*'Statistics NZ'!AZ$386/('Population Treasury'!AY$79*'Statistics NZ'!AY$386)</f>
        <v>30661.766255286184</v>
      </c>
      <c r="AP57" s="111">
        <f>AO$57*'Population Treasury'!BA$79*'Statistics NZ'!BA$386/('Population Treasury'!AZ$79*'Statistics NZ'!AZ$386)</f>
        <v>30510.815120845942</v>
      </c>
      <c r="AQ57" s="111">
        <f>AP$57*'Population Treasury'!BB$79*'Statistics NZ'!BB$386/('Population Treasury'!BA$79*'Statistics NZ'!BA$386)</f>
        <v>30241.879538370667</v>
      </c>
      <c r="AR57" s="111">
        <f>AQ$57*'Population Treasury'!BC$79*'Statistics NZ'!BC$386/('Population Treasury'!BB$79*'Statistics NZ'!BB$386)</f>
        <v>29971.928883614317</v>
      </c>
      <c r="AS57" s="111">
        <f>AR$57*'Population Treasury'!BD$79*'Statistics NZ'!BD$386/('Population Treasury'!BC$79*'Statistics NZ'!BC$386)</f>
        <v>29957.766383575425</v>
      </c>
      <c r="AT57" s="111">
        <f>AS$57*'Population Treasury'!BE$79*'Statistics NZ'!BE$386/('Population Treasury'!BD$79*'Statistics NZ'!BD$386)</f>
        <v>29525.152222969504</v>
      </c>
      <c r="AU57" s="111">
        <f>AT$57*'Population Treasury'!BF$79*'Statistics NZ'!BF$386/('Population Treasury'!BE$79*'Statistics NZ'!BE$386)</f>
        <v>30129.056698060052</v>
      </c>
      <c r="AV57" s="111">
        <f>AU$57*'Population Treasury'!BG$79*'Statistics NZ'!BG$386/('Population Treasury'!BF$79*'Statistics NZ'!BF$386)</f>
        <v>29861.065312169037</v>
      </c>
      <c r="AW57" s="111">
        <f>AV$57*'Population Treasury'!BH$79*'Statistics NZ'!BH$386/('Population Treasury'!BG$79*'Statistics NZ'!BG$386)</f>
        <v>29162.257849350954</v>
      </c>
      <c r="AX57" s="111">
        <f>AW$57*'Population Treasury'!BI$79*'Statistics NZ'!BI$386/('Population Treasury'!BH$79*'Statistics NZ'!BH$386)</f>
        <v>28910.437424868513</v>
      </c>
      <c r="AY57" s="111">
        <f>AX$57*'Population Treasury'!BJ$79*'Statistics NZ'!BJ$386/('Population Treasury'!BI$79*'Statistics NZ'!BI$386)</f>
        <v>29542.223181974685</v>
      </c>
      <c r="AZ57" s="111">
        <f>AY$57*'Population Treasury'!BK$79*'Statistics NZ'!BK$386/('Population Treasury'!BJ$79*'Statistics NZ'!BJ$386)</f>
        <v>29668.61266058312</v>
      </c>
      <c r="BA57" s="111">
        <f>AZ$57*'Population Treasury'!BL$79*'Statistics NZ'!BL$386/('Population Treasury'!BK$79*'Statistics NZ'!BK$386)</f>
        <v>30289.558049058571</v>
      </c>
      <c r="BB57" s="195">
        <f>BA$57*'Population Treasury'!BM$79*'Statistics NZ'!BM$386/('Population Treasury'!BL$79*'Statistics NZ'!BL$386)</f>
        <v>31468.16778825712</v>
      </c>
      <c r="BC57" s="195">
        <f>BB$57*'Population Treasury'!BN$79*'Statistics NZ'!BN$386/('Population Treasury'!BM$79*'Statistics NZ'!BM$386)</f>
        <v>32455.876591709799</v>
      </c>
      <c r="BD57" s="195">
        <f>BC$57*'Population Treasury'!BO$79*'Statistics NZ'!BO$386/('Population Treasury'!BN$79*'Statistics NZ'!BN$386)</f>
        <v>32343.350909100911</v>
      </c>
      <c r="BE57" s="195">
        <f>BD$57*'Population Treasury'!BP$79*'Statistics NZ'!BP$386/('Population Treasury'!BO$79*'Statistics NZ'!BO$386)</f>
        <v>33133.370718568054</v>
      </c>
      <c r="BF57" s="195">
        <f>BE$57*'Population Treasury'!BQ$79*'Statistics NZ'!BQ$386/('Population Treasury'!BP$79*'Statistics NZ'!BP$386)</f>
        <v>33085.263911670387</v>
      </c>
    </row>
    <row r="58" spans="1:58">
      <c r="A58" s="124">
        <v>63</v>
      </c>
      <c r="B58" s="118">
        <f>'Population Treasury'!M$80*'Statistics NZ'!M$387*'Economic Forecasts'!O$8/B$7</f>
        <v>16436.94368190947</v>
      </c>
      <c r="C58" s="118">
        <f>'Population Treasury'!N$80*'Statistics NZ'!N$387*'Economic Forecasts'!P$8/C$7</f>
        <v>17262.12695077946</v>
      </c>
      <c r="D58" s="118">
        <f>'Population Treasury'!O$80*'Statistics NZ'!O$387*'Economic Forecasts'!Q$8/D$7</f>
        <v>17728.963243785285</v>
      </c>
      <c r="E58" s="203">
        <f>'Population Treasury'!P$80*'Statistics NZ'!P$387*'Economic Forecasts'!R$8/E$7</f>
        <v>18398.792615443177</v>
      </c>
      <c r="F58" s="121">
        <f>'Population Treasury'!Q$80*'Statistics NZ'!Q$387*'Economic Forecasts'!S$8/F$7</f>
        <v>19201.752918889757</v>
      </c>
      <c r="G58" s="121">
        <f>'Population Treasury'!R$80*'Statistics NZ'!R$387*'Economic Forecasts'!T$8/G$7</f>
        <v>20232.143528046177</v>
      </c>
      <c r="H58" s="121">
        <f>'Population Treasury'!S$80*'Statistics NZ'!S$387*'Economic Forecasts'!U$8/H$7</f>
        <v>20840.552275357448</v>
      </c>
      <c r="I58" s="121">
        <f>'Population Treasury'!T$80*'Statistics NZ'!T$387*'Economic Forecasts'!V$8/I$7</f>
        <v>22028.714299307132</v>
      </c>
      <c r="J58" s="205">
        <f>'Population Treasury'!U$80*'Statistics NZ'!U$387*'Economic Forecasts'!W$8/J$7</f>
        <v>22834.167837813089</v>
      </c>
      <c r="K58" s="111">
        <f>J$58*'Population Treasury'!V$80*'Statistics NZ'!V$387/('Population Treasury'!U$80*'Statistics NZ'!U$387)</f>
        <v>23369.911246651845</v>
      </c>
      <c r="L58" s="111">
        <f>K$58*'Population Treasury'!W$80*'Statistics NZ'!W$387/('Population Treasury'!V$80*'Statistics NZ'!V$387)</f>
        <v>23005.727920399469</v>
      </c>
      <c r="M58" s="111">
        <f>L$58*'Population Treasury'!X$80*'Statistics NZ'!X$387/('Population Treasury'!W$80*'Statistics NZ'!W$387)</f>
        <v>22553.730834512244</v>
      </c>
      <c r="N58" s="111">
        <f>M$58*'Population Treasury'!Y$80*'Statistics NZ'!Y$387/('Population Treasury'!X$80*'Statistics NZ'!X$387)</f>
        <v>22319.601295512897</v>
      </c>
      <c r="O58" s="111">
        <f>N$58*'Population Treasury'!Z$80*'Statistics NZ'!Z$387/('Population Treasury'!Y$80*'Statistics NZ'!Y$387)</f>
        <v>22749.692135925681</v>
      </c>
      <c r="P58" s="111">
        <f>O$58*'Population Treasury'!AA$80*'Statistics NZ'!AA$387/('Population Treasury'!Z$80*'Statistics NZ'!Z$387)</f>
        <v>23353.819351050948</v>
      </c>
      <c r="Q58" s="111">
        <f>P$58*'Population Treasury'!AB$80*'Statistics NZ'!AB$387/('Population Treasury'!AA$80*'Statistics NZ'!AA$387)</f>
        <v>23866.774768639556</v>
      </c>
      <c r="R58" s="111">
        <f>Q$58*'Population Treasury'!AC$80*'Statistics NZ'!AC$387/('Population Treasury'!AB$80*'Statistics NZ'!AB$387)</f>
        <v>23812.412286732164</v>
      </c>
      <c r="S58" s="111">
        <f>R$58*'Population Treasury'!AD$80*'Statistics NZ'!AD$387/('Population Treasury'!AC$80*'Statistics NZ'!AC$387)</f>
        <v>24890.663656550587</v>
      </c>
      <c r="T58" s="111">
        <f>S$58*'Population Treasury'!AE$80*'Statistics NZ'!AE$387/('Population Treasury'!AD$80*'Statistics NZ'!AD$387)</f>
        <v>24639.486454910439</v>
      </c>
      <c r="U58" s="111">
        <f>T$58*'Population Treasury'!AF$80*'Statistics NZ'!AF$387/('Population Treasury'!AE$80*'Statistics NZ'!AE$387)</f>
        <v>23839.274468435055</v>
      </c>
      <c r="V58" s="111">
        <f>U$58*'Population Treasury'!AG$80*'Statistics NZ'!AG$387/('Population Treasury'!AF$80*'Statistics NZ'!AF$387)</f>
        <v>23379.196941029095</v>
      </c>
      <c r="W58" s="111">
        <f>V$58*'Population Treasury'!AH$80*'Statistics NZ'!AH$387/('Population Treasury'!AG$80*'Statistics NZ'!AG$387)</f>
        <v>22526.87454274801</v>
      </c>
      <c r="X58" s="111">
        <f>W$58*'Population Treasury'!AI$80*'Statistics NZ'!AI$387/('Population Treasury'!AH$80*'Statistics NZ'!AH$387)</f>
        <v>21634.40018889221</v>
      </c>
      <c r="Y58" s="111">
        <f>X$58*'Population Treasury'!AJ$80*'Statistics NZ'!AJ$387/('Population Treasury'!AI$80*'Statistics NZ'!AI$387)</f>
        <v>21808.647520578445</v>
      </c>
      <c r="Z58" s="111">
        <f>Y$58*'Population Treasury'!AK$80*'Statistics NZ'!AK$387/('Population Treasury'!AJ$80*'Statistics NZ'!AJ$387)</f>
        <v>21802.138024417221</v>
      </c>
      <c r="AA58" s="111">
        <f>Z$58*'Population Treasury'!AL$80*'Statistics NZ'!AL$387/('Population Treasury'!AK$80*'Statistics NZ'!AK$387)</f>
        <v>22522.648905304923</v>
      </c>
      <c r="AB58" s="111">
        <f>AA$58*'Population Treasury'!AM$80*'Statistics NZ'!AM$387/('Population Treasury'!AL$80*'Statistics NZ'!AL$387)</f>
        <v>22844.254199787047</v>
      </c>
      <c r="AC58" s="111">
        <f>AB$58*'Population Treasury'!AN$80*'Statistics NZ'!AN$387/('Population Treasury'!AM$80*'Statistics NZ'!AM$387)</f>
        <v>23162.066287457452</v>
      </c>
      <c r="AD58" s="111">
        <f>AC$58*'Population Treasury'!AO$80*'Statistics NZ'!AO$387/('Population Treasury'!AN$80*'Statistics NZ'!AN$387)</f>
        <v>23977.202938440365</v>
      </c>
      <c r="AE58" s="111">
        <f>AD$58*'Population Treasury'!AP$80*'Statistics NZ'!AP$387/('Population Treasury'!AO$80*'Statistics NZ'!AO$387)</f>
        <v>24554.248412677702</v>
      </c>
      <c r="AF58" s="111">
        <f>AE$58*'Population Treasury'!AQ$80*'Statistics NZ'!AQ$387/('Population Treasury'!AP$80*'Statistics NZ'!AP$387)</f>
        <v>25141.377924659257</v>
      </c>
      <c r="AG58" s="111">
        <f>AF$58*'Population Treasury'!AR$80*'Statistics NZ'!AR$387/('Population Treasury'!AQ$80*'Statistics NZ'!AQ$387)</f>
        <v>25740.876412044465</v>
      </c>
      <c r="AH58" s="111">
        <f>AG$58*'Population Treasury'!AS$80*'Statistics NZ'!AS$387/('Population Treasury'!AR$80*'Statistics NZ'!AR$387)</f>
        <v>26203.25111597871</v>
      </c>
      <c r="AI58" s="111">
        <f>AH$58*'Population Treasury'!AT$80*'Statistics NZ'!AT$387/('Population Treasury'!AS$80*'Statistics NZ'!AS$387)</f>
        <v>26849.037305679707</v>
      </c>
      <c r="AJ58" s="111">
        <f>AI$58*'Population Treasury'!AU$80*'Statistics NZ'!AU$387/('Population Treasury'!AT$80*'Statistics NZ'!AT$387)</f>
        <v>28639.419881070797</v>
      </c>
      <c r="AK58" s="111">
        <f>AJ$58*'Population Treasury'!AV$80*'Statistics NZ'!AV$387/('Population Treasury'!AU$80*'Statistics NZ'!AU$387)</f>
        <v>28911.571304375466</v>
      </c>
      <c r="AL58" s="111">
        <f>AK$58*'Population Treasury'!AW$80*'Statistics NZ'!AW$387/('Population Treasury'!AV$80*'Statistics NZ'!AV$387)</f>
        <v>30139.741938387851</v>
      </c>
      <c r="AM58" s="111">
        <f>AL$58*'Population Treasury'!AX$80*'Statistics NZ'!AX$387/('Population Treasury'!AW$80*'Statistics NZ'!AW$387)</f>
        <v>30576.021362291831</v>
      </c>
      <c r="AN58" s="111">
        <f>AM$58*'Population Treasury'!AY$80*'Statistics NZ'!AY$387/('Population Treasury'!AX$80*'Statistics NZ'!AX$387)</f>
        <v>30336.89711053998</v>
      </c>
      <c r="AO58" s="111">
        <f>AN$58*'Population Treasury'!AZ$80*'Statistics NZ'!AZ$387/('Population Treasury'!AY$80*'Statistics NZ'!AY$387)</f>
        <v>29835.350708471422</v>
      </c>
      <c r="AP58" s="111">
        <f>AO$58*'Population Treasury'!BA$80*'Statistics NZ'!BA$387/('Population Treasury'!AZ$80*'Statistics NZ'!AZ$387)</f>
        <v>28981.651495147318</v>
      </c>
      <c r="AQ58" s="111">
        <f>AP$58*'Population Treasury'!BB$80*'Statistics NZ'!BB$387/('Population Treasury'!BA$80*'Statistics NZ'!BA$387)</f>
        <v>28840.705985885299</v>
      </c>
      <c r="AR58" s="111">
        <f>AQ$58*'Population Treasury'!BC$80*'Statistics NZ'!BC$387/('Population Treasury'!BB$80*'Statistics NZ'!BB$387)</f>
        <v>28588.084210359193</v>
      </c>
      <c r="AS58" s="111">
        <f>AR$58*'Population Treasury'!BD$80*'Statistics NZ'!BD$387/('Population Treasury'!BC$80*'Statistics NZ'!BC$387)</f>
        <v>28335.515324195119</v>
      </c>
      <c r="AT58" s="111">
        <f>AS$58*'Population Treasury'!BE$80*'Statistics NZ'!BE$387/('Population Treasury'!BD$80*'Statistics NZ'!BD$387)</f>
        <v>28321.677309083676</v>
      </c>
      <c r="AU58" s="111">
        <f>AT$58*'Population Treasury'!BF$80*'Statistics NZ'!BF$387/('Population Treasury'!BE$80*'Statistics NZ'!BE$387)</f>
        <v>27916.337680543806</v>
      </c>
      <c r="AV58" s="111">
        <f>AU$58*'Population Treasury'!BG$80*'Statistics NZ'!BG$387/('Population Treasury'!BF$80*'Statistics NZ'!BF$387)</f>
        <v>28482.388659380045</v>
      </c>
      <c r="AW58" s="111">
        <f>AV$58*'Population Treasury'!BH$80*'Statistics NZ'!BH$387/('Population Treasury'!BG$80*'Statistics NZ'!BG$387)</f>
        <v>28236.065298984446</v>
      </c>
      <c r="AX58" s="111">
        <f>AW$58*'Population Treasury'!BI$80*'Statistics NZ'!BI$387/('Population Treasury'!BH$80*'Statistics NZ'!BH$387)</f>
        <v>27565.250696328512</v>
      </c>
      <c r="AY58" s="111">
        <f>AX$58*'Population Treasury'!BJ$80*'Statistics NZ'!BJ$387/('Population Treasury'!BI$80*'Statistics NZ'!BI$387)</f>
        <v>27341.746560892592</v>
      </c>
      <c r="AZ58" s="111">
        <f>AY$58*'Population Treasury'!BK$80*'Statistics NZ'!BK$387/('Population Treasury'!BJ$80*'Statistics NZ'!BJ$387)</f>
        <v>27939.151270638798</v>
      </c>
      <c r="BA58" s="111">
        <f>AZ$58*'Population Treasury'!BL$80*'Statistics NZ'!BL$387/('Population Treasury'!BK$80*'Statistics NZ'!BK$387)</f>
        <v>28053.433202458524</v>
      </c>
      <c r="BB58" s="195">
        <f>BA$58*'Population Treasury'!BM$80*'Statistics NZ'!BM$387/('Population Treasury'!BL$80*'Statistics NZ'!BL$387)</f>
        <v>28637.945997069892</v>
      </c>
      <c r="BC58" s="195">
        <f>BB$58*'Population Treasury'!BN$80*'Statistics NZ'!BN$387/('Population Treasury'!BM$80*'Statistics NZ'!BM$387)</f>
        <v>29754.330300952683</v>
      </c>
      <c r="BD58" s="195">
        <f>BC$58*'Population Treasury'!BO$80*'Statistics NZ'!BO$387/('Population Treasury'!BN$80*'Statistics NZ'!BN$387)</f>
        <v>30687.151750745943</v>
      </c>
      <c r="BE58" s="195">
        <f>BD$58*'Population Treasury'!BP$80*'Statistics NZ'!BP$387/('Population Treasury'!BO$80*'Statistics NZ'!BO$387)</f>
        <v>30588.079260753908</v>
      </c>
      <c r="BF58" s="195">
        <f>BE$58*'Population Treasury'!BQ$80*'Statistics NZ'!BQ$387/('Population Treasury'!BP$80*'Statistics NZ'!BP$387)</f>
        <v>31321.391387258602</v>
      </c>
    </row>
    <row r="59" spans="1:58">
      <c r="A59" s="124">
        <v>64</v>
      </c>
      <c r="B59" s="118">
        <f>'Population Treasury'!M$81*'Statistics NZ'!M$388*'Economic Forecasts'!O$8/B$7</f>
        <v>14356.773681225237</v>
      </c>
      <c r="C59" s="118">
        <f>'Population Treasury'!N$81*'Statistics NZ'!N$388*'Economic Forecasts'!P$8/C$7</f>
        <v>15169.018813072356</v>
      </c>
      <c r="D59" s="118">
        <f>'Population Treasury'!O$81*'Statistics NZ'!O$388*'Economic Forecasts'!Q$8/D$7</f>
        <v>15688.888402760407</v>
      </c>
      <c r="E59" s="203">
        <f>'Population Treasury'!P$81*'Statistics NZ'!P$388*'Economic Forecasts'!R$8/E$7</f>
        <v>16339.965071924296</v>
      </c>
      <c r="F59" s="121">
        <f>'Population Treasury'!Q$81*'Statistics NZ'!Q$388*'Economic Forecasts'!S$8/F$7</f>
        <v>16949.577875955642</v>
      </c>
      <c r="G59" s="121">
        <f>'Population Treasury'!R$81*'Statistics NZ'!R$388*'Economic Forecasts'!T$8/G$7</f>
        <v>17796.21529006014</v>
      </c>
      <c r="H59" s="121">
        <f>'Population Treasury'!S$81*'Statistics NZ'!S$388*'Economic Forecasts'!U$8/H$7</f>
        <v>18688.286555004175</v>
      </c>
      <c r="I59" s="121">
        <f>'Population Treasury'!T$81*'Statistics NZ'!T$388*'Economic Forecasts'!V$8/I$7</f>
        <v>19260.445478711241</v>
      </c>
      <c r="J59" s="205">
        <f>'Population Treasury'!U$81*'Statistics NZ'!U$388*'Economic Forecasts'!W$8/J$7</f>
        <v>20368.176444694931</v>
      </c>
      <c r="K59" s="111">
        <f>J$59*'Population Treasury'!V$81*'Statistics NZ'!V$388/('Population Treasury'!U$81*'Statistics NZ'!U$388)</f>
        <v>21051.675861517626</v>
      </c>
      <c r="L59" s="111">
        <f>K$59*'Population Treasury'!W$81*'Statistics NZ'!W$388/('Population Treasury'!V$81*'Statistics NZ'!V$388)</f>
        <v>21553.226406039288</v>
      </c>
      <c r="M59" s="111">
        <f>L$59*'Population Treasury'!X$81*'Statistics NZ'!X$388/('Population Treasury'!W$81*'Statistics NZ'!W$388)</f>
        <v>21230.520874246151</v>
      </c>
      <c r="N59" s="111">
        <f>M$59*'Population Treasury'!Y$81*'Statistics NZ'!Y$388/('Population Treasury'!X$81*'Statistics NZ'!X$388)</f>
        <v>20822.887835561225</v>
      </c>
      <c r="O59" s="111">
        <f>N$59*'Population Treasury'!Z$81*'Statistics NZ'!Z$388/('Population Treasury'!Y$81*'Statistics NZ'!Y$388)</f>
        <v>20612.760394062756</v>
      </c>
      <c r="P59" s="111">
        <f>O$59*'Population Treasury'!AA$81*'Statistics NZ'!AA$388/('Population Treasury'!Z$81*'Statistics NZ'!Z$388)</f>
        <v>21014.975800341595</v>
      </c>
      <c r="Q59" s="111">
        <f>P$59*'Population Treasury'!AB$81*'Statistics NZ'!AB$388/('Population Treasury'!AA$81*'Statistics NZ'!AA$388)</f>
        <v>21572.033864429097</v>
      </c>
      <c r="R59" s="111">
        <f>Q$59*'Population Treasury'!AC$81*'Statistics NZ'!AC$388/('Population Treasury'!AB$81*'Statistics NZ'!AB$388)</f>
        <v>22043.381892816593</v>
      </c>
      <c r="S59" s="111">
        <f>R$59*'Population Treasury'!AD$81*'Statistics NZ'!AD$388/('Population Treasury'!AC$81*'Statistics NZ'!AC$388)</f>
        <v>22003.317586461792</v>
      </c>
      <c r="T59" s="111">
        <f>S$59*'Population Treasury'!AE$81*'Statistics NZ'!AE$388/('Population Treasury'!AD$81*'Statistics NZ'!AD$388)</f>
        <v>23003.515201433718</v>
      </c>
      <c r="U59" s="111">
        <f>T$59*'Population Treasury'!AF$81*'Statistics NZ'!AF$388/('Population Treasury'!AE$81*'Statistics NZ'!AE$388)</f>
        <v>22779.521831681112</v>
      </c>
      <c r="V59" s="111">
        <f>U$59*'Population Treasury'!AG$81*'Statistics NZ'!AG$388/('Population Treasury'!AF$81*'Statistics NZ'!AF$388)</f>
        <v>22035.527616961212</v>
      </c>
      <c r="W59" s="111">
        <f>V$59*'Population Treasury'!AH$81*'Statistics NZ'!AH$388/('Population Treasury'!AG$81*'Statistics NZ'!AG$388)</f>
        <v>21621.109294240876</v>
      </c>
      <c r="X59" s="111">
        <f>W$59*'Population Treasury'!AI$81*'Statistics NZ'!AI$388/('Population Treasury'!AH$81*'Statistics NZ'!AH$388)</f>
        <v>20847.963154442012</v>
      </c>
      <c r="Y59" s="111">
        <f>X$59*'Population Treasury'!AJ$81*'Statistics NZ'!AJ$388/('Population Treasury'!AI$81*'Statistics NZ'!AI$388)</f>
        <v>20019.08112381542</v>
      </c>
      <c r="Z59" s="111">
        <f>Y$59*'Population Treasury'!AK$81*'Statistics NZ'!AK$388/('Population Treasury'!AJ$81*'Statistics NZ'!AJ$388)</f>
        <v>20178.394748797033</v>
      </c>
      <c r="AA59" s="111">
        <f>Z$59*'Population Treasury'!AL$81*'Statistics NZ'!AL$388/('Population Treasury'!AK$81*'Statistics NZ'!AK$388)</f>
        <v>20177.104602208237</v>
      </c>
      <c r="AB59" s="111">
        <f>AA$59*'Population Treasury'!AM$81*'Statistics NZ'!AM$388/('Population Treasury'!AL$81*'Statistics NZ'!AL$388)</f>
        <v>20850.248390614295</v>
      </c>
      <c r="AC59" s="111">
        <f>AB$59*'Population Treasury'!AN$81*'Statistics NZ'!AN$388/('Population Treasury'!AM$81*'Statistics NZ'!AM$388)</f>
        <v>21146.857895605091</v>
      </c>
      <c r="AD59" s="111">
        <f>AC$59*'Population Treasury'!AO$81*'Statistics NZ'!AO$388/('Population Treasury'!AN$81*'Statistics NZ'!AN$388)</f>
        <v>21434.080956830519</v>
      </c>
      <c r="AE59" s="111">
        <f>AD$59*'Population Treasury'!AP$81*'Statistics NZ'!AP$388/('Population Treasury'!AO$81*'Statistics NZ'!AO$388)</f>
        <v>22182.485919524577</v>
      </c>
      <c r="AF59" s="111">
        <f>AE$59*'Population Treasury'!AQ$81*'Statistics NZ'!AQ$388/('Population Treasury'!AP$81*'Statistics NZ'!AP$388)</f>
        <v>22727.383982616127</v>
      </c>
      <c r="AG59" s="111">
        <f>AF$59*'Population Treasury'!AR$81*'Statistics NZ'!AR$388/('Population Treasury'!AQ$81*'Statistics NZ'!AQ$388)</f>
        <v>23261.611524446358</v>
      </c>
      <c r="AH59" s="111">
        <f>AG$59*'Population Treasury'!AS$81*'Statistics NZ'!AS$388/('Population Treasury'!AR$81*'Statistics NZ'!AR$388)</f>
        <v>23819.462378314322</v>
      </c>
      <c r="AI59" s="111">
        <f>AH$59*'Population Treasury'!AT$81*'Statistics NZ'!AT$388/('Population Treasury'!AS$81*'Statistics NZ'!AS$388)</f>
        <v>24253.208784571565</v>
      </c>
      <c r="AJ59" s="111">
        <f>AI$59*'Population Treasury'!AU$81*'Statistics NZ'!AU$388/('Population Treasury'!AT$81*'Statistics NZ'!AT$388)</f>
        <v>24847.969449883814</v>
      </c>
      <c r="AK59" s="111">
        <f>AJ$59*'Population Treasury'!AV$81*'Statistics NZ'!AV$388/('Population Treasury'!AU$81*'Statistics NZ'!AU$388)</f>
        <v>26503.772787282636</v>
      </c>
      <c r="AL59" s="111">
        <f>AK$59*'Population Treasury'!AW$81*'Statistics NZ'!AW$388/('Population Treasury'!AV$81*'Statistics NZ'!AV$388)</f>
        <v>26756.546593738276</v>
      </c>
      <c r="AM59" s="111">
        <f>AL$59*'Population Treasury'!AX$81*'Statistics NZ'!AX$388/('Population Treasury'!AW$81*'Statistics NZ'!AW$388)</f>
        <v>27881.111188637955</v>
      </c>
      <c r="AN59" s="111">
        <f>AM$59*'Population Treasury'!AY$81*'Statistics NZ'!AY$388/('Population Treasury'!AX$81*'Statistics NZ'!AX$388)</f>
        <v>28297.9559705969</v>
      </c>
      <c r="AO59" s="111">
        <f>AN$59*'Population Treasury'!AZ$81*'Statistics NZ'!AZ$388/('Population Treasury'!AY$81*'Statistics NZ'!AY$388)</f>
        <v>28070.073750235144</v>
      </c>
      <c r="AP59" s="111">
        <f>AO$59*'Population Treasury'!BA$81*'Statistics NZ'!BA$388/('Population Treasury'!AZ$81*'Statistics NZ'!AZ$388)</f>
        <v>27607.670739097204</v>
      </c>
      <c r="AQ59" s="111">
        <f>AP$59*'Population Treasury'!BB$81*'Statistics NZ'!BB$388/('Population Treasury'!BA$81*'Statistics NZ'!BA$388)</f>
        <v>26824.241393918739</v>
      </c>
      <c r="AR59" s="111">
        <f>AQ$59*'Population Treasury'!BC$81*'Statistics NZ'!BC$388/('Population Treasury'!BB$81*'Statistics NZ'!BB$388)</f>
        <v>26686.892783681946</v>
      </c>
      <c r="AS59" s="111">
        <f>AR$59*'Population Treasury'!BD$81*'Statistics NZ'!BD$388/('Population Treasury'!BC$81*'Statistics NZ'!BC$388)</f>
        <v>26464.454877313867</v>
      </c>
      <c r="AT59" s="111">
        <f>AS$59*'Population Treasury'!BE$81*'Statistics NZ'!BE$388/('Population Treasury'!BD$81*'Statistics NZ'!BD$388)</f>
        <v>26234.998474148477</v>
      </c>
      <c r="AU59" s="111">
        <f>AT$59*'Population Treasury'!BF$81*'Statistics NZ'!BF$388/('Population Treasury'!BE$81*'Statistics NZ'!BE$388)</f>
        <v>26228.803057526129</v>
      </c>
      <c r="AV59" s="111">
        <f>AU$59*'Population Treasury'!BG$81*'Statistics NZ'!BG$388/('Population Treasury'!BF$81*'Statistics NZ'!BF$388)</f>
        <v>25847.019723104058</v>
      </c>
      <c r="AW59" s="111">
        <f>AV$59*'Population Treasury'!BH$81*'Statistics NZ'!BH$388/('Population Treasury'!BG$81*'Statistics NZ'!BG$388)</f>
        <v>26374.010309500791</v>
      </c>
      <c r="AX59" s="111">
        <f>AW$59*'Population Treasury'!BI$81*'Statistics NZ'!BI$388/('Population Treasury'!BH$81*'Statistics NZ'!BH$388)</f>
        <v>26140.172883816416</v>
      </c>
      <c r="AY59" s="111">
        <f>AX$59*'Population Treasury'!BJ$81*'Statistics NZ'!BJ$388/('Population Treasury'!BI$81*'Statistics NZ'!BI$388)</f>
        <v>25532.711144300203</v>
      </c>
      <c r="AZ59" s="111">
        <f>AY$59*'Population Treasury'!BK$81*'Statistics NZ'!BK$388/('Population Treasury'!BJ$81*'Statistics NZ'!BJ$388)</f>
        <v>25321.66494404605</v>
      </c>
      <c r="BA59" s="111">
        <f>AZ$59*'Population Treasury'!BL$81*'Statistics NZ'!BL$388/('Population Treasury'!BK$81*'Statistics NZ'!BK$388)</f>
        <v>25870.054135437273</v>
      </c>
      <c r="BB59" s="195">
        <f>BA$59*'Population Treasury'!BM$81*'Statistics NZ'!BM$388/('Population Treasury'!BL$81*'Statistics NZ'!BL$388)</f>
        <v>25980.514930948197</v>
      </c>
      <c r="BC59" s="195">
        <f>BB$59*'Population Treasury'!BN$81*'Statistics NZ'!BN$388/('Population Treasury'!BM$81*'Statistics NZ'!BM$388)</f>
        <v>26535.800824618298</v>
      </c>
      <c r="BD59" s="195">
        <f>BC$59*'Population Treasury'!BO$81*'Statistics NZ'!BO$388/('Population Treasury'!BN$81*'Statistics NZ'!BN$388)</f>
        <v>27551.216234998199</v>
      </c>
      <c r="BE59" s="195">
        <f>BD$59*'Population Treasury'!BP$81*'Statistics NZ'!BP$388/('Population Treasury'!BO$81*'Statistics NZ'!BO$388)</f>
        <v>28413.523487725161</v>
      </c>
      <c r="BF59" s="195">
        <f>BE$59*'Population Treasury'!BQ$81*'Statistics NZ'!BQ$388/('Population Treasury'!BP$81*'Statistics NZ'!BP$388)</f>
        <v>28325.183117484397</v>
      </c>
    </row>
    <row r="60" spans="1:58">
      <c r="A60" s="124">
        <v>65</v>
      </c>
      <c r="B60" s="118">
        <f>'Population Treasury'!M$82*'Statistics NZ'!M$389*'Economic Forecasts'!O$8/B$7</f>
        <v>12297.444801252788</v>
      </c>
      <c r="C60" s="118">
        <f>'Population Treasury'!N$82*'Statistics NZ'!N$389*'Economic Forecasts'!P$8/C$7</f>
        <v>12894.632536227251</v>
      </c>
      <c r="D60" s="118">
        <f>'Population Treasury'!O$82*'Statistics NZ'!O$389*'Economic Forecasts'!Q$8/D$7</f>
        <v>13379.057708224153</v>
      </c>
      <c r="E60" s="203">
        <f>'Population Treasury'!P$82*'Statistics NZ'!P$389*'Economic Forecasts'!R$8/E$7</f>
        <v>14052.164007944863</v>
      </c>
      <c r="F60" s="121">
        <f>'Population Treasury'!Q$82*'Statistics NZ'!Q$389*'Economic Forecasts'!S$8/F$7</f>
        <v>14619.026120360244</v>
      </c>
      <c r="G60" s="121">
        <f>'Population Treasury'!R$82*'Statistics NZ'!R$389*'Economic Forecasts'!T$8/G$7</f>
        <v>15243.021761213427</v>
      </c>
      <c r="H60" s="121">
        <f>'Population Treasury'!S$82*'Statistics NZ'!S$389*'Economic Forecasts'!U$8/H$7</f>
        <v>15961.836419679996</v>
      </c>
      <c r="I60" s="121">
        <f>'Population Treasury'!T$82*'Statistics NZ'!T$389*'Economic Forecasts'!V$8/I$7</f>
        <v>16776.327351083208</v>
      </c>
      <c r="J60" s="205">
        <f>'Population Treasury'!U$82*'Statistics NZ'!U$389*'Economic Forecasts'!W$8/J$7</f>
        <v>17294.661658860034</v>
      </c>
      <c r="K60" s="111">
        <f>J$60*'Population Treasury'!V$82*'Statistics NZ'!V$389/('Population Treasury'!U$82*'Statistics NZ'!U$389)</f>
        <v>18229.849009052738</v>
      </c>
      <c r="L60" s="111">
        <f>K$60*'Population Treasury'!W$82*'Statistics NZ'!W$389/('Population Treasury'!V$82*'Statistics NZ'!V$389)</f>
        <v>18852.495774852196</v>
      </c>
      <c r="M60" s="111">
        <f>L$60*'Population Treasury'!X$82*'Statistics NZ'!X$389/('Population Treasury'!W$82*'Statistics NZ'!W$389)</f>
        <v>19291.992834662222</v>
      </c>
      <c r="N60" s="111">
        <f>M$60*'Population Treasury'!Y$82*'Statistics NZ'!Y$389/('Population Treasury'!X$82*'Statistics NZ'!X$389)</f>
        <v>19006.626995648126</v>
      </c>
      <c r="O60" s="111">
        <f>N$60*'Population Treasury'!Z$82*'Statistics NZ'!Z$389/('Population Treasury'!Y$82*'Statistics NZ'!Y$389)</f>
        <v>18635.864107825662</v>
      </c>
      <c r="P60" s="111">
        <f>O$60*'Population Treasury'!AA$82*'Statistics NZ'!AA$389/('Population Treasury'!Z$82*'Statistics NZ'!Z$389)</f>
        <v>18446.225985841636</v>
      </c>
      <c r="Q60" s="111">
        <f>P$60*'Population Treasury'!AB$82*'Statistics NZ'!AB$389/('Population Treasury'!AA$82*'Statistics NZ'!AA$389)</f>
        <v>18804.157360007797</v>
      </c>
      <c r="R60" s="111">
        <f>Q$60*'Population Treasury'!AC$82*'Statistics NZ'!AC$389/('Population Treasury'!AB$82*'Statistics NZ'!AB$389)</f>
        <v>19301.750164545007</v>
      </c>
      <c r="S60" s="111">
        <f>R$60*'Population Treasury'!AD$82*'Statistics NZ'!AD$389/('Population Treasury'!AC$82*'Statistics NZ'!AC$389)</f>
        <v>19734.466347506961</v>
      </c>
      <c r="T60" s="111">
        <f>S$60*'Population Treasury'!AE$82*'Statistics NZ'!AE$389/('Population Treasury'!AD$82*'Statistics NZ'!AD$389)</f>
        <v>19690.298498364315</v>
      </c>
      <c r="U60" s="111">
        <f>T$60*'Population Treasury'!AF$82*'Statistics NZ'!AF$389/('Population Treasury'!AE$82*'Statistics NZ'!AE$389)</f>
        <v>20600.956436789187</v>
      </c>
      <c r="V60" s="111">
        <f>U$60*'Population Treasury'!AG$82*'Statistics NZ'!AG$389/('Population Treasury'!AF$82*'Statistics NZ'!AF$389)</f>
        <v>20399.980618012516</v>
      </c>
      <c r="W60" s="111">
        <f>V$60*'Population Treasury'!AH$82*'Statistics NZ'!AH$389/('Population Treasury'!AG$82*'Statistics NZ'!AG$389)</f>
        <v>19736.675971441302</v>
      </c>
      <c r="X60" s="111">
        <f>W$60*'Population Treasury'!AI$82*'Statistics NZ'!AI$389/('Population Treasury'!AH$82*'Statistics NZ'!AH$389)</f>
        <v>19363.357443267978</v>
      </c>
      <c r="Y60" s="111">
        <f>X$60*'Population Treasury'!AJ$82*'Statistics NZ'!AJ$389/('Population Treasury'!AI$82*'Statistics NZ'!AI$389)</f>
        <v>18670.526656286867</v>
      </c>
      <c r="Z60" s="111">
        <f>Y$60*'Population Treasury'!AK$82*'Statistics NZ'!AK$389/('Population Treasury'!AJ$82*'Statistics NZ'!AJ$389)</f>
        <v>17944.953703759504</v>
      </c>
      <c r="AA60" s="111">
        <f>Z$60*'Population Treasury'!AL$82*'Statistics NZ'!AL$389/('Population Treasury'!AK$82*'Statistics NZ'!AK$389)</f>
        <v>18086.544686705773</v>
      </c>
      <c r="AB60" s="111">
        <f>AA$60*'Population Treasury'!AM$82*'Statistics NZ'!AM$389/('Population Treasury'!AL$82*'Statistics NZ'!AL$389)</f>
        <v>18086.018455303078</v>
      </c>
      <c r="AC60" s="111">
        <f>AB$60*'Population Treasury'!AN$82*'Statistics NZ'!AN$389/('Population Treasury'!AM$82*'Statistics NZ'!AM$389)</f>
        <v>18685.828718780023</v>
      </c>
      <c r="AD60" s="111">
        <f>AC$60*'Population Treasury'!AO$82*'Statistics NZ'!AO$389/('Population Treasury'!AN$82*'Statistics NZ'!AN$389)</f>
        <v>18959.698833143615</v>
      </c>
      <c r="AE60" s="111">
        <f>AD$60*'Population Treasury'!AP$82*'Statistics NZ'!AP$389/('Population Treasury'!AO$82*'Statistics NZ'!AO$389)</f>
        <v>19212.719779402432</v>
      </c>
      <c r="AF60" s="111">
        <f>AE$60*'Population Treasury'!AQ$82*'Statistics NZ'!AQ$389/('Population Treasury'!AP$82*'Statistics NZ'!AP$389)</f>
        <v>19889.447612007356</v>
      </c>
      <c r="AG60" s="111">
        <f>AF$60*'Population Treasury'!AR$82*'Statistics NZ'!AR$389/('Population Treasury'!AQ$82*'Statistics NZ'!AQ$389)</f>
        <v>20373.902681889118</v>
      </c>
      <c r="AH60" s="111">
        <f>AG$60*'Population Treasury'!AS$82*'Statistics NZ'!AS$389/('Population Treasury'!AR$82*'Statistics NZ'!AR$389)</f>
        <v>20870.364836145622</v>
      </c>
      <c r="AI60" s="111">
        <f>AH$60*'Population Treasury'!AT$82*'Statistics NZ'!AT$389/('Population Treasury'!AS$82*'Statistics NZ'!AS$389)</f>
        <v>21366.134657241641</v>
      </c>
      <c r="AJ60" s="111">
        <f>AI$60*'Population Treasury'!AU$82*'Statistics NZ'!AU$389/('Population Treasury'!AT$82*'Statistics NZ'!AT$389)</f>
        <v>21747.724483079066</v>
      </c>
      <c r="AK60" s="111">
        <f>AJ$60*'Population Treasury'!AV$82*'Statistics NZ'!AV$389/('Population Treasury'!AU$82*'Statistics NZ'!AU$389)</f>
        <v>22278.159660389076</v>
      </c>
      <c r="AL60" s="111">
        <f>AK$60*'Population Treasury'!AW$82*'Statistics NZ'!AW$389/('Population Treasury'!AV$82*'Statistics NZ'!AV$389)</f>
        <v>23764.741252108306</v>
      </c>
      <c r="AM60" s="111">
        <f>AL$60*'Population Treasury'!AX$82*'Statistics NZ'!AX$389/('Population Treasury'!AW$82*'Statistics NZ'!AW$389)</f>
        <v>23991.632922206831</v>
      </c>
      <c r="AN60" s="111">
        <f>AM$60*'Population Treasury'!AY$82*'Statistics NZ'!AY$389/('Population Treasury'!AX$82*'Statistics NZ'!AX$389)</f>
        <v>25010.250051842289</v>
      </c>
      <c r="AO60" s="111">
        <f>AN$60*'Population Treasury'!AZ$82*'Statistics NZ'!AZ$389/('Population Treasury'!AY$82*'Statistics NZ'!AY$389)</f>
        <v>25374.471536623565</v>
      </c>
      <c r="AP60" s="111">
        <f>AO$60*'Population Treasury'!BA$82*'Statistics NZ'!BA$389/('Population Treasury'!AZ$82*'Statistics NZ'!AZ$389)</f>
        <v>25178.425875180306</v>
      </c>
      <c r="AQ60" s="111">
        <f>AP$60*'Population Treasury'!BB$82*'Statistics NZ'!BB$389/('Population Treasury'!BA$82*'Statistics NZ'!BA$389)</f>
        <v>24768.712512923292</v>
      </c>
      <c r="AR60" s="111">
        <f>AQ$60*'Population Treasury'!BC$82*'Statistics NZ'!BC$389/('Population Treasury'!BB$82*'Statistics NZ'!BB$389)</f>
        <v>24072.98535117352</v>
      </c>
      <c r="AS60" s="111">
        <f>AR$60*'Population Treasury'!BD$82*'Statistics NZ'!BD$389/('Population Treasury'!BC$82*'Statistics NZ'!BC$389)</f>
        <v>23944.0942089891</v>
      </c>
      <c r="AT60" s="111">
        <f>AS$60*'Population Treasury'!BE$82*'Statistics NZ'!BE$389/('Population Treasury'!BD$82*'Statistics NZ'!BD$389)</f>
        <v>23737.314516818496</v>
      </c>
      <c r="AU60" s="111">
        <f>AT$60*'Population Treasury'!BF$82*'Statistics NZ'!BF$389/('Population Treasury'!BE$82*'Statistics NZ'!BE$389)</f>
        <v>23537.215447804479</v>
      </c>
      <c r="AV60" s="111">
        <f>AU$60*'Population Treasury'!BG$82*'Statistics NZ'!BG$389/('Population Treasury'!BF$82*'Statistics NZ'!BF$389)</f>
        <v>23521.007542856976</v>
      </c>
      <c r="AW60" s="111">
        <f>AV$60*'Population Treasury'!BH$82*'Statistics NZ'!BH$389/('Population Treasury'!BG$82*'Statistics NZ'!BG$389)</f>
        <v>23189.57783952554</v>
      </c>
      <c r="AX60" s="111">
        <f>AW$60*'Population Treasury'!BI$82*'Statistics NZ'!BI$389/('Population Treasury'!BH$82*'Statistics NZ'!BH$389)</f>
        <v>23664.893952305898</v>
      </c>
      <c r="AY60" s="111">
        <f>AX$60*'Population Treasury'!BJ$82*'Statistics NZ'!BJ$389/('Population Treasury'!BI$82*'Statistics NZ'!BI$389)</f>
        <v>23456.374326949492</v>
      </c>
      <c r="AZ60" s="111">
        <f>AY$60*'Population Treasury'!BK$82*'Statistics NZ'!BK$389/('Population Treasury'!BJ$82*'Statistics NZ'!BJ$389)</f>
        <v>22904.83541218589</v>
      </c>
      <c r="BA60" s="111">
        <f>AZ$60*'Population Treasury'!BL$82*'Statistics NZ'!BL$389/('Population Treasury'!BK$82*'Statistics NZ'!BK$389)</f>
        <v>22726.521132252579</v>
      </c>
      <c r="BB60" s="195">
        <f>BA$60*'Population Treasury'!BM$82*'Statistics NZ'!BM$389/('Population Treasury'!BL$82*'Statistics NZ'!BL$389)</f>
        <v>23215.430368031182</v>
      </c>
      <c r="BC60" s="195">
        <f>BB$60*'Population Treasury'!BN$82*'Statistics NZ'!BN$389/('Population Treasury'!BM$82*'Statistics NZ'!BM$389)</f>
        <v>23318.103746047735</v>
      </c>
      <c r="BD60" s="195">
        <f>BC$60*'Population Treasury'!BO$82*'Statistics NZ'!BO$389/('Population Treasury'!BN$82*'Statistics NZ'!BN$389)</f>
        <v>23812.00320997505</v>
      </c>
      <c r="BE60" s="195">
        <f>BD$60*'Population Treasury'!BP$82*'Statistics NZ'!BP$389/('Population Treasury'!BO$82*'Statistics NZ'!BO$389)</f>
        <v>24729.323807573153</v>
      </c>
      <c r="BF60" s="195">
        <f>BE$60*'Population Treasury'!BQ$82*'Statistics NZ'!BQ$389/('Population Treasury'!BP$82*'Statistics NZ'!BP$389)</f>
        <v>25497.043168786564</v>
      </c>
    </row>
    <row r="61" spans="1:58">
      <c r="A61" s="124">
        <v>66</v>
      </c>
      <c r="B61" s="118">
        <f>'Population Treasury'!M$83*'Statistics NZ'!M$390*'Economic Forecasts'!O$8/B$7</f>
        <v>10347.660466450377</v>
      </c>
      <c r="C61" s="118">
        <f>'Population Treasury'!N$83*'Statistics NZ'!N$390*'Economic Forecasts'!P$8/C$7</f>
        <v>10891.907045828295</v>
      </c>
      <c r="D61" s="118">
        <f>'Population Treasury'!O$83*'Statistics NZ'!O$390*'Economic Forecasts'!Q$8/D$7</f>
        <v>11209.267756904481</v>
      </c>
      <c r="E61" s="203">
        <f>'Population Treasury'!P$83*'Statistics NZ'!P$390*'Economic Forecasts'!R$8/E$7</f>
        <v>11792.326707261245</v>
      </c>
      <c r="F61" s="121">
        <f>'Population Treasury'!Q$83*'Statistics NZ'!Q$390*'Economic Forecasts'!S$8/F$7</f>
        <v>12375.630344750518</v>
      </c>
      <c r="G61" s="121">
        <f>'Population Treasury'!R$83*'Statistics NZ'!R$390*'Economic Forecasts'!T$8/G$7</f>
        <v>12932.403362838913</v>
      </c>
      <c r="H61" s="121">
        <f>'Population Treasury'!S$83*'Statistics NZ'!S$390*'Economic Forecasts'!U$8/H$7</f>
        <v>13452.635056216117</v>
      </c>
      <c r="I61" s="121">
        <f>'Population Treasury'!T$83*'Statistics NZ'!T$390*'Economic Forecasts'!V$8/I$7</f>
        <v>14085.753374973943</v>
      </c>
      <c r="J61" s="205">
        <f>'Population Treasury'!U$83*'Statistics NZ'!U$390*'Economic Forecasts'!W$8/J$7</f>
        <v>14792.138431260519</v>
      </c>
      <c r="K61" s="111">
        <f>J$61*'Population Treasury'!V$83*'Statistics NZ'!V$390/('Population Treasury'!U$83*'Statistics NZ'!U$390)</f>
        <v>15194.506549682777</v>
      </c>
      <c r="L61" s="111">
        <f>K$61*'Population Treasury'!W$83*'Statistics NZ'!W$390/('Population Treasury'!V$83*'Statistics NZ'!V$390)</f>
        <v>16011.748886006999</v>
      </c>
      <c r="M61" s="111">
        <f>L$61*'Population Treasury'!X$83*'Statistics NZ'!X$390/('Population Treasury'!W$83*'Statistics NZ'!W$390)</f>
        <v>16544.789229112397</v>
      </c>
      <c r="N61" s="111">
        <f>M$61*'Population Treasury'!Y$83*'Statistics NZ'!Y$390/('Population Treasury'!X$83*'Statistics NZ'!X$390)</f>
        <v>16936.629404859308</v>
      </c>
      <c r="O61" s="111">
        <f>N$61*'Population Treasury'!Z$83*'Statistics NZ'!Z$390/('Population Treasury'!Y$83*'Statistics NZ'!Y$390)</f>
        <v>16690.545911505917</v>
      </c>
      <c r="P61" s="111">
        <f>O$61*'Population Treasury'!AA$83*'Statistics NZ'!AA$390/('Population Treasury'!Z$83*'Statistics NZ'!Z$390)</f>
        <v>16356.620719953164</v>
      </c>
      <c r="Q61" s="111">
        <f>P$61*'Population Treasury'!AB$83*'Statistics NZ'!AB$390/('Population Treasury'!AA$83*'Statistics NZ'!AA$390)</f>
        <v>16197.55908244622</v>
      </c>
      <c r="R61" s="111">
        <f>Q$61*'Population Treasury'!AC$83*'Statistics NZ'!AC$390/('Population Treasury'!AB$83*'Statistics NZ'!AB$390)</f>
        <v>16506.262188365388</v>
      </c>
      <c r="S61" s="111">
        <f>R$61*'Population Treasury'!AD$83*'Statistics NZ'!AD$390/('Population Treasury'!AC$83*'Statistics NZ'!AC$390)</f>
        <v>16946.879187270537</v>
      </c>
      <c r="T61" s="111">
        <f>S$61*'Population Treasury'!AE$83*'Statistics NZ'!AE$390/('Population Treasury'!AD$83*'Statistics NZ'!AD$390)</f>
        <v>17316.333290987252</v>
      </c>
      <c r="U61" s="111">
        <f>T$61*'Population Treasury'!AF$83*'Statistics NZ'!AF$390/('Population Treasury'!AE$83*'Statistics NZ'!AE$390)</f>
        <v>17286.241505442049</v>
      </c>
      <c r="V61" s="111">
        <f>U$61*'Population Treasury'!AG$83*'Statistics NZ'!AG$390/('Population Treasury'!AF$83*'Statistics NZ'!AF$390)</f>
        <v>18075.367747678902</v>
      </c>
      <c r="W61" s="111">
        <f>V$61*'Population Treasury'!AH$83*'Statistics NZ'!AH$390/('Population Treasury'!AG$83*'Statistics NZ'!AG$390)</f>
        <v>17896.291993457835</v>
      </c>
      <c r="X61" s="111">
        <f>W$61*'Population Treasury'!AI$83*'Statistics NZ'!AI$390/('Population Treasury'!AH$83*'Statistics NZ'!AH$390)</f>
        <v>17325.681380679256</v>
      </c>
      <c r="Y61" s="111">
        <f>X$61*'Population Treasury'!AJ$83*'Statistics NZ'!AJ$390/('Population Treasury'!AI$83*'Statistics NZ'!AI$390)</f>
        <v>16991.829655461621</v>
      </c>
      <c r="Z61" s="111">
        <f>Y$61*'Population Treasury'!AK$83*'Statistics NZ'!AK$390/('Population Treasury'!AJ$83*'Statistics NZ'!AJ$390)</f>
        <v>16390.698964578245</v>
      </c>
      <c r="AA61" s="111">
        <f>Z$61*'Population Treasury'!AL$83*'Statistics NZ'!AL$390/('Population Treasury'!AK$83*'Statistics NZ'!AK$390)</f>
        <v>15743.897632647419</v>
      </c>
      <c r="AB61" s="111">
        <f>AA$61*'Population Treasury'!AM$83*'Statistics NZ'!AM$390/('Population Treasury'!AL$83*'Statistics NZ'!AL$390)</f>
        <v>15874.314872236389</v>
      </c>
      <c r="AC61" s="111">
        <f>AB$61*'Population Treasury'!AN$83*'Statistics NZ'!AN$390/('Population Treasury'!AM$83*'Statistics NZ'!AM$390)</f>
        <v>15867.926095096072</v>
      </c>
      <c r="AD61" s="111">
        <f>AC$61*'Population Treasury'!AO$83*'Statistics NZ'!AO$390/('Population Treasury'!AN$83*'Statistics NZ'!AN$390)</f>
        <v>16396.413623360477</v>
      </c>
      <c r="AE61" s="111">
        <f>AD$61*'Population Treasury'!AP$83*'Statistics NZ'!AP$390/('Population Treasury'!AO$83*'Statistics NZ'!AO$390)</f>
        <v>16634.057069090923</v>
      </c>
      <c r="AF61" s="111">
        <f>AE$61*'Population Treasury'!AQ$83*'Statistics NZ'!AQ$390/('Population Treasury'!AP$83*'Statistics NZ'!AP$390)</f>
        <v>16868.954184643484</v>
      </c>
      <c r="AG61" s="111">
        <f>AF$61*'Population Treasury'!AR$83*'Statistics NZ'!AR$390/('Population Treasury'!AQ$83*'Statistics NZ'!AQ$390)</f>
        <v>17451.807599598058</v>
      </c>
      <c r="AH61" s="111">
        <f>AG$61*'Population Treasury'!AS$83*'Statistics NZ'!AS$390/('Population Treasury'!AR$83*'Statistics NZ'!AR$390)</f>
        <v>17878.525613908296</v>
      </c>
      <c r="AI61" s="111">
        <f>AH$61*'Population Treasury'!AT$83*'Statistics NZ'!AT$390/('Population Treasury'!AS$83*'Statistics NZ'!AS$390)</f>
        <v>18311.81817988351</v>
      </c>
      <c r="AJ61" s="111">
        <f>AI$61*'Population Treasury'!AU$83*'Statistics NZ'!AU$390/('Population Treasury'!AT$83*'Statistics NZ'!AT$390)</f>
        <v>18738.275384870769</v>
      </c>
      <c r="AK61" s="111">
        <f>AJ$61*'Population Treasury'!AV$83*'Statistics NZ'!AV$390/('Population Treasury'!AU$83*'Statistics NZ'!AU$390)</f>
        <v>19077.857170329291</v>
      </c>
      <c r="AL61" s="111">
        <f>AK$61*'Population Treasury'!AW$83*'Statistics NZ'!AW$390/('Population Treasury'!AV$83*'Statistics NZ'!AV$390)</f>
        <v>19546.757147553297</v>
      </c>
      <c r="AM61" s="111">
        <f>AL$61*'Population Treasury'!AX$83*'Statistics NZ'!AX$390/('Population Treasury'!AW$83*'Statistics NZ'!AW$390)</f>
        <v>20849.710567625632</v>
      </c>
      <c r="AN61" s="111">
        <f>AM$61*'Population Treasury'!AY$83*'Statistics NZ'!AY$390/('Population Treasury'!AX$83*'Statistics NZ'!AX$390)</f>
        <v>21049.831793787976</v>
      </c>
      <c r="AO61" s="111">
        <f>AN$61*'Population Treasury'!AZ$83*'Statistics NZ'!AZ$390/('Population Treasury'!AY$83*'Statistics NZ'!AY$390)</f>
        <v>21936.317716381276</v>
      </c>
      <c r="AP61" s="111">
        <f>AO$61*'Population Treasury'!BA$83*'Statistics NZ'!BA$390/('Population Treasury'!AZ$83*'Statistics NZ'!AZ$390)</f>
        <v>22254.760483517624</v>
      </c>
      <c r="AQ61" s="111">
        <f>AP$61*'Population Treasury'!BB$83*'Statistics NZ'!BB$390/('Population Treasury'!BA$83*'Statistics NZ'!BA$390)</f>
        <v>22087.498244555205</v>
      </c>
      <c r="AR61" s="111">
        <f>AQ$61*'Population Treasury'!BC$83*'Statistics NZ'!BC$390/('Population Treasury'!BB$83*'Statistics NZ'!BB$390)</f>
        <v>21726.645904791945</v>
      </c>
      <c r="AS61" s="111">
        <f>AR$61*'Population Treasury'!BD$83*'Statistics NZ'!BD$390/('Population Treasury'!BC$83*'Statistics NZ'!BC$390)</f>
        <v>21113.708503315709</v>
      </c>
      <c r="AT61" s="111">
        <f>AS$61*'Population Treasury'!BE$83*'Statistics NZ'!BE$390/('Population Treasury'!BD$83*'Statistics NZ'!BD$390)</f>
        <v>21002.562018395129</v>
      </c>
      <c r="AU61" s="111">
        <f>AT$61*'Population Treasury'!BF$83*'Statistics NZ'!BF$390/('Population Treasury'!BE$83*'Statistics NZ'!BE$390)</f>
        <v>20820.190226377261</v>
      </c>
      <c r="AV61" s="111">
        <f>AU$61*'Population Treasury'!BG$83*'Statistics NZ'!BG$390/('Population Treasury'!BF$83*'Statistics NZ'!BF$390)</f>
        <v>20645.255507999827</v>
      </c>
      <c r="AW61" s="111">
        <f>AV$61*'Population Treasury'!BH$83*'Statistics NZ'!BH$390/('Population Treasury'!BG$83*'Statistics NZ'!BG$390)</f>
        <v>20649.545069221142</v>
      </c>
      <c r="AX61" s="111">
        <f>AW$61*'Population Treasury'!BI$83*'Statistics NZ'!BI$390/('Population Treasury'!BH$83*'Statistics NZ'!BH$390)</f>
        <v>20352.426111066405</v>
      </c>
      <c r="AY61" s="111">
        <f>AX$61*'Population Treasury'!BJ$83*'Statistics NZ'!BJ$390/('Population Treasury'!BI$83*'Statistics NZ'!BI$390)</f>
        <v>20764.35510543206</v>
      </c>
      <c r="AZ61" s="111">
        <f>AY$61*'Population Treasury'!BK$83*'Statistics NZ'!BK$390/('Population Treasury'!BJ$83*'Statistics NZ'!BJ$390)</f>
        <v>20578.49140011019</v>
      </c>
      <c r="BA61" s="111">
        <f>AZ$61*'Population Treasury'!BL$83*'Statistics NZ'!BL$390/('Population Treasury'!BK$83*'Statistics NZ'!BK$390)</f>
        <v>20115.088980483863</v>
      </c>
      <c r="BB61" s="195">
        <f>BA$61*'Population Treasury'!BM$83*'Statistics NZ'!BM$390/('Population Treasury'!BL$83*'Statistics NZ'!BL$390)</f>
        <v>19943.661340411305</v>
      </c>
      <c r="BC61" s="195">
        <f>BB$61*'Population Treasury'!BN$83*'Statistics NZ'!BN$390/('Population Treasury'!BM$83*'Statistics NZ'!BM$390)</f>
        <v>20373.554828803579</v>
      </c>
      <c r="BD61" s="195">
        <f>BC$61*'Population Treasury'!BO$83*'Statistics NZ'!BO$390/('Population Treasury'!BN$83*'Statistics NZ'!BN$390)</f>
        <v>20466.190669511176</v>
      </c>
      <c r="BE61" s="195">
        <f>BD$61*'Population Treasury'!BP$83*'Statistics NZ'!BP$390/('Population Treasury'!BO$83*'Statistics NZ'!BO$390)</f>
        <v>20898.439024037227</v>
      </c>
      <c r="BF61" s="195">
        <f>BE$61*'Population Treasury'!BQ$83*'Statistics NZ'!BQ$390/('Population Treasury'!BP$83*'Statistics NZ'!BP$390)</f>
        <v>21705.590612766915</v>
      </c>
    </row>
    <row r="62" spans="1:58">
      <c r="A62" s="124">
        <v>67</v>
      </c>
      <c r="B62" s="118">
        <f>'Population Treasury'!M$84*'Statistics NZ'!M$391*'Economic Forecasts'!O$8/B$7</f>
        <v>8827.1225219618373</v>
      </c>
      <c r="C62" s="118">
        <f>'Population Treasury'!N$84*'Statistics NZ'!N$391*'Economic Forecasts'!P$8/C$7</f>
        <v>8995.6902181232599</v>
      </c>
      <c r="D62" s="118">
        <f>'Population Treasury'!O$84*'Statistics NZ'!O$391*'Economic Forecasts'!Q$8/D$7</f>
        <v>9324.2960406980728</v>
      </c>
      <c r="E62" s="203">
        <f>'Population Treasury'!P$84*'Statistics NZ'!P$391*'Economic Forecasts'!R$8/E$7</f>
        <v>9712.1533484860356</v>
      </c>
      <c r="F62" s="121">
        <f>'Population Treasury'!Q$84*'Statistics NZ'!Q$391*'Economic Forecasts'!S$8/F$7</f>
        <v>10223.405828827841</v>
      </c>
      <c r="G62" s="121">
        <f>'Population Treasury'!R$84*'Statistics NZ'!R$391*'Economic Forecasts'!T$8/G$7</f>
        <v>10787.606201603056</v>
      </c>
      <c r="H62" s="121">
        <f>'Population Treasury'!S$84*'Statistics NZ'!S$391*'Economic Forecasts'!U$8/H$7</f>
        <v>11242.367144503396</v>
      </c>
      <c r="I62" s="121">
        <f>'Population Treasury'!T$84*'Statistics NZ'!T$391*'Economic Forecasts'!V$8/I$7</f>
        <v>11671.234233971669</v>
      </c>
      <c r="J62" s="205">
        <f>'Population Treasury'!U$84*'Statistics NZ'!U$391*'Economic Forecasts'!W$8/J$7</f>
        <v>12215.878869391943</v>
      </c>
      <c r="K62" s="111">
        <f>J$62*'Population Treasury'!V$84*'Statistics NZ'!V$391/('Population Treasury'!U$84*'Statistics NZ'!U$391)</f>
        <v>12795.382906600422</v>
      </c>
      <c r="L62" s="111">
        <f>K$62*'Population Treasury'!W$84*'Statistics NZ'!W$391/('Population Treasury'!V$84*'Statistics NZ'!V$391)</f>
        <v>13143.961919291391</v>
      </c>
      <c r="M62" s="111">
        <f>L$62*'Population Treasury'!X$84*'Statistics NZ'!X$391/('Population Treasury'!W$84*'Statistics NZ'!W$391)</f>
        <v>13849.706767962814</v>
      </c>
      <c r="N62" s="111">
        <f>M$62*'Population Treasury'!Y$84*'Statistics NZ'!Y$391/('Population Treasury'!X$84*'Statistics NZ'!X$391)</f>
        <v>14309.539615799235</v>
      </c>
      <c r="O62" s="111">
        <f>N$62*'Population Treasury'!Z$84*'Statistics NZ'!Z$391/('Population Treasury'!Y$84*'Statistics NZ'!Y$391)</f>
        <v>14648.969294832124</v>
      </c>
      <c r="P62" s="111">
        <f>O$62*'Population Treasury'!AA$84*'Statistics NZ'!AA$391/('Population Treasury'!Z$84*'Statistics NZ'!Z$391)</f>
        <v>14427.769753853147</v>
      </c>
      <c r="Q62" s="111">
        <f>P$62*'Population Treasury'!AB$84*'Statistics NZ'!AB$391/('Population Treasury'!AA$84*'Statistics NZ'!AA$391)</f>
        <v>14147.874298027666</v>
      </c>
      <c r="R62" s="111">
        <f>Q$62*'Population Treasury'!AC$84*'Statistics NZ'!AC$391/('Population Treasury'!AB$84*'Statistics NZ'!AB$391)</f>
        <v>14002.584479650621</v>
      </c>
      <c r="S62" s="111">
        <f>R$62*'Population Treasury'!AD$84*'Statistics NZ'!AD$391/('Population Treasury'!AC$84*'Statistics NZ'!AC$391)</f>
        <v>14277.318583949564</v>
      </c>
      <c r="T62" s="111">
        <f>S$62*'Population Treasury'!AE$84*'Statistics NZ'!AE$391/('Population Treasury'!AD$84*'Statistics NZ'!AD$391)</f>
        <v>14643.650236616322</v>
      </c>
      <c r="U62" s="111">
        <f>T$62*'Population Treasury'!AF$84*'Statistics NZ'!AF$391/('Population Treasury'!AE$84*'Statistics NZ'!AE$391)</f>
        <v>14970.801838041629</v>
      </c>
      <c r="V62" s="111">
        <f>U$62*'Population Treasury'!AG$84*'Statistics NZ'!AG$391/('Population Treasury'!AF$84*'Statistics NZ'!AF$391)</f>
        <v>14943.943015071107</v>
      </c>
      <c r="W62" s="111">
        <f>V$62*'Population Treasury'!AH$84*'Statistics NZ'!AH$391/('Population Treasury'!AG$84*'Statistics NZ'!AG$391)</f>
        <v>15622.236493693194</v>
      </c>
      <c r="X62" s="111">
        <f>W$62*'Population Treasury'!AI$84*'Statistics NZ'!AI$391/('Population Treasury'!AH$84*'Statistics NZ'!AH$391)</f>
        <v>15476.182883359377</v>
      </c>
      <c r="Y62" s="111">
        <f>X$62*'Population Treasury'!AJ$84*'Statistics NZ'!AJ$391/('Population Treasury'!AI$84*'Statistics NZ'!AI$391)</f>
        <v>14976.548648893986</v>
      </c>
      <c r="Z62" s="111">
        <f>Y$62*'Population Treasury'!AK$84*'Statistics NZ'!AK$391/('Population Treasury'!AJ$84*'Statistics NZ'!AJ$391)</f>
        <v>14693.618495704191</v>
      </c>
      <c r="AA62" s="111">
        <f>Z$62*'Population Treasury'!AL$84*'Statistics NZ'!AL$391/('Population Treasury'!AK$84*'Statistics NZ'!AK$391)</f>
        <v>14173.199458853904</v>
      </c>
      <c r="AB62" s="111">
        <f>AA$62*'Population Treasury'!AM$84*'Statistics NZ'!AM$391/('Population Treasury'!AL$84*'Statistics NZ'!AL$391)</f>
        <v>13616.065775395797</v>
      </c>
      <c r="AC62" s="111">
        <f>AB$62*'Population Treasury'!AN$84*'Statistics NZ'!AN$391/('Population Treasury'!AM$84*'Statistics NZ'!AM$391)</f>
        <v>13729.5429673003</v>
      </c>
      <c r="AD62" s="111">
        <f>AC$62*'Population Treasury'!AO$84*'Statistics NZ'!AO$391/('Population Treasury'!AN$84*'Statistics NZ'!AN$391)</f>
        <v>13723.847386639496</v>
      </c>
      <c r="AE62" s="111">
        <f>AD$62*'Population Treasury'!AP$84*'Statistics NZ'!AP$391/('Population Treasury'!AO$84*'Statistics NZ'!AO$391)</f>
        <v>14180.865744344037</v>
      </c>
      <c r="AF62" s="111">
        <f>AE$62*'Population Treasury'!AQ$84*'Statistics NZ'!AQ$391/('Population Treasury'!AP$84*'Statistics NZ'!AP$391)</f>
        <v>14373.355416368408</v>
      </c>
      <c r="AG62" s="111">
        <f>AF$62*'Population Treasury'!AR$84*'Statistics NZ'!AR$391/('Population Treasury'!AQ$84*'Statistics NZ'!AQ$391)</f>
        <v>14573.296534604238</v>
      </c>
      <c r="AH62" s="111">
        <f>AG$62*'Population Treasury'!AS$84*'Statistics NZ'!AS$391/('Population Treasury'!AR$84*'Statistics NZ'!AR$391)</f>
        <v>15084.186809206738</v>
      </c>
      <c r="AI62" s="111">
        <f>AH$62*'Population Treasury'!AT$84*'Statistics NZ'!AT$391/('Population Treasury'!AS$84*'Statistics NZ'!AS$391)</f>
        <v>15453.265321911145</v>
      </c>
      <c r="AJ62" s="111">
        <f>AI$62*'Population Treasury'!AU$84*'Statistics NZ'!AU$391/('Population Treasury'!AT$84*'Statistics NZ'!AT$391)</f>
        <v>15823.642795266313</v>
      </c>
      <c r="AK62" s="111">
        <f>AJ$62*'Population Treasury'!AV$84*'Statistics NZ'!AV$391/('Population Treasury'!AU$84*'Statistics NZ'!AU$391)</f>
        <v>16196.991437732317</v>
      </c>
      <c r="AL62" s="111">
        <f>AK$62*'Population Treasury'!AW$84*'Statistics NZ'!AW$391/('Population Treasury'!AV$84*'Statistics NZ'!AV$391)</f>
        <v>16499.492901565241</v>
      </c>
      <c r="AM62" s="111">
        <f>AL$62*'Population Treasury'!AX$84*'Statistics NZ'!AX$391/('Population Treasury'!AW$84*'Statistics NZ'!AW$391)</f>
        <v>16895.552932063238</v>
      </c>
      <c r="AN62" s="111">
        <f>AM$62*'Population Treasury'!AY$84*'Statistics NZ'!AY$391/('Population Treasury'!AX$84*'Statistics NZ'!AX$391)</f>
        <v>18021.743022819777</v>
      </c>
      <c r="AO62" s="111">
        <f>AN$62*'Population Treasury'!AZ$84*'Statistics NZ'!AZ$391/('Population Treasury'!AY$84*'Statistics NZ'!AY$391)</f>
        <v>18193.969670006518</v>
      </c>
      <c r="AP62" s="111">
        <f>AO$62*'Population Treasury'!BA$84*'Statistics NZ'!BA$391/('Population Treasury'!AZ$84*'Statistics NZ'!AZ$391)</f>
        <v>18958.172970477797</v>
      </c>
      <c r="AQ62" s="111">
        <f>AP$62*'Population Treasury'!BB$84*'Statistics NZ'!BB$391/('Population Treasury'!BA$84*'Statistics NZ'!BA$391)</f>
        <v>19239.028556066103</v>
      </c>
      <c r="AR62" s="111">
        <f>AQ$62*'Population Treasury'!BC$84*'Statistics NZ'!BC$391/('Population Treasury'!BB$84*'Statistics NZ'!BB$391)</f>
        <v>19086.249746826805</v>
      </c>
      <c r="AS62" s="111">
        <f>AR$62*'Population Treasury'!BD$84*'Statistics NZ'!BD$391/('Population Treasury'!BC$84*'Statistics NZ'!BC$391)</f>
        <v>18777.76666359539</v>
      </c>
      <c r="AT62" s="111">
        <f>AS$62*'Population Treasury'!BE$84*'Statistics NZ'!BE$391/('Population Treasury'!BD$84*'Statistics NZ'!BD$391)</f>
        <v>18258.105229944613</v>
      </c>
      <c r="AU62" s="111">
        <f>AT$62*'Population Treasury'!BF$84*'Statistics NZ'!BF$391/('Population Treasury'!BE$84*'Statistics NZ'!BE$391)</f>
        <v>18165.168487471776</v>
      </c>
      <c r="AV62" s="111">
        <f>AU$62*'Population Treasury'!BG$84*'Statistics NZ'!BG$391/('Population Treasury'!BF$84*'Statistics NZ'!BF$391)</f>
        <v>18013.200214222943</v>
      </c>
      <c r="AW62" s="111">
        <f>AV$62*'Population Treasury'!BH$84*'Statistics NZ'!BH$391/('Population Treasury'!BG$84*'Statistics NZ'!BG$391)</f>
        <v>17853.117833942437</v>
      </c>
      <c r="AX62" s="111">
        <f>AW$62*'Population Treasury'!BI$84*'Statistics NZ'!BI$391/('Population Treasury'!BH$84*'Statistics NZ'!BH$391)</f>
        <v>17843.601084712685</v>
      </c>
      <c r="AY62" s="111">
        <f>AX$62*'Population Treasury'!BJ$84*'Statistics NZ'!BJ$391/('Population Treasury'!BI$84*'Statistics NZ'!BI$391)</f>
        <v>17604.581009974951</v>
      </c>
      <c r="AZ62" s="111">
        <f>AY$62*'Population Treasury'!BK$84*'Statistics NZ'!BK$391/('Population Treasury'!BJ$84*'Statistics NZ'!BJ$391)</f>
        <v>17953.056785831708</v>
      </c>
      <c r="BA62" s="111">
        <f>AZ$62*'Population Treasury'!BL$84*'Statistics NZ'!BL$391/('Population Treasury'!BK$84*'Statistics NZ'!BK$391)</f>
        <v>17802.1801025813</v>
      </c>
      <c r="BB62" s="195">
        <f>BA$62*'Population Treasury'!BM$84*'Statistics NZ'!BM$391/('Population Treasury'!BL$84*'Statistics NZ'!BL$391)</f>
        <v>17392.764502067595</v>
      </c>
      <c r="BC62" s="195">
        <f>BB$62*'Population Treasury'!BN$84*'Statistics NZ'!BN$391/('Population Treasury'!BM$84*'Statistics NZ'!BM$391)</f>
        <v>17252.552359248475</v>
      </c>
      <c r="BD62" s="195">
        <f>BC$62*'Population Treasury'!BO$84*'Statistics NZ'!BO$391/('Population Treasury'!BN$84*'Statistics NZ'!BN$391)</f>
        <v>17623.687688914099</v>
      </c>
      <c r="BE62" s="195">
        <f>BD$62*'Population Treasury'!BP$84*'Statistics NZ'!BP$391/('Population Treasury'!BO$84*'Statistics NZ'!BO$391)</f>
        <v>17707.684318435564</v>
      </c>
      <c r="BF62" s="195">
        <f>BE$62*'Population Treasury'!BQ$84*'Statistics NZ'!BQ$391/('Population Treasury'!BP$84*'Statistics NZ'!BP$391)</f>
        <v>18078.405345275169</v>
      </c>
    </row>
    <row r="63" spans="1:58">
      <c r="A63" s="124">
        <v>68</v>
      </c>
      <c r="B63" s="118">
        <f>'Population Treasury'!M$85*'Statistics NZ'!M$392*'Economic Forecasts'!O$8/B$7</f>
        <v>7201.2470459287397</v>
      </c>
      <c r="C63" s="118">
        <f>'Population Treasury'!N$85*'Statistics NZ'!N$392*'Economic Forecasts'!P$8/C$7</f>
        <v>7607.881416775761</v>
      </c>
      <c r="D63" s="118">
        <f>'Population Treasury'!O$85*'Statistics NZ'!O$392*'Economic Forecasts'!Q$8/D$7</f>
        <v>7625.1642800627933</v>
      </c>
      <c r="E63" s="203">
        <f>'Population Treasury'!P$85*'Statistics NZ'!P$392*'Economic Forecasts'!R$8/E$7</f>
        <v>8011.4673212509006</v>
      </c>
      <c r="F63" s="121">
        <f>'Population Treasury'!Q$85*'Statistics NZ'!Q$392*'Economic Forecasts'!S$8/F$7</f>
        <v>8359.9236780640476</v>
      </c>
      <c r="G63" s="121">
        <f>'Population Treasury'!R$85*'Statistics NZ'!R$392*'Economic Forecasts'!T$8/G$7</f>
        <v>8853.8721430276019</v>
      </c>
      <c r="H63" s="121">
        <f>'Population Treasury'!S$85*'Statistics NZ'!S$392*'Economic Forecasts'!U$8/H$7</f>
        <v>9313.980885016621</v>
      </c>
      <c r="I63" s="121">
        <f>'Population Treasury'!T$85*'Statistics NZ'!T$392*'Economic Forecasts'!V$8/I$7</f>
        <v>9708.5421979156017</v>
      </c>
      <c r="J63" s="205">
        <f>'Population Treasury'!U$85*'Statistics NZ'!U$392*'Economic Forecasts'!W$8/J$7</f>
        <v>10094.857998016791</v>
      </c>
      <c r="K63" s="111">
        <f>J$63*'Population Treasury'!V$85*'Statistics NZ'!V$392/('Population Treasury'!U$85*'Statistics NZ'!U$392)</f>
        <v>10535.783479799973</v>
      </c>
      <c r="L63" s="111">
        <f>K$63*'Population Treasury'!W$85*'Statistics NZ'!W$392/('Population Treasury'!V$85*'Statistics NZ'!V$392)</f>
        <v>11032.340721877328</v>
      </c>
      <c r="M63" s="111">
        <f>L$63*'Population Treasury'!X$85*'Statistics NZ'!X$392/('Population Treasury'!W$85*'Statistics NZ'!W$392)</f>
        <v>11340.196429958232</v>
      </c>
      <c r="N63" s="111">
        <f>M$63*'Population Treasury'!Y$85*'Statistics NZ'!Y$392/('Population Treasury'!X$85*'Statistics NZ'!X$392)</f>
        <v>11960.59500908189</v>
      </c>
      <c r="O63" s="111">
        <f>N$63*'Population Treasury'!Z$85*'Statistics NZ'!Z$392/('Population Treasury'!Y$85*'Statistics NZ'!Y$392)</f>
        <v>12350.984958590108</v>
      </c>
      <c r="P63" s="111">
        <f>O$63*'Population Treasury'!AA$85*'Statistics NZ'!AA$392/('Population Treasury'!Z$85*'Statistics NZ'!Z$392)</f>
        <v>12651.276277810583</v>
      </c>
      <c r="Q63" s="111">
        <f>P$63*'Population Treasury'!AB$85*'Statistics NZ'!AB$392/('Population Treasury'!AA$85*'Statistics NZ'!AA$392)</f>
        <v>12468.661013834821</v>
      </c>
      <c r="R63" s="111">
        <f>Q$63*'Population Treasury'!AC$85*'Statistics NZ'!AC$392/('Population Treasury'!AB$85*'Statistics NZ'!AB$392)</f>
        <v>12228.324203768794</v>
      </c>
      <c r="S63" s="111">
        <f>R$63*'Population Treasury'!AD$85*'Statistics NZ'!AD$392/('Population Treasury'!AC$85*'Statistics NZ'!AC$392)</f>
        <v>12102.531949833408</v>
      </c>
      <c r="T63" s="111">
        <f>S$63*'Population Treasury'!AE$85*'Statistics NZ'!AE$392/('Population Treasury'!AD$85*'Statistics NZ'!AD$392)</f>
        <v>12343.306456840355</v>
      </c>
      <c r="U63" s="111">
        <f>T$63*'Population Treasury'!AF$85*'Statistics NZ'!AF$392/('Population Treasury'!AE$85*'Statistics NZ'!AE$392)</f>
        <v>12669.18755413586</v>
      </c>
      <c r="V63" s="111">
        <f>U$63*'Population Treasury'!AG$85*'Statistics NZ'!AG$392/('Population Treasury'!AF$85*'Statistics NZ'!AF$392)</f>
        <v>12954.120970544576</v>
      </c>
      <c r="W63" s="111">
        <f>V$63*'Population Treasury'!AH$85*'Statistics NZ'!AH$392/('Population Treasury'!AG$85*'Statistics NZ'!AG$392)</f>
        <v>12928.549034165206</v>
      </c>
      <c r="X63" s="111">
        <f>W$63*'Population Treasury'!AI$85*'Statistics NZ'!AI$392/('Population Treasury'!AH$85*'Statistics NZ'!AH$392)</f>
        <v>13509.935303813556</v>
      </c>
      <c r="Y63" s="111">
        <f>X$63*'Population Treasury'!AJ$85*'Statistics NZ'!AJ$392/('Population Treasury'!AI$85*'Statistics NZ'!AI$392)</f>
        <v>13393.153449591517</v>
      </c>
      <c r="Z63" s="111">
        <f>Y$63*'Population Treasury'!AK$85*'Statistics NZ'!AK$392/('Population Treasury'!AJ$85*'Statistics NZ'!AJ$392)</f>
        <v>12965.948861157</v>
      </c>
      <c r="AA63" s="111">
        <f>Z$63*'Population Treasury'!AL$85*'Statistics NZ'!AL$392/('Population Treasury'!AK$85*'Statistics NZ'!AK$392)</f>
        <v>12711.900541528619</v>
      </c>
      <c r="AB63" s="111">
        <f>AA$63*'Population Treasury'!AM$85*'Statistics NZ'!AM$392/('Population Treasury'!AL$85*'Statistics NZ'!AL$392)</f>
        <v>12260.693516187235</v>
      </c>
      <c r="AC63" s="111">
        <f>AB$63*'Population Treasury'!AN$85*'Statistics NZ'!AN$392/('Population Treasury'!AM$85*'Statistics NZ'!AM$392)</f>
        <v>11783.574642216041</v>
      </c>
      <c r="AD63" s="111">
        <f>AC$63*'Population Treasury'!AO$85*'Statistics NZ'!AO$392/('Population Treasury'!AN$85*'Statistics NZ'!AN$392)</f>
        <v>11885.362083387907</v>
      </c>
      <c r="AE63" s="111">
        <f>AD$63*'Population Treasury'!AP$85*'Statistics NZ'!AP$392/('Population Treasury'!AO$85*'Statistics NZ'!AO$392)</f>
        <v>11883.505357422875</v>
      </c>
      <c r="AF63" s="111">
        <f>AE$63*'Population Treasury'!AQ$85*'Statistics NZ'!AQ$392/('Population Treasury'!AP$85*'Statistics NZ'!AP$392)</f>
        <v>12273.0308785735</v>
      </c>
      <c r="AG63" s="111">
        <f>AF$63*'Population Treasury'!AR$85*'Statistics NZ'!AR$392/('Population Treasury'!AQ$85*'Statistics NZ'!AQ$392)</f>
        <v>12454.102551863085</v>
      </c>
      <c r="AH63" s="111">
        <f>AG$63*'Population Treasury'!AS$85*'Statistics NZ'!AS$392/('Population Treasury'!AR$85*'Statistics NZ'!AR$392)</f>
        <v>12630.304677604119</v>
      </c>
      <c r="AI63" s="111">
        <f>AH$63*'Population Treasury'!AT$85*'Statistics NZ'!AT$392/('Population Treasury'!AS$85*'Statistics NZ'!AS$392)</f>
        <v>13066.264165172721</v>
      </c>
      <c r="AJ63" s="111">
        <f>AI$63*'Population Treasury'!AU$85*'Statistics NZ'!AU$392/('Population Treasury'!AT$85*'Statistics NZ'!AT$392)</f>
        <v>13389.070777300729</v>
      </c>
      <c r="AK63" s="111">
        <f>AJ$63*'Population Treasury'!AV$85*'Statistics NZ'!AV$392/('Population Treasury'!AU$85*'Statistics NZ'!AU$392)</f>
        <v>13704.490746203181</v>
      </c>
      <c r="AL63" s="111">
        <f>AK$63*'Population Treasury'!AW$85*'Statistics NZ'!AW$392/('Population Treasury'!AV$85*'Statistics NZ'!AV$392)</f>
        <v>14025.506349249685</v>
      </c>
      <c r="AM63" s="111">
        <f>AL$63*'Population Treasury'!AX$85*'Statistics NZ'!AX$392/('Population Treasury'!AW$85*'Statistics NZ'!AW$392)</f>
        <v>14282.834706881198</v>
      </c>
      <c r="AN63" s="111">
        <f>AM$63*'Population Treasury'!AY$85*'Statistics NZ'!AY$392/('Population Treasury'!AX$85*'Statistics NZ'!AX$392)</f>
        <v>14630.259578316056</v>
      </c>
      <c r="AO63" s="111">
        <f>AN$63*'Population Treasury'!AZ$85*'Statistics NZ'!AZ$392/('Population Treasury'!AY$85*'Statistics NZ'!AY$392)</f>
        <v>15601.039623030492</v>
      </c>
      <c r="AP63" s="111">
        <f>AO$63*'Population Treasury'!BA$85*'Statistics NZ'!BA$392/('Population Treasury'!AZ$85*'Statistics NZ'!AZ$392)</f>
        <v>15758.903452859582</v>
      </c>
      <c r="AQ63" s="111">
        <f>AP$63*'Population Treasury'!BB$85*'Statistics NZ'!BB$392/('Population Treasury'!BA$85*'Statistics NZ'!BA$392)</f>
        <v>16424.752933719999</v>
      </c>
      <c r="AR63" s="111">
        <f>AQ$63*'Population Treasury'!BC$85*'Statistics NZ'!BC$392/('Population Treasury'!BB$85*'Statistics NZ'!BB$392)</f>
        <v>16667.994117005681</v>
      </c>
      <c r="AS63" s="111">
        <f>AR$63*'Population Treasury'!BD$85*'Statistics NZ'!BD$392/('Population Treasury'!BC$85*'Statistics NZ'!BC$392)</f>
        <v>16532.261835844463</v>
      </c>
      <c r="AT63" s="111">
        <f>AS$63*'Population Treasury'!BE$85*'Statistics NZ'!BE$392/('Population Treasury'!BD$85*'Statistics NZ'!BD$392)</f>
        <v>16271.613426604443</v>
      </c>
      <c r="AU63" s="111">
        <f>AT$63*'Population Treasury'!BF$85*'Statistics NZ'!BF$392/('Population Treasury'!BE$85*'Statistics NZ'!BE$392)</f>
        <v>15808.109368796837</v>
      </c>
      <c r="AV63" s="111">
        <f>AU$63*'Population Treasury'!BG$85*'Statistics NZ'!BG$392/('Population Treasury'!BF$85*'Statistics NZ'!BF$392)</f>
        <v>15735.246420012161</v>
      </c>
      <c r="AW63" s="111">
        <f>AV$63*'Population Treasury'!BH$85*'Statistics NZ'!BH$392/('Population Treasury'!BG$85*'Statistics NZ'!BG$392)</f>
        <v>15598.920880584377</v>
      </c>
      <c r="AX63" s="111">
        <f>AW$63*'Population Treasury'!BI$85*'Statistics NZ'!BI$392/('Population Treasury'!BH$85*'Statistics NZ'!BH$392)</f>
        <v>15475.703665353209</v>
      </c>
      <c r="AY63" s="111">
        <f>AX$63*'Population Treasury'!BJ$85*'Statistics NZ'!BJ$392/('Population Treasury'!BI$85*'Statistics NZ'!BI$392)</f>
        <v>15470.490235800811</v>
      </c>
      <c r="AZ63" s="111">
        <f>AY$63*'Population Treasury'!BK$85*'Statistics NZ'!BK$392/('Population Treasury'!BJ$85*'Statistics NZ'!BJ$392)</f>
        <v>15257.713461494979</v>
      </c>
      <c r="BA63" s="111">
        <f>AZ$63*'Population Treasury'!BL$85*'Statistics NZ'!BL$392/('Population Treasury'!BK$85*'Statistics NZ'!BK$392)</f>
        <v>15566.466849796603</v>
      </c>
      <c r="BB63" s="195">
        <f>BA$63*'Population Treasury'!BM$85*'Statistics NZ'!BM$392/('Population Treasury'!BL$85*'Statistics NZ'!BL$392)</f>
        <v>15433.061462823203</v>
      </c>
      <c r="BC63" s="195">
        <f>BB$63*'Population Treasury'!BN$85*'Statistics NZ'!BN$392/('Population Treasury'!BM$85*'Statistics NZ'!BM$392)</f>
        <v>15081.238697457402</v>
      </c>
      <c r="BD63" s="195">
        <f>BC$63*'Population Treasury'!BO$85*'Statistics NZ'!BO$392/('Population Treasury'!BN$85*'Statistics NZ'!BN$392)</f>
        <v>14953.863821352801</v>
      </c>
      <c r="BE63" s="195">
        <f>BD$63*'Population Treasury'!BP$85*'Statistics NZ'!BP$392/('Population Treasury'!BO$85*'Statistics NZ'!BO$392)</f>
        <v>15279.351683464407</v>
      </c>
      <c r="BF63" s="195">
        <f>BE$63*'Population Treasury'!BQ$85*'Statistics NZ'!BQ$392/('Population Treasury'!BP$85*'Statistics NZ'!BP$392)</f>
        <v>15346.144819125449</v>
      </c>
    </row>
    <row r="64" spans="1:58">
      <c r="A64" s="124">
        <v>69</v>
      </c>
      <c r="B64" s="118">
        <f>'Population Treasury'!M$86*'Statistics NZ'!M$393*'Economic Forecasts'!O$8/B$7</f>
        <v>6179.4464754072251</v>
      </c>
      <c r="C64" s="118">
        <f>'Population Treasury'!N$86*'Statistics NZ'!N$393*'Economic Forecasts'!P$8/C$7</f>
        <v>6225.2409680747824</v>
      </c>
      <c r="D64" s="118">
        <f>'Population Treasury'!O$86*'Statistics NZ'!O$393*'Economic Forecasts'!Q$8/D$7</f>
        <v>6480.0472353429186</v>
      </c>
      <c r="E64" s="203">
        <f>'Population Treasury'!P$86*'Statistics NZ'!P$393*'Economic Forecasts'!R$8/E$7</f>
        <v>6562.8585794089495</v>
      </c>
      <c r="F64" s="121">
        <f>'Population Treasury'!Q$86*'Statistics NZ'!Q$393*'Economic Forecasts'!S$8/F$7</f>
        <v>6912.5628959587775</v>
      </c>
      <c r="G64" s="121">
        <f>'Population Treasury'!R$86*'Statistics NZ'!R$393*'Economic Forecasts'!T$8/G$7</f>
        <v>7245.2157151669271</v>
      </c>
      <c r="H64" s="121">
        <f>'Population Treasury'!S$86*'Statistics NZ'!S$393*'Economic Forecasts'!U$8/H$7</f>
        <v>7640.6040857638864</v>
      </c>
      <c r="I64" s="121">
        <f>'Population Treasury'!T$86*'Statistics NZ'!T$393*'Economic Forecasts'!V$8/I$7</f>
        <v>8039.0602401884207</v>
      </c>
      <c r="J64" s="205">
        <f>'Population Treasury'!U$86*'Statistics NZ'!U$393*'Economic Forecasts'!W$8/J$7</f>
        <v>8371.9581270821236</v>
      </c>
      <c r="K64" s="111">
        <f>J$64*'Population Treasury'!V$86*'Statistics NZ'!V$393/('Population Treasury'!U$86*'Statistics NZ'!U$393)</f>
        <v>8666.9789555094794</v>
      </c>
      <c r="L64" s="111">
        <f>K$64*'Population Treasury'!W$86*'Statistics NZ'!W$393/('Population Treasury'!V$86*'Statistics NZ'!V$393)</f>
        <v>9046.6799209465662</v>
      </c>
      <c r="M64" s="111">
        <f>L$64*'Population Treasury'!X$86*'Statistics NZ'!X$393/('Population Treasury'!W$86*'Statistics NZ'!W$393)</f>
        <v>9469.5512659274391</v>
      </c>
      <c r="N64" s="111">
        <f>M$64*'Population Treasury'!Y$86*'Statistics NZ'!Y$393/('Population Treasury'!X$86*'Statistics NZ'!X$393)</f>
        <v>9731.2915203616849</v>
      </c>
      <c r="O64" s="111">
        <f>N$64*'Population Treasury'!Z$86*'Statistics NZ'!Z$393/('Population Treasury'!Y$86*'Statistics NZ'!Y$393)</f>
        <v>10256.34361323504</v>
      </c>
      <c r="P64" s="111">
        <f>O$64*'Population Treasury'!AA$86*'Statistics NZ'!AA$393/('Population Treasury'!Z$86*'Statistics NZ'!Z$393)</f>
        <v>10590.239411281869</v>
      </c>
      <c r="Q64" s="111">
        <f>P$64*'Population Treasury'!AB$86*'Statistics NZ'!AB$393/('Population Treasury'!AA$86*'Statistics NZ'!AA$393)</f>
        <v>10842.748504644373</v>
      </c>
      <c r="R64" s="111">
        <f>Q$64*'Population Treasury'!AC$86*'Statistics NZ'!AC$393/('Population Treasury'!AB$86*'Statistics NZ'!AB$393)</f>
        <v>10683.676945538773</v>
      </c>
      <c r="S64" s="111">
        <f>R$64*'Population Treasury'!AD$86*'Statistics NZ'!AD$393/('Population Treasury'!AC$86*'Statistics NZ'!AC$393)</f>
        <v>10466.281739774086</v>
      </c>
      <c r="T64" s="111">
        <f>S$64*'Population Treasury'!AE$86*'Statistics NZ'!AE$393/('Population Treasury'!AD$86*'Statistics NZ'!AD$393)</f>
        <v>10361.306138941181</v>
      </c>
      <c r="U64" s="111">
        <f>T$64*'Population Treasury'!AF$86*'Statistics NZ'!AF$393/('Population Treasury'!AE$86*'Statistics NZ'!AE$393)</f>
        <v>10567.473399172653</v>
      </c>
      <c r="V64" s="111">
        <f>U$64*'Population Treasury'!AG$86*'Statistics NZ'!AG$393/('Population Treasury'!AF$86*'Statistics NZ'!AF$393)</f>
        <v>10846.90320858312</v>
      </c>
      <c r="W64" s="111">
        <f>V$64*'Population Treasury'!AH$86*'Statistics NZ'!AH$393/('Population Treasury'!AG$86*'Statistics NZ'!AG$393)</f>
        <v>11089.577762556577</v>
      </c>
      <c r="X64" s="111">
        <f>W$64*'Population Treasury'!AI$86*'Statistics NZ'!AI$393/('Population Treasury'!AH$86*'Statistics NZ'!AH$393)</f>
        <v>11067.74626242078</v>
      </c>
      <c r="Y64" s="111">
        <f>X$64*'Population Treasury'!AJ$86*'Statistics NZ'!AJ$393/('Population Treasury'!AI$86*'Statistics NZ'!AI$393)</f>
        <v>11572.153920498595</v>
      </c>
      <c r="Z64" s="111">
        <f>Y$64*'Population Treasury'!AK$86*'Statistics NZ'!AK$393/('Population Treasury'!AJ$86*'Statistics NZ'!AJ$393)</f>
        <v>11456.770150580383</v>
      </c>
      <c r="AA64" s="111">
        <f>Z$64*'Population Treasury'!AL$86*'Statistics NZ'!AL$393/('Population Treasury'!AK$86*'Statistics NZ'!AK$393)</f>
        <v>11085.77226118016</v>
      </c>
      <c r="AB64" s="111">
        <f>AA$64*'Population Treasury'!AM$86*'Statistics NZ'!AM$393/('Population Treasury'!AL$86*'Statistics NZ'!AL$393)</f>
        <v>10877.245557077298</v>
      </c>
      <c r="AC64" s="111">
        <f>AB$64*'Population Treasury'!AN$86*'Statistics NZ'!AN$393/('Population Treasury'!AM$86*'Statistics NZ'!AM$393)</f>
        <v>10498.371227148897</v>
      </c>
      <c r="AD64" s="111">
        <f>AC$64*'Population Treasury'!AO$86*'Statistics NZ'!AO$393/('Population Treasury'!AN$86*'Statistics NZ'!AN$393)</f>
        <v>10090.9118829859</v>
      </c>
      <c r="AE64" s="111">
        <f>AD$64*'Population Treasury'!AP$86*'Statistics NZ'!AP$393/('Population Treasury'!AO$86*'Statistics NZ'!AO$393)</f>
        <v>10170.539605795353</v>
      </c>
      <c r="AF64" s="111">
        <f>AE$64*'Population Treasury'!AQ$86*'Statistics NZ'!AQ$393/('Population Treasury'!AP$86*'Statistics NZ'!AP$393)</f>
        <v>10170.203356440245</v>
      </c>
      <c r="AG64" s="111">
        <f>AF$64*'Population Treasury'!AR$86*'Statistics NZ'!AR$393/('Population Treasury'!AQ$86*'Statistics NZ'!AQ$393)</f>
        <v>10502.446828694554</v>
      </c>
      <c r="AH64" s="111">
        <f>AG$64*'Population Treasury'!AS$86*'Statistics NZ'!AS$393/('Population Treasury'!AR$86*'Statistics NZ'!AR$393)</f>
        <v>10657.815856782086</v>
      </c>
      <c r="AI64" s="111">
        <f>AH$64*'Population Treasury'!AT$86*'Statistics NZ'!AT$393/('Population Treasury'!AS$86*'Statistics NZ'!AS$393)</f>
        <v>10795.985836590067</v>
      </c>
      <c r="AJ64" s="111">
        <f>AI$64*'Population Treasury'!AU$86*'Statistics NZ'!AU$393/('Population Treasury'!AT$86*'Statistics NZ'!AT$393)</f>
        <v>11172.781897653998</v>
      </c>
      <c r="AK64" s="111">
        <f>AJ$64*'Population Treasury'!AV$86*'Statistics NZ'!AV$393/('Population Treasury'!AU$86*'Statistics NZ'!AU$393)</f>
        <v>11453.086246197079</v>
      </c>
      <c r="AL64" s="111">
        <f>AK$64*'Population Treasury'!AW$86*'Statistics NZ'!AW$393/('Population Treasury'!AV$86*'Statistics NZ'!AV$393)</f>
        <v>11718.815436102908</v>
      </c>
      <c r="AM64" s="111">
        <f>AL$64*'Population Treasury'!AX$86*'Statistics NZ'!AX$393/('Population Treasury'!AW$86*'Statistics NZ'!AW$393)</f>
        <v>12002.997717450717</v>
      </c>
      <c r="AN64" s="111">
        <f>AM$64*'Population Treasury'!AY$86*'Statistics NZ'!AY$393/('Population Treasury'!AX$86*'Statistics NZ'!AX$393)</f>
        <v>12220.680115959358</v>
      </c>
      <c r="AO64" s="111">
        <f>AN$64*'Population Treasury'!AZ$86*'Statistics NZ'!AZ$393/('Population Treasury'!AY$86*'Statistics NZ'!AY$393)</f>
        <v>12514.76999875681</v>
      </c>
      <c r="AP64" s="111">
        <f>AO$64*'Population Treasury'!BA$86*'Statistics NZ'!BA$393/('Population Treasury'!AZ$86*'Statistics NZ'!AZ$393)</f>
        <v>13350.594200858161</v>
      </c>
      <c r="AQ64" s="111">
        <f>AP$64*'Population Treasury'!BB$86*'Statistics NZ'!BB$393/('Population Treasury'!BA$86*'Statistics NZ'!BA$393)</f>
        <v>13475.616215306643</v>
      </c>
      <c r="AR64" s="111">
        <f>AQ$64*'Population Treasury'!BC$86*'Statistics NZ'!BC$393/('Population Treasury'!BB$86*'Statistics NZ'!BB$393)</f>
        <v>14049.692105647426</v>
      </c>
      <c r="AS64" s="111">
        <f>AR$64*'Population Treasury'!BD$86*'Statistics NZ'!BD$393/('Population Treasury'!BC$86*'Statistics NZ'!BC$393)</f>
        <v>14257.998725938047</v>
      </c>
      <c r="AT64" s="111">
        <f>AS$64*'Population Treasury'!BE$86*'Statistics NZ'!BE$393/('Population Treasury'!BD$86*'Statistics NZ'!BD$393)</f>
        <v>14140.203846161179</v>
      </c>
      <c r="AU64" s="111">
        <f>AT$64*'Population Treasury'!BF$86*'Statistics NZ'!BF$393/('Population Treasury'!BE$86*'Statistics NZ'!BE$393)</f>
        <v>13923.085203326824</v>
      </c>
      <c r="AV64" s="111">
        <f>AU$64*'Population Treasury'!BG$86*'Statistics NZ'!BG$393/('Population Treasury'!BF$86*'Statistics NZ'!BF$393)</f>
        <v>13536.097016129814</v>
      </c>
      <c r="AW64" s="111">
        <f>AV$64*'Population Treasury'!BH$86*'Statistics NZ'!BH$393/('Population Treasury'!BG$86*'Statistics NZ'!BG$393)</f>
        <v>13466.817693917721</v>
      </c>
      <c r="AX64" s="111">
        <f>AW$64*'Population Treasury'!BI$86*'Statistics NZ'!BI$393/('Population Treasury'!BH$86*'Statistics NZ'!BH$393)</f>
        <v>13355.65974300752</v>
      </c>
      <c r="AY64" s="111">
        <f>AX$64*'Population Treasury'!BJ$86*'Statistics NZ'!BJ$393/('Population Treasury'!BI$86*'Statistics NZ'!BI$393)</f>
        <v>13237.960478596231</v>
      </c>
      <c r="AZ64" s="111">
        <f>AY$64*'Population Treasury'!BK$86*'Statistics NZ'!BK$393/('Population Treasury'!BJ$86*'Statistics NZ'!BJ$393)</f>
        <v>13243.909022937642</v>
      </c>
      <c r="BA64" s="111">
        <f>AZ$64*'Population Treasury'!BL$86*'Statistics NZ'!BL$393/('Population Treasury'!BK$86*'Statistics NZ'!BK$393)</f>
        <v>13060.140241127947</v>
      </c>
      <c r="BB64" s="195">
        <f>BA$64*'Population Treasury'!BM$86*'Statistics NZ'!BM$393/('Population Treasury'!BL$86*'Statistics NZ'!BL$393)</f>
        <v>13329.578036621386</v>
      </c>
      <c r="BC64" s="195">
        <f>BB$64*'Population Treasury'!BN$86*'Statistics NZ'!BN$393/('Population Treasury'!BM$86*'Statistics NZ'!BM$393)</f>
        <v>13218.846915721855</v>
      </c>
      <c r="BD64" s="195">
        <f>BC$64*'Population Treasury'!BO$86*'Statistics NZ'!BO$393/('Population Treasury'!BN$86*'Statistics NZ'!BN$393)</f>
        <v>12914.246952410171</v>
      </c>
      <c r="BE64" s="195">
        <f>BD$64*'Population Treasury'!BP$86*'Statistics NZ'!BP$393/('Population Treasury'!BO$86*'Statistics NZ'!BO$393)</f>
        <v>12806.721494067488</v>
      </c>
      <c r="BF64" s="195">
        <f>BE$64*'Population Treasury'!BQ$86*'Statistics NZ'!BQ$393/('Population Treasury'!BP$86*'Statistics NZ'!BP$393)</f>
        <v>13090.201279381785</v>
      </c>
    </row>
    <row r="65" spans="1:58">
      <c r="A65" s="124">
        <v>70</v>
      </c>
      <c r="B65" s="118">
        <f>'Population Treasury'!M$87*'Statistics NZ'!M$394*'Economic Forecasts'!O$8/B$7</f>
        <v>5119.761216237569</v>
      </c>
      <c r="C65" s="118">
        <f>'Population Treasury'!N$87*'Statistics NZ'!N$394*'Economic Forecasts'!P$8/C$7</f>
        <v>5290.1668971530107</v>
      </c>
      <c r="D65" s="118">
        <f>'Population Treasury'!O$87*'Statistics NZ'!O$394*'Economic Forecasts'!Q$8/D$7</f>
        <v>5220.2943969911221</v>
      </c>
      <c r="E65" s="203">
        <f>'Population Treasury'!P$87*'Statistics NZ'!P$394*'Economic Forecasts'!R$8/E$7</f>
        <v>5472.7772033856454</v>
      </c>
      <c r="F65" s="121">
        <f>'Population Treasury'!Q$87*'Statistics NZ'!Q$394*'Economic Forecasts'!S$8/F$7</f>
        <v>5556.2959364618619</v>
      </c>
      <c r="G65" s="121">
        <f>'Population Treasury'!R$87*'Statistics NZ'!R$394*'Economic Forecasts'!T$8/G$7</f>
        <v>5870.1724072159732</v>
      </c>
      <c r="H65" s="121">
        <f>'Population Treasury'!S$87*'Statistics NZ'!S$394*'Economic Forecasts'!U$8/H$7</f>
        <v>6123.7536697343812</v>
      </c>
      <c r="I65" s="121">
        <f>'Population Treasury'!T$87*'Statistics NZ'!T$394*'Economic Forecasts'!V$8/I$7</f>
        <v>6443.9787132637457</v>
      </c>
      <c r="J65" s="205">
        <f>'Population Treasury'!U$87*'Statistics NZ'!U$394*'Economic Forecasts'!W$8/J$7</f>
        <v>6765.4624512927503</v>
      </c>
      <c r="K65" s="111">
        <f>J$65*'Population Treasury'!V$87*'Statistics NZ'!V$394/('Population Treasury'!U$87*'Statistics NZ'!U$394)</f>
        <v>7008.3015136112781</v>
      </c>
      <c r="L65" s="111">
        <f>K$65*'Population Treasury'!W$87*'Statistics NZ'!W$394/('Population Treasury'!V$87*'Statistics NZ'!V$394)</f>
        <v>7245.0582488850723</v>
      </c>
      <c r="M65" s="111">
        <f>L$65*'Population Treasury'!X$87*'Statistics NZ'!X$394/('Population Treasury'!W$87*'Statistics NZ'!W$394)</f>
        <v>7551.9113844488211</v>
      </c>
      <c r="N65" s="111">
        <f>M$65*'Population Treasury'!Y$87*'Statistics NZ'!Y$394/('Population Treasury'!X$87*'Statistics NZ'!X$394)</f>
        <v>7888.8484129661219</v>
      </c>
      <c r="O65" s="111">
        <f>N$65*'Population Treasury'!Z$87*'Statistics NZ'!Z$394/('Population Treasury'!Y$87*'Statistics NZ'!Y$394)</f>
        <v>8102.921056443869</v>
      </c>
      <c r="P65" s="111">
        <f>O$65*'Population Treasury'!AA$87*'Statistics NZ'!AA$394/('Population Treasury'!Z$87*'Statistics NZ'!Z$394)</f>
        <v>8531.504994468276</v>
      </c>
      <c r="Q65" s="111">
        <f>P$65*'Population Treasury'!AB$87*'Statistics NZ'!AB$394/('Population Treasury'!AA$87*'Statistics NZ'!AA$394)</f>
        <v>8801.4776982856256</v>
      </c>
      <c r="R65" s="111">
        <f>Q$65*'Population Treasury'!AC$87*'Statistics NZ'!AC$394/('Population Treasury'!AB$87*'Statistics NZ'!AB$394)</f>
        <v>9005.8251374125357</v>
      </c>
      <c r="S65" s="111">
        <f>R$65*'Population Treasury'!AD$87*'Statistics NZ'!AD$394/('Population Treasury'!AC$87*'Statistics NZ'!AC$394)</f>
        <v>8860.0326630243944</v>
      </c>
      <c r="T65" s="111">
        <f>S$65*'Population Treasury'!AE$87*'Statistics NZ'!AE$394/('Population Treasury'!AD$87*'Statistics NZ'!AD$394)</f>
        <v>8677.9144846637555</v>
      </c>
      <c r="U65" s="111">
        <f>T$65*'Population Treasury'!AF$87*'Statistics NZ'!AF$394/('Population Treasury'!AE$87*'Statistics NZ'!AE$394)</f>
        <v>8592.8013671908884</v>
      </c>
      <c r="V65" s="111">
        <f>U$65*'Population Treasury'!AG$87*'Statistics NZ'!AG$394/('Population Treasury'!AF$87*'Statistics NZ'!AF$394)</f>
        <v>8751.1306841402184</v>
      </c>
      <c r="W65" s="111">
        <f>V$65*'Population Treasury'!AH$87*'Statistics NZ'!AH$394/('Population Treasury'!AG$87*'Statistics NZ'!AG$394)</f>
        <v>8977.019441552171</v>
      </c>
      <c r="X65" s="111">
        <f>W$65*'Population Treasury'!AI$87*'Statistics NZ'!AI$394/('Population Treasury'!AH$87*'Statistics NZ'!AH$394)</f>
        <v>9177.3861897654479</v>
      </c>
      <c r="Y65" s="111">
        <f>X$65*'Population Treasury'!AJ$87*'Statistics NZ'!AJ$394/('Population Treasury'!AI$87*'Statistics NZ'!AI$394)</f>
        <v>9155.5365880176632</v>
      </c>
      <c r="Z65" s="111">
        <f>Y$65*'Population Treasury'!AK$87*'Statistics NZ'!AK$394/('Population Treasury'!AJ$87*'Statistics NZ'!AJ$394)</f>
        <v>9572.3338714169113</v>
      </c>
      <c r="AA65" s="111">
        <f>Z$65*'Population Treasury'!AL$87*'Statistics NZ'!AL$394/('Population Treasury'!AK$87*'Statistics NZ'!AK$394)</f>
        <v>9472.5086643092145</v>
      </c>
      <c r="AB65" s="111">
        <f>AA$65*'Population Treasury'!AM$87*'Statistics NZ'!AM$394/('Population Treasury'!AL$87*'Statistics NZ'!AL$394)</f>
        <v>9168.564480889685</v>
      </c>
      <c r="AC65" s="111">
        <f>AB$65*'Population Treasury'!AN$87*'Statistics NZ'!AN$394/('Population Treasury'!AM$87*'Statistics NZ'!AM$394)</f>
        <v>8991.7834644926243</v>
      </c>
      <c r="AD65" s="111">
        <f>AC$65*'Population Treasury'!AO$87*'Statistics NZ'!AO$394/('Population Treasury'!AN$87*'Statistics NZ'!AN$394)</f>
        <v>8673.4740113712032</v>
      </c>
      <c r="AE65" s="111">
        <f>AD$65*'Population Treasury'!AP$87*'Statistics NZ'!AP$394/('Population Treasury'!AO$87*'Statistics NZ'!AO$394)</f>
        <v>8335.5297197250293</v>
      </c>
      <c r="AF65" s="111">
        <f>AE$65*'Population Treasury'!AQ$87*'Statistics NZ'!AQ$394/('Population Treasury'!AP$87*'Statistics NZ'!AP$394)</f>
        <v>8400.7112230192215</v>
      </c>
      <c r="AG65" s="111">
        <f>AF$65*'Population Treasury'!AR$87*'Statistics NZ'!AR$394/('Population Treasury'!AQ$87*'Statistics NZ'!AQ$394)</f>
        <v>8400.6384120024595</v>
      </c>
      <c r="AH65" s="111">
        <f>AG$65*'Population Treasury'!AS$87*'Statistics NZ'!AS$394/('Population Treasury'!AR$87*'Statistics NZ'!AR$394)</f>
        <v>8675.7948852806585</v>
      </c>
      <c r="AI65" s="111">
        <f>AH$65*'Population Treasury'!AT$87*'Statistics NZ'!AT$394/('Population Treasury'!AS$87*'Statistics NZ'!AS$394)</f>
        <v>8799.2215062002015</v>
      </c>
      <c r="AJ65" s="111">
        <f>AI$65*'Population Treasury'!AU$87*'Statistics NZ'!AU$394/('Population Treasury'!AT$87*'Statistics NZ'!AT$394)</f>
        <v>8917.1924476955101</v>
      </c>
      <c r="AK65" s="111">
        <f>AJ$65*'Population Treasury'!AV$87*'Statistics NZ'!AV$394/('Population Treasury'!AU$87*'Statistics NZ'!AU$394)</f>
        <v>9234.7030245406331</v>
      </c>
      <c r="AL65" s="111">
        <f>AK$65*'Population Treasury'!AW$87*'Statistics NZ'!AW$394/('Population Treasury'!AV$87*'Statistics NZ'!AV$394)</f>
        <v>9454.3886926892083</v>
      </c>
      <c r="AM65" s="111">
        <f>AL$65*'Population Treasury'!AX$87*'Statistics NZ'!AX$394/('Population Treasury'!AW$87*'Statistics NZ'!AW$394)</f>
        <v>9678.3017495585682</v>
      </c>
      <c r="AN65" s="111">
        <f>AM$65*'Population Treasury'!AY$87*'Statistics NZ'!AY$394/('Population Treasury'!AX$87*'Statistics NZ'!AX$394)</f>
        <v>9907.5577427425796</v>
      </c>
      <c r="AO65" s="111">
        <f>AN$65*'Population Treasury'!AZ$87*'Statistics NZ'!AZ$394/('Population Treasury'!AY$87*'Statistics NZ'!AY$394)</f>
        <v>10093.037515266813</v>
      </c>
      <c r="AP65" s="111">
        <f>AO$65*'Population Treasury'!BA$87*'Statistics NZ'!BA$394/('Population Treasury'!AZ$87*'Statistics NZ'!AZ$394)</f>
        <v>10344.1878886945</v>
      </c>
      <c r="AQ65" s="111">
        <f>AP$65*'Population Treasury'!BB$87*'Statistics NZ'!BB$394/('Population Treasury'!BA$87*'Statistics NZ'!BA$394)</f>
        <v>11026.704245969258</v>
      </c>
      <c r="AR65" s="111">
        <f>AQ$65*'Population Treasury'!BC$87*'Statistics NZ'!BC$394/('Population Treasury'!BB$87*'Statistics NZ'!BB$394)</f>
        <v>11138.56766165107</v>
      </c>
      <c r="AS65" s="111">
        <f>AR$65*'Population Treasury'!BD$87*'Statistics NZ'!BD$394/('Population Treasury'!BC$87*'Statistics NZ'!BC$394)</f>
        <v>11603.817922994604</v>
      </c>
      <c r="AT65" s="111">
        <f>AS$65*'Population Treasury'!BE$87*'Statistics NZ'!BE$394/('Population Treasury'!BD$87*'Statistics NZ'!BD$394)</f>
        <v>11781.172694728328</v>
      </c>
      <c r="AU65" s="111">
        <f>AT$65*'Population Treasury'!BF$87*'Statistics NZ'!BF$394/('Population Treasury'!BE$87*'Statistics NZ'!BE$394)</f>
        <v>11691.479918819246</v>
      </c>
      <c r="AV65" s="111">
        <f>AU$65*'Population Treasury'!BG$87*'Statistics NZ'!BG$394/('Population Treasury'!BF$87*'Statistics NZ'!BF$394)</f>
        <v>11504.09638996996</v>
      </c>
      <c r="AW65" s="111">
        <f>AV$65*'Population Treasury'!BH$87*'Statistics NZ'!BH$394/('Population Treasury'!BG$87*'Statistics NZ'!BG$394)</f>
        <v>11183.431106030021</v>
      </c>
      <c r="AX65" s="111">
        <f>AW$65*'Population Treasury'!BI$87*'Statistics NZ'!BI$394/('Population Treasury'!BH$87*'Statistics NZ'!BH$394)</f>
        <v>11134.111737553436</v>
      </c>
      <c r="AY65" s="111">
        <f>AX$65*'Population Treasury'!BJ$87*'Statistics NZ'!BJ$394/('Population Treasury'!BI$87*'Statistics NZ'!BI$394)</f>
        <v>11040.914761342025</v>
      </c>
      <c r="AZ65" s="111">
        <f>AY$65*'Population Treasury'!BK$87*'Statistics NZ'!BK$394/('Population Treasury'!BJ$87*'Statistics NZ'!BJ$394)</f>
        <v>10949.778647794592</v>
      </c>
      <c r="BA65" s="111">
        <f>AZ$65*'Population Treasury'!BL$87*'Statistics NZ'!BL$394/('Population Treasury'!BK$87*'Statistics NZ'!BK$394)</f>
        <v>10948.154210523013</v>
      </c>
      <c r="BB65" s="195">
        <f>BA$65*'Population Treasury'!BM$87*'Statistics NZ'!BM$394/('Population Treasury'!BL$87*'Statistics NZ'!BL$394)</f>
        <v>10795.355118001751</v>
      </c>
      <c r="BC65" s="195">
        <f>BB$65*'Population Treasury'!BN$87*'Statistics NZ'!BN$394/('Population Treasury'!BM$87*'Statistics NZ'!BM$394)</f>
        <v>11011.365860086347</v>
      </c>
      <c r="BD65" s="195">
        <f>BC$65*'Population Treasury'!BO$87*'Statistics NZ'!BO$394/('Population Treasury'!BN$87*'Statistics NZ'!BN$394)</f>
        <v>10926.62544039778</v>
      </c>
      <c r="BE65" s="195">
        <f>BD$65*'Population Treasury'!BP$87*'Statistics NZ'!BP$394/('Population Treasury'!BO$87*'Statistics NZ'!BO$394)</f>
        <v>10671.261443935562</v>
      </c>
      <c r="BF65" s="195">
        <f>BE$65*'Population Treasury'!BQ$87*'Statistics NZ'!BQ$394/('Population Treasury'!BP$87*'Statistics NZ'!BP$394)</f>
        <v>10594.612379157774</v>
      </c>
    </row>
    <row r="66" spans="1:58">
      <c r="A66" s="124">
        <v>71</v>
      </c>
      <c r="B66" s="118">
        <f>'Population Treasury'!M$88*'Statistics NZ'!M$395*'Economic Forecasts'!O$8/B$7</f>
        <v>3615.3788142295266</v>
      </c>
      <c r="C66" s="118">
        <f>'Population Treasury'!N$88*'Statistics NZ'!N$395*'Economic Forecasts'!P$8/C$7</f>
        <v>4337.1983884209858</v>
      </c>
      <c r="D66" s="118">
        <f>'Population Treasury'!O$88*'Statistics NZ'!O$395*'Economic Forecasts'!Q$8/D$7</f>
        <v>4399.9502737628254</v>
      </c>
      <c r="E66" s="203">
        <f>'Population Treasury'!P$88*'Statistics NZ'!P$395*'Economic Forecasts'!R$8/E$7</f>
        <v>4377.5161895735055</v>
      </c>
      <c r="F66" s="121">
        <f>'Population Treasury'!Q$88*'Statistics NZ'!Q$395*'Economic Forecasts'!S$8/F$7</f>
        <v>4595.9009999186965</v>
      </c>
      <c r="G66" s="121">
        <f>'Population Treasury'!R$88*'Statistics NZ'!R$395*'Economic Forecasts'!T$8/G$7</f>
        <v>4691.4122933127837</v>
      </c>
      <c r="H66" s="121">
        <f>'Population Treasury'!S$88*'Statistics NZ'!S$395*'Economic Forecasts'!U$8/H$7</f>
        <v>4923.8907004565654</v>
      </c>
      <c r="I66" s="121">
        <f>'Population Treasury'!T$88*'Statistics NZ'!T$395*'Economic Forecasts'!V$8/I$7</f>
        <v>5128.8379983839759</v>
      </c>
      <c r="J66" s="205">
        <f>'Population Treasury'!U$88*'Statistics NZ'!U$395*'Economic Forecasts'!W$8/J$7</f>
        <v>5383.1682719981764</v>
      </c>
      <c r="K66" s="111">
        <f>J$66*'Population Treasury'!V$88*'Statistics NZ'!V$395/('Population Treasury'!U$88*'Statistics NZ'!U$395)</f>
        <v>5628.7115961175632</v>
      </c>
      <c r="L66" s="111">
        <f>K$66*'Population Treasury'!W$88*'Statistics NZ'!W$395/('Population Treasury'!V$88*'Statistics NZ'!V$395)</f>
        <v>5832.4566199524115</v>
      </c>
      <c r="M66" s="111">
        <f>L$66*'Population Treasury'!X$88*'Statistics NZ'!X$395/('Population Treasury'!W$88*'Statistics NZ'!W$395)</f>
        <v>6013.9249910571734</v>
      </c>
      <c r="N66" s="111">
        <f>M$66*'Population Treasury'!Y$88*'Statistics NZ'!Y$395/('Population Treasury'!X$88*'Statistics NZ'!X$395)</f>
        <v>6268.0939344655444</v>
      </c>
      <c r="O66" s="111">
        <f>N$66*'Population Treasury'!Z$88*'Statistics NZ'!Z$395/('Population Treasury'!Y$88*'Statistics NZ'!Y$395)</f>
        <v>6541.549460258575</v>
      </c>
      <c r="P66" s="111">
        <f>O$66*'Population Treasury'!AA$88*'Statistics NZ'!AA$395/('Population Treasury'!Z$88*'Statistics NZ'!Z$395)</f>
        <v>6711.0880660862895</v>
      </c>
      <c r="Q66" s="111">
        <f>P$66*'Population Treasury'!AB$88*'Statistics NZ'!AB$395/('Population Treasury'!AA$88*'Statistics NZ'!AA$395)</f>
        <v>7061.7446568690575</v>
      </c>
      <c r="R66" s="111">
        <f>Q$66*'Population Treasury'!AC$88*'Statistics NZ'!AC$395/('Population Treasury'!AB$88*'Statistics NZ'!AB$395)</f>
        <v>7283.5414868242933</v>
      </c>
      <c r="S66" s="111">
        <f>R$66*'Population Treasury'!AD$88*'Statistics NZ'!AD$395/('Population Treasury'!AC$88*'Statistics NZ'!AC$395)</f>
        <v>7440.7596712308932</v>
      </c>
      <c r="T66" s="111">
        <f>S$66*'Population Treasury'!AE$88*'Statistics NZ'!AE$395/('Population Treasury'!AD$88*'Statistics NZ'!AD$395)</f>
        <v>7319.2244228777326</v>
      </c>
      <c r="U66" s="111">
        <f>T$66*'Population Treasury'!AF$88*'Statistics NZ'!AF$395/('Population Treasury'!AE$88*'Statistics NZ'!AE$395)</f>
        <v>7167.2853823340083</v>
      </c>
      <c r="V66" s="111">
        <f>U$66*'Population Treasury'!AG$88*'Statistics NZ'!AG$395/('Population Treasury'!AF$88*'Statistics NZ'!AF$395)</f>
        <v>7096.434694815297</v>
      </c>
      <c r="W66" s="111">
        <f>V$66*'Population Treasury'!AH$88*'Statistics NZ'!AH$395/('Population Treasury'!AG$88*'Statistics NZ'!AG$395)</f>
        <v>7219.7387818901916</v>
      </c>
      <c r="X66" s="111">
        <f>W$66*'Population Treasury'!AI$88*'Statistics NZ'!AI$395/('Population Treasury'!AH$88*'Statistics NZ'!AH$395)</f>
        <v>7405.8844650401179</v>
      </c>
      <c r="Y66" s="111">
        <f>X$66*'Population Treasury'!AJ$88*'Statistics NZ'!AJ$395/('Population Treasury'!AI$88*'Statistics NZ'!AI$395)</f>
        <v>7572.2182736564073</v>
      </c>
      <c r="Z66" s="111">
        <f>Y$66*'Population Treasury'!AK$88*'Statistics NZ'!AK$395/('Population Treasury'!AJ$88*'Statistics NZ'!AJ$395)</f>
        <v>7551.2300024007036</v>
      </c>
      <c r="AA66" s="111">
        <f>Z$66*'Population Treasury'!AL$88*'Statistics NZ'!AL$395/('Population Treasury'!AK$88*'Statistics NZ'!AK$395)</f>
        <v>7889.1352553185307</v>
      </c>
      <c r="AB66" s="111">
        <f>AA$66*'Population Treasury'!AM$88*'Statistics NZ'!AM$395/('Population Treasury'!AL$88*'Statistics NZ'!AL$395)</f>
        <v>7807.3159761914058</v>
      </c>
      <c r="AC66" s="111">
        <f>AB$66*'Population Treasury'!AN$88*'Statistics NZ'!AN$395/('Population Treasury'!AM$88*'Statistics NZ'!AM$395)</f>
        <v>7557.7840079149246</v>
      </c>
      <c r="AD66" s="111">
        <f>AC$66*'Population Treasury'!AO$88*'Statistics NZ'!AO$395/('Population Treasury'!AN$88*'Statistics NZ'!AN$395)</f>
        <v>7413.0023290150375</v>
      </c>
      <c r="AE66" s="111">
        <f>AD$66*'Population Treasury'!AP$88*'Statistics NZ'!AP$395/('Population Treasury'!AO$88*'Statistics NZ'!AO$395)</f>
        <v>7148.9621379383671</v>
      </c>
      <c r="AF66" s="111">
        <f>AE$66*'Population Treasury'!AQ$88*'Statistics NZ'!AQ$395/('Population Treasury'!AP$88*'Statistics NZ'!AP$395)</f>
        <v>6870.6483005334503</v>
      </c>
      <c r="AG66" s="111">
        <f>AF$66*'Population Treasury'!AR$88*'Statistics NZ'!AR$395/('Population Treasury'!AQ$88*'Statistics NZ'!AQ$395)</f>
        <v>6927.3682090943157</v>
      </c>
      <c r="AH66" s="111">
        <f>AG$66*'Population Treasury'!AS$88*'Statistics NZ'!AS$395/('Population Treasury'!AR$88*'Statistics NZ'!AR$395)</f>
        <v>6918.4497407246663</v>
      </c>
      <c r="AI66" s="111">
        <f>AH$66*'Population Treasury'!AT$88*'Statistics NZ'!AT$395/('Population Treasury'!AS$88*'Statistics NZ'!AS$395)</f>
        <v>7148.5859570829434</v>
      </c>
      <c r="AJ66" s="111">
        <f>AI$66*'Population Treasury'!AU$88*'Statistics NZ'!AU$395/('Population Treasury'!AT$88*'Statistics NZ'!AT$395)</f>
        <v>7249.1740614238797</v>
      </c>
      <c r="AK66" s="111">
        <f>AJ$66*'Population Treasury'!AV$88*'Statistics NZ'!AV$395/('Population Treasury'!AU$88*'Statistics NZ'!AU$395)</f>
        <v>7352.2498120157561</v>
      </c>
      <c r="AL66" s="111">
        <f>AK$66*'Population Treasury'!AW$88*'Statistics NZ'!AW$395/('Population Treasury'!AV$88*'Statistics NZ'!AV$395)</f>
        <v>7602.9489742818578</v>
      </c>
      <c r="AM66" s="111">
        <f>AL$66*'Population Treasury'!AX$88*'Statistics NZ'!AX$395/('Population Treasury'!AW$88*'Statistics NZ'!AW$395)</f>
        <v>7785.2738179322532</v>
      </c>
      <c r="AN66" s="111">
        <f>AM$66*'Population Treasury'!AY$88*'Statistics NZ'!AY$395/('Population Treasury'!AX$88*'Statistics NZ'!AX$395)</f>
        <v>7974.0512626990321</v>
      </c>
      <c r="AO66" s="111">
        <f>AN$66*'Population Treasury'!AZ$88*'Statistics NZ'!AZ$395/('Population Treasury'!AY$88*'Statistics NZ'!AY$395)</f>
        <v>8161.4418266509065</v>
      </c>
      <c r="AP66" s="111">
        <f>AO$66*'Population Treasury'!BA$88*'Statistics NZ'!BA$395/('Population Treasury'!AZ$88*'Statistics NZ'!AZ$395)</f>
        <v>8319.3944044112613</v>
      </c>
      <c r="AQ66" s="111">
        <f>AP$66*'Population Treasury'!BB$88*'Statistics NZ'!BB$395/('Population Treasury'!BA$88*'Statistics NZ'!BA$395)</f>
        <v>8518.3479641928043</v>
      </c>
      <c r="AR66" s="111">
        <f>AQ$66*'Population Treasury'!BC$88*'Statistics NZ'!BC$395/('Population Treasury'!BB$88*'Statistics NZ'!BB$395)</f>
        <v>9084.1223793404715</v>
      </c>
      <c r="AS66" s="111">
        <f>AR$66*'Population Treasury'!BD$88*'Statistics NZ'!BD$395/('Population Treasury'!BC$88*'Statistics NZ'!BC$395)</f>
        <v>9180.5826252210372</v>
      </c>
      <c r="AT66" s="111">
        <f>AS$66*'Population Treasury'!BE$88*'Statistics NZ'!BE$395/('Population Treasury'!BD$88*'Statistics NZ'!BD$395)</f>
        <v>9568.9824588606225</v>
      </c>
      <c r="AU66" s="111">
        <f>AT$66*'Population Treasury'!BF$88*'Statistics NZ'!BF$395/('Population Treasury'!BE$88*'Statistics NZ'!BE$395)</f>
        <v>9701.8816777726552</v>
      </c>
      <c r="AV66" s="111">
        <f>AU$66*'Population Treasury'!BG$88*'Statistics NZ'!BG$395/('Population Treasury'!BF$88*'Statistics NZ'!BF$395)</f>
        <v>9631.8909515265932</v>
      </c>
      <c r="AW66" s="111">
        <f>AV$66*'Population Treasury'!BH$88*'Statistics NZ'!BH$395/('Population Treasury'!BG$88*'Statistics NZ'!BG$395)</f>
        <v>9482.4873800917721</v>
      </c>
      <c r="AX66" s="111">
        <f>AW$66*'Population Treasury'!BI$88*'Statistics NZ'!BI$395/('Population Treasury'!BH$88*'Statistics NZ'!BH$395)</f>
        <v>9217.1202746189465</v>
      </c>
      <c r="AY66" s="111">
        <f>AX$66*'Population Treasury'!BJ$88*'Statistics NZ'!BJ$395/('Population Treasury'!BI$88*'Statistics NZ'!BI$395)</f>
        <v>9176.7667009883098</v>
      </c>
      <c r="AZ66" s="111">
        <f>AY$66*'Population Treasury'!BK$88*'Statistics NZ'!BK$395/('Population Treasury'!BJ$88*'Statistics NZ'!BJ$395)</f>
        <v>9098.6746768418852</v>
      </c>
      <c r="BA66" s="111">
        <f>AZ$66*'Population Treasury'!BL$88*'Statistics NZ'!BL$395/('Population Treasury'!BK$88*'Statistics NZ'!BK$395)</f>
        <v>9024.2879252860384</v>
      </c>
      <c r="BB66" s="195">
        <f>BA$66*'Population Treasury'!BM$88*'Statistics NZ'!BM$395/('Population Treasury'!BL$88*'Statistics NZ'!BL$395)</f>
        <v>9025.9970625383994</v>
      </c>
      <c r="BC66" s="195">
        <f>BB$66*'Population Treasury'!BN$88*'Statistics NZ'!BN$395/('Population Treasury'!BM$88*'Statistics NZ'!BM$395)</f>
        <v>8904.1434629897285</v>
      </c>
      <c r="BD66" s="195">
        <f>BC$66*'Population Treasury'!BO$88*'Statistics NZ'!BO$395/('Population Treasury'!BN$88*'Statistics NZ'!BN$395)</f>
        <v>9082.1477642095415</v>
      </c>
      <c r="BE66" s="195">
        <f>BD$66*'Population Treasury'!BP$88*'Statistics NZ'!BP$395/('Population Treasury'!BO$88*'Statistics NZ'!BO$395)</f>
        <v>9011.2538885597151</v>
      </c>
      <c r="BF66" s="195">
        <f>BE$66*'Population Treasury'!BQ$88*'Statistics NZ'!BQ$395/('Population Treasury'!BP$88*'Statistics NZ'!BP$395)</f>
        <v>8806.6607648107583</v>
      </c>
    </row>
    <row r="67" spans="1:58">
      <c r="A67" s="124">
        <v>72</v>
      </c>
      <c r="B67" s="118">
        <f>'Population Treasury'!M$89*'Statistics NZ'!M$396*'Economic Forecasts'!O$8/B$7</f>
        <v>2853.506933219383</v>
      </c>
      <c r="C67" s="118">
        <f>'Population Treasury'!N$89*'Statistics NZ'!N$396*'Economic Forecasts'!P$8/C$7</f>
        <v>3081.9399521564874</v>
      </c>
      <c r="D67" s="118">
        <f>'Population Treasury'!O$89*'Statistics NZ'!O$396*'Economic Forecasts'!Q$8/D$7</f>
        <v>3639.7993412142428</v>
      </c>
      <c r="E67" s="203">
        <f>'Population Treasury'!P$89*'Statistics NZ'!P$396*'Economic Forecasts'!R$8/E$7</f>
        <v>3729.8379974185391</v>
      </c>
      <c r="F67" s="121">
        <f>'Population Treasury'!Q$89*'Statistics NZ'!Q$396*'Economic Forecasts'!S$8/F$7</f>
        <v>3732.2057945942911</v>
      </c>
      <c r="G67" s="121">
        <f>'Population Treasury'!R$89*'Statistics NZ'!R$396*'Economic Forecasts'!T$8/G$7</f>
        <v>3944.1985346238012</v>
      </c>
      <c r="H67" s="121">
        <f>'Population Treasury'!S$89*'Statistics NZ'!S$396*'Economic Forecasts'!U$8/H$7</f>
        <v>3997.1447252437893</v>
      </c>
      <c r="I67" s="121">
        <f>'Population Treasury'!T$89*'Statistics NZ'!T$396*'Economic Forecasts'!V$8/I$7</f>
        <v>4197.9252740655184</v>
      </c>
      <c r="J67" s="205">
        <f>'Population Treasury'!U$89*'Statistics NZ'!U$396*'Economic Forecasts'!W$8/J$7</f>
        <v>4374.5345155419491</v>
      </c>
      <c r="K67" s="111">
        <f>J$67*'Population Treasury'!V$89*'Statistics NZ'!V$396/('Population Treasury'!U$89*'Statistics NZ'!U$396)</f>
        <v>4575.7076688969446</v>
      </c>
      <c r="L67" s="111">
        <f>K$67*'Population Treasury'!W$89*'Statistics NZ'!W$396/('Population Treasury'!V$89*'Statistics NZ'!V$396)</f>
        <v>4783.0640545565102</v>
      </c>
      <c r="M67" s="111">
        <f>L$67*'Population Treasury'!X$89*'Statistics NZ'!X$396/('Population Treasury'!W$89*'Statistics NZ'!W$396)</f>
        <v>4955.6262954891772</v>
      </c>
      <c r="N67" s="111">
        <f>M$67*'Population Treasury'!Y$89*'Statistics NZ'!Y$396/('Population Treasury'!X$89*'Statistics NZ'!X$396)</f>
        <v>5110.944426003779</v>
      </c>
      <c r="O67" s="111">
        <f>N$67*'Population Treasury'!Z$89*'Statistics NZ'!Z$396/('Population Treasury'!Y$89*'Statistics NZ'!Y$396)</f>
        <v>5326.709877613981</v>
      </c>
      <c r="P67" s="111">
        <f>O$67*'Population Treasury'!AA$89*'Statistics NZ'!AA$396/('Population Treasury'!Z$89*'Statistics NZ'!Z$396)</f>
        <v>5565.2859359270915</v>
      </c>
      <c r="Q67" s="111">
        <f>P$67*'Population Treasury'!AB$89*'Statistics NZ'!AB$396/('Population Treasury'!AA$89*'Statistics NZ'!AA$396)</f>
        <v>5699.5970152903647</v>
      </c>
      <c r="R67" s="111">
        <f>Q$67*'Population Treasury'!AC$89*'Statistics NZ'!AC$396/('Population Treasury'!AB$89*'Statistics NZ'!AB$396)</f>
        <v>6000.3641210024753</v>
      </c>
      <c r="S67" s="111">
        <f>R$67*'Population Treasury'!AD$89*'Statistics NZ'!AD$396/('Population Treasury'!AC$89*'Statistics NZ'!AC$396)</f>
        <v>6184.2767153629375</v>
      </c>
      <c r="T67" s="111">
        <f>S$67*'Population Treasury'!AE$89*'Statistics NZ'!AE$396/('Population Treasury'!AD$89*'Statistics NZ'!AD$396)</f>
        <v>6328.5113732270756</v>
      </c>
      <c r="U67" s="111">
        <f>T$67*'Population Treasury'!AF$89*'Statistics NZ'!AF$396/('Population Treasury'!AE$89*'Statistics NZ'!AE$396)</f>
        <v>6221.7455312911015</v>
      </c>
      <c r="V67" s="111">
        <f>U$67*'Population Treasury'!AG$89*'Statistics NZ'!AG$396/('Population Treasury'!AF$89*'Statistics NZ'!AF$396)</f>
        <v>6092.9325240373028</v>
      </c>
      <c r="W67" s="111">
        <f>V$67*'Population Treasury'!AH$89*'Statistics NZ'!AH$396/('Population Treasury'!AG$89*'Statistics NZ'!AG$396)</f>
        <v>6032.1905706832267</v>
      </c>
      <c r="X67" s="111">
        <f>W$67*'Population Treasury'!AI$89*'Statistics NZ'!AI$396/('Population Treasury'!AH$89*'Statistics NZ'!AH$396)</f>
        <v>6139.3741084126314</v>
      </c>
      <c r="Y67" s="111">
        <f>X$67*'Population Treasury'!AJ$89*'Statistics NZ'!AJ$396/('Population Treasury'!AI$89*'Statistics NZ'!AI$396)</f>
        <v>6299.8499387876936</v>
      </c>
      <c r="Z67" s="111">
        <f>Y$67*'Population Treasury'!AK$89*'Statistics NZ'!AK$396/('Population Treasury'!AJ$89*'Statistics NZ'!AJ$396)</f>
        <v>6434.8677345121796</v>
      </c>
      <c r="AA67" s="111">
        <f>Z$67*'Population Treasury'!AL$89*'Statistics NZ'!AL$396/('Population Treasury'!AK$89*'Statistics NZ'!AK$396)</f>
        <v>6417.8942074394472</v>
      </c>
      <c r="AB67" s="111">
        <f>AA$67*'Population Treasury'!AM$89*'Statistics NZ'!AM$396/('Population Treasury'!AL$89*'Statistics NZ'!AL$396)</f>
        <v>6705.5159189828983</v>
      </c>
      <c r="AC67" s="111">
        <f>AB$67*'Population Treasury'!AN$89*'Statistics NZ'!AN$396/('Population Treasury'!AM$89*'Statistics NZ'!AM$396)</f>
        <v>6643.8020813694175</v>
      </c>
      <c r="AD67" s="111">
        <f>AC$67*'Population Treasury'!AO$89*'Statistics NZ'!AO$396/('Population Treasury'!AN$89*'Statistics NZ'!AN$396)</f>
        <v>6425.9146266873649</v>
      </c>
      <c r="AE67" s="111">
        <f>AD$67*'Population Treasury'!AP$89*'Statistics NZ'!AP$396/('Population Treasury'!AO$89*'Statistics NZ'!AO$396)</f>
        <v>6299.6230736783073</v>
      </c>
      <c r="AF67" s="111">
        <f>AE$67*'Population Treasury'!AQ$89*'Statistics NZ'!AQ$396/('Population Treasury'!AP$89*'Statistics NZ'!AP$396)</f>
        <v>6080.8035907137373</v>
      </c>
      <c r="AG67" s="111">
        <f>AF$67*'Population Treasury'!AR$89*'Statistics NZ'!AR$396/('Population Treasury'!AQ$89*'Statistics NZ'!AQ$396)</f>
        <v>5842.2087799352321</v>
      </c>
      <c r="AH67" s="111">
        <f>AG$67*'Population Treasury'!AS$89*'Statistics NZ'!AS$396/('Population Treasury'!AR$89*'Statistics NZ'!AR$396)</f>
        <v>5887.7324157592248</v>
      </c>
      <c r="AI67" s="111">
        <f>AH$67*'Population Treasury'!AT$89*'Statistics NZ'!AT$396/('Population Treasury'!AS$89*'Statistics NZ'!AS$396)</f>
        <v>5879.9328477574936</v>
      </c>
      <c r="AJ67" s="111">
        <f>AI$67*'Population Treasury'!AU$89*'Statistics NZ'!AU$396/('Population Treasury'!AT$89*'Statistics NZ'!AT$396)</f>
        <v>6081.8188135471701</v>
      </c>
      <c r="AK67" s="111">
        <f>AJ$67*'Population Treasury'!AV$89*'Statistics NZ'!AV$396/('Population Treasury'!AU$89*'Statistics NZ'!AU$396)</f>
        <v>6163.328699394774</v>
      </c>
      <c r="AL67" s="111">
        <f>AK$67*'Population Treasury'!AW$89*'Statistics NZ'!AW$396/('Population Treasury'!AV$89*'Statistics NZ'!AV$396)</f>
        <v>6245.9831821894904</v>
      </c>
      <c r="AM67" s="111">
        <f>AL$67*'Population Treasury'!AX$89*'Statistics NZ'!AX$396/('Population Treasury'!AW$89*'Statistics NZ'!AW$396)</f>
        <v>6467.4705997907577</v>
      </c>
      <c r="AN67" s="111">
        <f>AM$67*'Population Treasury'!AY$89*'Statistics NZ'!AY$396/('Population Treasury'!AX$89*'Statistics NZ'!AX$396)</f>
        <v>6628.9291790279358</v>
      </c>
      <c r="AO67" s="111">
        <f>AN$67*'Population Treasury'!AZ$89*'Statistics NZ'!AZ$396/('Population Treasury'!AY$89*'Statistics NZ'!AY$396)</f>
        <v>6781.3990923640849</v>
      </c>
      <c r="AP67" s="111">
        <f>AO$67*'Population Treasury'!BA$89*'Statistics NZ'!BA$396/('Population Treasury'!AZ$89*'Statistics NZ'!AZ$396)</f>
        <v>6944.7051371642774</v>
      </c>
      <c r="AQ67" s="111">
        <f>AP$67*'Population Treasury'!BB$89*'Statistics NZ'!BB$396/('Population Treasury'!BA$89*'Statistics NZ'!BA$396)</f>
        <v>7076.9369226570489</v>
      </c>
      <c r="AR67" s="111">
        <f>AQ$67*'Population Treasury'!BC$89*'Statistics NZ'!BC$396/('Population Treasury'!BB$89*'Statistics NZ'!BB$396)</f>
        <v>7252.2053603641871</v>
      </c>
      <c r="AS67" s="111">
        <f>AR$67*'Population Treasury'!BD$89*'Statistics NZ'!BD$396/('Population Treasury'!BC$89*'Statistics NZ'!BC$396)</f>
        <v>7728.8151084265119</v>
      </c>
      <c r="AT67" s="111">
        <f>AS$67*'Population Treasury'!BE$89*'Statistics NZ'!BE$396/('Population Treasury'!BD$89*'Statistics NZ'!BD$396)</f>
        <v>7810.2367899497158</v>
      </c>
      <c r="AU67" s="111">
        <f>AT$67*'Population Treasury'!BF$89*'Statistics NZ'!BF$396/('Population Treasury'!BE$89*'Statistics NZ'!BE$396)</f>
        <v>8137.3288794656628</v>
      </c>
      <c r="AV67" s="111">
        <f>AU$67*'Population Treasury'!BG$89*'Statistics NZ'!BG$396/('Population Treasury'!BF$89*'Statistics NZ'!BF$396)</f>
        <v>8259.7817950935951</v>
      </c>
      <c r="AW67" s="111">
        <f>AV$67*'Population Treasury'!BH$89*'Statistics NZ'!BH$396/('Population Treasury'!BG$89*'Statistics NZ'!BG$396)</f>
        <v>8204.6693113909441</v>
      </c>
      <c r="AX67" s="111">
        <f>AW$67*'Population Treasury'!BI$89*'Statistics NZ'!BI$396/('Population Treasury'!BH$89*'Statistics NZ'!BH$396)</f>
        <v>8070.4064976181862</v>
      </c>
      <c r="AY67" s="111">
        <f>AX$67*'Population Treasury'!BJ$89*'Statistics NZ'!BJ$396/('Population Treasury'!BI$89*'Statistics NZ'!BI$396)</f>
        <v>7848.8805369951278</v>
      </c>
      <c r="AZ67" s="111">
        <f>AY$67*'Population Treasury'!BK$89*'Statistics NZ'!BK$396/('Population Treasury'!BJ$89*'Statistics NZ'!BJ$396)</f>
        <v>7814.750206932611</v>
      </c>
      <c r="BA67" s="111">
        <f>AZ$67*'Population Treasury'!BL$89*'Statistics NZ'!BL$396/('Population Treasury'!BK$89*'Statistics NZ'!BK$396)</f>
        <v>7745.4479406786768</v>
      </c>
      <c r="BB67" s="195">
        <f>BA$67*'Population Treasury'!BM$89*'Statistics NZ'!BM$396/('Population Treasury'!BL$89*'Statistics NZ'!BL$396)</f>
        <v>7680.6612090321569</v>
      </c>
      <c r="BC67" s="195">
        <f>BB$67*'Population Treasury'!BN$89*'Statistics NZ'!BN$396/('Population Treasury'!BM$89*'Statistics NZ'!BM$396)</f>
        <v>7682.805345715683</v>
      </c>
      <c r="BD67" s="195">
        <f>BC$67*'Population Treasury'!BO$89*'Statistics NZ'!BO$396/('Population Treasury'!BN$89*'Statistics NZ'!BN$396)</f>
        <v>7580.4907119156787</v>
      </c>
      <c r="BE67" s="195">
        <f>BD$67*'Population Treasury'!BP$89*'Statistics NZ'!BP$396/('Population Treasury'!BO$89*'Statistics NZ'!BO$396)</f>
        <v>7735.0298771483785</v>
      </c>
      <c r="BF67" s="195">
        <f>BE$67*'Population Treasury'!BQ$89*'Statistics NZ'!BQ$396/('Population Treasury'!BP$89*'Statistics NZ'!BP$396)</f>
        <v>7668.6011280457515</v>
      </c>
    </row>
    <row r="68" spans="1:58">
      <c r="A68" s="124">
        <v>73</v>
      </c>
      <c r="B68" s="118">
        <f>'Population Treasury'!M$90*'Statistics NZ'!M$397*'Economic Forecasts'!O$8/B$7</f>
        <v>2268.13070852799</v>
      </c>
      <c r="C68" s="118">
        <f>'Population Treasury'!N$90*'Statistics NZ'!N$397*'Economic Forecasts'!P$8/C$7</f>
        <v>2456.269548137358</v>
      </c>
      <c r="D68" s="118">
        <f>'Population Treasury'!O$90*'Statistics NZ'!O$397*'Economic Forecasts'!Q$8/D$7</f>
        <v>2616.5547456603167</v>
      </c>
      <c r="E68" s="203">
        <f>'Population Treasury'!P$90*'Statistics NZ'!P$397*'Economic Forecasts'!R$8/E$7</f>
        <v>3120.4229005734646</v>
      </c>
      <c r="F68" s="121">
        <f>'Population Treasury'!Q$90*'Statistics NZ'!Q$397*'Economic Forecasts'!S$8/F$7</f>
        <v>3224.8373312130193</v>
      </c>
      <c r="G68" s="121">
        <f>'Population Treasury'!R$90*'Statistics NZ'!R$397*'Economic Forecasts'!T$8/G$7</f>
        <v>3245.593876973307</v>
      </c>
      <c r="H68" s="121">
        <f>'Population Treasury'!S$90*'Statistics NZ'!S$397*'Economic Forecasts'!U$8/H$7</f>
        <v>3418.43464965983</v>
      </c>
      <c r="I68" s="121">
        <f>'Population Treasury'!T$90*'Statistics NZ'!T$397*'Economic Forecasts'!V$8/I$7</f>
        <v>3464.3414189788637</v>
      </c>
      <c r="J68" s="205">
        <f>'Population Treasury'!U$90*'Statistics NZ'!U$397*'Economic Forecasts'!W$8/J$7</f>
        <v>3639.2421021166115</v>
      </c>
      <c r="K68" s="111">
        <f>J$68*'Population Treasury'!V$90*'Statistics NZ'!V$397/('Population Treasury'!U$90*'Statistics NZ'!U$397)</f>
        <v>3787.2263631167152</v>
      </c>
      <c r="L68" s="111">
        <f>K$68*'Population Treasury'!W$90*'Statistics NZ'!W$397/('Population Treasury'!V$90*'Statistics NZ'!V$397)</f>
        <v>3960.1952299411032</v>
      </c>
      <c r="M68" s="111">
        <f>L$68*'Population Treasury'!X$90*'Statistics NZ'!X$397/('Population Treasury'!W$90*'Statistics NZ'!W$397)</f>
        <v>4139.8034089100292</v>
      </c>
      <c r="N68" s="111">
        <f>M$68*'Population Treasury'!Y$90*'Statistics NZ'!Y$397/('Population Treasury'!X$90*'Statistics NZ'!X$397)</f>
        <v>4284.5142495892505</v>
      </c>
      <c r="O68" s="111">
        <f>N$68*'Population Treasury'!Z$90*'Statistics NZ'!Z$397/('Population Treasury'!Y$90*'Statistics NZ'!Y$397)</f>
        <v>4431.4141431663802</v>
      </c>
      <c r="P68" s="111">
        <f>O$68*'Population Treasury'!AA$90*'Statistics NZ'!AA$397/('Population Treasury'!Z$90*'Statistics NZ'!Z$397)</f>
        <v>4614.8630228124675</v>
      </c>
      <c r="Q68" s="111">
        <f>P$68*'Population Treasury'!AB$90*'Statistics NZ'!AB$397/('Population Treasury'!AA$90*'Statistics NZ'!AA$397)</f>
        <v>4816.9592265900046</v>
      </c>
      <c r="R68" s="111">
        <f>Q$68*'Population Treasury'!AC$90*'Statistics NZ'!AC$397/('Population Treasury'!AB$90*'Statistics NZ'!AB$397)</f>
        <v>4939.4356903234793</v>
      </c>
      <c r="S68" s="111">
        <f>R$68*'Population Treasury'!AD$90*'Statistics NZ'!AD$397/('Population Treasury'!AC$90*'Statistics NZ'!AC$397)</f>
        <v>5196.8296562392779</v>
      </c>
      <c r="T68" s="111">
        <f>S$68*'Population Treasury'!AE$90*'Statistics NZ'!AE$397/('Population Treasury'!AD$90*'Statistics NZ'!AD$397)</f>
        <v>5363.7917503002427</v>
      </c>
      <c r="U68" s="111">
        <f>T$68*'Population Treasury'!AF$90*'Statistics NZ'!AF$397/('Population Treasury'!AE$90*'Statistics NZ'!AE$397)</f>
        <v>5480.7944758547428</v>
      </c>
      <c r="V68" s="111">
        <f>U$68*'Population Treasury'!AG$90*'Statistics NZ'!AG$397/('Population Treasury'!AF$90*'Statistics NZ'!AF$397)</f>
        <v>5396.4975733496603</v>
      </c>
      <c r="W68" s="111">
        <f>V$68*'Population Treasury'!AH$90*'Statistics NZ'!AH$397/('Population Treasury'!AG$90*'Statistics NZ'!AG$397)</f>
        <v>5292.928797324209</v>
      </c>
      <c r="X68" s="111">
        <f>W$68*'Population Treasury'!AI$90*'Statistics NZ'!AI$397/('Population Treasury'!AH$90*'Statistics NZ'!AH$397)</f>
        <v>5229.2410004882549</v>
      </c>
      <c r="Y68" s="111">
        <f>X$68*'Population Treasury'!AJ$90*'Statistics NZ'!AJ$397/('Population Treasury'!AI$90*'Statistics NZ'!AI$397)</f>
        <v>5329.5111502053851</v>
      </c>
      <c r="Z68" s="111">
        <f>Y$68*'Population Treasury'!AK$90*'Statistics NZ'!AK$397/('Population Treasury'!AJ$90*'Statistics NZ'!AJ$397)</f>
        <v>5471.6779254850808</v>
      </c>
      <c r="AA68" s="111">
        <f>Z$68*'Population Treasury'!AL$90*'Statistics NZ'!AL$397/('Population Treasury'!AK$90*'Statistics NZ'!AK$397)</f>
        <v>5584.0897220784518</v>
      </c>
      <c r="AB68" s="111">
        <f>AA$68*'Population Treasury'!AM$90*'Statistics NZ'!AM$397/('Population Treasury'!AL$90*'Statistics NZ'!AL$397)</f>
        <v>5573.5964874374822</v>
      </c>
      <c r="AC68" s="111">
        <f>AB$68*'Population Treasury'!AN$90*'Statistics NZ'!AN$397/('Population Treasury'!AM$90*'Statistics NZ'!AM$397)</f>
        <v>5822.6097533131087</v>
      </c>
      <c r="AD68" s="111">
        <f>AC$68*'Population Treasury'!AO$90*'Statistics NZ'!AO$397/('Population Treasury'!AN$90*'Statistics NZ'!AN$397)</f>
        <v>5766.345132612917</v>
      </c>
      <c r="AE68" s="111">
        <f>AD$68*'Population Treasury'!AP$90*'Statistics NZ'!AP$397/('Population Treasury'!AO$90*'Statistics NZ'!AO$397)</f>
        <v>5575.7005513850218</v>
      </c>
      <c r="AF68" s="111">
        <f>AE$68*'Population Treasury'!AQ$90*'Statistics NZ'!AQ$397/('Population Treasury'!AP$90*'Statistics NZ'!AP$397)</f>
        <v>5473.022616195125</v>
      </c>
      <c r="AG68" s="111">
        <f>AF$68*'Population Treasury'!AR$90*'Statistics NZ'!AR$397/('Population Treasury'!AQ$90*'Statistics NZ'!AQ$397)</f>
        <v>5279.3373317608393</v>
      </c>
      <c r="AH68" s="111">
        <f>AG$68*'Population Treasury'!AS$90*'Statistics NZ'!AS$397/('Population Treasury'!AR$90*'Statistics NZ'!AR$397)</f>
        <v>5070.4718467544972</v>
      </c>
      <c r="AI68" s="111">
        <f>AH$68*'Population Treasury'!AT$90*'Statistics NZ'!AT$397/('Population Treasury'!AS$90*'Statistics NZ'!AS$397)</f>
        <v>5115.5946631142906</v>
      </c>
      <c r="AJ68" s="111">
        <f>AI$68*'Population Treasury'!AU$90*'Statistics NZ'!AU$397/('Population Treasury'!AT$90*'Statistics NZ'!AT$397)</f>
        <v>5113.1809263324139</v>
      </c>
      <c r="AK68" s="111">
        <f>AJ$68*'Population Treasury'!AV$90*'Statistics NZ'!AV$397/('Population Treasury'!AU$90*'Statistics NZ'!AU$397)</f>
        <v>5282.2461389788141</v>
      </c>
      <c r="AL68" s="111">
        <f>AK$68*'Population Treasury'!AW$90*'Statistics NZ'!AW$397/('Population Treasury'!AV$90*'Statistics NZ'!AV$397)</f>
        <v>5357.548944766063</v>
      </c>
      <c r="AM68" s="111">
        <f>AL$68*'Population Treasury'!AX$90*'Statistics NZ'!AX$397/('Population Treasury'!AW$90*'Statistics NZ'!AW$397)</f>
        <v>5428.52594661679</v>
      </c>
      <c r="AN68" s="111">
        <f>AM$68*'Population Treasury'!AY$90*'Statistics NZ'!AY$397/('Population Treasury'!AX$90*'Statistics NZ'!AX$397)</f>
        <v>5626.3495805453567</v>
      </c>
      <c r="AO68" s="111">
        <f>AN$68*'Population Treasury'!AZ$90*'Statistics NZ'!AZ$397/('Population Treasury'!AY$90*'Statistics NZ'!AY$397)</f>
        <v>5764.9227630811083</v>
      </c>
      <c r="AP68" s="111">
        <f>AO$68*'Population Treasury'!BA$90*'Statistics NZ'!BA$397/('Population Treasury'!AZ$90*'Statistics NZ'!AZ$397)</f>
        <v>5901.9045971423675</v>
      </c>
      <c r="AQ68" s="111">
        <f>AP$68*'Population Treasury'!BB$90*'Statistics NZ'!BB$397/('Population Treasury'!BA$90*'Statistics NZ'!BA$397)</f>
        <v>6042.5804465668552</v>
      </c>
      <c r="AR68" s="111">
        <f>AQ$68*'Population Treasury'!BC$90*'Statistics NZ'!BC$397/('Population Treasury'!BB$90*'Statistics NZ'!BB$397)</f>
        <v>6150.1942027058503</v>
      </c>
      <c r="AS68" s="111">
        <f>AR$68*'Population Treasury'!BD$90*'Statistics NZ'!BD$397/('Population Treasury'!BC$90*'Statistics NZ'!BC$397)</f>
        <v>6297.7781604002021</v>
      </c>
      <c r="AT68" s="111">
        <f>AS$68*'Population Treasury'!BE$90*'Statistics NZ'!BE$397/('Population Treasury'!BD$90*'Statistics NZ'!BD$397)</f>
        <v>6722.8568215546975</v>
      </c>
      <c r="AU68" s="111">
        <f>AT$68*'Population Treasury'!BF$90*'Statistics NZ'!BF$397/('Population Treasury'!BE$90*'Statistics NZ'!BE$397)</f>
        <v>6784.8278557785434</v>
      </c>
      <c r="AV68" s="111">
        <f>AU$68*'Population Treasury'!BG$90*'Statistics NZ'!BG$397/('Population Treasury'!BF$90*'Statistics NZ'!BF$397)</f>
        <v>7079.0824517629517</v>
      </c>
      <c r="AW68" s="111">
        <f>AV$68*'Population Treasury'!BH$90*'Statistics NZ'!BH$397/('Population Treasury'!BG$90*'Statistics NZ'!BG$397)</f>
        <v>7181.1762629070226</v>
      </c>
      <c r="AX68" s="111">
        <f>AW$68*'Population Treasury'!BI$90*'Statistics NZ'!BI$397/('Population Treasury'!BH$90*'Statistics NZ'!BH$397)</f>
        <v>7128.5111490704412</v>
      </c>
      <c r="AY68" s="111">
        <f>AX$68*'Population Treasury'!BJ$90*'Statistics NZ'!BJ$397/('Population Treasury'!BI$90*'Statistics NZ'!BI$397)</f>
        <v>7019.4105019527415</v>
      </c>
      <c r="AZ68" s="111">
        <f>AY$68*'Population Treasury'!BK$90*'Statistics NZ'!BK$397/('Population Treasury'!BJ$90*'Statistics NZ'!BJ$397)</f>
        <v>6832.4779898640891</v>
      </c>
      <c r="BA68" s="111">
        <f>AZ$68*'Population Treasury'!BL$90*'Statistics NZ'!BL$397/('Population Treasury'!BK$90*'Statistics NZ'!BK$397)</f>
        <v>6791.8366363488976</v>
      </c>
      <c r="BB68" s="195">
        <f>BA$68*'Population Treasury'!BM$90*'Statistics NZ'!BM$397/('Population Treasury'!BL$90*'Statistics NZ'!BL$397)</f>
        <v>6738.81095065516</v>
      </c>
      <c r="BC68" s="195">
        <f>BB$68*'Population Treasury'!BN$90*'Statistics NZ'!BN$397/('Population Treasury'!BM$90*'Statistics NZ'!BM$397)</f>
        <v>6692.5822520189186</v>
      </c>
      <c r="BD68" s="195">
        <f>BC$68*'Population Treasury'!BO$90*'Statistics NZ'!BO$397/('Population Treasury'!BN$90*'Statistics NZ'!BN$397)</f>
        <v>6695.8011205426747</v>
      </c>
      <c r="BE68" s="195">
        <f>BD$68*'Population Treasury'!BP$90*'Statistics NZ'!BP$397/('Population Treasury'!BO$90*'Statistics NZ'!BO$397)</f>
        <v>6599.318593889062</v>
      </c>
      <c r="BF68" s="195">
        <f>BE$68*'Population Treasury'!BQ$90*'Statistics NZ'!BQ$397/('Population Treasury'!BP$90*'Statistics NZ'!BP$397)</f>
        <v>6738.2718887715828</v>
      </c>
    </row>
    <row r="69" spans="1:58">
      <c r="A69" s="124">
        <v>74</v>
      </c>
      <c r="B69" s="118">
        <f>'Population Treasury'!M$91*'Statistics NZ'!M$398*'Economic Forecasts'!O$8/B$7</f>
        <v>1690.7822026565993</v>
      </c>
      <c r="C69" s="118">
        <f>'Population Treasury'!N$91*'Statistics NZ'!N$398*'Economic Forecasts'!P$8/C$7</f>
        <v>1926.501365608307</v>
      </c>
      <c r="D69" s="118">
        <f>'Population Treasury'!O$91*'Statistics NZ'!O$398*'Economic Forecasts'!Q$8/D$7</f>
        <v>2060.3159999760833</v>
      </c>
      <c r="E69" s="203">
        <f>'Population Treasury'!P$91*'Statistics NZ'!P$398*'Economic Forecasts'!R$8/E$7</f>
        <v>2218.4106926659119</v>
      </c>
      <c r="F69" s="121">
        <f>'Population Treasury'!Q$91*'Statistics NZ'!Q$398*'Economic Forecasts'!S$8/F$7</f>
        <v>2667.9422005456845</v>
      </c>
      <c r="G69" s="121">
        <f>'Population Treasury'!R$91*'Statistics NZ'!R$398*'Economic Forecasts'!T$8/G$7</f>
        <v>2770.4886744382125</v>
      </c>
      <c r="H69" s="121">
        <f>'Population Treasury'!S$91*'Statistics NZ'!S$398*'Economic Forecasts'!U$8/H$7</f>
        <v>2780.7793172005554</v>
      </c>
      <c r="I69" s="121">
        <f>'Population Treasury'!T$91*'Statistics NZ'!T$398*'Economic Forecasts'!V$8/I$7</f>
        <v>2923.4941218043041</v>
      </c>
      <c r="J69" s="205">
        <f>'Population Treasury'!U$91*'Statistics NZ'!U$398*'Economic Forecasts'!W$8/J$7</f>
        <v>2967.5204747018456</v>
      </c>
      <c r="K69" s="111">
        <f>J$69*'Population Treasury'!V$91*'Statistics NZ'!V$398/('Population Treasury'!U$91*'Statistics NZ'!U$398)</f>
        <v>3107.1761669694424</v>
      </c>
      <c r="L69" s="111">
        <f>K$69*'Population Treasury'!W$91*'Statistics NZ'!W$398/('Population Treasury'!V$91*'Statistics NZ'!V$398)</f>
        <v>3226.9544697426272</v>
      </c>
      <c r="M69" s="111">
        <f>L$69*'Population Treasury'!X$91*'Statistics NZ'!X$398/('Population Treasury'!W$91*'Statistics NZ'!W$398)</f>
        <v>3386.32378926517</v>
      </c>
      <c r="N69" s="111">
        <f>M$69*'Population Treasury'!Y$91*'Statistics NZ'!Y$398/('Population Treasury'!X$91*'Statistics NZ'!X$398)</f>
        <v>3539.0043722409482</v>
      </c>
      <c r="O69" s="111">
        <f>N$69*'Population Treasury'!Z$91*'Statistics NZ'!Z$398/('Population Treasury'!Y$91*'Statistics NZ'!Y$398)</f>
        <v>3662.8598922822252</v>
      </c>
      <c r="P69" s="111">
        <f>O$69*'Population Treasury'!AA$91*'Statistics NZ'!AA$398/('Population Treasury'!Z$91*'Statistics NZ'!Z$398)</f>
        <v>3783.9501555259135</v>
      </c>
      <c r="Q69" s="111">
        <f>P$69*'Population Treasury'!AB$91*'Statistics NZ'!AB$398/('Population Treasury'!AA$91*'Statistics NZ'!AA$398)</f>
        <v>3944.5223039057196</v>
      </c>
      <c r="R69" s="111">
        <f>Q$69*'Population Treasury'!AC$91*'Statistics NZ'!AC$398/('Population Treasury'!AB$91*'Statistics NZ'!AB$398)</f>
        <v>4120.2596252843396</v>
      </c>
      <c r="S69" s="111">
        <f>R$69*'Population Treasury'!AD$91*'Statistics NZ'!AD$398/('Population Treasury'!AC$91*'Statistics NZ'!AC$398)</f>
        <v>4229.5682264111074</v>
      </c>
      <c r="T69" s="111">
        <f>S$69*'Population Treasury'!AE$91*'Statistics NZ'!AE$398/('Population Treasury'!AD$91*'Statistics NZ'!AD$398)</f>
        <v>4445.719270555699</v>
      </c>
      <c r="U69" s="111">
        <f>T$69*'Population Treasury'!AF$91*'Statistics NZ'!AF$398/('Population Treasury'!AE$91*'Statistics NZ'!AE$398)</f>
        <v>4586.0745241714603</v>
      </c>
      <c r="V69" s="111">
        <f>U$69*'Population Treasury'!AG$91*'Statistics NZ'!AG$398/('Population Treasury'!AF$91*'Statistics NZ'!AF$398)</f>
        <v>4697.0749683082786</v>
      </c>
      <c r="W69" s="111">
        <f>V$69*'Population Treasury'!AH$91*'Statistics NZ'!AH$398/('Population Treasury'!AG$91*'Statistics NZ'!AG$398)</f>
        <v>4614.2369379839256</v>
      </c>
      <c r="X69" s="111">
        <f>W$69*'Population Treasury'!AI$91*'Statistics NZ'!AI$398/('Population Treasury'!AH$91*'Statistics NZ'!AH$398)</f>
        <v>4527.1686225207441</v>
      </c>
      <c r="Y69" s="111">
        <f>X$69*'Population Treasury'!AJ$91*'Statistics NZ'!AJ$398/('Population Treasury'!AI$91*'Statistics NZ'!AI$398)</f>
        <v>4481.1523996293481</v>
      </c>
      <c r="Z69" s="111">
        <f>Y$69*'Population Treasury'!AK$91*'Statistics NZ'!AK$398/('Population Treasury'!AJ$91*'Statistics NZ'!AJ$398)</f>
        <v>4563.9209700963984</v>
      </c>
      <c r="AA69" s="111">
        <f>Z$69*'Population Treasury'!AL$91*'Statistics NZ'!AL$398/('Population Treasury'!AK$91*'Statistics NZ'!AK$398)</f>
        <v>4684.7144290097267</v>
      </c>
      <c r="AB69" s="111">
        <f>AA$69*'Population Treasury'!AM$91*'Statistics NZ'!AM$398/('Population Treasury'!AL$91*'Statistics NZ'!AL$398)</f>
        <v>4787.033579920896</v>
      </c>
      <c r="AC69" s="111">
        <f>AB$69*'Population Treasury'!AN$91*'Statistics NZ'!AN$398/('Population Treasury'!AM$91*'Statistics NZ'!AM$398)</f>
        <v>4768.8052374953795</v>
      </c>
      <c r="AD69" s="111">
        <f>AC$69*'Population Treasury'!AO$91*'Statistics NZ'!AO$398/('Population Treasury'!AN$91*'Statistics NZ'!AN$398)</f>
        <v>4986.7886611903559</v>
      </c>
      <c r="AE69" s="111">
        <f>AD$69*'Population Treasury'!AP$91*'Statistics NZ'!AP$398/('Population Treasury'!AO$91*'Statistics NZ'!AO$398)</f>
        <v>4944.8675976418681</v>
      </c>
      <c r="AF69" s="111">
        <f>AE$69*'Population Treasury'!AQ$91*'Statistics NZ'!AQ$398/('Population Treasury'!AP$91*'Statistics NZ'!AP$398)</f>
        <v>4781.1090268917051</v>
      </c>
      <c r="AG69" s="111">
        <f>AF$69*'Population Treasury'!AR$91*'Statistics NZ'!AR$398/('Population Treasury'!AQ$91*'Statistics NZ'!AQ$398)</f>
        <v>4690.4080888316703</v>
      </c>
      <c r="AH69" s="111">
        <f>AG$69*'Population Treasury'!AS$91*'Statistics NZ'!AS$398/('Population Treasury'!AR$91*'Statistics NZ'!AR$398)</f>
        <v>4521.2591594638143</v>
      </c>
      <c r="AI69" s="111">
        <f>AH$69*'Population Treasury'!AT$91*'Statistics NZ'!AT$398/('Population Treasury'!AS$91*'Statistics NZ'!AS$398)</f>
        <v>4342.2747918313426</v>
      </c>
      <c r="AJ69" s="111">
        <f>AI$69*'Population Treasury'!AU$91*'Statistics NZ'!AU$398/('Population Treasury'!AT$91*'Statistics NZ'!AT$398)</f>
        <v>4385.446157313414</v>
      </c>
      <c r="AK69" s="111">
        <f>AJ$69*'Population Treasury'!AV$91*'Statistics NZ'!AV$398/('Population Treasury'!AU$91*'Statistics NZ'!AU$398)</f>
        <v>4386.7140478536139</v>
      </c>
      <c r="AL69" s="111">
        <f>AK$69*'Population Treasury'!AW$91*'Statistics NZ'!AW$398/('Population Treasury'!AV$91*'Statistics NZ'!AV$398)</f>
        <v>4528.4722066778904</v>
      </c>
      <c r="AM69" s="111">
        <f>AL$69*'Population Treasury'!AX$91*'Statistics NZ'!AX$398/('Population Treasury'!AW$91*'Statistics NZ'!AW$398)</f>
        <v>4597.8724731020502</v>
      </c>
      <c r="AN69" s="111">
        <f>AM$69*'Population Treasury'!AY$91*'Statistics NZ'!AY$398/('Population Treasury'!AX$91*'Statistics NZ'!AX$398)</f>
        <v>4655.6480049219253</v>
      </c>
      <c r="AO69" s="111">
        <f>AN$69*'Population Treasury'!AZ$91*'Statistics NZ'!AZ$398/('Population Treasury'!AY$91*'Statistics NZ'!AY$398)</f>
        <v>4819.1405071245581</v>
      </c>
      <c r="AP69" s="111">
        <f>AO$69*'Population Treasury'!BA$91*'Statistics NZ'!BA$398/('Population Treasury'!AZ$91*'Statistics NZ'!AZ$398)</f>
        <v>4945.6594453019943</v>
      </c>
      <c r="AQ69" s="111">
        <f>AP$69*'Population Treasury'!BB$91*'Statistics NZ'!BB$398/('Population Treasury'!BA$91*'Statistics NZ'!BA$398)</f>
        <v>5057.0301947128046</v>
      </c>
      <c r="AR69" s="111">
        <f>AQ$69*'Population Treasury'!BC$91*'Statistics NZ'!BC$398/('Population Treasury'!BB$91*'Statistics NZ'!BB$398)</f>
        <v>5184.9751008265712</v>
      </c>
      <c r="AS69" s="111">
        <f>AR$69*'Population Treasury'!BD$91*'Statistics NZ'!BD$398/('Population Treasury'!BC$91*'Statistics NZ'!BC$398)</f>
        <v>5277.3060419983449</v>
      </c>
      <c r="AT69" s="111">
        <f>AS$69*'Population Treasury'!BE$91*'Statistics NZ'!BE$398/('Population Treasury'!BD$91*'Statistics NZ'!BD$398)</f>
        <v>5409.6848636124987</v>
      </c>
      <c r="AU69" s="111">
        <f>AT$69*'Population Treasury'!BF$91*'Statistics NZ'!BF$398/('Population Treasury'!BE$91*'Statistics NZ'!BE$398)</f>
        <v>5772.9713433941251</v>
      </c>
      <c r="AV69" s="111">
        <f>AU$69*'Population Treasury'!BG$91*'Statistics NZ'!BG$398/('Population Treasury'!BF$91*'Statistics NZ'!BF$398)</f>
        <v>5825.4694973272917</v>
      </c>
      <c r="AW69" s="111">
        <f>AV$69*'Population Treasury'!BH$91*'Statistics NZ'!BH$398/('Population Treasury'!BG$91*'Statistics NZ'!BG$398)</f>
        <v>6075.7935732609494</v>
      </c>
      <c r="AX69" s="111">
        <f>AW$69*'Population Treasury'!BI$91*'Statistics NZ'!BI$398/('Population Treasury'!BH$91*'Statistics NZ'!BH$398)</f>
        <v>6166.8479801547492</v>
      </c>
      <c r="AY69" s="111">
        <f>AX$69*'Population Treasury'!BJ$91*'Statistics NZ'!BJ$398/('Population Treasury'!BI$91*'Statistics NZ'!BI$398)</f>
        <v>6119.0050411699249</v>
      </c>
      <c r="AZ69" s="111">
        <f>AY$69*'Population Treasury'!BK$91*'Statistics NZ'!BK$398/('Population Treasury'!BJ$91*'Statistics NZ'!BJ$398)</f>
        <v>6023.5604965527291</v>
      </c>
      <c r="BA69" s="111">
        <f>AZ$69*'Population Treasury'!BL$91*'Statistics NZ'!BL$398/('Population Treasury'!BK$91*'Statistics NZ'!BK$398)</f>
        <v>5857.3834974323981</v>
      </c>
      <c r="BB69" s="195">
        <f>BA$69*'Population Treasury'!BM$91*'Statistics NZ'!BM$398/('Population Treasury'!BL$91*'Statistics NZ'!BL$398)</f>
        <v>5834.5042461991879</v>
      </c>
      <c r="BC69" s="195">
        <f>BB$69*'Population Treasury'!BN$91*'Statistics NZ'!BN$398/('Population Treasury'!BM$91*'Statistics NZ'!BM$398)</f>
        <v>5788.1958430766172</v>
      </c>
      <c r="BD69" s="195">
        <f>BC$69*'Population Treasury'!BO$91*'Statistics NZ'!BO$398/('Population Treasury'!BN$91*'Statistics NZ'!BN$398)</f>
        <v>5750.1413751202135</v>
      </c>
      <c r="BE69" s="195">
        <f>BD$69*'Population Treasury'!BP$91*'Statistics NZ'!BP$398/('Population Treasury'!BO$91*'Statistics NZ'!BO$398)</f>
        <v>5743.3936724672121</v>
      </c>
      <c r="BF69" s="195">
        <f>BE$69*'Population Treasury'!BQ$91*'Statistics NZ'!BQ$398/('Population Treasury'!BP$91*'Statistics NZ'!BP$398)</f>
        <v>5665.8907521203691</v>
      </c>
    </row>
    <row r="70" spans="1:58">
      <c r="A70" s="124">
        <v>75</v>
      </c>
      <c r="B70" s="118">
        <f>'Population Treasury'!M$92*'Statistics NZ'!M$399*'Economic Forecasts'!O$8/B$7</f>
        <v>1583.5043807916491</v>
      </c>
      <c r="C70" s="118">
        <f>'Population Treasury'!N$92*'Statistics NZ'!N$399*'Economic Forecasts'!P$8/C$7</f>
        <v>1455.7856766251475</v>
      </c>
      <c r="D70" s="118">
        <f>'Population Treasury'!O$92*'Statistics NZ'!O$399*'Economic Forecasts'!Q$8/D$7</f>
        <v>1646.3248211692792</v>
      </c>
      <c r="E70" s="203">
        <f>'Population Treasury'!P$92*'Statistics NZ'!P$399*'Economic Forecasts'!R$8/E$7</f>
        <v>1769.0755288993853</v>
      </c>
      <c r="F70" s="121">
        <f>'Population Treasury'!Q$92*'Statistics NZ'!Q$399*'Economic Forecasts'!S$8/F$7</f>
        <v>1919.9873371653985</v>
      </c>
      <c r="G70" s="121">
        <f>'Population Treasury'!R$92*'Statistics NZ'!R$399*'Economic Forecasts'!T$8/G$7</f>
        <v>2323.0466250007016</v>
      </c>
      <c r="H70" s="121">
        <f>'Population Treasury'!S$92*'Statistics NZ'!S$399*'Economic Forecasts'!U$8/H$7</f>
        <v>2400.5482307793695</v>
      </c>
      <c r="I70" s="121">
        <f>'Population Treasury'!T$92*'Statistics NZ'!T$399*'Economic Forecasts'!V$8/I$7</f>
        <v>2408.626975184151</v>
      </c>
      <c r="J70" s="205">
        <f>'Population Treasury'!U$92*'Statistics NZ'!U$399*'Economic Forecasts'!W$8/J$7</f>
        <v>2526.2215331932512</v>
      </c>
      <c r="K70" s="111">
        <f>J$70*'Population Treasury'!V$92*'Statistics NZ'!V$399/('Population Treasury'!U$92*'Statistics NZ'!U$399)</f>
        <v>2557.8053326675558</v>
      </c>
      <c r="L70" s="111">
        <f>K$70*'Population Treasury'!W$92*'Statistics NZ'!W$399/('Population Treasury'!V$92*'Statistics NZ'!V$399)</f>
        <v>2674.0438808838117</v>
      </c>
      <c r="M70" s="111">
        <f>L$70*'Population Treasury'!X$92*'Statistics NZ'!X$399/('Population Treasury'!W$92*'Statistics NZ'!W$399)</f>
        <v>2779.2965582095499</v>
      </c>
      <c r="N70" s="111">
        <f>M$70*'Population Treasury'!Y$92*'Statistics NZ'!Y$399/('Population Treasury'!X$92*'Statistics NZ'!X$399)</f>
        <v>2909.2261536612914</v>
      </c>
      <c r="O70" s="111">
        <f>N$70*'Population Treasury'!Z$92*'Statistics NZ'!Z$399/('Population Treasury'!Y$92*'Statistics NZ'!Y$399)</f>
        <v>3046.0201145128776</v>
      </c>
      <c r="P70" s="111">
        <f>O$70*'Population Treasury'!AA$92*'Statistics NZ'!AA$399/('Population Treasury'!Z$92*'Statistics NZ'!Z$399)</f>
        <v>3151.2770910287022</v>
      </c>
      <c r="Q70" s="111">
        <f>P$70*'Population Treasury'!AB$92*'Statistics NZ'!AB$399/('Population Treasury'!AA$92*'Statistics NZ'!AA$399)</f>
        <v>3253.0858005761179</v>
      </c>
      <c r="R70" s="111">
        <f>Q$70*'Population Treasury'!AC$92*'Statistics NZ'!AC$399/('Population Treasury'!AB$92*'Statistics NZ'!AB$399)</f>
        <v>3393.1219955405004</v>
      </c>
      <c r="S70" s="111">
        <f>R$70*'Population Treasury'!AD$92*'Statistics NZ'!AD$399/('Population Treasury'!AC$92*'Statistics NZ'!AC$399)</f>
        <v>3541.6260558997583</v>
      </c>
      <c r="T70" s="111">
        <f>S$70*'Population Treasury'!AE$92*'Statistics NZ'!AE$399/('Population Treasury'!AD$92*'Statistics NZ'!AD$399)</f>
        <v>3638.4667633152908</v>
      </c>
      <c r="U70" s="111">
        <f>T$70*'Population Treasury'!AF$92*'Statistics NZ'!AF$399/('Population Treasury'!AE$92*'Statistics NZ'!AE$399)</f>
        <v>3823.6722147995365</v>
      </c>
      <c r="V70" s="111">
        <f>U$70*'Population Treasury'!AG$92*'Statistics NZ'!AG$399/('Population Treasury'!AF$92*'Statistics NZ'!AF$399)</f>
        <v>3950.2107793825248</v>
      </c>
      <c r="W70" s="111">
        <f>V$70*'Population Treasury'!AH$92*'Statistics NZ'!AH$399/('Population Treasury'!AG$92*'Statistics NZ'!AG$399)</f>
        <v>4035.4239340157155</v>
      </c>
      <c r="X70" s="111">
        <f>W$70*'Population Treasury'!AI$92*'Statistics NZ'!AI$399/('Population Treasury'!AH$92*'Statistics NZ'!AH$399)</f>
        <v>3973.3672545836575</v>
      </c>
      <c r="Y70" s="111">
        <f>X$70*'Population Treasury'!AJ$92*'Statistics NZ'!AJ$399/('Population Treasury'!AI$92*'Statistics NZ'!AI$399)</f>
        <v>3891.7334614692531</v>
      </c>
      <c r="Z70" s="111">
        <f>Y$70*'Population Treasury'!AK$92*'Statistics NZ'!AK$399/('Population Treasury'!AJ$92*'Statistics NZ'!AJ$399)</f>
        <v>3852.9218963795629</v>
      </c>
      <c r="AA70" s="111">
        <f>Z$70*'Population Treasury'!AL$92*'Statistics NZ'!AL$399/('Population Treasury'!AK$92*'Statistics NZ'!AK$399)</f>
        <v>3927.9923001723846</v>
      </c>
      <c r="AB70" s="111">
        <f>AA$70*'Population Treasury'!AM$92*'Statistics NZ'!AM$399/('Population Treasury'!AL$92*'Statistics NZ'!AL$399)</f>
        <v>4028.1568662716272</v>
      </c>
      <c r="AC70" s="111">
        <f>AB$70*'Population Treasury'!AN$92*'Statistics NZ'!AN$399/('Population Treasury'!AM$92*'Statistics NZ'!AM$399)</f>
        <v>4120.2710098578564</v>
      </c>
      <c r="AD70" s="111">
        <f>AC$70*'Population Treasury'!AO$92*'Statistics NZ'!AO$399/('Population Treasury'!AN$92*'Statistics NZ'!AN$399)</f>
        <v>4107.0426814673438</v>
      </c>
      <c r="AE70" s="111">
        <f>AD$70*'Population Treasury'!AP$92*'Statistics NZ'!AP$399/('Population Treasury'!AO$92*'Statistics NZ'!AO$399)</f>
        <v>4291.1793229166533</v>
      </c>
      <c r="AF70" s="111">
        <f>AE$70*'Population Treasury'!AQ$92*'Statistics NZ'!AQ$399/('Population Treasury'!AP$92*'Statistics NZ'!AP$399)</f>
        <v>4252.9016431900445</v>
      </c>
      <c r="AG70" s="111">
        <f>AF$70*'Population Treasury'!AR$92*'Statistics NZ'!AR$399/('Population Treasury'!AQ$92*'Statistics NZ'!AQ$399)</f>
        <v>4116.3368081859262</v>
      </c>
      <c r="AH70" s="111">
        <f>AG$70*'Population Treasury'!AS$92*'Statistics NZ'!AS$399/('Population Treasury'!AR$92*'Statistics NZ'!AR$399)</f>
        <v>4041.9771529321692</v>
      </c>
      <c r="AI70" s="111">
        <f>AH$70*'Population Treasury'!AT$92*'Statistics NZ'!AT$399/('Population Treasury'!AS$92*'Statistics NZ'!AS$399)</f>
        <v>3893.9782333155972</v>
      </c>
      <c r="AJ70" s="111">
        <f>AI$70*'Population Treasury'!AU$92*'Statistics NZ'!AU$399/('Population Treasury'!AT$92*'Statistics NZ'!AT$399)</f>
        <v>3746.504341808145</v>
      </c>
      <c r="AK70" s="111">
        <f>AJ$70*'Population Treasury'!AV$92*'Statistics NZ'!AV$399/('Population Treasury'!AU$92*'Statistics NZ'!AU$399)</f>
        <v>3778.9793456388416</v>
      </c>
      <c r="AL70" s="111">
        <f>AK$70*'Population Treasury'!AW$92*'Statistics NZ'!AW$399/('Population Treasury'!AV$92*'Statistics NZ'!AV$399)</f>
        <v>3774.5520336789377</v>
      </c>
      <c r="AM70" s="111">
        <f>AL$70*'Population Treasury'!AX$92*'Statistics NZ'!AX$399/('Population Treasury'!AW$92*'Statistics NZ'!AW$399)</f>
        <v>3896.02197059019</v>
      </c>
      <c r="AN70" s="111">
        <f>AM$70*'Population Treasury'!AY$92*'Statistics NZ'!AY$399/('Population Treasury'!AX$92*'Statistics NZ'!AX$399)</f>
        <v>3961.8150543392762</v>
      </c>
      <c r="AO70" s="111">
        <f>AN$70*'Population Treasury'!AZ$92*'Statistics NZ'!AZ$399/('Population Treasury'!AY$92*'Statistics NZ'!AY$399)</f>
        <v>4008.3515821212945</v>
      </c>
      <c r="AP70" s="111">
        <f>AO$70*'Population Treasury'!BA$92*'Statistics NZ'!BA$399/('Population Treasury'!AZ$92*'Statistics NZ'!AZ$399)</f>
        <v>4147.3142597686456</v>
      </c>
      <c r="AQ70" s="111">
        <f>AP$70*'Population Treasury'!BB$92*'Statistics NZ'!BB$399/('Population Treasury'!BA$92*'Statistics NZ'!BA$399)</f>
        <v>4261.9642365954032</v>
      </c>
      <c r="AR70" s="111">
        <f>AQ$70*'Population Treasury'!BC$92*'Statistics NZ'!BC$399/('Population Treasury'!BB$92*'Statistics NZ'!BB$399)</f>
        <v>4360.6974474221788</v>
      </c>
      <c r="AS70" s="111">
        <f>AR$70*'Population Treasury'!BD$92*'Statistics NZ'!BD$399/('Population Treasury'!BC$92*'Statistics NZ'!BC$399)</f>
        <v>4460.855780496021</v>
      </c>
      <c r="AT70" s="111">
        <f>AS$70*'Population Treasury'!BE$92*'Statistics NZ'!BE$399/('Population Treasury'!BD$92*'Statistics NZ'!BD$399)</f>
        <v>4552.2253806600938</v>
      </c>
      <c r="AU70" s="111">
        <f>AT$70*'Population Treasury'!BF$92*'Statistics NZ'!BF$399/('Population Treasury'!BE$92*'Statistics NZ'!BE$399)</f>
        <v>4657.6132970594999</v>
      </c>
      <c r="AV70" s="111">
        <f>AU$70*'Population Treasury'!BG$92*'Statistics NZ'!BG$399/('Population Treasury'!BF$92*'Statistics NZ'!BF$399)</f>
        <v>4968.3958383103909</v>
      </c>
      <c r="AW70" s="111">
        <f>AV$70*'Population Treasury'!BH$92*'Statistics NZ'!BH$399/('Population Treasury'!BG$92*'Statistics NZ'!BG$399)</f>
        <v>5021.567216548</v>
      </c>
      <c r="AX70" s="111">
        <f>AW$70*'Population Treasury'!BI$92*'Statistics NZ'!BI$399/('Population Treasury'!BH$92*'Statistics NZ'!BH$399)</f>
        <v>5235.6759067610637</v>
      </c>
      <c r="AY70" s="111">
        <f>AX$70*'Population Treasury'!BJ$92*'Statistics NZ'!BJ$399/('Population Treasury'!BI$92*'Statistics NZ'!BI$399)</f>
        <v>5322.6000320109433</v>
      </c>
      <c r="AZ70" s="111">
        <f>AY$70*'Population Treasury'!BK$92*'Statistics NZ'!BK$399/('Population Treasury'!BJ$92*'Statistics NZ'!BJ$399)</f>
        <v>5281.8882809070619</v>
      </c>
      <c r="BA70" s="111">
        <f>AZ$70*'Population Treasury'!BL$92*'Statistics NZ'!BL$399/('Population Treasury'!BK$92*'Statistics NZ'!BK$399)</f>
        <v>5206.4611631636926</v>
      </c>
      <c r="BB70" s="195">
        <f>BA$70*'Population Treasury'!BM$92*'Statistics NZ'!BM$399/('Population Treasury'!BL$92*'Statistics NZ'!BL$399)</f>
        <v>5053.5272319156975</v>
      </c>
      <c r="BC70" s="195">
        <f>BB$70*'Population Treasury'!BN$92*'Statistics NZ'!BN$399/('Population Treasury'!BM$92*'Statistics NZ'!BM$399)</f>
        <v>5035.8626201177285</v>
      </c>
      <c r="BD70" s="195">
        <f>BC$70*'Population Treasury'!BO$92*'Statistics NZ'!BO$399/('Population Treasury'!BN$92*'Statistics NZ'!BN$399)</f>
        <v>5000.0584984794787</v>
      </c>
      <c r="BE70" s="195">
        <f>BD$70*'Population Treasury'!BP$92*'Statistics NZ'!BP$399/('Population Treasury'!BO$92*'Statistics NZ'!BO$399)</f>
        <v>4960.1554293864383</v>
      </c>
      <c r="BF70" s="195">
        <f>BE$70*'Population Treasury'!BQ$92*'Statistics NZ'!BQ$399/('Population Treasury'!BP$92*'Statistics NZ'!BP$399)</f>
        <v>4959.7496807867892</v>
      </c>
    </row>
    <row r="71" spans="1:58">
      <c r="A71" s="124">
        <v>76</v>
      </c>
      <c r="B71" s="118">
        <f>'Population Treasury'!M$93*'Statistics NZ'!M$400*'Economic Forecasts'!O$8/B$7</f>
        <v>1337.8170021384446</v>
      </c>
      <c r="C71" s="118">
        <f>'Population Treasury'!N$93*'Statistics NZ'!N$400*'Economic Forecasts'!P$8/C$7</f>
        <v>1422.0358526686766</v>
      </c>
      <c r="D71" s="118">
        <f>'Population Treasury'!O$93*'Statistics NZ'!O$400*'Economic Forecasts'!Q$8/D$7</f>
        <v>1278.8011106561332</v>
      </c>
      <c r="E71" s="203">
        <f>'Population Treasury'!P$93*'Statistics NZ'!P$400*'Economic Forecasts'!R$8/E$7</f>
        <v>1463.0088373931874</v>
      </c>
      <c r="F71" s="121">
        <f>'Population Treasury'!Q$93*'Statistics NZ'!Q$400*'Economic Forecasts'!S$8/F$7</f>
        <v>1587.8665609640368</v>
      </c>
      <c r="G71" s="121">
        <f>'Population Treasury'!R$93*'Statistics NZ'!R$400*'Economic Forecasts'!T$8/G$7</f>
        <v>1726.275064341793</v>
      </c>
      <c r="H71" s="121">
        <f>'Population Treasury'!S$93*'Statistics NZ'!S$400*'Economic Forecasts'!U$8/H$7</f>
        <v>2074.1739334934036</v>
      </c>
      <c r="I71" s="121">
        <f>'Population Treasury'!T$93*'Statistics NZ'!T$400*'Economic Forecasts'!V$8/I$7</f>
        <v>2144.5329393630623</v>
      </c>
      <c r="J71" s="205">
        <f>'Population Treasury'!U$93*'Statistics NZ'!U$400*'Economic Forecasts'!W$8/J$7</f>
        <v>2153.7800267805401</v>
      </c>
      <c r="K71" s="111">
        <f>J$71*'Population Treasury'!V$93*'Statistics NZ'!V$400/('Population Treasury'!U$93*'Statistics NZ'!U$400)</f>
        <v>2249.7413960536032</v>
      </c>
      <c r="L71" s="111">
        <f>K$71*'Population Treasury'!W$93*'Statistics NZ'!W$400/('Population Treasury'!V$93*'Statistics NZ'!V$400)</f>
        <v>2282.1896724020357</v>
      </c>
      <c r="M71" s="111">
        <f>L$71*'Population Treasury'!X$93*'Statistics NZ'!X$400/('Population Treasury'!W$93*'Statistics NZ'!W$400)</f>
        <v>2385.7721415515643</v>
      </c>
      <c r="N71" s="111">
        <f>M$71*'Population Treasury'!Y$93*'Statistics NZ'!Y$400/('Population Treasury'!X$93*'Statistics NZ'!X$400)</f>
        <v>2477.4553831192866</v>
      </c>
      <c r="O71" s="111">
        <f>N$71*'Population Treasury'!Z$93*'Statistics NZ'!Z$400/('Population Treasury'!Y$93*'Statistics NZ'!Y$400)</f>
        <v>2599.2659926120864</v>
      </c>
      <c r="P71" s="111">
        <f>O$71*'Population Treasury'!AA$93*'Statistics NZ'!AA$400/('Population Treasury'!Z$93*'Statistics NZ'!Z$400)</f>
        <v>2713.2574069852744</v>
      </c>
      <c r="Q71" s="111">
        <f>P$71*'Population Treasury'!AB$93*'Statistics NZ'!AB$400/('Population Treasury'!AA$93*'Statistics NZ'!AA$400)</f>
        <v>2806.7124027905033</v>
      </c>
      <c r="R71" s="111">
        <f>Q$71*'Population Treasury'!AC$93*'Statistics NZ'!AC$400/('Population Treasury'!AB$93*'Statistics NZ'!AB$400)</f>
        <v>2901.3416472761342</v>
      </c>
      <c r="S71" s="111">
        <f>R$71*'Population Treasury'!AD$93*'Statistics NZ'!AD$400/('Population Treasury'!AC$93*'Statistics NZ'!AC$400)</f>
        <v>3025.4757980999661</v>
      </c>
      <c r="T71" s="111">
        <f>S$71*'Population Treasury'!AE$93*'Statistics NZ'!AE$400/('Population Treasury'!AD$93*'Statistics NZ'!AD$400)</f>
        <v>3154.7867489806217</v>
      </c>
      <c r="U71" s="111">
        <f>T$71*'Population Treasury'!AF$93*'Statistics NZ'!AF$400/('Population Treasury'!AE$93*'Statistics NZ'!AE$400)</f>
        <v>3240.8771962637302</v>
      </c>
      <c r="V71" s="111">
        <f>U$71*'Population Treasury'!AG$93*'Statistics NZ'!AG$400/('Population Treasury'!AF$93*'Statistics NZ'!AF$400)</f>
        <v>3405.4837661359138</v>
      </c>
      <c r="W71" s="111">
        <f>V$71*'Population Treasury'!AH$93*'Statistics NZ'!AH$400/('Population Treasury'!AG$93*'Statistics NZ'!AG$400)</f>
        <v>3518.2212192044644</v>
      </c>
      <c r="X71" s="111">
        <f>W$71*'Population Treasury'!AI$93*'Statistics NZ'!AI$400/('Population Treasury'!AH$93*'Statistics NZ'!AH$400)</f>
        <v>3598.9952079936838</v>
      </c>
      <c r="Y71" s="111">
        <f>X$71*'Population Treasury'!AJ$93*'Statistics NZ'!AJ$400/('Population Treasury'!AI$93*'Statistics NZ'!AI$400)</f>
        <v>3537.8806198580605</v>
      </c>
      <c r="Z71" s="111">
        <f>Y$71*'Population Treasury'!AK$93*'Statistics NZ'!AK$400/('Population Treasury'!AJ$93*'Statistics NZ'!AJ$400)</f>
        <v>3473.829520401373</v>
      </c>
      <c r="AA71" s="111">
        <f>Z$71*'Population Treasury'!AL$93*'Statistics NZ'!AL$400/('Population Treasury'!AK$93*'Statistics NZ'!AK$400)</f>
        <v>3438.7342347611047</v>
      </c>
      <c r="AB71" s="111">
        <f>AA$71*'Population Treasury'!AM$93*'Statistics NZ'!AM$400/('Population Treasury'!AL$93*'Statistics NZ'!AL$400)</f>
        <v>3494.8685034590303</v>
      </c>
      <c r="AC71" s="111">
        <f>AB$71*'Population Treasury'!AN$93*'Statistics NZ'!AN$400/('Population Treasury'!AM$93*'Statistics NZ'!AM$400)</f>
        <v>3589.0365850248331</v>
      </c>
      <c r="AD71" s="111">
        <f>AC$71*'Population Treasury'!AO$93*'Statistics NZ'!AO$400/('Population Treasury'!AN$93*'Statistics NZ'!AN$400)</f>
        <v>3672.0489605425068</v>
      </c>
      <c r="AE71" s="111">
        <f>AD$71*'Population Treasury'!AP$93*'Statistics NZ'!AP$400/('Population Treasury'!AO$93*'Statistics NZ'!AO$400)</f>
        <v>3661.1458168909367</v>
      </c>
      <c r="AF71" s="111">
        <f>AE$71*'Population Treasury'!AQ$93*'Statistics NZ'!AQ$400/('Population Treasury'!AP$93*'Statistics NZ'!AP$400)</f>
        <v>3822.5652311509934</v>
      </c>
      <c r="AG71" s="111">
        <f>AF$71*'Population Treasury'!AR$93*'Statistics NZ'!AR$400/('Population Treasury'!AQ$93*'Statistics NZ'!AQ$400)</f>
        <v>3792.4210022469674</v>
      </c>
      <c r="AH71" s="111">
        <f>AG$71*'Population Treasury'!AS$93*'Statistics NZ'!AS$400/('Population Treasury'!AR$93*'Statistics NZ'!AR$400)</f>
        <v>3668.2769730242071</v>
      </c>
      <c r="AI71" s="111">
        <f>AH$71*'Population Treasury'!AT$93*'Statistics NZ'!AT$400/('Population Treasury'!AS$93*'Statistics NZ'!AS$400)</f>
        <v>3600.2840717916192</v>
      </c>
      <c r="AJ71" s="111">
        <f>AI$71*'Population Treasury'!AU$93*'Statistics NZ'!AU$400/('Population Treasury'!AT$93*'Statistics NZ'!AT$400)</f>
        <v>3475.5958143749267</v>
      </c>
      <c r="AK71" s="111">
        <f>AJ$71*'Population Treasury'!AV$93*'Statistics NZ'!AV$400/('Population Treasury'!AU$93*'Statistics NZ'!AU$400)</f>
        <v>3337.588596259161</v>
      </c>
      <c r="AL71" s="111">
        <f>AK$71*'Population Treasury'!AW$93*'Statistics NZ'!AW$400/('Population Treasury'!AV$93*'Statistics NZ'!AV$400)</f>
        <v>3371.1492433609183</v>
      </c>
      <c r="AM71" s="111">
        <f>AL$71*'Population Treasury'!AX$93*'Statistics NZ'!AX$400/('Population Treasury'!AW$93*'Statistics NZ'!AW$400)</f>
        <v>3361.7162663520876</v>
      </c>
      <c r="AN71" s="111">
        <f>AM$71*'Population Treasury'!AY$93*'Statistics NZ'!AY$400/('Population Treasury'!AX$93*'Statistics NZ'!AX$400)</f>
        <v>3475.4460010605294</v>
      </c>
      <c r="AO71" s="111">
        <f>AN$71*'Population Treasury'!AZ$93*'Statistics NZ'!AZ$400/('Population Treasury'!AY$93*'Statistics NZ'!AY$400)</f>
        <v>3524.7647954547883</v>
      </c>
      <c r="AP71" s="111">
        <f>AO$71*'Population Treasury'!BA$93*'Statistics NZ'!BA$400/('Population Treasury'!AZ$93*'Statistics NZ'!AZ$400)</f>
        <v>3580.3550115258809</v>
      </c>
      <c r="AQ71" s="111">
        <f>AP$71*'Population Treasury'!BB$93*'Statistics NZ'!BB$400/('Population Treasury'!BA$93*'Statistics NZ'!BA$400)</f>
        <v>3708.8020068906003</v>
      </c>
      <c r="AR71" s="111">
        <f>AQ$71*'Population Treasury'!BC$93*'Statistics NZ'!BC$400/('Population Treasury'!BB$93*'Statistics NZ'!BB$400)</f>
        <v>3800.0352611626436</v>
      </c>
      <c r="AS71" s="111">
        <f>AR$71*'Population Treasury'!BD$93*'Statistics NZ'!BD$400/('Population Treasury'!BC$93*'Statistics NZ'!BC$400)</f>
        <v>3886.745437415474</v>
      </c>
      <c r="AT71" s="111">
        <f>AS$71*'Population Treasury'!BE$93*'Statistics NZ'!BE$400/('Population Treasury'!BD$93*'Statistics NZ'!BD$400)</f>
        <v>3980.1435906735469</v>
      </c>
      <c r="AU71" s="111">
        <f>AT$71*'Population Treasury'!BF$93*'Statistics NZ'!BF$400/('Population Treasury'!BE$93*'Statistics NZ'!BE$400)</f>
        <v>4059.1425073225369</v>
      </c>
      <c r="AV71" s="111">
        <f>AU$71*'Population Treasury'!BG$93*'Statistics NZ'!BG$400/('Population Treasury'!BF$93*'Statistics NZ'!BF$400)</f>
        <v>4156.0409810538576</v>
      </c>
      <c r="AW71" s="111">
        <f>AV$71*'Population Treasury'!BH$93*'Statistics NZ'!BH$400/('Population Treasury'!BG$93*'Statistics NZ'!BG$400)</f>
        <v>4441.1149184329352</v>
      </c>
      <c r="AX71" s="111">
        <f>AW$71*'Population Treasury'!BI$93*'Statistics NZ'!BI$400/('Population Treasury'!BH$93*'Statistics NZ'!BH$400)</f>
        <v>4489.9679324372573</v>
      </c>
      <c r="AY71" s="111">
        <f>AX$71*'Population Treasury'!BJ$93*'Statistics NZ'!BJ$400/('Population Treasury'!BI$93*'Statistics NZ'!BI$400)</f>
        <v>4677.3877760245141</v>
      </c>
      <c r="AZ71" s="111">
        <f>AY$71*'Population Treasury'!BK$93*'Statistics NZ'!BK$400/('Population Treasury'!BJ$93*'Statistics NZ'!BJ$400)</f>
        <v>4755.7631273818088</v>
      </c>
      <c r="BA71" s="111">
        <f>AZ$71*'Population Treasury'!BL$93*'Statistics NZ'!BL$400/('Population Treasury'!BK$93*'Statistics NZ'!BK$400)</f>
        <v>4722.2295239194391</v>
      </c>
      <c r="BB71" s="195">
        <f>BA$71*'Population Treasury'!BM$93*'Statistics NZ'!BM$400/('Population Treasury'!BL$93*'Statistics NZ'!BL$400)</f>
        <v>4643.1310305039169</v>
      </c>
      <c r="BC71" s="195">
        <f>BB$71*'Population Treasury'!BN$93*'Statistics NZ'!BN$400/('Population Treasury'!BM$93*'Statistics NZ'!BM$400)</f>
        <v>4521.8171502235209</v>
      </c>
      <c r="BD71" s="195">
        <f>BC$71*'Population Treasury'!BO$93*'Statistics NZ'!BO$400/('Population Treasury'!BN$93*'Statistics NZ'!BN$400)</f>
        <v>4503.041251366064</v>
      </c>
      <c r="BE71" s="195">
        <f>BD$71*'Population Treasury'!BP$93*'Statistics NZ'!BP$400/('Population Treasury'!BO$93*'Statistics NZ'!BO$400)</f>
        <v>4468.5876793608613</v>
      </c>
      <c r="BF71" s="195">
        <f>BE$71*'Population Treasury'!BQ$93*'Statistics NZ'!BQ$400/('Population Treasury'!BP$93*'Statistics NZ'!BP$400)</f>
        <v>4437.8675076128711</v>
      </c>
    </row>
    <row r="72" spans="1:58">
      <c r="A72" s="124">
        <v>77</v>
      </c>
      <c r="B72" s="118">
        <f>'Population Treasury'!M$94*'Statistics NZ'!M$401*'Economic Forecasts'!O$8/B$7</f>
        <v>1146.3478206329464</v>
      </c>
      <c r="C72" s="118">
        <f>'Population Treasury'!N$94*'Statistics NZ'!N$401*'Economic Forecasts'!P$8/C$7</f>
        <v>1272.5302929595107</v>
      </c>
      <c r="D72" s="118">
        <f>'Population Treasury'!O$94*'Statistics NZ'!O$401*'Economic Forecasts'!Q$8/D$7</f>
        <v>1325.0473943597419</v>
      </c>
      <c r="E72" s="203">
        <f>'Population Treasury'!P$94*'Statistics NZ'!P$401*'Economic Forecasts'!R$8/E$7</f>
        <v>1204.6810174889397</v>
      </c>
      <c r="F72" s="121">
        <f>'Population Treasury'!Q$94*'Statistics NZ'!Q$401*'Economic Forecasts'!S$8/F$7</f>
        <v>1378.0610093856158</v>
      </c>
      <c r="G72" s="121">
        <f>'Population Treasury'!R$94*'Statistics NZ'!R$401*'Economic Forecasts'!T$8/G$7</f>
        <v>1502.2037097023667</v>
      </c>
      <c r="H72" s="121">
        <f>'Population Treasury'!S$94*'Statistics NZ'!S$401*'Economic Forecasts'!U$8/H$7</f>
        <v>1633.2056849733281</v>
      </c>
      <c r="I72" s="121">
        <f>'Population Treasury'!T$94*'Statistics NZ'!T$401*'Economic Forecasts'!V$8/I$7</f>
        <v>1959.2012166856625</v>
      </c>
      <c r="J72" s="205">
        <f>'Population Treasury'!U$94*'Statistics NZ'!U$401*'Economic Forecasts'!W$8/J$7</f>
        <v>2016.5996240895117</v>
      </c>
      <c r="K72" s="111">
        <f>J$72*'Population Treasury'!V$94*'Statistics NZ'!V$401/('Population Treasury'!U$94*'Statistics NZ'!U$401)</f>
        <v>2008.6427504659439</v>
      </c>
      <c r="L72" s="111">
        <f>K$72*'Population Treasury'!W$94*'Statistics NZ'!W$401/('Population Treasury'!V$94*'Statistics NZ'!V$401)</f>
        <v>2114.8053846575162</v>
      </c>
      <c r="M72" s="111">
        <f>L$72*'Population Treasury'!X$94*'Statistics NZ'!X$401/('Population Treasury'!W$94*'Statistics NZ'!W$401)</f>
        <v>2135.0271969018713</v>
      </c>
      <c r="N72" s="111">
        <f>M$72*'Population Treasury'!Y$94*'Statistics NZ'!Y$401/('Population Treasury'!X$94*'Statistics NZ'!X$401)</f>
        <v>2227.8148976248394</v>
      </c>
      <c r="O72" s="111">
        <f>N$72*'Population Treasury'!Z$94*'Statistics NZ'!Z$401/('Population Treasury'!Y$94*'Statistics NZ'!Y$401)</f>
        <v>2317.3790332510052</v>
      </c>
      <c r="P72" s="111">
        <f>O$72*'Population Treasury'!AA$94*'Statistics NZ'!AA$401/('Population Treasury'!Z$94*'Statistics NZ'!Z$401)</f>
        <v>2429.9184984764183</v>
      </c>
      <c r="Q72" s="111">
        <f>P$72*'Population Treasury'!AB$94*'Statistics NZ'!AB$401/('Population Treasury'!AA$94*'Statistics NZ'!AA$401)</f>
        <v>2531.487963418042</v>
      </c>
      <c r="R72" s="111">
        <f>Q$72*'Population Treasury'!AC$94*'Statistics NZ'!AC$401/('Population Treasury'!AB$94*'Statistics NZ'!AB$401)</f>
        <v>2626.3292146990129</v>
      </c>
      <c r="S72" s="111">
        <f>R$72*'Population Treasury'!AD$94*'Statistics NZ'!AD$401/('Population Treasury'!AC$94*'Statistics NZ'!AC$401)</f>
        <v>2710.5077457439947</v>
      </c>
      <c r="T72" s="111">
        <f>S$72*'Population Treasury'!AE$94*'Statistics NZ'!AE$401/('Population Treasury'!AD$94*'Statistics NZ'!AD$401)</f>
        <v>2820.5963597910254</v>
      </c>
      <c r="U72" s="111">
        <f>T$72*'Population Treasury'!AF$94*'Statistics NZ'!AF$401/('Population Treasury'!AE$94*'Statistics NZ'!AE$401)</f>
        <v>2951.1153294854003</v>
      </c>
      <c r="V72" s="111">
        <f>U$72*'Population Treasury'!AG$94*'Statistics NZ'!AG$401/('Population Treasury'!AF$94*'Statistics NZ'!AF$401)</f>
        <v>3027.7857168398887</v>
      </c>
      <c r="W72" s="111">
        <f>V$72*'Population Treasury'!AH$94*'Statistics NZ'!AH$401/('Population Treasury'!AG$94*'Statistics NZ'!AG$401)</f>
        <v>3179.8948970653705</v>
      </c>
      <c r="X72" s="111">
        <f>W$72*'Population Treasury'!AI$94*'Statistics NZ'!AI$401/('Population Treasury'!AH$94*'Statistics NZ'!AH$401)</f>
        <v>3281.2439745337156</v>
      </c>
      <c r="Y72" s="111">
        <f>X$72*'Population Treasury'!AJ$94*'Statistics NZ'!AJ$401/('Population Treasury'!AI$94*'Statistics NZ'!AI$401)</f>
        <v>3359.3272462078808</v>
      </c>
      <c r="Z72" s="111">
        <f>Y$72*'Population Treasury'!AK$94*'Statistics NZ'!AK$401/('Population Treasury'!AJ$94*'Statistics NZ'!AJ$401)</f>
        <v>3309.0297801186598</v>
      </c>
      <c r="AA72" s="111">
        <f>Z$72*'Population Treasury'!AL$94*'Statistics NZ'!AL$401/('Population Treasury'!AK$94*'Statistics NZ'!AK$401)</f>
        <v>3243.3825662765043</v>
      </c>
      <c r="AB72" s="111">
        <f>AA$72*'Population Treasury'!AM$94*'Statistics NZ'!AM$401/('Population Treasury'!AL$94*'Statistics NZ'!AL$401)</f>
        <v>3210.123870489429</v>
      </c>
      <c r="AC72" s="111">
        <f>AB$72*'Population Treasury'!AN$94*'Statistics NZ'!AN$401/('Population Treasury'!AM$94*'Statistics NZ'!AM$401)</f>
        <v>3267.1004854826319</v>
      </c>
      <c r="AD72" s="111">
        <f>AC$72*'Population Treasury'!AO$94*'Statistics NZ'!AO$401/('Population Treasury'!AN$94*'Statistics NZ'!AN$401)</f>
        <v>3349.7337739252175</v>
      </c>
      <c r="AE72" s="111">
        <f>AD$72*'Population Treasury'!AP$94*'Statistics NZ'!AP$401/('Population Treasury'!AO$94*'Statistics NZ'!AO$401)</f>
        <v>3421.2030785729803</v>
      </c>
      <c r="AF72" s="111">
        <f>AE$72*'Population Treasury'!AQ$94*'Statistics NZ'!AQ$401/('Population Treasury'!AP$94*'Statistics NZ'!AP$401)</f>
        <v>3421.83107021759</v>
      </c>
      <c r="AG72" s="111">
        <f>AF$72*'Population Treasury'!AR$94*'Statistics NZ'!AR$401/('Population Treasury'!AQ$94*'Statistics NZ'!AQ$401)</f>
        <v>3571.4453204234846</v>
      </c>
      <c r="AH72" s="111">
        <f>AG$72*'Population Treasury'!AS$94*'Statistics NZ'!AS$401/('Population Treasury'!AR$94*'Statistics NZ'!AR$401)</f>
        <v>3539.5023334418197</v>
      </c>
      <c r="AI72" s="111">
        <f>AH$72*'Population Treasury'!AT$94*'Statistics NZ'!AT$401/('Population Treasury'!AS$94*'Statistics NZ'!AS$401)</f>
        <v>3427.4138743178232</v>
      </c>
      <c r="AJ72" s="111">
        <f>AI$72*'Population Treasury'!AU$94*'Statistics NZ'!AU$401/('Population Treasury'!AT$94*'Statistics NZ'!AT$401)</f>
        <v>3358.5290677511853</v>
      </c>
      <c r="AK72" s="111">
        <f>AJ$72*'Population Treasury'!AV$94*'Statistics NZ'!AV$401/('Population Treasury'!AU$94*'Statistics NZ'!AU$401)</f>
        <v>3244.8023504035355</v>
      </c>
      <c r="AL72" s="111">
        <f>AK$72*'Population Treasury'!AW$94*'Statistics NZ'!AW$401/('Population Treasury'!AV$94*'Statistics NZ'!AV$401)</f>
        <v>3116.7784849856034</v>
      </c>
      <c r="AM72" s="111">
        <f>AL$72*'Population Treasury'!AX$94*'Statistics NZ'!AX$401/('Population Treasury'!AW$94*'Statistics NZ'!AW$401)</f>
        <v>3149.0618770227411</v>
      </c>
      <c r="AN72" s="111">
        <f>AM$72*'Population Treasury'!AY$94*'Statistics NZ'!AY$401/('Population Treasury'!AX$94*'Statistics NZ'!AX$401)</f>
        <v>3149.5121016586963</v>
      </c>
      <c r="AO72" s="111">
        <f>AN$72*'Population Treasury'!AZ$94*'Statistics NZ'!AZ$401/('Population Treasury'!AY$94*'Statistics NZ'!AY$401)</f>
        <v>3252.2508410023452</v>
      </c>
      <c r="AP72" s="111">
        <f>AO$72*'Population Treasury'!BA$94*'Statistics NZ'!BA$401/('Population Treasury'!AZ$94*'Statistics NZ'!AZ$401)</f>
        <v>3300.0454343106853</v>
      </c>
      <c r="AQ72" s="111">
        <f>AP$72*'Population Treasury'!BB$94*'Statistics NZ'!BB$401/('Population Treasury'!BA$94*'Statistics NZ'!BA$401)</f>
        <v>3345.9862352252198</v>
      </c>
      <c r="AR72" s="111">
        <f>AQ$72*'Population Treasury'!BC$94*'Statistics NZ'!BC$401/('Population Treasury'!BB$94*'Statistics NZ'!BB$401)</f>
        <v>3462.0131421689885</v>
      </c>
      <c r="AS72" s="111">
        <f>AR$72*'Population Treasury'!BD$94*'Statistics NZ'!BD$401/('Population Treasury'!BC$94*'Statistics NZ'!BC$401)</f>
        <v>3551.7896507028304</v>
      </c>
      <c r="AT72" s="111">
        <f>AS$72*'Population Treasury'!BE$94*'Statistics NZ'!BE$401/('Population Treasury'!BD$94*'Statistics NZ'!BD$401)</f>
        <v>3637.8570509800111</v>
      </c>
      <c r="AU72" s="111">
        <f>AT$72*'Population Treasury'!BF$94*'Statistics NZ'!BF$401/('Population Treasury'!BE$94*'Statistics NZ'!BE$401)</f>
        <v>3733.1125493654613</v>
      </c>
      <c r="AV72" s="111">
        <f>AU$72*'Population Treasury'!BG$94*'Statistics NZ'!BG$401/('Population Treasury'!BF$94*'Statistics NZ'!BF$401)</f>
        <v>3800.6513430739033</v>
      </c>
      <c r="AW72" s="111">
        <f>AV$72*'Population Treasury'!BH$94*'Statistics NZ'!BH$401/('Population Treasury'!BG$94*'Statistics NZ'!BG$401)</f>
        <v>3899.19900590317</v>
      </c>
      <c r="AX72" s="111">
        <f>AW$72*'Population Treasury'!BI$94*'Statistics NZ'!BI$401/('Population Treasury'!BH$94*'Statistics NZ'!BH$401)</f>
        <v>4159.7174987273938</v>
      </c>
      <c r="AY72" s="111">
        <f>AX$72*'Population Treasury'!BJ$94*'Statistics NZ'!BJ$401/('Population Treasury'!BI$94*'Statistics NZ'!BI$401)</f>
        <v>4201.101794546822</v>
      </c>
      <c r="AZ72" s="111">
        <f>AY$72*'Population Treasury'!BK$94*'Statistics NZ'!BK$401/('Population Treasury'!BJ$94*'Statistics NZ'!BJ$401)</f>
        <v>4380.473752392636</v>
      </c>
      <c r="BA72" s="111">
        <f>AZ$72*'Population Treasury'!BL$94*'Statistics NZ'!BL$401/('Population Treasury'!BK$94*'Statistics NZ'!BK$401)</f>
        <v>4452.7700674635862</v>
      </c>
      <c r="BB72" s="195">
        <f>BA$72*'Population Treasury'!BM$94*'Statistics NZ'!BM$401/('Population Treasury'!BL$94*'Statistics NZ'!BL$401)</f>
        <v>4417.6764228511192</v>
      </c>
      <c r="BC72" s="195">
        <f>BB$72*'Population Treasury'!BN$94*'Statistics NZ'!BN$401/('Population Treasury'!BM$94*'Statistics NZ'!BM$401)</f>
        <v>4352.0890453994634</v>
      </c>
      <c r="BD72" s="195">
        <f>BC$72*'Population Treasury'!BO$94*'Statistics NZ'!BO$401/('Population Treasury'!BN$94*'Statistics NZ'!BN$401)</f>
        <v>4233.5770095504904</v>
      </c>
      <c r="BE72" s="195">
        <f>BD$72*'Population Treasury'!BP$94*'Statistics NZ'!BP$401/('Population Treasury'!BO$94*'Statistics NZ'!BO$401)</f>
        <v>4222.6395862479512</v>
      </c>
      <c r="BF72" s="195">
        <f>BE$72*'Population Treasury'!BQ$94*'Statistics NZ'!BQ$401/('Population Treasury'!BP$94*'Statistics NZ'!BP$401)</f>
        <v>4185.5408125882177</v>
      </c>
    </row>
    <row r="73" spans="1:58">
      <c r="A73" s="124">
        <v>78</v>
      </c>
      <c r="B73" s="118">
        <f>'Population Treasury'!M$95*'Statistics NZ'!M$402*'Economic Forecasts'!O$8/B$7</f>
        <v>919.39573130119879</v>
      </c>
      <c r="C73" s="118">
        <f>'Population Treasury'!N$95*'Statistics NZ'!N$402*'Economic Forecasts'!P$8/C$7</f>
        <v>1038.7103389229774</v>
      </c>
      <c r="D73" s="118">
        <f>'Population Treasury'!O$95*'Statistics NZ'!O$402*'Economic Forecasts'!Q$8/D$7</f>
        <v>1128.5678617896278</v>
      </c>
      <c r="E73" s="203">
        <f>'Population Treasury'!P$95*'Statistics NZ'!P$402*'Economic Forecasts'!R$8/E$7</f>
        <v>1188.0914349433988</v>
      </c>
      <c r="F73" s="121">
        <f>'Population Treasury'!Q$95*'Statistics NZ'!Q$402*'Economic Forecasts'!S$8/F$7</f>
        <v>1090.6522559095392</v>
      </c>
      <c r="G73" s="121">
        <f>'Population Treasury'!R$95*'Statistics NZ'!R$402*'Economic Forecasts'!T$8/G$7</f>
        <v>1250.9399300618679</v>
      </c>
      <c r="H73" s="121">
        <f>'Population Treasury'!S$95*'Statistics NZ'!S$402*'Economic Forecasts'!U$8/H$7</f>
        <v>1359.5428894486863</v>
      </c>
      <c r="I73" s="121">
        <f>'Population Treasury'!T$95*'Statistics NZ'!T$402*'Economic Forecasts'!V$8/I$7</f>
        <v>1475.7298099179723</v>
      </c>
      <c r="J73" s="205">
        <f>'Population Treasury'!U$95*'Statistics NZ'!U$402*'Economic Forecasts'!W$8/J$7</f>
        <v>1773.9320728701921</v>
      </c>
      <c r="K73" s="111">
        <f>J$73*'Population Treasury'!V$95*'Statistics NZ'!V$402/('Population Treasury'!U$95*'Statistics NZ'!U$402)</f>
        <v>1822.1753850152977</v>
      </c>
      <c r="L73" s="111">
        <f>K$73*'Population Treasury'!W$95*'Statistics NZ'!W$402/('Population Treasury'!V$95*'Statistics NZ'!V$402)</f>
        <v>1815.6081529358939</v>
      </c>
      <c r="M73" s="111">
        <f>L$73*'Population Treasury'!X$95*'Statistics NZ'!X$402/('Population Treasury'!W$95*'Statistics NZ'!W$402)</f>
        <v>1898.5631657603517</v>
      </c>
      <c r="N73" s="111">
        <f>M$73*'Population Treasury'!Y$95*'Statistics NZ'!Y$402/('Population Treasury'!X$95*'Statistics NZ'!X$402)</f>
        <v>1928.7766626960113</v>
      </c>
      <c r="O73" s="111">
        <f>N$73*'Population Treasury'!Z$95*'Statistics NZ'!Z$402/('Population Treasury'!Y$95*'Statistics NZ'!Y$402)</f>
        <v>2010.4397652412647</v>
      </c>
      <c r="P73" s="111">
        <f>O$73*'Population Treasury'!AA$95*'Statistics NZ'!AA$402/('Population Treasury'!Z$95*'Statistics NZ'!Z$402)</f>
        <v>2088.2808464914492</v>
      </c>
      <c r="Q73" s="111">
        <f>P$73*'Population Treasury'!AB$95*'Statistics NZ'!AB$402/('Population Treasury'!AA$95*'Statistics NZ'!AA$402)</f>
        <v>2191.2195015291813</v>
      </c>
      <c r="R73" s="111">
        <f>Q$73*'Population Treasury'!AC$95*'Statistics NZ'!AC$402/('Population Treasury'!AB$95*'Statistics NZ'!AB$402)</f>
        <v>2290.135997840247</v>
      </c>
      <c r="S73" s="111">
        <f>R$73*'Population Treasury'!AD$95*'Statistics NZ'!AD$402/('Population Treasury'!AC$95*'Statistics NZ'!AC$402)</f>
        <v>2365.1126900266017</v>
      </c>
      <c r="T73" s="111">
        <f>S$73*'Population Treasury'!AE$95*'Statistics NZ'!AE$402/('Population Treasury'!AD$95*'Statistics NZ'!AD$402)</f>
        <v>2451.588584668938</v>
      </c>
      <c r="U73" s="111">
        <f>T$73*'Population Treasury'!AF$95*'Statistics NZ'!AF$402/('Population Treasury'!AE$95*'Statistics NZ'!AE$402)</f>
        <v>2544.5779127812311</v>
      </c>
      <c r="V73" s="111">
        <f>U$73*'Population Treasury'!AG$95*'Statistics NZ'!AG$402/('Population Treasury'!AF$95*'Statistics NZ'!AF$402)</f>
        <v>2666.6475244740018</v>
      </c>
      <c r="W73" s="111">
        <f>V$73*'Population Treasury'!AH$95*'Statistics NZ'!AH$402/('Population Treasury'!AG$95*'Statistics NZ'!AG$402)</f>
        <v>2731.6676815499459</v>
      </c>
      <c r="X73" s="111">
        <f>W$73*'Population Treasury'!AI$95*'Statistics NZ'!AI$402/('Population Treasury'!AH$95*'Statistics NZ'!AH$402)</f>
        <v>2873.6001202832513</v>
      </c>
      <c r="Y73" s="111">
        <f>X$73*'Population Treasury'!AJ$95*'Statistics NZ'!AJ$402/('Population Treasury'!AI$95*'Statistics NZ'!AI$402)</f>
        <v>2963.089344912381</v>
      </c>
      <c r="Z73" s="111">
        <f>Y$73*'Population Treasury'!AK$95*'Statistics NZ'!AK$402/('Population Treasury'!AJ$95*'Statistics NZ'!AJ$402)</f>
        <v>3037.94480393098</v>
      </c>
      <c r="AA73" s="111">
        <f>Z$73*'Population Treasury'!AL$95*'Statistics NZ'!AL$402/('Population Treasury'!AK$95*'Statistics NZ'!AK$402)</f>
        <v>2989.3599075420298</v>
      </c>
      <c r="AB73" s="111">
        <f>AA$73*'Population Treasury'!AM$95*'Statistics NZ'!AM$402/('Population Treasury'!AL$95*'Statistics NZ'!AL$402)</f>
        <v>2930.7581159186593</v>
      </c>
      <c r="AC73" s="111">
        <f>AB$73*'Population Treasury'!AN$95*'Statistics NZ'!AN$402/('Population Treasury'!AM$95*'Statistics NZ'!AM$402)</f>
        <v>2901.2278148886335</v>
      </c>
      <c r="AD73" s="111">
        <f>AC$73*'Population Treasury'!AO$95*'Statistics NZ'!AO$402/('Population Treasury'!AN$95*'Statistics NZ'!AN$402)</f>
        <v>2948.1568253122596</v>
      </c>
      <c r="AE73" s="111">
        <f>AD$73*'Population Treasury'!AP$95*'Statistics NZ'!AP$402/('Population Treasury'!AO$95*'Statistics NZ'!AO$402)</f>
        <v>3026.294151396452</v>
      </c>
      <c r="AF73" s="111">
        <f>AE$73*'Population Treasury'!AQ$95*'Statistics NZ'!AQ$402/('Population Treasury'!AP$95*'Statistics NZ'!AP$402)</f>
        <v>3097.8354448149698</v>
      </c>
      <c r="AG73" s="111">
        <f>AF$73*'Population Treasury'!AR$95*'Statistics NZ'!AR$402/('Population Treasury'!AQ$95*'Statistics NZ'!AQ$402)</f>
        <v>3089.7497093241286</v>
      </c>
      <c r="AH73" s="111">
        <f>AG$73*'Population Treasury'!AS$95*'Statistics NZ'!AS$402/('Population Treasury'!AR$95*'Statistics NZ'!AR$402)</f>
        <v>3228.6073489923497</v>
      </c>
      <c r="AI73" s="111">
        <f>AH$73*'Population Treasury'!AT$95*'Statistics NZ'!AT$402/('Population Treasury'!AS$95*'Statistics NZ'!AS$402)</f>
        <v>3203.4739907061521</v>
      </c>
      <c r="AJ73" s="111">
        <f>AI$73*'Population Treasury'!AU$95*'Statistics NZ'!AU$402/('Population Treasury'!AT$95*'Statistics NZ'!AT$402)</f>
        <v>3095.8626777624831</v>
      </c>
      <c r="AK73" s="111">
        <f>AJ$73*'Population Treasury'!AV$95*'Statistics NZ'!AV$402/('Population Treasury'!AU$95*'Statistics NZ'!AU$402)</f>
        <v>3043.8021569141715</v>
      </c>
      <c r="AL73" s="111">
        <f>AK$73*'Population Treasury'!AW$95*'Statistics NZ'!AW$402/('Population Treasury'!AV$95*'Statistics NZ'!AV$402)</f>
        <v>2931.8794603255224</v>
      </c>
      <c r="AM73" s="111">
        <f>AL$73*'Population Treasury'!AX$95*'Statistics NZ'!AX$402/('Population Treasury'!AW$95*'Statistics NZ'!AW$402)</f>
        <v>2825.0876534161521</v>
      </c>
      <c r="AN73" s="111">
        <f>AM$73*'Population Treasury'!AY$95*'Statistics NZ'!AY$402/('Population Treasury'!AX$95*'Statistics NZ'!AX$402)</f>
        <v>2845.8049522580009</v>
      </c>
      <c r="AO73" s="111">
        <f>AN$73*'Population Treasury'!AZ$95*'Statistics NZ'!AZ$402/('Population Treasury'!AY$95*'Statistics NZ'!AY$402)</f>
        <v>2842.4810183973677</v>
      </c>
      <c r="AP73" s="111">
        <f>AO$73*'Population Treasury'!BA$95*'Statistics NZ'!BA$402/('Population Treasury'!AZ$95*'Statistics NZ'!AZ$402)</f>
        <v>2946.3257159765426</v>
      </c>
      <c r="AQ73" s="111">
        <f>AP$73*'Population Treasury'!BB$95*'Statistics NZ'!BB$402/('Population Treasury'!BA$95*'Statistics NZ'!BA$402)</f>
        <v>2991.8856309952439</v>
      </c>
      <c r="AR73" s="111">
        <f>AQ$73*'Population Treasury'!BC$95*'Statistics NZ'!BC$402/('Population Treasury'!BB$95*'Statistics NZ'!BB$402)</f>
        <v>3026.9491925444745</v>
      </c>
      <c r="AS73" s="111">
        <f>AR$73*'Population Treasury'!BD$95*'Statistics NZ'!BD$402/('Population Treasury'!BC$95*'Statistics NZ'!BC$402)</f>
        <v>3141.0846214005051</v>
      </c>
      <c r="AT73" s="111">
        <f>AS$73*'Population Treasury'!BE$95*'Statistics NZ'!BE$402/('Population Treasury'!BD$95*'Statistics NZ'!BD$402)</f>
        <v>3220.8898961956015</v>
      </c>
      <c r="AU73" s="111">
        <f>AT$73*'Population Treasury'!BF$95*'Statistics NZ'!BF$402/('Population Treasury'!BE$95*'Statistics NZ'!BE$402)</f>
        <v>3294.3135936350009</v>
      </c>
      <c r="AV73" s="111">
        <f>AU$73*'Population Treasury'!BG$95*'Statistics NZ'!BG$402/('Population Treasury'!BF$95*'Statistics NZ'!BF$402)</f>
        <v>3381.645830430059</v>
      </c>
      <c r="AW73" s="111">
        <f>AV$73*'Population Treasury'!BH$95*'Statistics NZ'!BH$402/('Population Treasury'!BG$95*'Statistics NZ'!BG$402)</f>
        <v>3446.9153845236206</v>
      </c>
      <c r="AX73" s="111">
        <f>AW$73*'Population Treasury'!BI$95*'Statistics NZ'!BI$402/('Population Treasury'!BH$95*'Statistics NZ'!BH$402)</f>
        <v>3527.7619642459372</v>
      </c>
      <c r="AY73" s="111">
        <f>AX$73*'Population Treasury'!BJ$95*'Statistics NZ'!BJ$402/('Population Treasury'!BI$95*'Statistics NZ'!BI$402)</f>
        <v>3772.3882792918812</v>
      </c>
      <c r="AZ73" s="111">
        <f>AY$73*'Population Treasury'!BK$95*'Statistics NZ'!BK$402/('Population Treasury'!BJ$95*'Statistics NZ'!BJ$402)</f>
        <v>3807.7386381844071</v>
      </c>
      <c r="BA73" s="111">
        <f>AZ$73*'Population Treasury'!BL$95*'Statistics NZ'!BL$402/('Population Treasury'!BK$95*'Statistics NZ'!BK$402)</f>
        <v>3969.6193132455928</v>
      </c>
      <c r="BB73" s="195">
        <f>BA$73*'Population Treasury'!BM$95*'Statistics NZ'!BM$402/('Population Treasury'!BL$95*'Statistics NZ'!BL$402)</f>
        <v>4040.4128086861128</v>
      </c>
      <c r="BC73" s="195">
        <f>BB$73*'Population Treasury'!BN$95*'Statistics NZ'!BN$402/('Population Treasury'!BM$95*'Statistics NZ'!BM$402)</f>
        <v>4012.359518392765</v>
      </c>
      <c r="BD73" s="195">
        <f>BC$73*'Population Treasury'!BO$95*'Statistics NZ'!BO$402/('Population Treasury'!BN$95*'Statistics NZ'!BN$402)</f>
        <v>3953.4423515425528</v>
      </c>
      <c r="BE73" s="195">
        <f>BD$73*'Population Treasury'!BP$95*'Statistics NZ'!BP$402/('Population Treasury'!BO$95*'Statistics NZ'!BO$402)</f>
        <v>3845.678104035559</v>
      </c>
      <c r="BF73" s="195">
        <f>BE$73*'Population Treasury'!BQ$95*'Statistics NZ'!BQ$402/('Population Treasury'!BP$95*'Statistics NZ'!BP$402)</f>
        <v>3833.1221782696771</v>
      </c>
    </row>
    <row r="74" spans="1:58">
      <c r="A74" s="124">
        <v>79</v>
      </c>
      <c r="B74" s="118">
        <f>'Population Treasury'!M$96*'Statistics NZ'!M$403*'Economic Forecasts'!O$8/B$7</f>
        <v>756.36911569114068</v>
      </c>
      <c r="C74" s="118">
        <f>'Population Treasury'!N$96*'Statistics NZ'!N$403*'Economic Forecasts'!P$8/C$7</f>
        <v>830.98621154664579</v>
      </c>
      <c r="D74" s="118">
        <f>'Population Treasury'!O$96*'Statistics NZ'!O$403*'Economic Forecasts'!Q$8/D$7</f>
        <v>914.67622828808396</v>
      </c>
      <c r="E74" s="203">
        <f>'Population Treasury'!P$96*'Statistics NZ'!P$403*'Economic Forecasts'!R$8/E$7</f>
        <v>1004.3164159297045</v>
      </c>
      <c r="F74" s="121">
        <f>'Population Treasury'!Q$96*'Statistics NZ'!Q$403*'Economic Forecasts'!S$8/F$7</f>
        <v>1061.8591422561985</v>
      </c>
      <c r="G74" s="121">
        <f>'Population Treasury'!R$96*'Statistics NZ'!R$403*'Economic Forecasts'!T$8/G$7</f>
        <v>980.43702320474608</v>
      </c>
      <c r="H74" s="121">
        <f>'Population Treasury'!S$96*'Statistics NZ'!S$403*'Economic Forecasts'!U$8/H$7</f>
        <v>1125.8438925893477</v>
      </c>
      <c r="I74" s="121">
        <f>'Population Treasury'!T$96*'Statistics NZ'!T$403*'Economic Forecasts'!V$8/I$7</f>
        <v>1213.419048609019</v>
      </c>
      <c r="J74" s="205">
        <f>'Population Treasury'!U$96*'Statistics NZ'!U$403*'Economic Forecasts'!W$8/J$7</f>
        <v>1318.5201845850149</v>
      </c>
      <c r="K74" s="111">
        <f>J$74*'Population Treasury'!V$96*'Statistics NZ'!V$403/('Population Treasury'!U$96*'Statistics NZ'!U$403)</f>
        <v>1572.3772262013667</v>
      </c>
      <c r="L74" s="111">
        <f>K$74*'Population Treasury'!W$96*'Statistics NZ'!W$403/('Population Treasury'!V$96*'Statistics NZ'!V$403)</f>
        <v>1618.9152081206325</v>
      </c>
      <c r="M74" s="111">
        <f>L$74*'Population Treasury'!X$96*'Statistics NZ'!X$403/('Population Treasury'!W$96*'Statistics NZ'!W$403)</f>
        <v>1613.8491233471138</v>
      </c>
      <c r="N74" s="111">
        <f>M$74*'Population Treasury'!Y$96*'Statistics NZ'!Y$403/('Population Treasury'!X$96*'Statistics NZ'!X$403)</f>
        <v>1695.5718455311783</v>
      </c>
      <c r="O74" s="111">
        <f>N$74*'Population Treasury'!Z$96*'Statistics NZ'!Z$403/('Population Treasury'!Y$96*'Statistics NZ'!Y$403)</f>
        <v>1715.7152178152689</v>
      </c>
      <c r="P74" s="111">
        <f>O$74*'Population Treasury'!AA$96*'Statistics NZ'!AA$403/('Population Treasury'!Z$96*'Statistics NZ'!Z$403)</f>
        <v>1795.4818693260052</v>
      </c>
      <c r="Q74" s="111">
        <f>P$74*'Population Treasury'!AB$96*'Statistics NZ'!AB$403/('Population Treasury'!AA$96*'Statistics NZ'!AA$403)</f>
        <v>1860.77513668093</v>
      </c>
      <c r="R74" s="111">
        <f>Q$74*'Population Treasury'!AC$96*'Statistics NZ'!AC$403/('Population Treasury'!AB$96*'Statistics NZ'!AB$403)</f>
        <v>1945.9500712314409</v>
      </c>
      <c r="S74" s="111">
        <f>R$74*'Population Treasury'!AD$96*'Statistics NZ'!AD$403/('Population Treasury'!AC$96*'Statistics NZ'!AC$403)</f>
        <v>2033.005155205215</v>
      </c>
      <c r="T74" s="111">
        <f>S$74*'Population Treasury'!AE$96*'Statistics NZ'!AE$403/('Population Treasury'!AD$96*'Statistics NZ'!AD$403)</f>
        <v>2106.7849961197976</v>
      </c>
      <c r="U74" s="111">
        <f>T$74*'Population Treasury'!AF$96*'Statistics NZ'!AF$403/('Population Treasury'!AE$96*'Statistics NZ'!AE$403)</f>
        <v>2174.3785434505471</v>
      </c>
      <c r="V74" s="111">
        <f>U$74*'Population Treasury'!AG$96*'Statistics NZ'!AG$403/('Population Treasury'!AF$96*'Statistics NZ'!AF$403)</f>
        <v>2262.4535024375464</v>
      </c>
      <c r="W74" s="111">
        <f>V$74*'Population Treasury'!AH$96*'Statistics NZ'!AH$403/('Population Treasury'!AG$96*'Statistics NZ'!AG$403)</f>
        <v>2366.0364225832609</v>
      </c>
      <c r="X74" s="111">
        <f>W$74*'Population Treasury'!AI$96*'Statistics NZ'!AI$403/('Population Treasury'!AH$96*'Statistics NZ'!AH$403)</f>
        <v>2430.6531072442549</v>
      </c>
      <c r="Y74" s="111">
        <f>X$74*'Population Treasury'!AJ$96*'Statistics NZ'!AJ$403/('Population Treasury'!AI$96*'Statistics NZ'!AI$403)</f>
        <v>2551.3603559794501</v>
      </c>
      <c r="Z74" s="111">
        <f>Y$74*'Population Treasury'!AK$96*'Statistics NZ'!AK$403/('Population Treasury'!AJ$96*'Statistics NZ'!AJ$403)</f>
        <v>2637.2903659488966</v>
      </c>
      <c r="AA74" s="111">
        <f>Z$74*'Population Treasury'!AL$96*'Statistics NZ'!AL$403/('Population Treasury'!AK$96*'Statistics NZ'!AK$403)</f>
        <v>2689.3016623153198</v>
      </c>
      <c r="AB74" s="111">
        <f>AA$74*'Population Treasury'!AM$96*'Statistics NZ'!AM$403/('Population Treasury'!AL$96*'Statistics NZ'!AL$403)</f>
        <v>2651.7244131863158</v>
      </c>
      <c r="AC74" s="111">
        <f>AB$74*'Population Treasury'!AN$96*'Statistics NZ'!AN$403/('Population Treasury'!AM$96*'Statistics NZ'!AM$403)</f>
        <v>2601.0913728536148</v>
      </c>
      <c r="AD74" s="111">
        <f>AC$74*'Population Treasury'!AO$96*'Statistics NZ'!AO$403/('Population Treasury'!AN$96*'Statistics NZ'!AN$403)</f>
        <v>2574.433690973427</v>
      </c>
      <c r="AE74" s="111">
        <f>AD$74*'Population Treasury'!AP$96*'Statistics NZ'!AP$403/('Population Treasury'!AO$96*'Statistics NZ'!AO$403)</f>
        <v>2622.7667856145467</v>
      </c>
      <c r="AF74" s="111">
        <f>AE$74*'Population Treasury'!AQ$96*'Statistics NZ'!AQ$403/('Population Treasury'!AP$96*'Statistics NZ'!AP$403)</f>
        <v>2687.0223123273299</v>
      </c>
      <c r="AG74" s="111">
        <f>AF$74*'Population Treasury'!AR$96*'Statistics NZ'!AR$403/('Population Treasury'!AQ$96*'Statistics NZ'!AQ$403)</f>
        <v>2747.3631510438654</v>
      </c>
      <c r="AH74" s="111">
        <f>AG$74*'Population Treasury'!AS$96*'Statistics NZ'!AS$403/('Population Treasury'!AR$96*'Statistics NZ'!AR$403)</f>
        <v>2741.1035433314823</v>
      </c>
      <c r="AI74" s="111">
        <f>AH$74*'Population Treasury'!AT$96*'Statistics NZ'!AT$403/('Population Treasury'!AS$96*'Statistics NZ'!AS$403)</f>
        <v>2869.14976044179</v>
      </c>
      <c r="AJ74" s="111">
        <f>AI$74*'Population Treasury'!AU$96*'Statistics NZ'!AU$403/('Population Treasury'!AT$96*'Statistics NZ'!AT$403)</f>
        <v>2840.4466801494241</v>
      </c>
      <c r="AK74" s="111">
        <f>AJ$74*'Population Treasury'!AV$96*'Statistics NZ'!AV$403/('Population Treasury'!AU$96*'Statistics NZ'!AU$403)</f>
        <v>2756.88730164244</v>
      </c>
      <c r="AL74" s="111">
        <f>AK$74*'Population Treasury'!AW$96*'Statistics NZ'!AW$403/('Population Treasury'!AV$96*'Statistics NZ'!AV$403)</f>
        <v>2701.802238572543</v>
      </c>
      <c r="AM74" s="111">
        <f>AL$74*'Population Treasury'!AX$96*'Statistics NZ'!AX$403/('Population Treasury'!AW$96*'Statistics NZ'!AW$403)</f>
        <v>2611.444576977101</v>
      </c>
      <c r="AN74" s="111">
        <f>AM$74*'Population Treasury'!AY$96*'Statistics NZ'!AY$403/('Population Treasury'!AX$96*'Statistics NZ'!AX$403)</f>
        <v>2503.9003628389169</v>
      </c>
      <c r="AO74" s="111">
        <f>AN$74*'Population Treasury'!AZ$96*'Statistics NZ'!AZ$403/('Population Treasury'!AY$96*'Statistics NZ'!AY$403)</f>
        <v>2525.559779784267</v>
      </c>
      <c r="AP74" s="111">
        <f>AO$74*'Population Treasury'!BA$96*'Statistics NZ'!BA$403/('Population Treasury'!AZ$96*'Statistics NZ'!AZ$403)</f>
        <v>2529.8930916733684</v>
      </c>
      <c r="AQ74" s="111">
        <f>AP$74*'Population Treasury'!BB$96*'Statistics NZ'!BB$403/('Population Treasury'!BA$96*'Statistics NZ'!BA$403)</f>
        <v>2612.9752112350375</v>
      </c>
      <c r="AR74" s="111">
        <f>AQ$74*'Population Treasury'!BC$96*'Statistics NZ'!BC$403/('Population Treasury'!BB$96*'Statistics NZ'!BB$403)</f>
        <v>2655.0947385317268</v>
      </c>
      <c r="AS74" s="111">
        <f>AR$74*'Population Treasury'!BD$96*'Statistics NZ'!BD$403/('Population Treasury'!BC$96*'Statistics NZ'!BC$403)</f>
        <v>2700.3853972680463</v>
      </c>
      <c r="AT74" s="111">
        <f>AS$74*'Population Treasury'!BE$96*'Statistics NZ'!BE$403/('Population Treasury'!BD$96*'Statistics NZ'!BD$403)</f>
        <v>2792.5555916652947</v>
      </c>
      <c r="AU74" s="111">
        <f>AT$74*'Population Treasury'!BF$96*'Statistics NZ'!BF$403/('Population Treasury'!BE$96*'Statistics NZ'!BE$403)</f>
        <v>2860.2518722406708</v>
      </c>
      <c r="AV74" s="111">
        <f>AU$74*'Population Treasury'!BG$96*'Statistics NZ'!BG$403/('Population Treasury'!BF$96*'Statistics NZ'!BF$403)</f>
        <v>2932.7119790075194</v>
      </c>
      <c r="AW74" s="111">
        <f>AV$74*'Population Treasury'!BH$96*'Statistics NZ'!BH$403/('Population Treasury'!BG$96*'Statistics NZ'!BG$403)</f>
        <v>3011.394637541237</v>
      </c>
      <c r="AX74" s="111">
        <f>AW$74*'Population Treasury'!BI$96*'Statistics NZ'!BI$403/('Population Treasury'!BH$96*'Statistics NZ'!BH$403)</f>
        <v>3064.8654061047528</v>
      </c>
      <c r="AY74" s="111">
        <f>AX$74*'Population Treasury'!BJ$96*'Statistics NZ'!BJ$403/('Population Treasury'!BI$96*'Statistics NZ'!BI$403)</f>
        <v>3148.1523874935951</v>
      </c>
      <c r="AZ74" s="111">
        <f>AY$74*'Population Treasury'!BK$96*'Statistics NZ'!BK$403/('Population Treasury'!BJ$96*'Statistics NZ'!BJ$403)</f>
        <v>3356.8775215775227</v>
      </c>
      <c r="BA74" s="111">
        <f>AZ$74*'Population Treasury'!BL$96*'Statistics NZ'!BL$403/('Population Treasury'!BK$96*'Statistics NZ'!BK$403)</f>
        <v>3397.0813298756707</v>
      </c>
      <c r="BB74" s="195">
        <f>BA$74*'Population Treasury'!BM$96*'Statistics NZ'!BM$403/('Population Treasury'!BL$96*'Statistics NZ'!BL$403)</f>
        <v>3541.6778110764922</v>
      </c>
      <c r="BC74" s="195">
        <f>BB$74*'Population Treasury'!BN$96*'Statistics NZ'!BN$403/('Population Treasury'!BM$96*'Statistics NZ'!BM$403)</f>
        <v>3600.1412929686226</v>
      </c>
      <c r="BD74" s="195">
        <f>BC$74*'Population Treasury'!BO$96*'Statistics NZ'!BO$403/('Population Treasury'!BN$96*'Statistics NZ'!BN$403)</f>
        <v>3570.7534065231848</v>
      </c>
      <c r="BE74" s="195">
        <f>BD$74*'Population Treasury'!BP$96*'Statistics NZ'!BP$403/('Population Treasury'!BO$96*'Statistics NZ'!BO$403)</f>
        <v>3515.8657014159626</v>
      </c>
      <c r="BF74" s="195">
        <f>BE$74*'Population Treasury'!BQ$96*'Statistics NZ'!BQ$403/('Population Treasury'!BP$96*'Statistics NZ'!BP$403)</f>
        <v>3429.9068595885096</v>
      </c>
    </row>
    <row r="75" spans="1:58">
      <c r="A75" s="124" t="s">
        <v>1017</v>
      </c>
      <c r="B75" s="118">
        <f>SUM('Population Treasury'!M$97:M$107)*'Statistics NZ'!M$404*'Economic Forecasts'!O$8/B$7</f>
        <v>3987.7037166359569</v>
      </c>
      <c r="C75" s="118">
        <f>SUM('Population Treasury'!N$97:N$107)*'Statistics NZ'!N$404*'Economic Forecasts'!P$8/C$7</f>
        <v>4295.9187430270867</v>
      </c>
      <c r="D75" s="118">
        <f>SUM('Population Treasury'!O$97:O$107)*'Statistics NZ'!O$404*'Economic Forecasts'!Q$8/D$7</f>
        <v>4524.121883493659</v>
      </c>
      <c r="E75" s="203">
        <f>SUM('Population Treasury'!P$97:P$107)*'Statistics NZ'!P$404*'Economic Forecasts'!R$8/E$7</f>
        <v>4771.8826332948829</v>
      </c>
      <c r="F75" s="121">
        <f>SUM('Population Treasury'!Q$97:Q$107)*'Statistics NZ'!Q$404*'Economic Forecasts'!S$8/F$7</f>
        <v>5182.0208498290367</v>
      </c>
      <c r="G75" s="121">
        <f>SUM('Population Treasury'!R$97:R$107)*'Statistics NZ'!R$404*'Economic Forecasts'!T$8/G$7</f>
        <v>5622.9813813661149</v>
      </c>
      <c r="H75" s="121">
        <f>SUM('Population Treasury'!S$97:S$107)*'Statistics NZ'!S$404*'Economic Forecasts'!U$8/H$7</f>
        <v>5841.8032410387805</v>
      </c>
      <c r="I75" s="121">
        <f>SUM('Population Treasury'!T$97:T$107)*'Statistics NZ'!T$404*'Economic Forecasts'!V$8/I$7</f>
        <v>6254.011577905635</v>
      </c>
      <c r="J75" s="205">
        <f>SUM('Population Treasury'!U$97:U$107)*'Statistics NZ'!U$404*'Economic Forecasts'!W$8/J$7</f>
        <v>6665.5222389970995</v>
      </c>
      <c r="K75" s="111">
        <f>J$75*SUM('Population Treasury'!V$97:V$107)*'Statistics NZ'!V$404/(SUM('Population Treasury'!U$97:U$107)*'Statistics NZ'!U$404)</f>
        <v>7157.0238663426644</v>
      </c>
      <c r="L75" s="111">
        <f>K$75*SUM('Population Treasury'!W$97:W$107)*'Statistics NZ'!W$404/(SUM('Population Treasury'!V$97:V$107)*'Statistics NZ'!V$404)</f>
        <v>7743.8660978043572</v>
      </c>
      <c r="M75" s="111">
        <f>L$75*SUM('Population Treasury'!X$97:X$107)*'Statistics NZ'!X$404/(SUM('Population Treasury'!W$97:W$107)*'Statistics NZ'!W$404)</f>
        <v>8340.4889589207251</v>
      </c>
      <c r="N75" s="111">
        <f>M$75*SUM('Population Treasury'!Y$97:Y$107)*'Statistics NZ'!Y$404/(SUM('Population Treasury'!X$97:X$107)*'Statistics NZ'!X$404)</f>
        <v>8821.9540496520676</v>
      </c>
      <c r="O75" s="111">
        <f>N$75*SUM('Population Treasury'!Z$97:Z$107)*'Statistics NZ'!Z$404/(SUM('Population Treasury'!Y$97:Y$107)*'Statistics NZ'!Y$404)</f>
        <v>9310.0877455153841</v>
      </c>
      <c r="P75" s="111">
        <f>O$75*SUM('Population Treasury'!AA$97:AA$107)*'Statistics NZ'!AA$404/(SUM('Population Treasury'!Z$97:Z$107)*'Statistics NZ'!Z$404)</f>
        <v>9797.8116306133488</v>
      </c>
      <c r="Q75" s="111">
        <f>P$75*SUM('Population Treasury'!AB$97:AB$107)*'Statistics NZ'!AB$404/(SUM('Population Treasury'!AA$97:AA$107)*'Statistics NZ'!AA$404)</f>
        <v>10287.969173517837</v>
      </c>
      <c r="R75" s="111">
        <f>Q$75*SUM('Population Treasury'!AC$97:AC$107)*'Statistics NZ'!AC$404/(SUM('Population Treasury'!AB$97:AB$107)*'Statistics NZ'!AB$404)</f>
        <v>10787.386122882188</v>
      </c>
      <c r="S75" s="111">
        <f>R$75*SUM('Population Treasury'!AD$97:AD$107)*'Statistics NZ'!AD$404/(SUM('Population Treasury'!AC$97:AC$107)*'Statistics NZ'!AC$404)</f>
        <v>11275.390570244735</v>
      </c>
      <c r="T75" s="111">
        <f>S$75*SUM('Population Treasury'!AE$97:AE$107)*'Statistics NZ'!AE$404/(SUM('Population Treasury'!AD$97:AD$107)*'Statistics NZ'!AD$404)</f>
        <v>11870.602736592607</v>
      </c>
      <c r="U75" s="111">
        <f>T$75*SUM('Population Treasury'!AF$97:AF$107)*'Statistics NZ'!AF$404/(SUM('Population Treasury'!AE$97:AE$107)*'Statistics NZ'!AE$404)</f>
        <v>12362.058981918088</v>
      </c>
      <c r="V75" s="111">
        <f>U$75*SUM('Population Treasury'!AG$97:AG$107)*'Statistics NZ'!AG$404/(SUM('Population Treasury'!AF$97:AF$107)*'Statistics NZ'!AF$404)</f>
        <v>12942.367160449336</v>
      </c>
      <c r="W75" s="111">
        <f>V$75*SUM('Population Treasury'!AH$97:AH$107)*'Statistics NZ'!AH$404/(SUM('Population Treasury'!AG$97:AG$107)*'Statistics NZ'!AG$404)</f>
        <v>13445.763462615618</v>
      </c>
      <c r="X75" s="111">
        <f>W$75*SUM('Population Treasury'!AI$97:AI$107)*'Statistics NZ'!AI$404/(SUM('Population Treasury'!AH$97:AH$107)*'Statistics NZ'!AH$404)</f>
        <v>14037.923871702582</v>
      </c>
      <c r="Y75" s="111">
        <f>X$75*SUM('Population Treasury'!AJ$97:AJ$107)*'Statistics NZ'!AJ$404/(SUM('Population Treasury'!AI$97:AI$107)*'Statistics NZ'!AI$404)</f>
        <v>14632.100465816489</v>
      </c>
      <c r="Z75" s="111">
        <f>Y$75*SUM('Population Treasury'!AK$97:AK$107)*'Statistics NZ'!AK$404/(SUM('Population Treasury'!AJ$97:AJ$107)*'Statistics NZ'!AJ$404)</f>
        <v>15222.867675914345</v>
      </c>
      <c r="AA75" s="111">
        <f>Z$75*SUM('Population Treasury'!AL$97:AL$107)*'Statistics NZ'!AL$404/(SUM('Population Treasury'!AK$97:AK$107)*'Statistics NZ'!AK$404)</f>
        <v>15820.961867722501</v>
      </c>
      <c r="AB75" s="111">
        <f>AA$75*SUM('Population Treasury'!AM$97:AM$107)*'Statistics NZ'!AM$404/(SUM('Population Treasury'!AL$97:AL$107)*'Statistics NZ'!AL$404)</f>
        <v>16430.340488257592</v>
      </c>
      <c r="AC75" s="111">
        <f>AB$75*SUM('Population Treasury'!AN$97:AN$107)*'Statistics NZ'!AN$404/(SUM('Population Treasury'!AM$97:AM$107)*'Statistics NZ'!AM$404)</f>
        <v>16931.808344969802</v>
      </c>
      <c r="AD75" s="111">
        <f>AC$75*SUM('Population Treasury'!AO$97:AO$107)*'Statistics NZ'!AO$404/(SUM('Population Treasury'!AN$97:AN$107)*'Statistics NZ'!AN$404)</f>
        <v>17244.434433458657</v>
      </c>
      <c r="AE75" s="111">
        <f>AD$75*SUM('Population Treasury'!AP$97:AP$107)*'Statistics NZ'!AP$404/(SUM('Population Treasury'!AO$97:AO$107)*'Statistics NZ'!AO$404)</f>
        <v>17639.496944958657</v>
      </c>
      <c r="AF75" s="111">
        <f>AE$75*SUM('Population Treasury'!AQ$97:AQ$107)*'Statistics NZ'!AQ$404/(SUM('Population Treasury'!AP$97:AP$107)*'Statistics NZ'!AP$404)</f>
        <v>18020.996565548059</v>
      </c>
      <c r="AG75" s="111">
        <f>AF$75*SUM('Population Treasury'!AR$97:AR$107)*'Statistics NZ'!AR$404/(SUM('Population Treasury'!AQ$97:AQ$107)*'Statistics NZ'!AQ$404)</f>
        <v>18323.333564913555</v>
      </c>
      <c r="AH75" s="111">
        <f>AG$75*SUM('Population Treasury'!AS$97:AS$107)*'Statistics NZ'!AS$404/(SUM('Population Treasury'!AR$97:AR$107)*'Statistics NZ'!AR$404)</f>
        <v>18724.89673713177</v>
      </c>
      <c r="AI75" s="111">
        <f>AH$75*SUM('Population Treasury'!AT$97:AT$107)*'Statistics NZ'!AT$404/(SUM('Population Treasury'!AS$97:AS$107)*'Statistics NZ'!AS$404)</f>
        <v>19014.942219546469</v>
      </c>
      <c r="AJ75" s="111">
        <f>AI$75*SUM('Population Treasury'!AU$97:AU$107)*'Statistics NZ'!AU$404/(SUM('Population Treasury'!AT$97:AT$107)*'Statistics NZ'!AT$404)</f>
        <v>19406.122670242155</v>
      </c>
      <c r="AK75" s="111">
        <f>AJ$75*SUM('Population Treasury'!AV$97:AV$107)*'Statistics NZ'!AV$404/(SUM('Population Treasury'!AU$97:AU$107)*'Statistics NZ'!AU$404)</f>
        <v>19712.235148814791</v>
      </c>
      <c r="AL75" s="111">
        <f>AK$75*SUM('Population Treasury'!AW$97:AW$107)*'Statistics NZ'!AW$404/(SUM('Population Treasury'!AV$97:AV$107)*'Statistics NZ'!AV$404)</f>
        <v>19901.681806202581</v>
      </c>
      <c r="AM75" s="111">
        <f>AL$75*SUM('Population Treasury'!AX$97:AX$107)*'Statistics NZ'!AX$404/(SUM('Population Treasury'!AW$97:AW$107)*'Statistics NZ'!AW$404)</f>
        <v>20106.889612969808</v>
      </c>
      <c r="AN75" s="111">
        <f>AM$75*SUM('Population Treasury'!AY$97:AY$107)*'Statistics NZ'!AY$404/(SUM('Population Treasury'!AX$97:AX$107)*'Statistics NZ'!AX$404)</f>
        <v>20104.656819870019</v>
      </c>
      <c r="AO75" s="111">
        <f>AN$75*SUM('Population Treasury'!AZ$97:AZ$107)*'Statistics NZ'!AZ$404/(SUM('Population Treasury'!AY$97:AY$107)*'Statistics NZ'!AY$404)</f>
        <v>20103.422003826552</v>
      </c>
      <c r="AP75" s="111">
        <f>AO$75*SUM('Population Treasury'!BA$97:BA$107)*'Statistics NZ'!BA$404/(SUM('Population Treasury'!AZ$97:AZ$107)*'Statistics NZ'!AZ$404)</f>
        <v>20103.270503999946</v>
      </c>
      <c r="AQ75" s="111">
        <f>AP$75*SUM('Population Treasury'!BB$97:BB$107)*'Statistics NZ'!BB$404/(SUM('Population Treasury'!BA$97:BA$107)*'Statistics NZ'!BA$404)</f>
        <v>20019.40788231694</v>
      </c>
      <c r="AR75" s="111">
        <f>AQ$75*SUM('Population Treasury'!BC$97:BC$107)*'Statistics NZ'!BC$404/(SUM('Population Treasury'!BB$97:BB$107)*'Statistics NZ'!BB$404)</f>
        <v>20129.480309198862</v>
      </c>
      <c r="AS75" s="111">
        <f>AR$75*SUM('Population Treasury'!BD$97:BD$107)*'Statistics NZ'!BD$404/(SUM('Population Treasury'!BC$97:BC$107)*'Statistics NZ'!BC$404)</f>
        <v>20151.181811856331</v>
      </c>
      <c r="AT75" s="111">
        <f>AS$75*SUM('Population Treasury'!BE$97:BE$107)*'Statistics NZ'!BE$404/(SUM('Population Treasury'!BD$97:BD$107)*'Statistics NZ'!BD$404)</f>
        <v>20279.274178226169</v>
      </c>
      <c r="AU75" s="111">
        <f>AT$75*SUM('Population Treasury'!BF$97:BF$107)*'Statistics NZ'!BF$404/(SUM('Population Treasury'!BE$97:BE$107)*'Statistics NZ'!BE$404)</f>
        <v>20411.997046782162</v>
      </c>
      <c r="AV75" s="111">
        <f>AU$75*SUM('Population Treasury'!BG$97:BG$107)*'Statistics NZ'!BG$404/(SUM('Population Treasury'!BF$97:BF$107)*'Statistics NZ'!BF$404)</f>
        <v>20648.099559261289</v>
      </c>
      <c r="AW75" s="111">
        <f>AV$75*SUM('Population Treasury'!BH$97:BH$107)*'Statistics NZ'!BH$404/(SUM('Population Treasury'!BG$97:BG$107)*'Statistics NZ'!BG$404)</f>
        <v>20891.682036689974</v>
      </c>
      <c r="AX75" s="111">
        <f>AW$75*SUM('Population Treasury'!BI$97:BI$107)*'Statistics NZ'!BI$404/(SUM('Population Treasury'!BH$97:BH$107)*'Statistics NZ'!BH$404)</f>
        <v>21214.42823768704</v>
      </c>
      <c r="AY75" s="111">
        <f>AX$75*SUM('Population Treasury'!BJ$97:BJ$107)*'Statistics NZ'!BJ$404/(SUM('Population Treasury'!BI$97:BI$107)*'Statistics NZ'!BI$404)</f>
        <v>21544.817216145588</v>
      </c>
      <c r="AZ75" s="111">
        <f>AY$75*SUM('Population Treasury'!BK$97:BK$107)*'Statistics NZ'!BK$404/(SUM('Population Treasury'!BJ$97:BJ$107)*'Statistics NZ'!BJ$404)</f>
        <v>21960.314612677077</v>
      </c>
      <c r="BA75" s="111">
        <f>AZ$75*SUM('Population Treasury'!BL$97:BL$107)*'Statistics NZ'!BL$404/(SUM('Population Treasury'!BK$97:BK$107)*'Statistics NZ'!BK$404)</f>
        <v>22495.444449423991</v>
      </c>
      <c r="BB75" s="195">
        <f>BA$75*SUM('Population Treasury'!BM$97:BM$107)*'Statistics NZ'!BM$404/(SUM('Population Treasury'!BL$97:BL$107)*'Statistics NZ'!BL$404)</f>
        <v>22996.3579583717</v>
      </c>
      <c r="BC75" s="195">
        <f>BB$75*SUM('Population Treasury'!BN$97:BN$107)*'Statistics NZ'!BN$404/(SUM('Population Treasury'!BM$97:BM$107)*'Statistics NZ'!BM$404)</f>
        <v>23676.275809544979</v>
      </c>
      <c r="BD75" s="195">
        <f>BC$75*SUM('Population Treasury'!BO$97:BO$107)*'Statistics NZ'!BO$404/(SUM('Population Treasury'!BN$97:BN$107)*'Statistics NZ'!BN$404)</f>
        <v>24302.047123265296</v>
      </c>
      <c r="BE75" s="195">
        <f>BD$75*SUM('Population Treasury'!BP$97:BP$107)*'Statistics NZ'!BP$404/(SUM('Population Treasury'!BO$97:BO$107)*'Statistics NZ'!BO$404)</f>
        <v>24836.634339547065</v>
      </c>
      <c r="BF75" s="195">
        <f>BE$75*SUM('Population Treasury'!BQ$97:BQ$107)*'Statistics NZ'!BQ$404/(SUM('Population Treasury'!BP$97:BP$107)*'Statistics NZ'!BP$404)</f>
        <v>25335.775793989309</v>
      </c>
    </row>
    <row r="76" spans="1:58">
      <c r="A76" s="108" t="s">
        <v>1</v>
      </c>
      <c r="B76" s="119">
        <f>SUM(B$10:B$75)</f>
        <v>1262118.3981470091</v>
      </c>
      <c r="C76" s="119">
        <f t="shared" ref="C76:J76" si="8">SUM(C$10:C$75)</f>
        <v>1301493.3239370233</v>
      </c>
      <c r="D76" s="119">
        <f t="shared" si="8"/>
        <v>1311614.6916397479</v>
      </c>
      <c r="E76" s="156">
        <f t="shared" si="8"/>
        <v>1332320.8039020267</v>
      </c>
      <c r="F76" s="122">
        <f t="shared" si="8"/>
        <v>1348083.6435165838</v>
      </c>
      <c r="G76" s="122">
        <f t="shared" si="8"/>
        <v>1372835.544487136</v>
      </c>
      <c r="H76" s="122">
        <f t="shared" si="8"/>
        <v>1395145.4327418569</v>
      </c>
      <c r="I76" s="122">
        <f t="shared" si="8"/>
        <v>1417383.2458095539</v>
      </c>
      <c r="J76" s="157">
        <f t="shared" si="8"/>
        <v>1439670.0087437625</v>
      </c>
      <c r="K76" s="114">
        <f t="shared" ref="K76:BF76" si="9">SUM(K$10:K$75)</f>
        <v>1458437.5115281818</v>
      </c>
      <c r="L76" s="114">
        <f t="shared" si="9"/>
        <v>1476288.0099376433</v>
      </c>
      <c r="M76" s="114">
        <f t="shared" si="9"/>
        <v>1493260.7489659481</v>
      </c>
      <c r="N76" s="114">
        <f t="shared" si="9"/>
        <v>1509190.6582227198</v>
      </c>
      <c r="O76" s="114">
        <f t="shared" si="9"/>
        <v>1524054.1296616697</v>
      </c>
      <c r="P76" s="114">
        <f t="shared" si="9"/>
        <v>1538007.3595217126</v>
      </c>
      <c r="Q76" s="114">
        <f t="shared" si="9"/>
        <v>1550954.5235092901</v>
      </c>
      <c r="R76" s="114">
        <f t="shared" si="9"/>
        <v>1562776.523198236</v>
      </c>
      <c r="S76" s="114">
        <f t="shared" si="9"/>
        <v>1573415.7012321404</v>
      </c>
      <c r="T76" s="114">
        <f t="shared" si="9"/>
        <v>1583748.1042698855</v>
      </c>
      <c r="U76" s="114">
        <f t="shared" si="9"/>
        <v>1593412.6259948791</v>
      </c>
      <c r="V76" s="114">
        <f t="shared" si="9"/>
        <v>1602745.4737420355</v>
      </c>
      <c r="W76" s="114">
        <f t="shared" si="9"/>
        <v>1611575.648439545</v>
      </c>
      <c r="X76" s="114">
        <f t="shared" si="9"/>
        <v>1620133.9789108692</v>
      </c>
      <c r="Y76" s="114">
        <f t="shared" si="9"/>
        <v>1628539.9182592744</v>
      </c>
      <c r="Z76" s="114">
        <f t="shared" si="9"/>
        <v>1636805.9375452786</v>
      </c>
      <c r="AA76" s="114">
        <f t="shared" si="9"/>
        <v>1644743.7909097369</v>
      </c>
      <c r="AB76" s="114">
        <f t="shared" si="9"/>
        <v>1652733.7215928424</v>
      </c>
      <c r="AC76" s="114">
        <f t="shared" si="9"/>
        <v>1660429.8390972756</v>
      </c>
      <c r="AD76" s="114">
        <f t="shared" si="9"/>
        <v>1667987.9176443804</v>
      </c>
      <c r="AE76" s="114">
        <f t="shared" si="9"/>
        <v>1675429.6473955608</v>
      </c>
      <c r="AF76" s="114">
        <f t="shared" si="9"/>
        <v>1682572.8347108739</v>
      </c>
      <c r="AG76" s="114">
        <f t="shared" si="9"/>
        <v>1689134.5617872356</v>
      </c>
      <c r="AH76" s="114">
        <f t="shared" si="9"/>
        <v>1695565.1876180407</v>
      </c>
      <c r="AI76" s="114">
        <f t="shared" si="9"/>
        <v>1701360.8708233214</v>
      </c>
      <c r="AJ76" s="114">
        <f t="shared" si="9"/>
        <v>1706804.3079542886</v>
      </c>
      <c r="AK76" s="114">
        <f t="shared" si="9"/>
        <v>1711716.1039484637</v>
      </c>
      <c r="AL76" s="114">
        <f t="shared" si="9"/>
        <v>1716116.2657615137</v>
      </c>
      <c r="AM76" s="114">
        <f t="shared" si="9"/>
        <v>1720104.768239439</v>
      </c>
      <c r="AN76" s="114">
        <f t="shared" si="9"/>
        <v>1723609.1305933655</v>
      </c>
      <c r="AO76" s="114">
        <f t="shared" si="9"/>
        <v>1726823.9967509881</v>
      </c>
      <c r="AP76" s="114">
        <f t="shared" si="9"/>
        <v>1729785.5004396481</v>
      </c>
      <c r="AQ76" s="114">
        <f t="shared" si="9"/>
        <v>1732385.232742701</v>
      </c>
      <c r="AR76" s="114">
        <f t="shared" si="9"/>
        <v>1735029.4265750444</v>
      </c>
      <c r="AS76" s="114">
        <f t="shared" si="9"/>
        <v>1737400.9231259413</v>
      </c>
      <c r="AT76" s="114">
        <f t="shared" si="9"/>
        <v>1739895.7468303924</v>
      </c>
      <c r="AU76" s="114">
        <f t="shared" si="9"/>
        <v>1742242.712983215</v>
      </c>
      <c r="AV76" s="114">
        <f t="shared" si="9"/>
        <v>1744774.4982802651</v>
      </c>
      <c r="AW76" s="114">
        <f t="shared" si="9"/>
        <v>1747364.1890951586</v>
      </c>
      <c r="AX76" s="114">
        <f t="shared" si="9"/>
        <v>1749858.0020596511</v>
      </c>
      <c r="AY76" s="114">
        <f t="shared" si="9"/>
        <v>1752420.5475342823</v>
      </c>
      <c r="AZ76" s="114">
        <f t="shared" si="9"/>
        <v>1754988.3197789665</v>
      </c>
      <c r="BA76" s="114">
        <f t="shared" si="9"/>
        <v>1757456.7913807633</v>
      </c>
      <c r="BB76" s="200">
        <f t="shared" si="9"/>
        <v>1759611.8420543727</v>
      </c>
      <c r="BC76" s="200">
        <f t="shared" si="9"/>
        <v>1761907.9920116151</v>
      </c>
      <c r="BD76" s="200">
        <f t="shared" si="9"/>
        <v>1763696.0090662064</v>
      </c>
      <c r="BE76" s="200">
        <f t="shared" si="9"/>
        <v>1765312.3620347092</v>
      </c>
      <c r="BF76" s="200">
        <f t="shared" si="9"/>
        <v>1766564.2841409952</v>
      </c>
    </row>
    <row r="77" spans="1:58">
      <c r="A77" s="108" t="s">
        <v>1015</v>
      </c>
      <c r="B77" s="120"/>
      <c r="C77" s="120"/>
      <c r="D77" s="120"/>
      <c r="E77" s="204"/>
      <c r="F77" s="123"/>
      <c r="G77" s="123"/>
      <c r="H77" s="123"/>
      <c r="I77" s="123"/>
      <c r="J77" s="206"/>
    </row>
    <row r="78" spans="1:58">
      <c r="A78" s="124">
        <f>$A$10</f>
        <v>15</v>
      </c>
      <c r="B78" s="118">
        <f>'Population Treasury'!M$125*'Statistics NZ'!M$407*'Economic Forecasts'!O$8/B$7</f>
        <v>5696.0276661294829</v>
      </c>
      <c r="C78" s="118">
        <f>'Population Treasury'!N$125*'Statistics NZ'!N$407*'Economic Forecasts'!P$8/C$7</f>
        <v>5803.2478692358181</v>
      </c>
      <c r="D78" s="118">
        <f>'Population Treasury'!O$125*'Statistics NZ'!O$407*'Economic Forecasts'!Q$8/D$7</f>
        <v>5667.6843120344192</v>
      </c>
      <c r="E78" s="203">
        <f>'Population Treasury'!P$125*'Statistics NZ'!P$407*'Economic Forecasts'!R$8/E$7</f>
        <v>5585.8552200461281</v>
      </c>
      <c r="F78" s="121">
        <f>'Population Treasury'!Q$125*'Statistics NZ'!Q$407*'Economic Forecasts'!S$8/F$7</f>
        <v>5645.0605844493275</v>
      </c>
      <c r="G78" s="121">
        <f>'Population Treasury'!R$125*'Statistics NZ'!R$407*'Economic Forecasts'!T$8/G$7</f>
        <v>5942.9614116651219</v>
      </c>
      <c r="H78" s="121">
        <f>'Population Treasury'!S$125*'Statistics NZ'!S$407*'Economic Forecasts'!U$8/H$7</f>
        <v>6091.3069786195611</v>
      </c>
      <c r="I78" s="121">
        <f>'Population Treasury'!T$125*'Statistics NZ'!T$407*'Economic Forecasts'!V$8/I$7</f>
        <v>6180.8680323788949</v>
      </c>
      <c r="J78" s="205">
        <f>'Population Treasury'!U$125*'Statistics NZ'!U$407*'Economic Forecasts'!W$8/J$7</f>
        <v>6260.5573897711183</v>
      </c>
      <c r="K78" s="111">
        <f>J$78*'Population Treasury'!V$125*'Statistics NZ'!V$407/('Population Treasury'!U$125*'Statistics NZ'!U$407)</f>
        <v>6203.500691247229</v>
      </c>
      <c r="L78" s="111">
        <f>K$78*'Population Treasury'!W$125*'Statistics NZ'!W$407/('Population Treasury'!V$125*'Statistics NZ'!V$407)</f>
        <v>6172.2222972722047</v>
      </c>
      <c r="M78" s="111">
        <f>L$78*'Population Treasury'!X$125*'Statistics NZ'!X$407/('Population Treasury'!W$125*'Statistics NZ'!W$407)</f>
        <v>6114.1455752346474</v>
      </c>
      <c r="N78" s="111">
        <f>M$78*'Population Treasury'!Y$125*'Statistics NZ'!Y$407/('Population Treasury'!X$125*'Statistics NZ'!X$407)</f>
        <v>6043.6272167196166</v>
      </c>
      <c r="O78" s="111">
        <f>N$78*'Population Treasury'!Z$125*'Statistics NZ'!Z$407/('Population Treasury'!Y$125*'Statistics NZ'!Y$407)</f>
        <v>6025.8920680536203</v>
      </c>
      <c r="P78" s="111">
        <f>O$78*'Population Treasury'!AA$125*'Statistics NZ'!AA$407/('Population Treasury'!Z$125*'Statistics NZ'!Z$407)</f>
        <v>5957.7862785233947</v>
      </c>
      <c r="Q78" s="111">
        <f>P$78*'Population Treasury'!AB$125*'Statistics NZ'!AB$407/('Population Treasury'!AA$125*'Statistics NZ'!AA$407)</f>
        <v>5894.7722684426899</v>
      </c>
      <c r="R78" s="111">
        <f>Q$78*'Population Treasury'!AC$125*'Statistics NZ'!AC$407/('Population Treasury'!AB$125*'Statistics NZ'!AB$407)</f>
        <v>5752.9828477944211</v>
      </c>
      <c r="S78" s="111">
        <f>R$78*'Population Treasury'!AD$125*'Statistics NZ'!AD$407/('Population Treasury'!AC$125*'Statistics NZ'!AC$407)</f>
        <v>5729.5880723907458</v>
      </c>
      <c r="T78" s="111">
        <f>S$78*'Population Treasury'!AE$125*'Statistics NZ'!AE$407/('Population Treasury'!AD$125*'Statistics NZ'!AD$407)</f>
        <v>5599.3050344391322</v>
      </c>
      <c r="U78" s="111">
        <f>T$78*'Population Treasury'!AF$125*'Statistics NZ'!AF$407/('Population Treasury'!AE$125*'Statistics NZ'!AE$407)</f>
        <v>5549.7165782290876</v>
      </c>
      <c r="V78" s="111">
        <f>U$78*'Population Treasury'!AG$125*'Statistics NZ'!AG$407/('Population Treasury'!AF$125*'Statistics NZ'!AF$407)</f>
        <v>5525.5824059019724</v>
      </c>
      <c r="W78" s="111">
        <f>V$78*'Population Treasury'!AH$125*'Statistics NZ'!AH$407/('Population Treasury'!AG$125*'Statistics NZ'!AG$407)</f>
        <v>5492.576561875544</v>
      </c>
      <c r="X78" s="111">
        <f>W$78*'Population Treasury'!AI$125*'Statistics NZ'!AI$407/('Population Treasury'!AH$125*'Statistics NZ'!AH$407)</f>
        <v>5467.2473049671225</v>
      </c>
      <c r="Y78" s="111">
        <f>X$78*'Population Treasury'!AJ$125*'Statistics NZ'!AJ$407/('Population Treasury'!AI$125*'Statistics NZ'!AI$407)</f>
        <v>5466.9077339007936</v>
      </c>
      <c r="Z78" s="111">
        <f>Y$78*'Population Treasury'!AK$125*'Statistics NZ'!AK$407/('Population Treasury'!AJ$125*'Statistics NZ'!AJ$407)</f>
        <v>5469.2118778624736</v>
      </c>
      <c r="AA78" s="111">
        <f>Z$78*'Population Treasury'!AL$125*'Statistics NZ'!AL$407/('Population Treasury'!AK$125*'Statistics NZ'!AK$407)</f>
        <v>5465.969449671381</v>
      </c>
      <c r="AB78" s="111">
        <f>AA$78*'Population Treasury'!AM$125*'Statistics NZ'!AM$407/('Population Treasury'!AL$125*'Statistics NZ'!AL$407)</f>
        <v>5468.6758145069098</v>
      </c>
      <c r="AC78" s="111">
        <f>AB$78*'Population Treasury'!AN$125*'Statistics NZ'!AN$407/('Population Treasury'!AM$125*'Statistics NZ'!AM$407)</f>
        <v>5462.726717878998</v>
      </c>
      <c r="AD78" s="111">
        <f>AC$78*'Population Treasury'!AO$125*'Statistics NZ'!AO$407/('Population Treasury'!AN$125*'Statistics NZ'!AN$407)</f>
        <v>5452.7982422630221</v>
      </c>
      <c r="AE78" s="111">
        <f>AD$78*'Population Treasury'!AP$125*'Statistics NZ'!AP$407/('Population Treasury'!AO$125*'Statistics NZ'!AO$407)</f>
        <v>5456.0271222955889</v>
      </c>
      <c r="AF78" s="111">
        <f>AE$78*'Population Treasury'!AQ$125*'Statistics NZ'!AQ$407/('Population Treasury'!AP$125*'Statistics NZ'!AP$407)</f>
        <v>5457.6436133142297</v>
      </c>
      <c r="AG78" s="111">
        <f>AF$78*'Population Treasury'!AR$125*'Statistics NZ'!AR$407/('Population Treasury'!AQ$125*'Statistics NZ'!AQ$407)</f>
        <v>5459.2002847653621</v>
      </c>
      <c r="AH78" s="111">
        <f>AG$78*'Population Treasury'!AS$125*'Statistics NZ'!AS$407/('Population Treasury'!AR$125*'Statistics NZ'!AR$407)</f>
        <v>5459.0134674921719</v>
      </c>
      <c r="AI78" s="111">
        <f>AH$78*'Population Treasury'!AT$125*'Statistics NZ'!AT$407/('Population Treasury'!AS$125*'Statistics NZ'!AS$407)</f>
        <v>5476.4720922526612</v>
      </c>
      <c r="AJ78" s="111">
        <f>AI$78*'Population Treasury'!AU$125*'Statistics NZ'!AU$407/('Population Treasury'!AT$125*'Statistics NZ'!AT$407)</f>
        <v>5488.9725144266513</v>
      </c>
      <c r="AK78" s="111">
        <f>AJ$78*'Population Treasury'!AV$125*'Statistics NZ'!AV$407/('Population Treasury'!AU$125*'Statistics NZ'!AU$407)</f>
        <v>5507.0722744518926</v>
      </c>
      <c r="AL78" s="111">
        <f>AK$78*'Population Treasury'!AW$125*'Statistics NZ'!AW$407/('Population Treasury'!AV$125*'Statistics NZ'!AV$407)</f>
        <v>5530.8753008012563</v>
      </c>
      <c r="AM78" s="111">
        <f>AL$78*'Population Treasury'!AX$125*'Statistics NZ'!AX$407/('Population Treasury'!AW$125*'Statistics NZ'!AW$407)</f>
        <v>5549.6206480256405</v>
      </c>
      <c r="AN78" s="111">
        <f>AM$78*'Population Treasury'!AY$125*'Statistics NZ'!AY$407/('Population Treasury'!AX$125*'Statistics NZ'!AX$407)</f>
        <v>5574.1558392858797</v>
      </c>
      <c r="AO78" s="111">
        <f>AN$78*'Population Treasury'!AZ$125*'Statistics NZ'!AZ$407/('Population Treasury'!AY$125*'Statistics NZ'!AY$407)</f>
        <v>5604.6627294300852</v>
      </c>
      <c r="AP78" s="111">
        <f>AO$78*'Population Treasury'!BA$125*'Statistics NZ'!BA$407/('Population Treasury'!AZ$125*'Statistics NZ'!AZ$407)</f>
        <v>5619.5539064180412</v>
      </c>
      <c r="AQ78" s="111">
        <f>AP$78*'Population Treasury'!BB$125*'Statistics NZ'!BB$407/('Population Treasury'!BA$125*'Statistics NZ'!BA$407)</f>
        <v>5638.8425919083793</v>
      </c>
      <c r="AR78" s="111">
        <f>AQ$78*'Population Treasury'!BC$125*'Statistics NZ'!BC$407/('Population Treasury'!BB$125*'Statistics NZ'!BB$407)</f>
        <v>5644.2293367803877</v>
      </c>
      <c r="AS78" s="111">
        <f>AR$78*'Population Treasury'!BD$125*'Statistics NZ'!BD$407/('Population Treasury'!BC$125*'Statistics NZ'!BC$407)</f>
        <v>5654.0690003236932</v>
      </c>
      <c r="AT78" s="111">
        <f>AS$78*'Population Treasury'!BE$125*'Statistics NZ'!BE$407/('Population Treasury'!BD$125*'Statistics NZ'!BD$407)</f>
        <v>5650.0307706074045</v>
      </c>
      <c r="AU78" s="111">
        <f>AT$78*'Population Treasury'!BF$125*'Statistics NZ'!BF$407/('Population Treasury'!BE$125*'Statistics NZ'!BE$407)</f>
        <v>5642.9002696005164</v>
      </c>
      <c r="AV78" s="111">
        <f>AU$78*'Population Treasury'!BG$125*'Statistics NZ'!BG$407/('Population Treasury'!BF$125*'Statistics NZ'!BF$407)</f>
        <v>5640.0716763341479</v>
      </c>
      <c r="AW78" s="111">
        <f>AV$78*'Population Treasury'!BH$125*'Statistics NZ'!BH$407/('Population Treasury'!BG$125*'Statistics NZ'!BG$407)</f>
        <v>5625.0236247419998</v>
      </c>
      <c r="AX78" s="111">
        <f>AW$78*'Population Treasury'!BI$125*'Statistics NZ'!BI$407/('Population Treasury'!BH$125*'Statistics NZ'!BH$407)</f>
        <v>5606.8297800980208</v>
      </c>
      <c r="AY78" s="111">
        <f>AX$78*'Population Treasury'!BJ$125*'Statistics NZ'!BJ$407/('Population Treasury'!BI$125*'Statistics NZ'!BI$407)</f>
        <v>5588.6599776493067</v>
      </c>
      <c r="AZ78" s="111">
        <f>AY$78*'Population Treasury'!BK$125*'Statistics NZ'!BK$407/('Population Treasury'!BJ$125*'Statistics NZ'!BJ$407)</f>
        <v>5579.3799778419097</v>
      </c>
      <c r="BA78" s="111">
        <f>AZ$78*'Population Treasury'!BL$125*'Statistics NZ'!BL$407/('Population Treasury'!BK$125*'Statistics NZ'!BK$407)</f>
        <v>5562.7942886376386</v>
      </c>
      <c r="BB78" s="195">
        <f>BA$78*'Population Treasury'!BM$125*'Statistics NZ'!BM$407/('Population Treasury'!BL$125*'Statistics NZ'!BL$407)</f>
        <v>5547.8005940436851</v>
      </c>
      <c r="BC78" s="195">
        <f>BB$78*'Population Treasury'!BN$125*'Statistics NZ'!BN$407/('Population Treasury'!BM$125*'Statistics NZ'!BM$407)</f>
        <v>5528.8214693793025</v>
      </c>
      <c r="BD78" s="195">
        <f>BC$78*'Population Treasury'!BO$125*'Statistics NZ'!BO$407/('Population Treasury'!BN$125*'Statistics NZ'!BN$407)</f>
        <v>5523.3302387740951</v>
      </c>
      <c r="BE78" s="195">
        <f>BD$78*'Population Treasury'!BP$125*'Statistics NZ'!BP$407/('Population Treasury'!BO$125*'Statistics NZ'!BO$407)</f>
        <v>5513.8577292425571</v>
      </c>
      <c r="BF78" s="195">
        <f>BE$78*'Population Treasury'!BQ$125*'Statistics NZ'!BQ$407/('Population Treasury'!BP$125*'Statistics NZ'!BP$407)</f>
        <v>5510.6919408511912</v>
      </c>
    </row>
    <row r="79" spans="1:58">
      <c r="A79" s="124">
        <f>$A$11</f>
        <v>16</v>
      </c>
      <c r="B79" s="118">
        <f>'Population Treasury'!M$126*'Statistics NZ'!M$408*'Economic Forecasts'!O$8/B$7</f>
        <v>11751.316070990701</v>
      </c>
      <c r="C79" s="118">
        <f>'Population Treasury'!N$126*'Statistics NZ'!N$408*'Economic Forecasts'!P$8/C$7</f>
        <v>11647.017727041421</v>
      </c>
      <c r="D79" s="118">
        <f>'Population Treasury'!O$126*'Statistics NZ'!O$408*'Economic Forecasts'!Q$8/D$7</f>
        <v>11786.478242616204</v>
      </c>
      <c r="E79" s="203">
        <f>'Population Treasury'!P$126*'Statistics NZ'!P$408*'Economic Forecasts'!R$8/E$7</f>
        <v>11750.680723200128</v>
      </c>
      <c r="F79" s="121">
        <f>'Population Treasury'!Q$126*'Statistics NZ'!Q$408*'Economic Forecasts'!S$8/F$7</f>
        <v>11787.02936731109</v>
      </c>
      <c r="G79" s="121">
        <f>'Population Treasury'!R$126*'Statistics NZ'!R$408*'Economic Forecasts'!T$8/G$7</f>
        <v>12204.71749574253</v>
      </c>
      <c r="H79" s="121">
        <f>'Population Treasury'!S$126*'Statistics NZ'!S$408*'Economic Forecasts'!U$8/H$7</f>
        <v>13049.173249437208</v>
      </c>
      <c r="I79" s="121">
        <f>'Population Treasury'!T$126*'Statistics NZ'!T$408*'Economic Forecasts'!V$8/I$7</f>
        <v>13634.321764881655</v>
      </c>
      <c r="J79" s="205">
        <f>'Population Treasury'!U$126*'Statistics NZ'!U$408*'Economic Forecasts'!W$8/J$7</f>
        <v>14046.209241765544</v>
      </c>
      <c r="K79" s="111">
        <f>J$79*'Population Treasury'!V$126*'Statistics NZ'!V$408/('Population Treasury'!U$126*'Statistics NZ'!U$408)</f>
        <v>14401.646221810799</v>
      </c>
      <c r="L79" s="111">
        <f>K$79*'Population Treasury'!W$126*'Statistics NZ'!W$408/('Population Treasury'!V$126*'Statistics NZ'!V$408)</f>
        <v>14453.90521986965</v>
      </c>
      <c r="M79" s="111">
        <f>L$79*'Population Treasury'!X$126*'Statistics NZ'!X$408/('Population Treasury'!W$126*'Statistics NZ'!W$408)</f>
        <v>14524.561367203456</v>
      </c>
      <c r="N79" s="111">
        <f>M$79*'Population Treasury'!Y$126*'Statistics NZ'!Y$408/('Population Treasury'!X$126*'Statistics NZ'!X$408)</f>
        <v>14530.665188965033</v>
      </c>
      <c r="O79" s="111">
        <f>N$79*'Population Treasury'!Z$126*'Statistics NZ'!Z$408/('Population Treasury'!Y$126*'Statistics NZ'!Y$408)</f>
        <v>14504.116885292347</v>
      </c>
      <c r="P79" s="111">
        <f>O$79*'Population Treasury'!AA$126*'Statistics NZ'!AA$408/('Population Treasury'!Z$126*'Statistics NZ'!Z$408)</f>
        <v>14558.834646254505</v>
      </c>
      <c r="Q79" s="111">
        <f>P$79*'Population Treasury'!AB$126*'Statistics NZ'!AB$408/('Population Treasury'!AA$126*'Statistics NZ'!AA$408)</f>
        <v>14503.581468197572</v>
      </c>
      <c r="R79" s="111">
        <f>Q$79*'Population Treasury'!AC$126*'Statistics NZ'!AC$408/('Population Treasury'!AB$126*'Statistics NZ'!AB$408)</f>
        <v>14465.026338203072</v>
      </c>
      <c r="S79" s="111">
        <f>R$79*'Population Treasury'!AD$126*'Statistics NZ'!AD$408/('Population Treasury'!AC$126*'Statistics NZ'!AC$408)</f>
        <v>14210.719496628555</v>
      </c>
      <c r="T79" s="111">
        <f>S$79*'Population Treasury'!AE$126*'Statistics NZ'!AE$408/('Population Treasury'!AD$126*'Statistics NZ'!AD$408)</f>
        <v>14240.604176421604</v>
      </c>
      <c r="U79" s="111">
        <f>T$79*'Population Treasury'!AF$126*'Statistics NZ'!AF$408/('Population Treasury'!AE$126*'Statistics NZ'!AE$408)</f>
        <v>14009.002538276278</v>
      </c>
      <c r="V79" s="111">
        <f>U$79*'Population Treasury'!AG$126*'Statistics NZ'!AG$408/('Population Treasury'!AF$126*'Statistics NZ'!AF$408)</f>
        <v>13957.515807259571</v>
      </c>
      <c r="W79" s="111">
        <f>V$79*'Population Treasury'!AH$126*'Statistics NZ'!AH$408/('Population Treasury'!AG$126*'Statistics NZ'!AG$408)</f>
        <v>13977.33044328404</v>
      </c>
      <c r="X79" s="111">
        <f>W$79*'Population Treasury'!AI$126*'Statistics NZ'!AI$408/('Population Treasury'!AH$126*'Statistics NZ'!AH$408)</f>
        <v>13977.742068000536</v>
      </c>
      <c r="Y79" s="111">
        <f>X$79*'Population Treasury'!AJ$126*'Statistics NZ'!AJ$408/('Population Treasury'!AI$126*'Statistics NZ'!AI$408)</f>
        <v>13959.34616036548</v>
      </c>
      <c r="Z79" s="111">
        <f>Y$79*'Population Treasury'!AK$126*'Statistics NZ'!AK$408/('Population Treasury'!AJ$126*'Statistics NZ'!AJ$408)</f>
        <v>14028.104619463566</v>
      </c>
      <c r="AA79" s="111">
        <f>Z$79*'Population Treasury'!AL$126*'Statistics NZ'!AL$408/('Population Treasury'!AK$126*'Statistics NZ'!AK$408)</f>
        <v>14074.36009191771</v>
      </c>
      <c r="AB79" s="111">
        <f>AA$79*'Population Treasury'!AM$126*'Statistics NZ'!AM$408/('Population Treasury'!AL$126*'Statistics NZ'!AL$408)</f>
        <v>14116.227215452538</v>
      </c>
      <c r="AC79" s="111">
        <f>AB$79*'Population Treasury'!AN$126*'Statistics NZ'!AN$408/('Population Treasury'!AM$126*'Statistics NZ'!AM$408)</f>
        <v>14135.836305822846</v>
      </c>
      <c r="AD79" s="111">
        <f>AC$79*'Population Treasury'!AO$126*'Statistics NZ'!AO$408/('Population Treasury'!AN$126*'Statistics NZ'!AN$408)</f>
        <v>14163.258775115084</v>
      </c>
      <c r="AE79" s="111">
        <f>AD$79*'Population Treasury'!AP$126*'Statistics NZ'!AP$408/('Population Treasury'!AO$126*'Statistics NZ'!AO$408)</f>
        <v>14176.59686149805</v>
      </c>
      <c r="AF79" s="111">
        <f>AE$79*'Population Treasury'!AQ$126*'Statistics NZ'!AQ$408/('Population Treasury'!AP$126*'Statistics NZ'!AP$408)</f>
        <v>14208.329179439876</v>
      </c>
      <c r="AG79" s="111">
        <f>AF$79*'Population Treasury'!AR$126*'Statistics NZ'!AR$408/('Population Treasury'!AQ$126*'Statistics NZ'!AQ$408)</f>
        <v>14225.934044144693</v>
      </c>
      <c r="AH79" s="111">
        <f>AG$79*'Population Treasury'!AS$126*'Statistics NZ'!AS$408/('Population Treasury'!AR$126*'Statistics NZ'!AR$408)</f>
        <v>14253.999471995401</v>
      </c>
      <c r="AI79" s="111">
        <f>AH$79*'Population Treasury'!AT$126*'Statistics NZ'!AT$408/('Population Treasury'!AS$126*'Statistics NZ'!AS$408)</f>
        <v>14288.410993779935</v>
      </c>
      <c r="AJ79" s="111">
        <f>AI$79*'Population Treasury'!AU$126*'Statistics NZ'!AU$408/('Population Treasury'!AT$126*'Statistics NZ'!AT$408)</f>
        <v>14324.92414379328</v>
      </c>
      <c r="AK79" s="111">
        <f>AJ$79*'Population Treasury'!AV$126*'Statistics NZ'!AV$408/('Population Treasury'!AU$126*'Statistics NZ'!AU$408)</f>
        <v>14380.358142782754</v>
      </c>
      <c r="AL79" s="111">
        <f>AK$79*'Population Treasury'!AW$126*'Statistics NZ'!AW$408/('Population Treasury'!AV$126*'Statistics NZ'!AV$408)</f>
        <v>14444.254091340554</v>
      </c>
      <c r="AM79" s="111">
        <f>AL$79*'Population Treasury'!AX$126*'Statistics NZ'!AX$408/('Population Treasury'!AW$126*'Statistics NZ'!AW$408)</f>
        <v>14506.007689579519</v>
      </c>
      <c r="AN79" s="111">
        <f>AM$79*'Population Treasury'!AY$126*'Statistics NZ'!AY$408/('Population Treasury'!AX$126*'Statistics NZ'!AX$408)</f>
        <v>14576.150270577929</v>
      </c>
      <c r="AO79" s="111">
        <f>AN$79*'Population Treasury'!AZ$126*'Statistics NZ'!AZ$408/('Population Treasury'!AY$126*'Statistics NZ'!AY$408)</f>
        <v>14644.227025384678</v>
      </c>
      <c r="AP79" s="111">
        <f>AO$79*'Population Treasury'!BA$126*'Statistics NZ'!BA$408/('Population Treasury'!AZ$126*'Statistics NZ'!AZ$408)</f>
        <v>14710.58492868348</v>
      </c>
      <c r="AQ79" s="111">
        <f>AP$79*'Population Treasury'!BB$126*'Statistics NZ'!BB$408/('Population Treasury'!BA$126*'Statistics NZ'!BA$408)</f>
        <v>14764.418566905308</v>
      </c>
      <c r="AR79" s="111">
        <f>AQ$79*'Population Treasury'!BC$126*'Statistics NZ'!BC$408/('Population Treasury'!BB$126*'Statistics NZ'!BB$408)</f>
        <v>14812.421109043169</v>
      </c>
      <c r="AS79" s="111">
        <f>AR$79*'Population Treasury'!BD$126*'Statistics NZ'!BD$408/('Population Treasury'!BC$126*'Statistics NZ'!BC$408)</f>
        <v>14841.54131414149</v>
      </c>
      <c r="AT79" s="111">
        <f>AS$79*'Population Treasury'!BE$126*'Statistics NZ'!BE$408/('Population Treasury'!BD$126*'Statistics NZ'!BD$408)</f>
        <v>14854.181611349835</v>
      </c>
      <c r="AU79" s="111">
        <f>AT$79*'Population Treasury'!BF$126*'Statistics NZ'!BF$408/('Population Treasury'!BE$126*'Statistics NZ'!BE$408)</f>
        <v>14847.977487498481</v>
      </c>
      <c r="AV79" s="111">
        <f>AU$79*'Population Treasury'!BG$126*'Statistics NZ'!BG$408/('Population Treasury'!BF$126*'Statistics NZ'!BF$408)</f>
        <v>14840.178867464811</v>
      </c>
      <c r="AW79" s="111">
        <f>AV$79*'Population Treasury'!BH$126*'Statistics NZ'!BH$408/('Population Treasury'!BG$126*'Statistics NZ'!BG$408)</f>
        <v>14813.552176724821</v>
      </c>
      <c r="AX79" s="111">
        <f>AW$79*'Population Treasury'!BI$126*'Statistics NZ'!BI$408/('Population Treasury'!BH$126*'Statistics NZ'!BH$408)</f>
        <v>14778.703927084123</v>
      </c>
      <c r="AY79" s="111">
        <f>AX$79*'Population Treasury'!BJ$126*'Statistics NZ'!BJ$408/('Population Treasury'!BI$126*'Statistics NZ'!BI$408)</f>
        <v>14746.215520079437</v>
      </c>
      <c r="AZ79" s="111">
        <f>AY$79*'Population Treasury'!BK$126*'Statistics NZ'!BK$408/('Population Treasury'!BJ$126*'Statistics NZ'!BJ$408)</f>
        <v>14703.114273049145</v>
      </c>
      <c r="BA79" s="111">
        <f>AZ$79*'Population Treasury'!BL$126*'Statistics NZ'!BL$408/('Population Treasury'!BK$126*'Statistics NZ'!BK$408)</f>
        <v>14655.912517649327</v>
      </c>
      <c r="BB79" s="195">
        <f>BA$79*'Population Treasury'!BM$126*'Statistics NZ'!BM$408/('Population Treasury'!BL$126*'Statistics NZ'!BL$408)</f>
        <v>14616.989662525726</v>
      </c>
      <c r="BC79" s="195">
        <f>BB$79*'Population Treasury'!BN$126*'Statistics NZ'!BN$408/('Population Treasury'!BM$126*'Statistics NZ'!BM$408)</f>
        <v>14571.794603841692</v>
      </c>
      <c r="BD79" s="195">
        <f>BC$79*'Population Treasury'!BO$126*'Statistics NZ'!BO$408/('Population Treasury'!BN$126*'Statistics NZ'!BN$408)</f>
        <v>14543.111472993882</v>
      </c>
      <c r="BE79" s="195">
        <f>BD$79*'Population Treasury'!BP$126*'Statistics NZ'!BP$408/('Population Treasury'!BO$126*'Statistics NZ'!BO$408)</f>
        <v>14522.639843412353</v>
      </c>
      <c r="BF79" s="195">
        <f>BE$79*'Population Treasury'!BQ$126*'Statistics NZ'!BQ$408/('Population Treasury'!BP$126*'Statistics NZ'!BP$408)</f>
        <v>14508.275152603472</v>
      </c>
    </row>
    <row r="80" spans="1:58">
      <c r="A80" s="124">
        <f>$A$12</f>
        <v>17</v>
      </c>
      <c r="B80" s="118">
        <f>'Population Treasury'!M$127*'Statistics NZ'!M$409*'Economic Forecasts'!O$8/B$7</f>
        <v>15571.902270689749</v>
      </c>
      <c r="C80" s="118">
        <f>'Population Treasury'!N$127*'Statistics NZ'!N$409*'Economic Forecasts'!P$8/C$7</f>
        <v>15790.422219517246</v>
      </c>
      <c r="D80" s="118">
        <f>'Population Treasury'!O$127*'Statistics NZ'!O$409*'Economic Forecasts'!Q$8/D$7</f>
        <v>15191.066170397093</v>
      </c>
      <c r="E80" s="203">
        <f>'Population Treasury'!P$127*'Statistics NZ'!P$409*'Economic Forecasts'!R$8/E$7</f>
        <v>15293.962546555997</v>
      </c>
      <c r="F80" s="121">
        <f>'Population Treasury'!Q$127*'Statistics NZ'!Q$409*'Economic Forecasts'!S$8/F$7</f>
        <v>15277.788951274419</v>
      </c>
      <c r="G80" s="121">
        <f>'Population Treasury'!R$127*'Statistics NZ'!R$409*'Economic Forecasts'!T$8/G$7</f>
        <v>15418.774697217807</v>
      </c>
      <c r="H80" s="121">
        <f>'Population Treasury'!S$127*'Statistics NZ'!S$409*'Economic Forecasts'!U$8/H$7</f>
        <v>15925.11475859532</v>
      </c>
      <c r="I80" s="121">
        <f>'Population Treasury'!T$127*'Statistics NZ'!T$409*'Economic Forecasts'!V$8/I$7</f>
        <v>17063.362898902091</v>
      </c>
      <c r="J80" s="205">
        <f>'Population Treasury'!U$127*'Statistics NZ'!U$409*'Economic Forecasts'!W$8/J$7</f>
        <v>17780.183795992165</v>
      </c>
      <c r="K80" s="111">
        <f>J$80*'Population Treasury'!V$127*'Statistics NZ'!V$409/('Population Treasury'!U$127*'Statistics NZ'!U$409)</f>
        <v>18237.162029573567</v>
      </c>
      <c r="L80" s="111">
        <f>K$80*'Population Treasury'!W$127*'Statistics NZ'!W$409/('Population Treasury'!V$127*'Statistics NZ'!V$409)</f>
        <v>18645.028173052167</v>
      </c>
      <c r="M80" s="111">
        <f>L$80*'Population Treasury'!X$127*'Statistics NZ'!X$409/('Population Treasury'!W$127*'Statistics NZ'!W$409)</f>
        <v>18642.244232886354</v>
      </c>
      <c r="N80" s="111">
        <f>M$80*'Population Treasury'!Y$127*'Statistics NZ'!Y$409/('Population Treasury'!X$127*'Statistics NZ'!X$409)</f>
        <v>18681.11888194353</v>
      </c>
      <c r="O80" s="111">
        <f>N$80*'Population Treasury'!Z$127*'Statistics NZ'!Z$409/('Population Treasury'!Y$127*'Statistics NZ'!Y$409)</f>
        <v>18636.673682399283</v>
      </c>
      <c r="P80" s="111">
        <f>O$80*'Population Treasury'!AA$127*'Statistics NZ'!AA$409/('Population Treasury'!Z$127*'Statistics NZ'!Z$409)</f>
        <v>18544.504995162119</v>
      </c>
      <c r="Q80" s="111">
        <f>P$80*'Population Treasury'!AB$127*'Statistics NZ'!AB$409/('Population Treasury'!AA$127*'Statistics NZ'!AA$409)</f>
        <v>18570.125548702952</v>
      </c>
      <c r="R80" s="111">
        <f>Q$80*'Population Treasury'!AC$127*'Statistics NZ'!AC$409/('Population Treasury'!AB$127*'Statistics NZ'!AB$409)</f>
        <v>18462.386678435436</v>
      </c>
      <c r="S80" s="111">
        <f>R$80*'Population Treasury'!AD$127*'Statistics NZ'!AD$409/('Population Treasury'!AC$127*'Statistics NZ'!AC$409)</f>
        <v>18360.046038624878</v>
      </c>
      <c r="T80" s="111">
        <f>S$80*'Population Treasury'!AE$127*'Statistics NZ'!AE$409/('Population Treasury'!AD$127*'Statistics NZ'!AD$409)</f>
        <v>18032.999669121487</v>
      </c>
      <c r="U80" s="111">
        <f>T$80*'Population Treasury'!AF$127*'Statistics NZ'!AF$409/('Population Treasury'!AE$127*'Statistics NZ'!AE$409)</f>
        <v>18041.634550066032</v>
      </c>
      <c r="V80" s="111">
        <f>U$80*'Population Treasury'!AG$127*'Statistics NZ'!AG$409/('Population Treasury'!AF$127*'Statistics NZ'!AF$409)</f>
        <v>17735.037720417964</v>
      </c>
      <c r="W80" s="111">
        <f>V$80*'Population Treasury'!AH$127*'Statistics NZ'!AH$409/('Population Treasury'!AG$127*'Statistics NZ'!AG$409)</f>
        <v>17663.851917530508</v>
      </c>
      <c r="X80" s="111">
        <f>W$80*'Population Treasury'!AI$127*'Statistics NZ'!AI$409/('Population Treasury'!AH$127*'Statistics NZ'!AH$409)</f>
        <v>17661.556622011227</v>
      </c>
      <c r="Y80" s="111">
        <f>X$80*'Population Treasury'!AJ$127*'Statistics NZ'!AJ$409/('Population Treasury'!AI$127*'Statistics NZ'!AI$409)</f>
        <v>17642.780471525337</v>
      </c>
      <c r="Z80" s="111">
        <f>Y$80*'Population Treasury'!AK$127*'Statistics NZ'!AK$409/('Population Treasury'!AJ$127*'Statistics NZ'!AJ$409)</f>
        <v>17607.957152425322</v>
      </c>
      <c r="AA80" s="111">
        <f>Z$80*'Population Treasury'!AL$127*'Statistics NZ'!AL$409/('Population Treasury'!AK$127*'Statistics NZ'!AK$409)</f>
        <v>17683.850549270264</v>
      </c>
      <c r="AB80" s="111">
        <f>AA$80*'Population Treasury'!AM$127*'Statistics NZ'!AM$409/('Population Treasury'!AL$127*'Statistics NZ'!AL$409)</f>
        <v>17733.817866292517</v>
      </c>
      <c r="AC80" s="111">
        <f>AB$80*'Population Treasury'!AN$127*'Statistics NZ'!AN$409/('Population Treasury'!AM$127*'Statistics NZ'!AM$409)</f>
        <v>17773.098605978299</v>
      </c>
      <c r="AD80" s="111">
        <f>AC$80*'Population Treasury'!AO$127*'Statistics NZ'!AO$409/('Population Treasury'!AN$127*'Statistics NZ'!AN$409)</f>
        <v>17801.910128342257</v>
      </c>
      <c r="AE80" s="111">
        <f>AD$80*'Population Treasury'!AP$127*'Statistics NZ'!AP$409/('Population Treasury'!AO$127*'Statistics NZ'!AO$409)</f>
        <v>17815.079831080679</v>
      </c>
      <c r="AF80" s="111">
        <f>AE$80*'Population Treasury'!AQ$127*'Statistics NZ'!AQ$409/('Population Treasury'!AP$127*'Statistics NZ'!AP$409)</f>
        <v>17843.419712253926</v>
      </c>
      <c r="AG80" s="111">
        <f>AF$80*'Population Treasury'!AR$127*'Statistics NZ'!AR$409/('Population Treasury'!AQ$127*'Statistics NZ'!AQ$409)</f>
        <v>17856.378258654629</v>
      </c>
      <c r="AH80" s="111">
        <f>AG$80*'Population Treasury'!AS$127*'Statistics NZ'!AS$409/('Population Treasury'!AR$127*'Statistics NZ'!AR$409)</f>
        <v>17879.702503196451</v>
      </c>
      <c r="AI80" s="111">
        <f>AH$80*'Population Treasury'!AT$127*'Statistics NZ'!AT$409/('Population Treasury'!AS$127*'Statistics NZ'!AS$409)</f>
        <v>17903.039020726283</v>
      </c>
      <c r="AJ80" s="111">
        <f>AI$80*'Population Treasury'!AU$127*'Statistics NZ'!AU$409/('Population Treasury'!AT$127*'Statistics NZ'!AT$409)</f>
        <v>17942.09112208126</v>
      </c>
      <c r="AK80" s="111">
        <f>AJ$80*'Population Treasury'!AV$127*'Statistics NZ'!AV$409/('Population Treasury'!AU$127*'Statistics NZ'!AU$409)</f>
        <v>17991.758127474666</v>
      </c>
      <c r="AL80" s="111">
        <f>AK$80*'Population Treasury'!AW$127*'Statistics NZ'!AW$409/('Population Treasury'!AV$127*'Statistics NZ'!AV$409)</f>
        <v>18057.323186294856</v>
      </c>
      <c r="AM80" s="111">
        <f>AL$80*'Population Treasury'!AX$127*'Statistics NZ'!AX$409/('Population Treasury'!AW$127*'Statistics NZ'!AW$409)</f>
        <v>18128.222054309008</v>
      </c>
      <c r="AN80" s="111">
        <f>AM$80*'Population Treasury'!AY$127*'Statistics NZ'!AY$409/('Population Treasury'!AX$127*'Statistics NZ'!AX$409)</f>
        <v>18220.484325348109</v>
      </c>
      <c r="AO80" s="111">
        <f>AN$80*'Population Treasury'!AZ$127*'Statistics NZ'!AZ$409/('Population Treasury'!AY$127*'Statistics NZ'!AY$409)</f>
        <v>18297.043303487542</v>
      </c>
      <c r="AP80" s="111">
        <f>AO$80*'Population Treasury'!BA$127*'Statistics NZ'!BA$409/('Population Treasury'!AZ$127*'Statistics NZ'!AZ$409)</f>
        <v>18384.382366798895</v>
      </c>
      <c r="AQ80" s="111">
        <f>AP$80*'Population Treasury'!BB$127*'Statistics NZ'!BB$409/('Population Treasury'!BA$127*'Statistics NZ'!BA$409)</f>
        <v>18467.070553966023</v>
      </c>
      <c r="AR80" s="111">
        <f>AQ$80*'Population Treasury'!BC$127*'Statistics NZ'!BC$409/('Population Treasury'!BB$127*'Statistics NZ'!BB$409)</f>
        <v>18534.234107687938</v>
      </c>
      <c r="AS80" s="111">
        <f>AR$80*'Population Treasury'!BD$127*'Statistics NZ'!BD$409/('Population Treasury'!BC$127*'Statistics NZ'!BC$409)</f>
        <v>18580.765586126443</v>
      </c>
      <c r="AT80" s="111">
        <f>AS$80*'Population Treasury'!BE$127*'Statistics NZ'!BE$409/('Population Treasury'!BD$127*'Statistics NZ'!BD$409)</f>
        <v>18617.361513202668</v>
      </c>
      <c r="AU80" s="111">
        <f>AT$80*'Population Treasury'!BF$127*'Statistics NZ'!BF$409/('Population Treasury'!BE$127*'Statistics NZ'!BE$409)</f>
        <v>18633.577650681174</v>
      </c>
      <c r="AV80" s="111">
        <f>AU$80*'Population Treasury'!BG$127*'Statistics NZ'!BG$409/('Population Treasury'!BF$127*'Statistics NZ'!BF$409)</f>
        <v>18629.004036773935</v>
      </c>
      <c r="AW80" s="111">
        <f>AV$80*'Population Treasury'!BH$127*'Statistics NZ'!BH$409/('Population Treasury'!BG$127*'Statistics NZ'!BG$409)</f>
        <v>18619.959508125001</v>
      </c>
      <c r="AX80" s="111">
        <f>AW$80*'Population Treasury'!BI$127*'Statistics NZ'!BI$409/('Population Treasury'!BH$127*'Statistics NZ'!BH$409)</f>
        <v>18590.123255079732</v>
      </c>
      <c r="AY80" s="111">
        <f>AX$80*'Population Treasury'!BJ$127*'Statistics NZ'!BJ$409/('Population Treasury'!BI$127*'Statistics NZ'!BI$409)</f>
        <v>18550.09055354794</v>
      </c>
      <c r="AZ80" s="111">
        <f>AY$80*'Population Treasury'!BK$127*'Statistics NZ'!BK$409/('Population Treasury'!BJ$127*'Statistics NZ'!BJ$409)</f>
        <v>18504.955804788387</v>
      </c>
      <c r="BA80" s="111">
        <f>AZ$80*'Population Treasury'!BL$127*'Statistics NZ'!BL$409/('Population Treasury'!BK$127*'Statistics NZ'!BK$409)</f>
        <v>18449.622701759792</v>
      </c>
      <c r="BB80" s="195">
        <f>BA$80*'Population Treasury'!BM$127*'Statistics NZ'!BM$409/('Population Treasury'!BL$127*'Statistics NZ'!BL$409)</f>
        <v>18388.845981309369</v>
      </c>
      <c r="BC80" s="195">
        <f>BB$80*'Population Treasury'!BN$127*'Statistics NZ'!BN$409/('Population Treasury'!BM$127*'Statistics NZ'!BM$409)</f>
        <v>18338.646862710408</v>
      </c>
      <c r="BD80" s="195">
        <f>BC$80*'Population Treasury'!BO$127*'Statistics NZ'!BO$409/('Population Treasury'!BN$127*'Statistics NZ'!BN$409)</f>
        <v>18293.352623842489</v>
      </c>
      <c r="BE80" s="195">
        <f>BD$80*'Population Treasury'!BP$127*'Statistics NZ'!BP$409/('Population Treasury'!BO$127*'Statistics NZ'!BO$409)</f>
        <v>18258.25600493325</v>
      </c>
      <c r="BF80" s="195">
        <f>BE$80*'Population Treasury'!BQ$127*'Statistics NZ'!BQ$409/('Population Treasury'!BP$127*'Statistics NZ'!BP$409)</f>
        <v>18233.135300069545</v>
      </c>
    </row>
    <row r="81" spans="1:58">
      <c r="A81" s="124">
        <f>$A$13</f>
        <v>18</v>
      </c>
      <c r="B81" s="118">
        <f>'Population Treasury'!M$128*'Statistics NZ'!M$410*'Economic Forecasts'!O$8/B$7</f>
        <v>18270.178453216238</v>
      </c>
      <c r="C81" s="118">
        <f>'Population Treasury'!N$128*'Statistics NZ'!N$410*'Economic Forecasts'!P$8/C$7</f>
        <v>19068.976583195839</v>
      </c>
      <c r="D81" s="118">
        <f>'Population Treasury'!O$128*'Statistics NZ'!O$410*'Economic Forecasts'!Q$8/D$7</f>
        <v>18913.93386129391</v>
      </c>
      <c r="E81" s="203">
        <f>'Population Treasury'!P$128*'Statistics NZ'!P$410*'Economic Forecasts'!R$8/E$7</f>
        <v>18219.110742908037</v>
      </c>
      <c r="F81" s="121">
        <f>'Population Treasury'!Q$128*'Statistics NZ'!Q$410*'Economic Forecasts'!S$8/F$7</f>
        <v>18440.082741055798</v>
      </c>
      <c r="G81" s="121">
        <f>'Population Treasury'!R$128*'Statistics NZ'!R$410*'Economic Forecasts'!T$8/G$7</f>
        <v>18607.677614556556</v>
      </c>
      <c r="H81" s="121">
        <f>'Population Treasury'!S$128*'Statistics NZ'!S$410*'Economic Forecasts'!U$8/H$7</f>
        <v>18784.156450321316</v>
      </c>
      <c r="I81" s="121">
        <f>'Population Treasury'!T$128*'Statistics NZ'!T$410*'Economic Forecasts'!V$8/I$7</f>
        <v>19567.772916521495</v>
      </c>
      <c r="J81" s="205">
        <f>'Population Treasury'!U$128*'Statistics NZ'!U$410*'Economic Forecasts'!W$8/J$7</f>
        <v>20905.702768406907</v>
      </c>
      <c r="K81" s="111">
        <f>J$81*'Population Treasury'!V$128*'Statistics NZ'!V$410/('Population Treasury'!U$128*'Statistics NZ'!U$410)</f>
        <v>21722.262702979762</v>
      </c>
      <c r="L81" s="111">
        <f>K$81*'Population Treasury'!W$128*'Statistics NZ'!W$410/('Population Treasury'!V$128*'Statistics NZ'!V$410)</f>
        <v>22228.721811406209</v>
      </c>
      <c r="M81" s="111">
        <f>L$81*'Population Treasury'!X$128*'Statistics NZ'!X$410/('Population Treasury'!W$128*'Statistics NZ'!W$410)</f>
        <v>22661.033776358596</v>
      </c>
      <c r="N81" s="111">
        <f>M$81*'Population Treasury'!Y$128*'Statistics NZ'!Y$410/('Population Treasury'!X$128*'Statistics NZ'!X$410)</f>
        <v>22612.98925161409</v>
      </c>
      <c r="O81" s="111">
        <f>N$81*'Population Treasury'!Z$128*'Statistics NZ'!Z$410/('Population Treasury'!Y$128*'Statistics NZ'!Y$410)</f>
        <v>22624.518209720889</v>
      </c>
      <c r="P81" s="111">
        <f>O$81*'Population Treasury'!AA$128*'Statistics NZ'!AA$410/('Population Treasury'!Z$128*'Statistics NZ'!Z$410)</f>
        <v>22531.909019188639</v>
      </c>
      <c r="Q81" s="111">
        <f>P$81*'Population Treasury'!AB$128*'Statistics NZ'!AB$410/('Population Treasury'!AA$128*'Statistics NZ'!AA$410)</f>
        <v>22376.201854770461</v>
      </c>
      <c r="R81" s="111">
        <f>Q$81*'Population Treasury'!AC$128*'Statistics NZ'!AC$410/('Population Treasury'!AB$128*'Statistics NZ'!AB$410)</f>
        <v>22372.796297545912</v>
      </c>
      <c r="S81" s="111">
        <f>R$81*'Population Treasury'!AD$128*'Statistics NZ'!AD$410/('Population Treasury'!AC$128*'Statistics NZ'!AC$410)</f>
        <v>22210.507891217843</v>
      </c>
      <c r="T81" s="111">
        <f>S$81*'Population Treasury'!AE$128*'Statistics NZ'!AE$410/('Population Treasury'!AD$128*'Statistics NZ'!AD$410)</f>
        <v>22077.619671055756</v>
      </c>
      <c r="U81" s="111">
        <f>T$81*'Population Treasury'!AF$128*'Statistics NZ'!AF$410/('Population Treasury'!AE$128*'Statistics NZ'!AE$410)</f>
        <v>21678.967245382915</v>
      </c>
      <c r="V81" s="111">
        <f>U$81*'Population Treasury'!AG$128*'Statistics NZ'!AG$410/('Population Treasury'!AF$128*'Statistics NZ'!AF$410)</f>
        <v>21666.567310835628</v>
      </c>
      <c r="W81" s="111">
        <f>V$81*'Population Treasury'!AH$128*'Statistics NZ'!AH$410/('Population Treasury'!AG$128*'Statistics NZ'!AG$410)</f>
        <v>21303.686662674976</v>
      </c>
      <c r="X81" s="111">
        <f>W$81*'Population Treasury'!AI$128*'Statistics NZ'!AI$410/('Population Treasury'!AH$128*'Statistics NZ'!AH$410)</f>
        <v>21198.941383363679</v>
      </c>
      <c r="Y81" s="111">
        <f>X$81*'Population Treasury'!AJ$128*'Statistics NZ'!AJ$410/('Population Treasury'!AI$128*'Statistics NZ'!AI$410)</f>
        <v>21198.005000274159</v>
      </c>
      <c r="Z81" s="111">
        <f>Y$81*'Population Treasury'!AK$128*'Statistics NZ'!AK$410/('Population Treasury'!AJ$128*'Statistics NZ'!AJ$410)</f>
        <v>21166.284100317247</v>
      </c>
      <c r="AA81" s="111">
        <f>Z$81*'Population Treasury'!AL$128*'Statistics NZ'!AL$410/('Population Treasury'!AK$128*'Statistics NZ'!AK$410)</f>
        <v>21122.598160062258</v>
      </c>
      <c r="AB81" s="111">
        <f>AA$81*'Population Treasury'!AM$128*'Statistics NZ'!AM$410/('Population Treasury'!AL$128*'Statistics NZ'!AL$410)</f>
        <v>21198.302534999199</v>
      </c>
      <c r="AC81" s="111">
        <f>AB$81*'Population Treasury'!AN$128*'Statistics NZ'!AN$410/('Population Treasury'!AM$128*'Statistics NZ'!AM$410)</f>
        <v>21256.222590133555</v>
      </c>
      <c r="AD81" s="111">
        <f>AC$81*'Population Treasury'!AO$128*'Statistics NZ'!AO$410/('Population Treasury'!AN$128*'Statistics NZ'!AN$410)</f>
        <v>21285.0549529899</v>
      </c>
      <c r="AE81" s="111">
        <f>AD$81*'Population Treasury'!AP$128*'Statistics NZ'!AP$410/('Population Treasury'!AO$128*'Statistics NZ'!AO$410)</f>
        <v>21316.661541564281</v>
      </c>
      <c r="AF81" s="111">
        <f>AE$81*'Population Treasury'!AQ$128*'Statistics NZ'!AQ$410/('Population Treasury'!AP$128*'Statistics NZ'!AP$410)</f>
        <v>21339.568560384141</v>
      </c>
      <c r="AG81" s="111">
        <f>AF$81*'Population Treasury'!AR$128*'Statistics NZ'!AR$410/('Population Treasury'!AQ$128*'Statistics NZ'!AQ$410)</f>
        <v>21353.731392935038</v>
      </c>
      <c r="AH81" s="111">
        <f>AG$81*'Population Treasury'!AS$128*'Statistics NZ'!AS$410/('Population Treasury'!AR$128*'Statistics NZ'!AR$410)</f>
        <v>21369.454235517504</v>
      </c>
      <c r="AI81" s="111">
        <f>AH$81*'Population Treasury'!AT$128*'Statistics NZ'!AT$410/('Population Treasury'!AS$128*'Statistics NZ'!AS$410)</f>
        <v>21401.602558657687</v>
      </c>
      <c r="AJ81" s="111">
        <f>AI$81*'Population Treasury'!AU$128*'Statistics NZ'!AU$410/('Population Treasury'!AT$128*'Statistics NZ'!AT$410)</f>
        <v>21421.714962841274</v>
      </c>
      <c r="AK81" s="111">
        <f>AJ$81*'Population Treasury'!AV$128*'Statistics NZ'!AV$410/('Population Treasury'!AU$128*'Statistics NZ'!AU$410)</f>
        <v>21473.242679286341</v>
      </c>
      <c r="AL81" s="111">
        <f>AK$81*'Population Treasury'!AW$128*'Statistics NZ'!AW$410/('Population Treasury'!AV$128*'Statistics NZ'!AV$410)</f>
        <v>21522.882559125399</v>
      </c>
      <c r="AM81" s="111">
        <f>AL$81*'Population Treasury'!AX$128*'Statistics NZ'!AX$410/('Population Treasury'!AW$128*'Statistics NZ'!AW$410)</f>
        <v>21596.291963062744</v>
      </c>
      <c r="AN81" s="111">
        <f>AM$81*'Population Treasury'!AY$128*'Statistics NZ'!AY$410/('Population Treasury'!AX$128*'Statistics NZ'!AX$410)</f>
        <v>21682.999788736328</v>
      </c>
      <c r="AO81" s="111">
        <f>AN$81*'Population Treasury'!AZ$128*'Statistics NZ'!AZ$410/('Population Treasury'!AY$128*'Statistics NZ'!AY$410)</f>
        <v>21778.389817160445</v>
      </c>
      <c r="AP81" s="111">
        <f>AO$81*'Population Treasury'!BA$128*'Statistics NZ'!BA$410/('Population Treasury'!AZ$128*'Statistics NZ'!AZ$410)</f>
        <v>21881.103208643679</v>
      </c>
      <c r="AQ81" s="111">
        <f>AP$81*'Population Treasury'!BB$128*'Statistics NZ'!BB$410/('Population Treasury'!BA$128*'Statistics NZ'!BA$410)</f>
        <v>21986.832749845074</v>
      </c>
      <c r="AR81" s="111">
        <f>AQ$81*'Population Treasury'!BC$128*'Statistics NZ'!BC$410/('Population Treasury'!BB$128*'Statistics NZ'!BB$410)</f>
        <v>22074.340917388006</v>
      </c>
      <c r="AS81" s="111">
        <f>AR$81*'Population Treasury'!BD$128*'Statistics NZ'!BD$410/('Population Treasury'!BC$128*'Statistics NZ'!BC$410)</f>
        <v>22148.269302288401</v>
      </c>
      <c r="AT81" s="111">
        <f>AS$81*'Population Treasury'!BE$128*'Statistics NZ'!BE$410/('Population Treasury'!BD$128*'Statistics NZ'!BD$410)</f>
        <v>22210.62196770692</v>
      </c>
      <c r="AU81" s="111">
        <f>AT$81*'Population Treasury'!BF$128*'Statistics NZ'!BF$410/('Population Treasury'!BE$128*'Statistics NZ'!BE$410)</f>
        <v>22255.083559917541</v>
      </c>
      <c r="AV81" s="111">
        <f>AU$81*'Population Treasury'!BG$128*'Statistics NZ'!BG$410/('Population Treasury'!BF$128*'Statistics NZ'!BF$410)</f>
        <v>22264.742520303065</v>
      </c>
      <c r="AW81" s="111">
        <f>AV$81*'Population Treasury'!BH$128*'Statistics NZ'!BH$410/('Population Treasury'!BG$128*'Statistics NZ'!BG$410)</f>
        <v>22273.74378944272</v>
      </c>
      <c r="AX81" s="111">
        <f>AW$81*'Population Treasury'!BI$128*'Statistics NZ'!BI$410/('Population Treasury'!BH$128*'Statistics NZ'!BH$410)</f>
        <v>22253.9246833779</v>
      </c>
      <c r="AY81" s="111">
        <f>AX$81*'Population Treasury'!BJ$128*'Statistics NZ'!BJ$410/('Population Treasury'!BI$128*'Statistics NZ'!BI$410)</f>
        <v>22222.462421732504</v>
      </c>
      <c r="AZ81" s="111">
        <f>AY$81*'Population Treasury'!BK$128*'Statistics NZ'!BK$410/('Population Treasury'!BJ$128*'Statistics NZ'!BJ$410)</f>
        <v>22168.248678782562</v>
      </c>
      <c r="BA81" s="111">
        <f>AZ$81*'Population Treasury'!BL$128*'Statistics NZ'!BL$410/('Population Treasury'!BK$128*'Statistics NZ'!BK$410)</f>
        <v>22106.731435170364</v>
      </c>
      <c r="BB81" s="195">
        <f>BA$81*'Population Treasury'!BM$128*'Statistics NZ'!BM$410/('Population Treasury'!BL$128*'Statistics NZ'!BL$410)</f>
        <v>22051.374590456926</v>
      </c>
      <c r="BC81" s="195">
        <f>BB$81*'Population Treasury'!BN$128*'Statistics NZ'!BN$410/('Population Treasury'!BM$128*'Statistics NZ'!BM$410)</f>
        <v>21985.498770905859</v>
      </c>
      <c r="BD81" s="195">
        <f>BC$81*'Population Treasury'!BO$128*'Statistics NZ'!BO$410/('Population Treasury'!BN$128*'Statistics NZ'!BN$410)</f>
        <v>21919.506719799538</v>
      </c>
      <c r="BE81" s="195">
        <f>BD$81*'Population Treasury'!BP$128*'Statistics NZ'!BP$410/('Population Treasury'!BO$128*'Statistics NZ'!BO$410)</f>
        <v>21871.644176303191</v>
      </c>
      <c r="BF81" s="195">
        <f>BE$81*'Population Treasury'!BQ$128*'Statistics NZ'!BQ$410/('Population Treasury'!BP$128*'Statistics NZ'!BP$410)</f>
        <v>21825.170176684929</v>
      </c>
    </row>
    <row r="82" spans="1:58">
      <c r="A82" s="124">
        <f>$A$14</f>
        <v>19</v>
      </c>
      <c r="B82" s="118">
        <f>'Population Treasury'!M$129*'Statistics NZ'!M$411*'Economic Forecasts'!O$8/B$7</f>
        <v>21704.412657912711</v>
      </c>
      <c r="C82" s="118">
        <f>'Population Treasury'!N$129*'Statistics NZ'!N$411*'Economic Forecasts'!P$8/C$7</f>
        <v>21483.088884335888</v>
      </c>
      <c r="D82" s="118">
        <f>'Population Treasury'!O$129*'Statistics NZ'!O$411*'Economic Forecasts'!Q$8/D$7</f>
        <v>21898.529693631463</v>
      </c>
      <c r="E82" s="203">
        <f>'Population Treasury'!P$129*'Statistics NZ'!P$411*'Economic Forecasts'!R$8/E$7</f>
        <v>21822.983557758129</v>
      </c>
      <c r="F82" s="121">
        <f>'Population Treasury'!Q$129*'Statistics NZ'!Q$411*'Economic Forecasts'!S$8/F$7</f>
        <v>20966.430999642937</v>
      </c>
      <c r="G82" s="121">
        <f>'Population Treasury'!R$129*'Statistics NZ'!R$411*'Economic Forecasts'!T$8/G$7</f>
        <v>21505.711945746163</v>
      </c>
      <c r="H82" s="121">
        <f>'Population Treasury'!S$129*'Statistics NZ'!S$411*'Economic Forecasts'!U$8/H$7</f>
        <v>21752.707049998822</v>
      </c>
      <c r="I82" s="121">
        <f>'Population Treasury'!T$129*'Statistics NZ'!T$411*'Economic Forecasts'!V$8/I$7</f>
        <v>22213.561670972271</v>
      </c>
      <c r="J82" s="205">
        <f>'Population Treasury'!U$129*'Statistics NZ'!U$411*'Economic Forecasts'!W$8/J$7</f>
        <v>23083.763041083785</v>
      </c>
      <c r="K82" s="111">
        <f>J$82*'Population Treasury'!V$129*'Statistics NZ'!V$411/('Population Treasury'!U$129*'Statistics NZ'!U$411)</f>
        <v>24619.455011423273</v>
      </c>
      <c r="L82" s="111">
        <f>K$82*'Population Treasury'!W$129*'Statistics NZ'!W$411/('Population Treasury'!V$129*'Statistics NZ'!V$411)</f>
        <v>25519.698594356993</v>
      </c>
      <c r="M82" s="111">
        <f>L$82*'Population Treasury'!X$129*'Statistics NZ'!X$411/('Population Treasury'!W$129*'Statistics NZ'!W$411)</f>
        <v>26052.939684592464</v>
      </c>
      <c r="N82" s="111">
        <f>M$82*'Population Treasury'!Y$129*'Statistics NZ'!Y$411/('Population Treasury'!X$129*'Statistics NZ'!X$411)</f>
        <v>26502.311316397489</v>
      </c>
      <c r="O82" s="111">
        <f>N$82*'Population Treasury'!Z$129*'Statistics NZ'!Z$411/('Population Treasury'!Y$129*'Statistics NZ'!Y$411)</f>
        <v>26413.910219209065</v>
      </c>
      <c r="P82" s="111">
        <f>O$82*'Population Treasury'!AA$129*'Statistics NZ'!AA$411/('Population Treasury'!Z$129*'Statistics NZ'!Z$411)</f>
        <v>26379.214375183583</v>
      </c>
      <c r="Q82" s="111">
        <f>P$82*'Population Treasury'!AB$129*'Statistics NZ'!AB$411/('Population Treasury'!AA$129*'Statistics NZ'!AA$411)</f>
        <v>26242.098393713866</v>
      </c>
      <c r="R82" s="111">
        <f>Q$82*'Population Treasury'!AC$129*'Statistics NZ'!AC$411/('Population Treasury'!AB$129*'Statistics NZ'!AB$411)</f>
        <v>26041.138450824841</v>
      </c>
      <c r="S82" s="111">
        <f>R$82*'Population Treasury'!AD$129*'Statistics NZ'!AD$411/('Population Treasury'!AC$129*'Statistics NZ'!AC$411)</f>
        <v>26001.144828022912</v>
      </c>
      <c r="T82" s="111">
        <f>S$82*'Population Treasury'!AE$129*'Statistics NZ'!AE$411/('Population Treasury'!AD$129*'Statistics NZ'!AD$411)</f>
        <v>25803.205542111078</v>
      </c>
      <c r="U82" s="111">
        <f>T$82*'Population Treasury'!AF$129*'Statistics NZ'!AF$411/('Population Treasury'!AE$129*'Statistics NZ'!AE$411)</f>
        <v>25658.651191017179</v>
      </c>
      <c r="V82" s="111">
        <f>U$82*'Population Treasury'!AG$129*'Statistics NZ'!AG$411/('Population Treasury'!AF$129*'Statistics NZ'!AF$411)</f>
        <v>25185.424102697223</v>
      </c>
      <c r="W82" s="111">
        <f>V$82*'Population Treasury'!AH$129*'Statistics NZ'!AH$411/('Population Treasury'!AG$129*'Statistics NZ'!AG$411)</f>
        <v>25179.513789018718</v>
      </c>
      <c r="X82" s="111">
        <f>W$82*'Population Treasury'!AI$129*'Statistics NZ'!AI$411/('Population Treasury'!AH$129*'Statistics NZ'!AH$411)</f>
        <v>24754.052217701646</v>
      </c>
      <c r="Y82" s="111">
        <f>X$82*'Population Treasury'!AJ$129*'Statistics NZ'!AJ$411/('Population Treasury'!AI$129*'Statistics NZ'!AI$411)</f>
        <v>24632.703685003966</v>
      </c>
      <c r="Z82" s="111">
        <f>Y$82*'Population Treasury'!AK$129*'Statistics NZ'!AK$411/('Population Treasury'!AJ$129*'Statistics NZ'!AJ$411)</f>
        <v>24620.396773119955</v>
      </c>
      <c r="AA82" s="111">
        <f>Z$82*'Population Treasury'!AL$129*'Statistics NZ'!AL$411/('Population Treasury'!AK$129*'Statistics NZ'!AK$411)</f>
        <v>24582.639958753822</v>
      </c>
      <c r="AB82" s="111">
        <f>AA$82*'Population Treasury'!AM$129*'Statistics NZ'!AM$411/('Population Treasury'!AL$129*'Statistics NZ'!AL$411)</f>
        <v>24526.640590043498</v>
      </c>
      <c r="AC82" s="111">
        <f>AB$82*'Population Treasury'!AN$129*'Statistics NZ'!AN$411/('Population Treasury'!AM$129*'Statistics NZ'!AM$411)</f>
        <v>24611.011600662252</v>
      </c>
      <c r="AD82" s="111">
        <f>AC$82*'Population Treasury'!AO$129*'Statistics NZ'!AO$411/('Population Treasury'!AN$129*'Statistics NZ'!AN$411)</f>
        <v>24663.853206033644</v>
      </c>
      <c r="AE82" s="111">
        <f>AD$82*'Population Treasury'!AP$129*'Statistics NZ'!AP$411/('Population Treasury'!AO$129*'Statistics NZ'!AO$411)</f>
        <v>24712.419419393522</v>
      </c>
      <c r="AF82" s="111">
        <f>AE$82*'Population Treasury'!AQ$129*'Statistics NZ'!AQ$411/('Population Treasury'!AP$129*'Statistics NZ'!AP$411)</f>
        <v>24743.467808187193</v>
      </c>
      <c r="AG82" s="111">
        <f>AF$82*'Population Treasury'!AR$129*'Statistics NZ'!AR$411/('Population Treasury'!AQ$129*'Statistics NZ'!AQ$411)</f>
        <v>24770.418940692052</v>
      </c>
      <c r="AH82" s="111">
        <f>AG$82*'Population Treasury'!AS$129*'Statistics NZ'!AS$411/('Population Treasury'!AR$129*'Statistics NZ'!AR$411)</f>
        <v>24776.62470551781</v>
      </c>
      <c r="AI82" s="111">
        <f>AH$82*'Population Treasury'!AT$129*'Statistics NZ'!AT$411/('Population Treasury'!AS$129*'Statistics NZ'!AS$411)</f>
        <v>24799.458530186566</v>
      </c>
      <c r="AJ82" s="111">
        <f>AI$82*'Population Treasury'!AU$129*'Statistics NZ'!AU$411/('Population Treasury'!AT$129*'Statistics NZ'!AT$411)</f>
        <v>24832.782640333211</v>
      </c>
      <c r="AK82" s="111">
        <f>AJ$82*'Population Treasury'!AV$129*'Statistics NZ'!AV$411/('Population Treasury'!AU$129*'Statistics NZ'!AU$411)</f>
        <v>24859.052881184791</v>
      </c>
      <c r="AL82" s="111">
        <f>AK$82*'Population Treasury'!AW$129*'Statistics NZ'!AW$411/('Population Treasury'!AV$129*'Statistics NZ'!AV$411)</f>
        <v>24903.248959892779</v>
      </c>
      <c r="AM82" s="111">
        <f>AL$82*'Population Treasury'!AX$129*'Statistics NZ'!AX$411/('Population Treasury'!AW$129*'Statistics NZ'!AW$411)</f>
        <v>24971.74196757048</v>
      </c>
      <c r="AN82" s="111">
        <f>AM$82*'Population Treasury'!AY$129*'Statistics NZ'!AY$411/('Population Treasury'!AX$129*'Statistics NZ'!AX$411)</f>
        <v>25051.339712693676</v>
      </c>
      <c r="AO82" s="111">
        <f>AN$82*'Population Treasury'!AZ$129*'Statistics NZ'!AZ$411/('Population Treasury'!AY$129*'Statistics NZ'!AY$411)</f>
        <v>25141.351354778322</v>
      </c>
      <c r="AP82" s="111">
        <f>AO$82*'Population Treasury'!BA$129*'Statistics NZ'!BA$411/('Population Treasury'!AZ$129*'Statistics NZ'!AZ$411)</f>
        <v>25253.037687195218</v>
      </c>
      <c r="AQ82" s="111">
        <f>AP$82*'Population Treasury'!BB$129*'Statistics NZ'!BB$411/('Population Treasury'!BA$129*'Statistics NZ'!BA$411)</f>
        <v>25364.867204849899</v>
      </c>
      <c r="AR82" s="111">
        <f>AQ$82*'Population Treasury'!BC$129*'Statistics NZ'!BC$411/('Population Treasury'!BB$129*'Statistics NZ'!BB$411)</f>
        <v>25484.412997643965</v>
      </c>
      <c r="AS82" s="111">
        <f>AR$82*'Population Treasury'!BD$129*'Statistics NZ'!BD$411/('Population Treasury'!BC$129*'Statistics NZ'!BC$411)</f>
        <v>25579.972435521024</v>
      </c>
      <c r="AT82" s="111">
        <f>AS$82*'Population Treasury'!BE$129*'Statistics NZ'!BE$411/('Population Treasury'!BD$129*'Statistics NZ'!BD$411)</f>
        <v>25673.112398624016</v>
      </c>
      <c r="AU82" s="111">
        <f>AT$82*'Population Treasury'!BF$129*'Statistics NZ'!BF$411/('Population Treasury'!BE$129*'Statistics NZ'!BE$411)</f>
        <v>25738.831988239705</v>
      </c>
      <c r="AV82" s="111">
        <f>AU$82*'Population Treasury'!BG$129*'Statistics NZ'!BG$411/('Population Treasury'!BF$129*'Statistics NZ'!BF$411)</f>
        <v>25780.463867063921</v>
      </c>
      <c r="AW82" s="111">
        <f>AV$82*'Population Treasury'!BH$129*'Statistics NZ'!BH$411/('Population Treasury'!BG$129*'Statistics NZ'!BG$411)</f>
        <v>25806.185931625725</v>
      </c>
      <c r="AX82" s="111">
        <f>AW$82*'Population Treasury'!BI$129*'Statistics NZ'!BI$411/('Population Treasury'!BH$129*'Statistics NZ'!BH$411)</f>
        <v>25807.81059129224</v>
      </c>
      <c r="AY82" s="111">
        <f>AX$82*'Population Treasury'!BJ$129*'Statistics NZ'!BJ$411/('Population Treasury'!BI$129*'Statistics NZ'!BI$411)</f>
        <v>25778.231442771328</v>
      </c>
      <c r="AZ82" s="111">
        <f>AY$82*'Population Treasury'!BK$129*'Statistics NZ'!BK$411/('Population Treasury'!BJ$129*'Statistics NZ'!BJ$411)</f>
        <v>25746.53254238507</v>
      </c>
      <c r="BA82" s="111">
        <f>AZ$82*'Population Treasury'!BL$129*'Statistics NZ'!BL$411/('Population Treasury'!BK$129*'Statistics NZ'!BK$411)</f>
        <v>25690.399036391384</v>
      </c>
      <c r="BB82" s="195">
        <f>BA$82*'Population Treasury'!BM$129*'Statistics NZ'!BM$411/('Population Treasury'!BL$129*'Statistics NZ'!BL$411)</f>
        <v>25627.544078573454</v>
      </c>
      <c r="BC82" s="195">
        <f>BB$82*'Population Treasury'!BN$129*'Statistics NZ'!BN$411/('Population Treasury'!BM$129*'Statistics NZ'!BM$411)</f>
        <v>25562.006044088488</v>
      </c>
      <c r="BD82" s="195">
        <f>BC$82*'Population Treasury'!BO$129*'Statistics NZ'!BO$411/('Population Treasury'!BN$129*'Statistics NZ'!BN$411)</f>
        <v>25492.400778114643</v>
      </c>
      <c r="BE82" s="195">
        <f>BD$82*'Population Treasury'!BP$129*'Statistics NZ'!BP$411/('Population Treasury'!BO$129*'Statistics NZ'!BO$411)</f>
        <v>25412.14364403014</v>
      </c>
      <c r="BF82" s="195">
        <f>BE$82*'Population Treasury'!BQ$129*'Statistics NZ'!BQ$411/('Population Treasury'!BP$129*'Statistics NZ'!BP$411)</f>
        <v>25363.187990531478</v>
      </c>
    </row>
    <row r="83" spans="1:58">
      <c r="A83" s="124">
        <f>$A$15</f>
        <v>20</v>
      </c>
      <c r="B83" s="118">
        <f>'Population Treasury'!M$130*'Statistics NZ'!M$412*'Economic Forecasts'!O$8/B$7</f>
        <v>24576.317018411515</v>
      </c>
      <c r="C83" s="118">
        <f>'Population Treasury'!N$130*'Statistics NZ'!N$412*'Economic Forecasts'!P$8/C$7</f>
        <v>24719.460677106072</v>
      </c>
      <c r="D83" s="118">
        <f>'Population Treasury'!O$130*'Statistics NZ'!O$412*'Economic Forecasts'!Q$8/D$7</f>
        <v>23823.529614467945</v>
      </c>
      <c r="E83" s="203">
        <f>'Population Treasury'!P$130*'Statistics NZ'!P$412*'Economic Forecasts'!R$8/E$7</f>
        <v>24613.340249563062</v>
      </c>
      <c r="F83" s="121">
        <f>'Population Treasury'!Q$130*'Statistics NZ'!Q$412*'Economic Forecasts'!S$8/F$7</f>
        <v>24318.161799294907</v>
      </c>
      <c r="G83" s="121">
        <f>'Population Treasury'!R$130*'Statistics NZ'!R$412*'Economic Forecasts'!T$8/G$7</f>
        <v>23623.175865381243</v>
      </c>
      <c r="H83" s="121">
        <f>'Population Treasury'!S$130*'Statistics NZ'!S$412*'Economic Forecasts'!U$8/H$7</f>
        <v>24212.088955095922</v>
      </c>
      <c r="I83" s="121">
        <f>'Population Treasury'!T$130*'Statistics NZ'!T$412*'Economic Forecasts'!V$8/I$7</f>
        <v>24529.631412863138</v>
      </c>
      <c r="J83" s="205">
        <f>'Population Treasury'!U$130*'Statistics NZ'!U$412*'Economic Forecasts'!W$8/J$7</f>
        <v>24966.673665526363</v>
      </c>
      <c r="K83" s="111">
        <f>J$83*'Population Treasury'!V$130*'Statistics NZ'!V$412/('Population Treasury'!U$130*'Statistics NZ'!U$412)</f>
        <v>25793.560139189634</v>
      </c>
      <c r="L83" s="111">
        <f>K$83*'Population Treasury'!W$130*'Statistics NZ'!W$412/('Population Treasury'!V$130*'Statistics NZ'!V$412)</f>
        <v>27313.235223578478</v>
      </c>
      <c r="M83" s="111">
        <f>L$83*'Population Treasury'!X$130*'Statistics NZ'!X$412/('Population Treasury'!W$130*'Statistics NZ'!W$412)</f>
        <v>28157.58505418507</v>
      </c>
      <c r="N83" s="111">
        <f>M$83*'Population Treasury'!Y$130*'Statistics NZ'!Y$412/('Population Treasury'!X$130*'Statistics NZ'!X$412)</f>
        <v>28619.705012256007</v>
      </c>
      <c r="O83" s="111">
        <f>N$83*'Population Treasury'!Z$130*'Statistics NZ'!Z$412/('Population Treasury'!Y$130*'Statistics NZ'!Y$412)</f>
        <v>29019.716346746478</v>
      </c>
      <c r="P83" s="111">
        <f>O$83*'Population Treasury'!AA$130*'Statistics NZ'!AA$412/('Population Treasury'!Z$130*'Statistics NZ'!Z$412)</f>
        <v>28833.160739095616</v>
      </c>
      <c r="Q83" s="111">
        <f>P$83*'Population Treasury'!AB$130*'Statistics NZ'!AB$412/('Population Treasury'!AA$130*'Statistics NZ'!AA$412)</f>
        <v>28733.663763718832</v>
      </c>
      <c r="R83" s="111">
        <f>Q$83*'Population Treasury'!AC$130*'Statistics NZ'!AC$412/('Population Treasury'!AB$130*'Statistics NZ'!AB$412)</f>
        <v>28534.68897920442</v>
      </c>
      <c r="S83" s="111">
        <f>R$83*'Population Treasury'!AD$130*'Statistics NZ'!AD$412/('Population Treasury'!AC$130*'Statistics NZ'!AC$412)</f>
        <v>28268.640778558201</v>
      </c>
      <c r="T83" s="111">
        <f>S$83*'Population Treasury'!AE$130*'Statistics NZ'!AE$412/('Population Treasury'!AD$130*'Statistics NZ'!AD$412)</f>
        <v>28232.93818753742</v>
      </c>
      <c r="U83" s="111">
        <f>T$83*'Population Treasury'!AF$130*'Statistics NZ'!AF$412/('Population Treasury'!AE$130*'Statistics NZ'!AE$412)</f>
        <v>28001.575920592153</v>
      </c>
      <c r="V83" s="111">
        <f>U$83*'Population Treasury'!AG$130*'Statistics NZ'!AG$412/('Population Treasury'!AF$130*'Statistics NZ'!AF$412)</f>
        <v>27828.920869457885</v>
      </c>
      <c r="W83" s="111">
        <f>V$83*'Population Treasury'!AH$130*'Statistics NZ'!AH$412/('Population Treasury'!AG$130*'Statistics NZ'!AG$412)</f>
        <v>27320.050323145835</v>
      </c>
      <c r="X83" s="111">
        <f>W$83*'Population Treasury'!AI$130*'Statistics NZ'!AI$412/('Population Treasury'!AH$130*'Statistics NZ'!AH$412)</f>
        <v>27296.655984609497</v>
      </c>
      <c r="Y83" s="111">
        <f>X$83*'Population Treasury'!AJ$130*'Statistics NZ'!AJ$412/('Population Treasury'!AI$130*'Statistics NZ'!AI$412)</f>
        <v>26824.942403585945</v>
      </c>
      <c r="Z83" s="111">
        <f>Y$83*'Population Treasury'!AK$130*'Statistics NZ'!AK$412/('Population Treasury'!AJ$130*'Statistics NZ'!AJ$412)</f>
        <v>26696.267965991494</v>
      </c>
      <c r="AA83" s="111">
        <f>Z$83*'Population Treasury'!AL$130*'Statistics NZ'!AL$412/('Population Treasury'!AK$130*'Statistics NZ'!AK$412)</f>
        <v>26667.455159361114</v>
      </c>
      <c r="AB83" s="111">
        <f>AA$83*'Population Treasury'!AM$130*'Statistics NZ'!AM$412/('Population Treasury'!AL$130*'Statistics NZ'!AL$412)</f>
        <v>26625.395890815991</v>
      </c>
      <c r="AC83" s="111">
        <f>AB$83*'Population Treasury'!AN$130*'Statistics NZ'!AN$412/('Population Treasury'!AM$130*'Statistics NZ'!AM$412)</f>
        <v>26568.216812909071</v>
      </c>
      <c r="AD83" s="111">
        <f>AC$83*'Population Treasury'!AO$130*'Statistics NZ'!AO$412/('Population Treasury'!AN$130*'Statistics NZ'!AN$412)</f>
        <v>26657.749186781741</v>
      </c>
      <c r="AE83" s="111">
        <f>AD$83*'Population Treasury'!AP$130*'Statistics NZ'!AP$412/('Population Treasury'!AO$130*'Statistics NZ'!AO$412)</f>
        <v>26720.138324776915</v>
      </c>
      <c r="AF83" s="111">
        <f>AE$83*'Population Treasury'!AQ$130*'Statistics NZ'!AQ$412/('Population Treasury'!AP$130*'Statistics NZ'!AP$412)</f>
        <v>26770.674988037757</v>
      </c>
      <c r="AG83" s="111">
        <f>AF$83*'Population Treasury'!AR$130*'Statistics NZ'!AR$412/('Population Treasury'!AQ$130*'Statistics NZ'!AQ$412)</f>
        <v>26805.083485551004</v>
      </c>
      <c r="AH83" s="111">
        <f>AG$83*'Population Treasury'!AS$130*'Statistics NZ'!AS$412/('Population Treasury'!AR$130*'Statistics NZ'!AR$412)</f>
        <v>26813.296585468022</v>
      </c>
      <c r="AI83" s="111">
        <f>AH$83*'Population Treasury'!AT$130*'Statistics NZ'!AT$412/('Population Treasury'!AS$130*'Statistics NZ'!AS$412)</f>
        <v>26840.499164880192</v>
      </c>
      <c r="AJ83" s="111">
        <f>AI$83*'Population Treasury'!AU$130*'Statistics NZ'!AU$412/('Population Treasury'!AT$130*'Statistics NZ'!AT$412)</f>
        <v>26872.199258117282</v>
      </c>
      <c r="AK83" s="111">
        <f>AJ$83*'Population Treasury'!AV$130*'Statistics NZ'!AV$412/('Population Treasury'!AU$130*'Statistics NZ'!AU$412)</f>
        <v>26893.825447738458</v>
      </c>
      <c r="AL83" s="111">
        <f>AK$83*'Population Treasury'!AW$130*'Statistics NZ'!AW$412/('Population Treasury'!AV$130*'Statistics NZ'!AV$412)</f>
        <v>26938.981795230709</v>
      </c>
      <c r="AM83" s="111">
        <f>AL$83*'Population Treasury'!AX$130*'Statistics NZ'!AX$412/('Population Treasury'!AW$130*'Statistics NZ'!AW$412)</f>
        <v>26979.680251316677</v>
      </c>
      <c r="AN83" s="111">
        <f>AM$83*'Population Treasury'!AY$130*'Statistics NZ'!AY$412/('Population Treasury'!AX$130*'Statistics NZ'!AX$412)</f>
        <v>27054.414491542586</v>
      </c>
      <c r="AO83" s="111">
        <f>AN$83*'Population Treasury'!AZ$130*'Statistics NZ'!AZ$412/('Population Treasury'!AY$130*'Statistics NZ'!AY$412)</f>
        <v>27137.979783950064</v>
      </c>
      <c r="AP83" s="111">
        <f>AO$83*'Population Treasury'!BA$130*'Statistics NZ'!BA$412/('Population Treasury'!AZ$130*'Statistics NZ'!AZ$412)</f>
        <v>27240.656450302362</v>
      </c>
      <c r="AQ83" s="111">
        <f>AP$83*'Population Treasury'!BB$130*'Statistics NZ'!BB$412/('Population Treasury'!BA$130*'Statistics NZ'!BA$412)</f>
        <v>27362.607314749152</v>
      </c>
      <c r="AR83" s="111">
        <f>AQ$83*'Population Treasury'!BC$130*'Statistics NZ'!BC$412/('Population Treasury'!BB$130*'Statistics NZ'!BB$412)</f>
        <v>27482.73090812167</v>
      </c>
      <c r="AS83" s="111">
        <f>AR$83*'Population Treasury'!BD$130*'Statistics NZ'!BD$412/('Population Treasury'!BC$130*'Statistics NZ'!BC$412)</f>
        <v>27611.917966055658</v>
      </c>
      <c r="AT83" s="111">
        <f>AS$83*'Population Treasury'!BE$130*'Statistics NZ'!BE$412/('Population Treasury'!BD$130*'Statistics NZ'!BD$412)</f>
        <v>27729.285857781684</v>
      </c>
      <c r="AU83" s="111">
        <f>AT$83*'Population Treasury'!BF$130*'Statistics NZ'!BF$412/('Population Treasury'!BE$130*'Statistics NZ'!BE$412)</f>
        <v>27816.396338842856</v>
      </c>
      <c r="AV83" s="111">
        <f>AU$83*'Population Treasury'!BG$130*'Statistics NZ'!BG$412/('Population Treasury'!BF$130*'Statistics NZ'!BF$412)</f>
        <v>27899.637285018965</v>
      </c>
      <c r="AW83" s="111">
        <f>AV$83*'Population Treasury'!BH$130*'Statistics NZ'!BH$412/('Population Treasury'!BG$130*'Statistics NZ'!BG$412)</f>
        <v>27949.83993541884</v>
      </c>
      <c r="AX83" s="111">
        <f>AW$83*'Population Treasury'!BI$130*'Statistics NZ'!BI$412/('Population Treasury'!BH$130*'Statistics NZ'!BH$412)</f>
        <v>27970.310643566663</v>
      </c>
      <c r="AY83" s="111">
        <f>AX$83*'Population Treasury'!BJ$130*'Statistics NZ'!BJ$412/('Population Treasury'!BI$130*'Statistics NZ'!BI$412)</f>
        <v>27976.144818780358</v>
      </c>
      <c r="AZ83" s="111">
        <f>AY$83*'Population Treasury'!BK$130*'Statistics NZ'!BK$412/('Population Treasury'!BJ$130*'Statistics NZ'!BJ$412)</f>
        <v>27948.996447121517</v>
      </c>
      <c r="BA83" s="111">
        <f>AZ$83*'Population Treasury'!BL$130*'Statistics NZ'!BL$412/('Population Treasury'!BK$130*'Statistics NZ'!BK$412)</f>
        <v>27907.183243659951</v>
      </c>
      <c r="BB83" s="195">
        <f>BA$83*'Population Treasury'!BM$130*'Statistics NZ'!BM$412/('Population Treasury'!BL$130*'Statistics NZ'!BL$412)</f>
        <v>27842.907774558156</v>
      </c>
      <c r="BC83" s="195">
        <f>BB$83*'Population Treasury'!BN$130*'Statistics NZ'!BN$412/('Population Treasury'!BM$130*'Statistics NZ'!BM$412)</f>
        <v>27778.776112189935</v>
      </c>
      <c r="BD83" s="195">
        <f>BC$83*'Population Treasury'!BO$130*'Statistics NZ'!BO$412/('Population Treasury'!BN$130*'Statistics NZ'!BN$412)</f>
        <v>27689.29638942446</v>
      </c>
      <c r="BE83" s="195">
        <f>BD$83*'Population Treasury'!BP$130*'Statistics NZ'!BP$412/('Population Treasury'!BO$130*'Statistics NZ'!BO$412)</f>
        <v>27617.72763668792</v>
      </c>
      <c r="BF83" s="195">
        <f>BE$83*'Population Treasury'!BQ$130*'Statistics NZ'!BQ$412/('Population Treasury'!BP$130*'Statistics NZ'!BP$412)</f>
        <v>27543.202471190078</v>
      </c>
    </row>
    <row r="84" spans="1:58">
      <c r="A84" s="124">
        <f>$A$16</f>
        <v>21</v>
      </c>
      <c r="B84" s="118">
        <f>'Population Treasury'!M$131*'Statistics NZ'!M$413*'Economic Forecasts'!O$8/B$7</f>
        <v>27481.363160423451</v>
      </c>
      <c r="C84" s="118">
        <f>'Population Treasury'!N$131*'Statistics NZ'!N$413*'Economic Forecasts'!P$8/C$7</f>
        <v>26927.369460328271</v>
      </c>
      <c r="D84" s="118">
        <f>'Population Treasury'!O$131*'Statistics NZ'!O$413*'Economic Forecasts'!Q$8/D$7</f>
        <v>26680.006629005609</v>
      </c>
      <c r="E84" s="203">
        <f>'Population Treasury'!P$131*'Statistics NZ'!P$413*'Economic Forecasts'!R$8/E$7</f>
        <v>26038.611547297322</v>
      </c>
      <c r="F84" s="121">
        <f>'Population Treasury'!Q$131*'Statistics NZ'!Q$413*'Economic Forecasts'!S$8/F$7</f>
        <v>26629.63882149613</v>
      </c>
      <c r="G84" s="121">
        <f>'Population Treasury'!R$131*'Statistics NZ'!R$413*'Economic Forecasts'!T$8/G$7</f>
        <v>26542.414296006606</v>
      </c>
      <c r="H84" s="121">
        <f>'Population Treasury'!S$131*'Statistics NZ'!S$413*'Economic Forecasts'!U$8/H$7</f>
        <v>25779.483680238343</v>
      </c>
      <c r="I84" s="121">
        <f>'Population Treasury'!T$131*'Statistics NZ'!T$413*'Economic Forecasts'!V$8/I$7</f>
        <v>26354.869973847974</v>
      </c>
      <c r="J84" s="205">
        <f>'Population Treasury'!U$131*'Statistics NZ'!U$413*'Economic Forecasts'!W$8/J$7</f>
        <v>26706.59502570593</v>
      </c>
      <c r="K84" s="111">
        <f>J$84*'Population Treasury'!V$131*'Statistics NZ'!V$413/('Population Treasury'!U$131*'Statistics NZ'!U$413)</f>
        <v>27099.072697807103</v>
      </c>
      <c r="L84" s="111">
        <f>K$84*'Population Treasury'!W$131*'Statistics NZ'!W$413/('Population Treasury'!V$131*'Statistics NZ'!V$413)</f>
        <v>27966.704924168891</v>
      </c>
      <c r="M84" s="111">
        <f>L$84*'Population Treasury'!X$131*'Statistics NZ'!X$413/('Population Treasury'!W$131*'Statistics NZ'!W$413)</f>
        <v>29620.809353073542</v>
      </c>
      <c r="N84" s="111">
        <f>M$84*'Population Treasury'!Y$131*'Statistics NZ'!Y$413/('Population Treasury'!X$131*'Statistics NZ'!X$413)</f>
        <v>30530.518301215423</v>
      </c>
      <c r="O84" s="111">
        <f>N$84*'Population Treasury'!Z$131*'Statistics NZ'!Z$413/('Population Treasury'!Y$131*'Statistics NZ'!Y$413)</f>
        <v>31020.263225229239</v>
      </c>
      <c r="P84" s="111">
        <f>O$84*'Population Treasury'!AA$131*'Statistics NZ'!AA$413/('Population Treasury'!Z$131*'Statistics NZ'!Z$413)</f>
        <v>31446.617279629361</v>
      </c>
      <c r="Q84" s="111">
        <f>P$84*'Population Treasury'!AB$131*'Statistics NZ'!AB$413/('Population Treasury'!AA$131*'Statistics NZ'!AA$413)</f>
        <v>31227.597540932191</v>
      </c>
      <c r="R84" s="111">
        <f>Q$84*'Population Treasury'!AC$131*'Statistics NZ'!AC$413/('Population Treasury'!AB$131*'Statistics NZ'!AB$413)</f>
        <v>31109.262092198842</v>
      </c>
      <c r="S84" s="111">
        <f>R$84*'Population Treasury'!AD$131*'Statistics NZ'!AD$413/('Population Treasury'!AC$131*'Statistics NZ'!AC$413)</f>
        <v>30896.10980938598</v>
      </c>
      <c r="T84" s="111">
        <f>S$84*'Population Treasury'!AE$131*'Statistics NZ'!AE$413/('Population Treasury'!AD$131*'Statistics NZ'!AD$413)</f>
        <v>30616.57659743572</v>
      </c>
      <c r="U84" s="111">
        <f>T$84*'Population Treasury'!AF$131*'Statistics NZ'!AF$413/('Population Treasury'!AE$131*'Statistics NZ'!AE$413)</f>
        <v>30571.225938578704</v>
      </c>
      <c r="V84" s="111">
        <f>U$84*'Population Treasury'!AG$131*'Statistics NZ'!AG$413/('Population Treasury'!AF$131*'Statistics NZ'!AF$413)</f>
        <v>30333.100685822508</v>
      </c>
      <c r="W84" s="111">
        <f>V$84*'Population Treasury'!AH$131*'Statistics NZ'!AH$413/('Population Treasury'!AG$131*'Statistics NZ'!AG$413)</f>
        <v>30140.746149748255</v>
      </c>
      <c r="X84" s="111">
        <f>W$84*'Population Treasury'!AI$131*'Statistics NZ'!AI$413/('Population Treasury'!AH$131*'Statistics NZ'!AH$413)</f>
        <v>29588.789528784648</v>
      </c>
      <c r="Y84" s="111">
        <f>X$84*'Population Treasury'!AJ$131*'Statistics NZ'!AJ$413/('Population Treasury'!AI$131*'Statistics NZ'!AI$413)</f>
        <v>29569.889840984837</v>
      </c>
      <c r="Z84" s="111">
        <f>Y$84*'Population Treasury'!AK$131*'Statistics NZ'!AK$413/('Population Treasury'!AJ$131*'Statistics NZ'!AJ$413)</f>
        <v>29063.78456561741</v>
      </c>
      <c r="AA84" s="111">
        <f>Z$84*'Population Treasury'!AL$131*'Statistics NZ'!AL$413/('Population Treasury'!AK$131*'Statistics NZ'!AK$413)</f>
        <v>28923.416738800945</v>
      </c>
      <c r="AB84" s="111">
        <f>AA$84*'Population Treasury'!AM$131*'Statistics NZ'!AM$413/('Population Treasury'!AL$131*'Statistics NZ'!AL$413)</f>
        <v>28905.983995198756</v>
      </c>
      <c r="AC84" s="111">
        <f>AB$84*'Population Treasury'!AN$131*'Statistics NZ'!AN$413/('Population Treasury'!AM$131*'Statistics NZ'!AM$413)</f>
        <v>28861.794613337886</v>
      </c>
      <c r="AD84" s="111">
        <f>AC$84*'Population Treasury'!AO$131*'Statistics NZ'!AO$413/('Population Treasury'!AN$131*'Statistics NZ'!AN$413)</f>
        <v>28795.358628513954</v>
      </c>
      <c r="AE84" s="111">
        <f>AD$84*'Population Treasury'!AP$131*'Statistics NZ'!AP$413/('Population Treasury'!AO$131*'Statistics NZ'!AO$413)</f>
        <v>28883.996473845255</v>
      </c>
      <c r="AF84" s="111">
        <f>AE$84*'Population Treasury'!AQ$131*'Statistics NZ'!AQ$413/('Population Treasury'!AP$131*'Statistics NZ'!AP$413)</f>
        <v>28954.485712441565</v>
      </c>
      <c r="AG84" s="111">
        <f>AF$84*'Population Treasury'!AR$131*'Statistics NZ'!AR$413/('Population Treasury'!AQ$131*'Statistics NZ'!AQ$413)</f>
        <v>29005.435044833168</v>
      </c>
      <c r="AH84" s="111">
        <f>AG$84*'Population Treasury'!AS$131*'Statistics NZ'!AS$413/('Population Treasury'!AR$131*'Statistics NZ'!AR$413)</f>
        <v>29041.319316211786</v>
      </c>
      <c r="AI84" s="111">
        <f>AH$84*'Population Treasury'!AT$131*'Statistics NZ'!AT$413/('Population Treasury'!AS$131*'Statistics NZ'!AS$413)</f>
        <v>29060.139164100081</v>
      </c>
      <c r="AJ84" s="111">
        <f>AI$84*'Population Treasury'!AU$131*'Statistics NZ'!AU$413/('Population Treasury'!AT$131*'Statistics NZ'!AT$413)</f>
        <v>29084.230775288437</v>
      </c>
      <c r="AK84" s="111">
        <f>AJ$84*'Population Treasury'!AV$131*'Statistics NZ'!AV$413/('Population Treasury'!AU$131*'Statistics NZ'!AU$413)</f>
        <v>29103.969884916787</v>
      </c>
      <c r="AL84" s="111">
        <f>AK$84*'Population Treasury'!AW$131*'Statistics NZ'!AW$413/('Population Treasury'!AV$131*'Statistics NZ'!AV$413)</f>
        <v>29141.931044672714</v>
      </c>
      <c r="AM84" s="111">
        <f>AL$84*'Population Treasury'!AX$131*'Statistics NZ'!AX$413/('Population Treasury'!AW$131*'Statistics NZ'!AW$413)</f>
        <v>29182.338156980099</v>
      </c>
      <c r="AN84" s="111">
        <f>AM$84*'Population Treasury'!AY$131*'Statistics NZ'!AY$413/('Population Treasury'!AX$131*'Statistics NZ'!AX$413)</f>
        <v>29235.443795107745</v>
      </c>
      <c r="AO84" s="111">
        <f>AN$84*'Population Treasury'!AZ$131*'Statistics NZ'!AZ$413/('Population Treasury'!AY$131*'Statistics NZ'!AY$413)</f>
        <v>29314.034617940972</v>
      </c>
      <c r="AP84" s="111">
        <f>AO$84*'Population Treasury'!BA$131*'Statistics NZ'!BA$413/('Population Treasury'!AZ$131*'Statistics NZ'!AZ$413)</f>
        <v>29409.9830339482</v>
      </c>
      <c r="AQ84" s="111">
        <f>AP$84*'Population Treasury'!BB$131*'Statistics NZ'!BB$413/('Population Treasury'!BA$131*'Statistics NZ'!BA$413)</f>
        <v>29523.350821299358</v>
      </c>
      <c r="AR84" s="111">
        <f>AQ$84*'Population Treasury'!BC$131*'Statistics NZ'!BC$413/('Population Treasury'!BB$131*'Statistics NZ'!BB$413)</f>
        <v>29643.515463344163</v>
      </c>
      <c r="AS84" s="111">
        <f>AR$84*'Population Treasury'!BD$131*'Statistics NZ'!BD$413/('Population Treasury'!BC$131*'Statistics NZ'!BC$413)</f>
        <v>29781.297473663279</v>
      </c>
      <c r="AT84" s="111">
        <f>AS$84*'Population Treasury'!BE$131*'Statistics NZ'!BE$413/('Population Treasury'!BD$131*'Statistics NZ'!BD$413)</f>
        <v>29915.644394851457</v>
      </c>
      <c r="AU84" s="111">
        <f>AT$84*'Population Treasury'!BF$131*'Statistics NZ'!BF$413/('Population Treasury'!BE$131*'Statistics NZ'!BE$413)</f>
        <v>30036.361182148255</v>
      </c>
      <c r="AV84" s="111">
        <f>AU$84*'Population Treasury'!BG$131*'Statistics NZ'!BG$413/('Population Treasury'!BF$131*'Statistics NZ'!BF$413)</f>
        <v>30143.458012874449</v>
      </c>
      <c r="AW84" s="111">
        <f>AV$84*'Population Treasury'!BH$131*'Statistics NZ'!BH$413/('Population Treasury'!BG$131*'Statistics NZ'!BG$413)</f>
        <v>30218.188865489297</v>
      </c>
      <c r="AX84" s="111">
        <f>AW$84*'Population Treasury'!BI$131*'Statistics NZ'!BI$413/('Population Treasury'!BH$131*'Statistics NZ'!BH$413)</f>
        <v>30277.147929310671</v>
      </c>
      <c r="AY84" s="111">
        <f>AX$84*'Population Treasury'!BJ$131*'Statistics NZ'!BJ$413/('Population Treasury'!BI$131*'Statistics NZ'!BI$413)</f>
        <v>30304.007888969529</v>
      </c>
      <c r="AZ84" s="111">
        <f>AY$84*'Population Treasury'!BK$131*'Statistics NZ'!BK$413/('Population Treasury'!BJ$131*'Statistics NZ'!BJ$413)</f>
        <v>30304.374676767748</v>
      </c>
      <c r="BA84" s="111">
        <f>AZ$84*'Population Treasury'!BL$131*'Statistics NZ'!BL$413/('Population Treasury'!BK$131*'Statistics NZ'!BK$413)</f>
        <v>30280.668464641672</v>
      </c>
      <c r="BB84" s="195">
        <f>BA$84*'Population Treasury'!BM$131*'Statistics NZ'!BM$413/('Population Treasury'!BL$131*'Statistics NZ'!BL$413)</f>
        <v>30230.49520109436</v>
      </c>
      <c r="BC84" s="195">
        <f>BB$84*'Population Treasury'!BN$131*'Statistics NZ'!BN$413/('Population Treasury'!BM$131*'Statistics NZ'!BM$413)</f>
        <v>30166.675358211229</v>
      </c>
      <c r="BD84" s="195">
        <f>BC$84*'Population Treasury'!BO$131*'Statistics NZ'!BO$413/('Population Treasury'!BN$131*'Statistics NZ'!BN$413)</f>
        <v>30092.456876949404</v>
      </c>
      <c r="BE84" s="195">
        <f>BD$84*'Population Treasury'!BP$131*'Statistics NZ'!BP$413/('Population Treasury'!BO$131*'Statistics NZ'!BO$413)</f>
        <v>30002.21221936612</v>
      </c>
      <c r="BF84" s="195">
        <f>BE$84*'Population Treasury'!BQ$131*'Statistics NZ'!BQ$413/('Population Treasury'!BP$131*'Statistics NZ'!BP$413)</f>
        <v>29920.00953525041</v>
      </c>
    </row>
    <row r="85" spans="1:58">
      <c r="A85" s="124">
        <f>$A$17</f>
        <v>22</v>
      </c>
      <c r="B85" s="118">
        <f>'Population Treasury'!M$132*'Statistics NZ'!M$414*'Economic Forecasts'!O$8/B$7</f>
        <v>29115.998547483159</v>
      </c>
      <c r="C85" s="118">
        <f>'Population Treasury'!N$132*'Statistics NZ'!N$414*'Economic Forecasts'!P$8/C$7</f>
        <v>29247.569297348025</v>
      </c>
      <c r="D85" s="118">
        <f>'Population Treasury'!O$132*'Statistics NZ'!O$414*'Economic Forecasts'!Q$8/D$7</f>
        <v>28176.322367696437</v>
      </c>
      <c r="E85" s="203">
        <f>'Population Treasury'!P$132*'Statistics NZ'!P$414*'Economic Forecasts'!R$8/E$7</f>
        <v>28328.625960435736</v>
      </c>
      <c r="F85" s="121">
        <f>'Population Treasury'!Q$132*'Statistics NZ'!Q$414*'Economic Forecasts'!S$8/F$7</f>
        <v>27547.203880263027</v>
      </c>
      <c r="G85" s="121">
        <f>'Population Treasury'!R$132*'Statistics NZ'!R$414*'Economic Forecasts'!T$8/G$7</f>
        <v>28450.789416825679</v>
      </c>
      <c r="H85" s="121">
        <f>'Population Treasury'!S$132*'Statistics NZ'!S$414*'Economic Forecasts'!U$8/H$7</f>
        <v>28337.855916158052</v>
      </c>
      <c r="I85" s="121">
        <f>'Population Treasury'!T$132*'Statistics NZ'!T$414*'Economic Forecasts'!V$8/I$7</f>
        <v>27396.259894551029</v>
      </c>
      <c r="J85" s="205">
        <f>'Population Treasury'!U$132*'Statistics NZ'!U$414*'Economic Forecasts'!W$8/J$7</f>
        <v>28026.026621110828</v>
      </c>
      <c r="K85" s="111">
        <f>J$85*'Population Treasury'!V$132*'Statistics NZ'!V$414/('Population Treasury'!U$132*'Statistics NZ'!U$414)</f>
        <v>28332.153846473931</v>
      </c>
      <c r="L85" s="111">
        <f>K$85*'Population Treasury'!W$132*'Statistics NZ'!W$414/('Population Treasury'!V$132*'Statistics NZ'!V$414)</f>
        <v>28740.360873800677</v>
      </c>
      <c r="M85" s="111">
        <f>L$85*'Population Treasury'!X$132*'Statistics NZ'!X$414/('Population Treasury'!W$132*'Statistics NZ'!W$414)</f>
        <v>29667.025158972829</v>
      </c>
      <c r="N85" s="111">
        <f>M$85*'Population Treasury'!Y$132*'Statistics NZ'!Y$414/('Population Treasury'!X$132*'Statistics NZ'!X$414)</f>
        <v>31405.851278164606</v>
      </c>
      <c r="O85" s="111">
        <f>N$85*'Population Treasury'!Z$132*'Statistics NZ'!Z$414/('Population Treasury'!Y$132*'Statistics NZ'!Y$414)</f>
        <v>32361.680702936817</v>
      </c>
      <c r="P85" s="111">
        <f>O$85*'Population Treasury'!AA$132*'Statistics NZ'!AA$414/('Population Treasury'!Z$132*'Statistics NZ'!Z$414)</f>
        <v>32886.372512402275</v>
      </c>
      <c r="Q85" s="111">
        <f>P$85*'Population Treasury'!AB$132*'Statistics NZ'!AB$414/('Population Treasury'!AA$132*'Statistics NZ'!AA$414)</f>
        <v>33340.134091966298</v>
      </c>
      <c r="R85" s="111">
        <f>Q$85*'Population Treasury'!AC$132*'Statistics NZ'!AC$414/('Population Treasury'!AB$132*'Statistics NZ'!AB$414)</f>
        <v>33120.53122709968</v>
      </c>
      <c r="S85" s="111">
        <f>R$85*'Population Treasury'!AD$132*'Statistics NZ'!AD$414/('Population Treasury'!AC$132*'Statistics NZ'!AC$414)</f>
        <v>32989.474591559607</v>
      </c>
      <c r="T85" s="111">
        <f>S$85*'Population Treasury'!AE$132*'Statistics NZ'!AE$414/('Population Treasury'!AD$132*'Statistics NZ'!AD$414)</f>
        <v>32758.624893604916</v>
      </c>
      <c r="U85" s="111">
        <f>T$85*'Population Treasury'!AF$132*'Statistics NZ'!AF$414/('Population Treasury'!AE$132*'Statistics NZ'!AE$414)</f>
        <v>32475.797973751225</v>
      </c>
      <c r="V85" s="111">
        <f>U$85*'Population Treasury'!AG$132*'Statistics NZ'!AG$414/('Population Treasury'!AF$132*'Statistics NZ'!AF$414)</f>
        <v>32423.277825056382</v>
      </c>
      <c r="W85" s="111">
        <f>V$85*'Population Treasury'!AH$132*'Statistics NZ'!AH$414/('Population Treasury'!AG$132*'Statistics NZ'!AG$414)</f>
        <v>32176.965165309939</v>
      </c>
      <c r="X85" s="111">
        <f>W$85*'Population Treasury'!AI$132*'Statistics NZ'!AI$414/('Population Treasury'!AH$132*'Statistics NZ'!AH$414)</f>
        <v>31984.178210476552</v>
      </c>
      <c r="Y85" s="111">
        <f>X$85*'Population Treasury'!AJ$132*'Statistics NZ'!AJ$414/('Population Treasury'!AI$132*'Statistics NZ'!AI$414)</f>
        <v>31401.215176969654</v>
      </c>
      <c r="Z85" s="111">
        <f>Y$85*'Population Treasury'!AK$132*'Statistics NZ'!AK$414/('Population Treasury'!AJ$132*'Statistics NZ'!AJ$414)</f>
        <v>31385.617554653185</v>
      </c>
      <c r="AA85" s="111">
        <f>Z$85*'Population Treasury'!AL$132*'Statistics NZ'!AL$414/('Population Treasury'!AK$132*'Statistics NZ'!AK$414)</f>
        <v>30847.254140328187</v>
      </c>
      <c r="AB85" s="111">
        <f>AA$85*'Population Treasury'!AM$132*'Statistics NZ'!AM$414/('Population Treasury'!AL$132*'Statistics NZ'!AL$414)</f>
        <v>30701.259974576587</v>
      </c>
      <c r="AC85" s="111">
        <f>AB$85*'Population Treasury'!AN$132*'Statistics NZ'!AN$414/('Population Treasury'!AM$132*'Statistics NZ'!AM$414)</f>
        <v>30672.383088717383</v>
      </c>
      <c r="AD85" s="111">
        <f>AC$85*'Population Treasury'!AO$132*'Statistics NZ'!AO$414/('Population Treasury'!AN$132*'Statistics NZ'!AN$414)</f>
        <v>30618.513039634188</v>
      </c>
      <c r="AE85" s="111">
        <f>AD$85*'Population Treasury'!AP$132*'Statistics NZ'!AP$414/('Population Treasury'!AO$132*'Statistics NZ'!AO$414)</f>
        <v>30562.95973676959</v>
      </c>
      <c r="AF85" s="111">
        <f>AE$85*'Population Treasury'!AQ$132*'Statistics NZ'!AQ$414/('Population Treasury'!AP$132*'Statistics NZ'!AP$414)</f>
        <v>30666.721766586688</v>
      </c>
      <c r="AG85" s="111">
        <f>AF$85*'Population Treasury'!AR$132*'Statistics NZ'!AR$414/('Population Treasury'!AQ$132*'Statistics NZ'!AQ$414)</f>
        <v>30733.917471825371</v>
      </c>
      <c r="AH85" s="111">
        <f>AG$85*'Population Treasury'!AS$132*'Statistics NZ'!AS$414/('Population Treasury'!AR$132*'Statistics NZ'!AR$414)</f>
        <v>30793.239737822918</v>
      </c>
      <c r="AI85" s="111">
        <f>AH$85*'Population Treasury'!AT$132*'Statistics NZ'!AT$414/('Population Treasury'!AS$132*'Statistics NZ'!AS$414)</f>
        <v>30828.453745336901</v>
      </c>
      <c r="AJ85" s="111">
        <f>AI$85*'Population Treasury'!AU$132*'Statistics NZ'!AU$414/('Population Treasury'!AT$132*'Statistics NZ'!AT$414)</f>
        <v>30857.997941377875</v>
      </c>
      <c r="AK85" s="111">
        <f>AJ$85*'Population Treasury'!AV$132*'Statistics NZ'!AV$414/('Population Treasury'!AU$132*'Statistics NZ'!AU$414)</f>
        <v>30882.135676445956</v>
      </c>
      <c r="AL85" s="111">
        <f>AK$85*'Population Treasury'!AW$132*'Statistics NZ'!AW$414/('Population Treasury'!AV$132*'Statistics NZ'!AV$414)</f>
        <v>30895.918377323425</v>
      </c>
      <c r="AM85" s="111">
        <f>AL$85*'Population Treasury'!AX$132*'Statistics NZ'!AX$414/('Population Treasury'!AW$132*'Statistics NZ'!AW$414)</f>
        <v>30936.928141402394</v>
      </c>
      <c r="AN85" s="111">
        <f>AM$85*'Population Treasury'!AY$132*'Statistics NZ'!AY$414/('Population Treasury'!AX$132*'Statistics NZ'!AX$414)</f>
        <v>30979.919494130434</v>
      </c>
      <c r="AO85" s="111">
        <f>AN$85*'Population Treasury'!AZ$132*'Statistics NZ'!AZ$414/('Population Treasury'!AY$132*'Statistics NZ'!AY$414)</f>
        <v>31035.12276055148</v>
      </c>
      <c r="AP85" s="111">
        <f>AO$85*'Population Treasury'!BA$132*'Statistics NZ'!BA$414/('Population Treasury'!AZ$132*'Statistics NZ'!AZ$414)</f>
        <v>31116.703073380133</v>
      </c>
      <c r="AQ85" s="111">
        <f>AP$85*'Population Treasury'!BB$132*'Statistics NZ'!BB$414/('Population Treasury'!BA$132*'Statistics NZ'!BA$414)</f>
        <v>31220.891229866011</v>
      </c>
      <c r="AR85" s="111">
        <f>AQ$85*'Population Treasury'!BC$132*'Statistics NZ'!BC$414/('Population Treasury'!BB$132*'Statistics NZ'!BB$414)</f>
        <v>31342.937931792021</v>
      </c>
      <c r="AS85" s="111">
        <f>AR$85*'Population Treasury'!BD$132*'Statistics NZ'!BD$414/('Population Treasury'!BC$132*'Statistics NZ'!BC$414)</f>
        <v>31470.288420434474</v>
      </c>
      <c r="AT85" s="111">
        <f>AS$85*'Population Treasury'!BE$132*'Statistics NZ'!BE$414/('Population Treasury'!BD$132*'Statistics NZ'!BD$414)</f>
        <v>31613.759866646738</v>
      </c>
      <c r="AU85" s="111">
        <f>AT$85*'Population Treasury'!BF$132*'Statistics NZ'!BF$414/('Population Treasury'!BE$132*'Statistics NZ'!BE$414)</f>
        <v>31763.000756486905</v>
      </c>
      <c r="AV85" s="111">
        <f>AU$85*'Population Treasury'!BG$132*'Statistics NZ'!BG$414/('Population Treasury'!BF$132*'Statistics NZ'!BF$414)</f>
        <v>31897.178709919313</v>
      </c>
      <c r="AW85" s="111">
        <f>AV$85*'Population Treasury'!BH$132*'Statistics NZ'!BH$414/('Population Treasury'!BG$132*'Statistics NZ'!BG$414)</f>
        <v>31996.757012332328</v>
      </c>
      <c r="AX85" s="111">
        <f>AW$85*'Population Treasury'!BI$132*'Statistics NZ'!BI$414/('Population Treasury'!BH$132*'Statistics NZ'!BH$414)</f>
        <v>32090.345455579074</v>
      </c>
      <c r="AY85" s="111">
        <f>AX$85*'Population Treasury'!BJ$132*'Statistics NZ'!BJ$414/('Population Treasury'!BI$132*'Statistics NZ'!BI$414)</f>
        <v>32138.906254107373</v>
      </c>
      <c r="AZ85" s="111">
        <f>AY$85*'Population Treasury'!BK$132*'Statistics NZ'!BK$414/('Population Treasury'!BJ$132*'Statistics NZ'!BJ$414)</f>
        <v>32162.261321966744</v>
      </c>
      <c r="BA85" s="111">
        <f>AZ$85*'Population Treasury'!BL$132*'Statistics NZ'!BL$414/('Population Treasury'!BK$132*'Statistics NZ'!BK$414)</f>
        <v>32168.868004547541</v>
      </c>
      <c r="BB85" s="195">
        <f>BA$85*'Population Treasury'!BM$132*'Statistics NZ'!BM$414/('Population Treasury'!BL$132*'Statistics NZ'!BL$414)</f>
        <v>32148.017365116</v>
      </c>
      <c r="BC85" s="195">
        <f>BB$85*'Population Treasury'!BN$132*'Statistics NZ'!BN$414/('Population Treasury'!BM$132*'Statistics NZ'!BM$414)</f>
        <v>32101.435124526713</v>
      </c>
      <c r="BD85" s="195">
        <f>BC$85*'Population Treasury'!BO$132*'Statistics NZ'!BO$414/('Population Treasury'!BN$132*'Statistics NZ'!BN$414)</f>
        <v>32038.028084378602</v>
      </c>
      <c r="BE85" s="195">
        <f>BD$85*'Population Treasury'!BP$132*'Statistics NZ'!BP$414/('Population Treasury'!BO$132*'Statistics NZ'!BO$414)</f>
        <v>31957.569716947743</v>
      </c>
      <c r="BF85" s="195">
        <f>BE$85*'Population Treasury'!BQ$132*'Statistics NZ'!BQ$414/('Population Treasury'!BP$132*'Statistics NZ'!BP$414)</f>
        <v>31866.619158333255</v>
      </c>
    </row>
    <row r="86" spans="1:58">
      <c r="A86" s="124">
        <f>$A$18</f>
        <v>23</v>
      </c>
      <c r="B86" s="118">
        <f>'Population Treasury'!M$133*'Statistics NZ'!M$415*'Economic Forecasts'!O$8/B$7</f>
        <v>30508.668033855171</v>
      </c>
      <c r="C86" s="118">
        <f>'Population Treasury'!N$133*'Statistics NZ'!N$415*'Economic Forecasts'!P$8/C$7</f>
        <v>30870.934186677052</v>
      </c>
      <c r="D86" s="118">
        <f>'Population Treasury'!O$133*'Statistics NZ'!O$415*'Economic Forecasts'!Q$8/D$7</f>
        <v>30405.334517885931</v>
      </c>
      <c r="E86" s="203">
        <f>'Population Treasury'!P$133*'Statistics NZ'!P$415*'Economic Forecasts'!R$8/E$7</f>
        <v>29764.759695683984</v>
      </c>
      <c r="F86" s="121">
        <f>'Population Treasury'!Q$133*'Statistics NZ'!Q$415*'Economic Forecasts'!S$8/F$7</f>
        <v>29612.876679786612</v>
      </c>
      <c r="G86" s="121">
        <f>'Population Treasury'!R$133*'Statistics NZ'!R$415*'Economic Forecasts'!T$8/G$7</f>
        <v>29088.51979076225</v>
      </c>
      <c r="H86" s="121">
        <f>'Population Treasury'!S$133*'Statistics NZ'!S$415*'Economic Forecasts'!U$8/H$7</f>
        <v>30028.305354400469</v>
      </c>
      <c r="I86" s="121">
        <f>'Population Treasury'!T$133*'Statistics NZ'!T$415*'Economic Forecasts'!V$8/I$7</f>
        <v>29807.868345052975</v>
      </c>
      <c r="J86" s="205">
        <f>'Population Treasury'!U$133*'Statistics NZ'!U$415*'Economic Forecasts'!W$8/J$7</f>
        <v>28828.945655050589</v>
      </c>
      <c r="K86" s="111">
        <f>J$86*'Population Treasury'!V$133*'Statistics NZ'!V$415/('Population Treasury'!U$133*'Statistics NZ'!U$415)</f>
        <v>29413.890780150326</v>
      </c>
      <c r="L86" s="111">
        <f>K$86*'Population Treasury'!W$133*'Statistics NZ'!W$415/('Population Treasury'!V$133*'Statistics NZ'!V$415)</f>
        <v>29727.864856849814</v>
      </c>
      <c r="M86" s="111">
        <f>L$86*'Population Treasury'!X$133*'Statistics NZ'!X$415/('Population Treasury'!W$133*'Statistics NZ'!W$415)</f>
        <v>30145.075091350958</v>
      </c>
      <c r="N86" s="111">
        <f>M$86*'Population Treasury'!Y$133*'Statistics NZ'!Y$415/('Population Treasury'!X$133*'Statistics NZ'!X$415)</f>
        <v>31122.699019847743</v>
      </c>
      <c r="O86" s="111">
        <f>N$86*'Population Treasury'!Z$133*'Statistics NZ'!Z$415/('Population Treasury'!Y$133*'Statistics NZ'!Y$415)</f>
        <v>32931.291766465038</v>
      </c>
      <c r="P86" s="111">
        <f>O$86*'Population Treasury'!AA$133*'Statistics NZ'!AA$415/('Population Treasury'!Z$133*'Statistics NZ'!Z$415)</f>
        <v>33923.928927720313</v>
      </c>
      <c r="Q86" s="111">
        <f>P$86*'Population Treasury'!AB$133*'Statistics NZ'!AB$415/('Population Treasury'!AA$133*'Statistics NZ'!AA$415)</f>
        <v>34470.474891966172</v>
      </c>
      <c r="R86" s="111">
        <f>Q$86*'Population Treasury'!AC$133*'Statistics NZ'!AC$415/('Population Treasury'!AB$133*'Statistics NZ'!AB$415)</f>
        <v>34939.899209725663</v>
      </c>
      <c r="S86" s="111">
        <f>R$86*'Population Treasury'!AD$133*'Statistics NZ'!AD$415/('Population Treasury'!AC$133*'Statistics NZ'!AC$415)</f>
        <v>34707.33666120359</v>
      </c>
      <c r="T86" s="111">
        <f>S$86*'Population Treasury'!AE$133*'Statistics NZ'!AE$415/('Population Treasury'!AD$133*'Statistics NZ'!AD$415)</f>
        <v>34578.324701578153</v>
      </c>
      <c r="U86" s="111">
        <f>T$86*'Population Treasury'!AF$133*'Statistics NZ'!AF$415/('Population Treasury'!AE$133*'Statistics NZ'!AE$415)</f>
        <v>34338.015849539981</v>
      </c>
      <c r="V86" s="111">
        <f>U$86*'Population Treasury'!AG$133*'Statistics NZ'!AG$415/('Population Treasury'!AF$133*'Statistics NZ'!AF$415)</f>
        <v>34037.208762560309</v>
      </c>
      <c r="W86" s="111">
        <f>V$86*'Population Treasury'!AH$133*'Statistics NZ'!AH$415/('Population Treasury'!AG$133*'Statistics NZ'!AG$415)</f>
        <v>33985.396654802877</v>
      </c>
      <c r="X86" s="111">
        <f>W$86*'Population Treasury'!AI$133*'Statistics NZ'!AI$415/('Population Treasury'!AH$133*'Statistics NZ'!AH$415)</f>
        <v>33735.066024666296</v>
      </c>
      <c r="Y86" s="111">
        <f>X$86*'Population Treasury'!AJ$133*'Statistics NZ'!AJ$415/('Population Treasury'!AI$133*'Statistics NZ'!AI$415)</f>
        <v>33536.999137596133</v>
      </c>
      <c r="Z86" s="111">
        <f>Y$86*'Population Treasury'!AK$133*'Statistics NZ'!AK$415/('Population Treasury'!AJ$133*'Statistics NZ'!AJ$415)</f>
        <v>32923.731981345292</v>
      </c>
      <c r="AA86" s="111">
        <f>Z$86*'Population Treasury'!AL$133*'Statistics NZ'!AL$415/('Population Treasury'!AK$133*'Statistics NZ'!AK$415)</f>
        <v>32906.675141398351</v>
      </c>
      <c r="AB86" s="111">
        <f>AA$86*'Population Treasury'!AM$133*'Statistics NZ'!AM$415/('Population Treasury'!AL$133*'Statistics NZ'!AL$415)</f>
        <v>32356.284673957907</v>
      </c>
      <c r="AC86" s="111">
        <f>AB$86*'Population Treasury'!AN$133*'Statistics NZ'!AN$415/('Population Treasury'!AM$133*'Statistics NZ'!AM$415)</f>
        <v>32199.369790264805</v>
      </c>
      <c r="AD86" s="111">
        <f>AC$86*'Population Treasury'!AO$133*'Statistics NZ'!AO$415/('Population Treasury'!AN$133*'Statistics NZ'!AN$415)</f>
        <v>32178.454545024259</v>
      </c>
      <c r="AE86" s="111">
        <f>AD$86*'Population Treasury'!AP$133*'Statistics NZ'!AP$415/('Population Treasury'!AO$133*'Statistics NZ'!AO$415)</f>
        <v>32126.566565710145</v>
      </c>
      <c r="AF86" s="111">
        <f>AE$86*'Population Treasury'!AQ$133*'Statistics NZ'!AQ$415/('Population Treasury'!AP$133*'Statistics NZ'!AP$415)</f>
        <v>32048.004864361588</v>
      </c>
      <c r="AG86" s="111">
        <f>AF$86*'Population Treasury'!AR$133*'Statistics NZ'!AR$415/('Population Treasury'!AQ$133*'Statistics NZ'!AQ$415)</f>
        <v>32164.505536197794</v>
      </c>
      <c r="AH86" s="111">
        <f>AG$86*'Population Treasury'!AS$133*'Statistics NZ'!AS$415/('Population Treasury'!AR$133*'Statistics NZ'!AR$415)</f>
        <v>32245.934810769417</v>
      </c>
      <c r="AI86" s="111">
        <f>AH$86*'Population Treasury'!AT$133*'Statistics NZ'!AT$415/('Population Treasury'!AS$133*'Statistics NZ'!AS$415)</f>
        <v>32303.568510176443</v>
      </c>
      <c r="AJ86" s="111">
        <f>AI$86*'Population Treasury'!AU$133*'Statistics NZ'!AU$415/('Population Treasury'!AT$133*'Statistics NZ'!AT$415)</f>
        <v>32336.336502443286</v>
      </c>
      <c r="AK86" s="111">
        <f>AJ$86*'Population Treasury'!AV$133*'Statistics NZ'!AV$415/('Population Treasury'!AU$133*'Statistics NZ'!AU$415)</f>
        <v>32355.622306365989</v>
      </c>
      <c r="AL86" s="111">
        <f>AK$86*'Population Treasury'!AW$133*'Statistics NZ'!AW$415/('Population Treasury'!AV$133*'Statistics NZ'!AV$415)</f>
        <v>32389.6219811917</v>
      </c>
      <c r="AM86" s="111">
        <f>AL$86*'Population Treasury'!AX$133*'Statistics NZ'!AX$415/('Population Treasury'!AW$133*'Statistics NZ'!AW$415)</f>
        <v>32412.062206955947</v>
      </c>
      <c r="AN86" s="111">
        <f>AM$86*'Population Treasury'!AY$133*'Statistics NZ'!AY$415/('Population Treasury'!AX$133*'Statistics NZ'!AX$415)</f>
        <v>32453.619356983658</v>
      </c>
      <c r="AO86" s="111">
        <f>AN$86*'Population Treasury'!AZ$133*'Statistics NZ'!AZ$415/('Population Treasury'!AY$133*'Statistics NZ'!AY$415)</f>
        <v>32496.742191677029</v>
      </c>
      <c r="AP86" s="111">
        <f>AO$86*'Population Treasury'!BA$133*'Statistics NZ'!BA$415/('Population Treasury'!AZ$133*'Statistics NZ'!AZ$415)</f>
        <v>32562.085414712303</v>
      </c>
      <c r="AQ86" s="111">
        <f>AP$86*'Population Treasury'!BB$133*'Statistics NZ'!BB$415/('Population Treasury'!BA$133*'Statistics NZ'!BA$415)</f>
        <v>32651.234095903001</v>
      </c>
      <c r="AR86" s="111">
        <f>AQ$86*'Population Treasury'!BC$133*'Statistics NZ'!BC$415/('Population Treasury'!BB$133*'Statistics NZ'!BB$415)</f>
        <v>32755.044657117458</v>
      </c>
      <c r="AS86" s="111">
        <f>AR$86*'Population Treasury'!BD$133*'Statistics NZ'!BD$415/('Population Treasury'!BC$133*'Statistics NZ'!BC$415)</f>
        <v>32873.534166696736</v>
      </c>
      <c r="AT86" s="111">
        <f>AS$86*'Population Treasury'!BE$133*'Statistics NZ'!BE$415/('Population Treasury'!BD$133*'Statistics NZ'!BD$415)</f>
        <v>33017.337114823764</v>
      </c>
      <c r="AU86" s="111">
        <f>AT$86*'Population Treasury'!BF$133*'Statistics NZ'!BF$415/('Population Treasury'!BE$133*'Statistics NZ'!BE$415)</f>
        <v>33165.428761228977</v>
      </c>
      <c r="AV86" s="111">
        <f>AU$86*'Population Treasury'!BG$133*'Statistics NZ'!BG$415/('Population Treasury'!BF$133*'Statistics NZ'!BF$415)</f>
        <v>33318.078814537905</v>
      </c>
      <c r="AW86" s="111">
        <f>AV$86*'Population Treasury'!BH$133*'Statistics NZ'!BH$415/('Population Treasury'!BG$133*'Statistics NZ'!BG$415)</f>
        <v>33454.475824652342</v>
      </c>
      <c r="AX86" s="111">
        <f>AW$86*'Population Treasury'!BI$133*'Statistics NZ'!BI$415/('Population Treasury'!BH$133*'Statistics NZ'!BH$415)</f>
        <v>33565.400659383522</v>
      </c>
      <c r="AY86" s="111">
        <f>AX$86*'Population Treasury'!BJ$133*'Statistics NZ'!BJ$415/('Population Treasury'!BI$133*'Statistics NZ'!BI$415)</f>
        <v>33658.861942294738</v>
      </c>
      <c r="AZ86" s="111">
        <f>AY$86*'Population Treasury'!BK$133*'Statistics NZ'!BK$415/('Population Treasury'!BJ$133*'Statistics NZ'!BJ$415)</f>
        <v>33716.430749036357</v>
      </c>
      <c r="BA86" s="111">
        <f>AZ$86*'Population Treasury'!BL$133*'Statistics NZ'!BL$415/('Population Treasury'!BK$133*'Statistics NZ'!BK$415)</f>
        <v>33756.821721210195</v>
      </c>
      <c r="BB86" s="195">
        <f>BA$86*'Population Treasury'!BM$133*'Statistics NZ'!BM$415/('Population Treasury'!BL$133*'Statistics NZ'!BL$415)</f>
        <v>33739.928736294918</v>
      </c>
      <c r="BC86" s="195">
        <f>BB$86*'Population Treasury'!BN$133*'Statistics NZ'!BN$415/('Population Treasury'!BM$133*'Statistics NZ'!BM$415)</f>
        <v>33725.381874865932</v>
      </c>
      <c r="BD86" s="195">
        <f>BC$86*'Population Treasury'!BO$133*'Statistics NZ'!BO$415/('Population Treasury'!BN$133*'Statistics NZ'!BN$415)</f>
        <v>33664.353645772491</v>
      </c>
      <c r="BE86" s="195">
        <f>BD$86*'Population Treasury'!BP$133*'Statistics NZ'!BP$415/('Population Treasury'!BO$133*'Statistics NZ'!BO$415)</f>
        <v>33594.665413146744</v>
      </c>
      <c r="BF86" s="195">
        <f>BE$86*'Population Treasury'!BQ$133*'Statistics NZ'!BQ$415/('Population Treasury'!BP$133*'Statistics NZ'!BP$415)</f>
        <v>33516.071265354534</v>
      </c>
    </row>
    <row r="87" spans="1:58">
      <c r="A87" s="124">
        <f>$A$19</f>
        <v>24</v>
      </c>
      <c r="B87" s="118">
        <f>'Population Treasury'!M$134*'Statistics NZ'!M$416*'Economic Forecasts'!O$8/B$7</f>
        <v>32539.169812043314</v>
      </c>
      <c r="C87" s="118">
        <f>'Population Treasury'!N$134*'Statistics NZ'!N$416*'Economic Forecasts'!P$8/C$7</f>
        <v>32065.660856128448</v>
      </c>
      <c r="D87" s="118">
        <f>'Population Treasury'!O$134*'Statistics NZ'!O$416*'Economic Forecasts'!Q$8/D$7</f>
        <v>31755.122014146113</v>
      </c>
      <c r="E87" s="203">
        <f>'Population Treasury'!P$134*'Statistics NZ'!P$416*'Economic Forecasts'!R$8/E$7</f>
        <v>31969.082085158971</v>
      </c>
      <c r="F87" s="121">
        <f>'Population Treasury'!Q$134*'Statistics NZ'!Q$416*'Economic Forecasts'!S$8/F$7</f>
        <v>30771.936544314758</v>
      </c>
      <c r="G87" s="121">
        <f>'Population Treasury'!R$134*'Statistics NZ'!R$416*'Economic Forecasts'!T$8/G$7</f>
        <v>30918.987182249068</v>
      </c>
      <c r="H87" s="121">
        <f>'Population Treasury'!S$134*'Statistics NZ'!S$416*'Economic Forecasts'!U$8/H$7</f>
        <v>30361.969292426922</v>
      </c>
      <c r="I87" s="121">
        <f>'Population Treasury'!T$134*'Statistics NZ'!T$416*'Economic Forecasts'!V$8/I$7</f>
        <v>31209.156944717794</v>
      </c>
      <c r="J87" s="205">
        <f>'Population Treasury'!U$134*'Statistics NZ'!U$416*'Economic Forecasts'!W$8/J$7</f>
        <v>31002.903369542531</v>
      </c>
      <c r="K87" s="111">
        <f>J$87*'Population Treasury'!V$134*'Statistics NZ'!V$416/('Population Treasury'!U$134*'Statistics NZ'!U$416)</f>
        <v>29883.655463027666</v>
      </c>
      <c r="L87" s="111">
        <f>K$87*'Population Treasury'!W$134*'Statistics NZ'!W$416/('Population Treasury'!V$134*'Statistics NZ'!V$416)</f>
        <v>30489.533008217397</v>
      </c>
      <c r="M87" s="111">
        <f>L$87*'Population Treasury'!X$134*'Statistics NZ'!X$416/('Population Treasury'!W$134*'Statistics NZ'!W$416)</f>
        <v>30802.761607007677</v>
      </c>
      <c r="N87" s="111">
        <f>M$87*'Population Treasury'!Y$134*'Statistics NZ'!Y$416/('Population Treasury'!X$134*'Statistics NZ'!X$416)</f>
        <v>31250.400573796938</v>
      </c>
      <c r="O87" s="111">
        <f>N$87*'Population Treasury'!Z$134*'Statistics NZ'!Z$416/('Population Treasury'!Y$134*'Statistics NZ'!Y$416)</f>
        <v>32249.645129118275</v>
      </c>
      <c r="P87" s="111">
        <f>O$87*'Population Treasury'!AA$134*'Statistics NZ'!AA$416/('Population Treasury'!Z$134*'Statistics NZ'!Z$416)</f>
        <v>34122.215748827832</v>
      </c>
      <c r="Q87" s="111">
        <f>P$87*'Population Treasury'!AB$134*'Statistics NZ'!AB$416/('Population Treasury'!AA$134*'Statistics NZ'!AA$416)</f>
        <v>35152.947054656302</v>
      </c>
      <c r="R87" s="111">
        <f>Q$87*'Population Treasury'!AC$134*'Statistics NZ'!AC$416/('Population Treasury'!AB$134*'Statistics NZ'!AB$416)</f>
        <v>35708.601330017285</v>
      </c>
      <c r="S87" s="111">
        <f>R$87*'Population Treasury'!AD$134*'Statistics NZ'!AD$416/('Population Treasury'!AC$134*'Statistics NZ'!AC$416)</f>
        <v>36181.250547403644</v>
      </c>
      <c r="T87" s="111">
        <f>S$87*'Population Treasury'!AE$134*'Statistics NZ'!AE$416/('Population Treasury'!AD$134*'Statistics NZ'!AD$416)</f>
        <v>35939.654899095032</v>
      </c>
      <c r="U87" s="111">
        <f>T$87*'Population Treasury'!AF$134*'Statistics NZ'!AF$416/('Population Treasury'!AE$134*'Statistics NZ'!AE$416)</f>
        <v>35821.255241064857</v>
      </c>
      <c r="V87" s="111">
        <f>U$87*'Population Treasury'!AG$134*'Statistics NZ'!AG$416/('Population Treasury'!AF$134*'Statistics NZ'!AF$416)</f>
        <v>35571.141511079913</v>
      </c>
      <c r="W87" s="111">
        <f>V$87*'Population Treasury'!AH$134*'Statistics NZ'!AH$416/('Population Treasury'!AG$134*'Statistics NZ'!AG$416)</f>
        <v>35281.838999480591</v>
      </c>
      <c r="X87" s="111">
        <f>W$87*'Population Treasury'!AI$134*'Statistics NZ'!AI$416/('Population Treasury'!AH$134*'Statistics NZ'!AH$416)</f>
        <v>35218.526749175137</v>
      </c>
      <c r="Y87" s="111">
        <f>X$87*'Population Treasury'!AJ$134*'Statistics NZ'!AJ$416/('Population Treasury'!AI$134*'Statistics NZ'!AI$416)</f>
        <v>34955.712279508632</v>
      </c>
      <c r="Z87" s="111">
        <f>Y$87*'Population Treasury'!AK$134*'Statistics NZ'!AK$416/('Population Treasury'!AJ$134*'Statistics NZ'!AJ$416)</f>
        <v>34755.555194441265</v>
      </c>
      <c r="AA87" s="111">
        <f>Z$87*'Population Treasury'!AL$134*'Statistics NZ'!AL$416/('Population Treasury'!AK$134*'Statistics NZ'!AK$416)</f>
        <v>34132.803509960497</v>
      </c>
      <c r="AB87" s="111">
        <f>AA$87*'Population Treasury'!AM$134*'Statistics NZ'!AM$416/('Population Treasury'!AL$134*'Statistics NZ'!AL$416)</f>
        <v>34108.678286181625</v>
      </c>
      <c r="AC87" s="111">
        <f>AB$87*'Population Treasury'!AN$134*'Statistics NZ'!AN$416/('Population Treasury'!AM$134*'Statistics NZ'!AM$416)</f>
        <v>33532.473507444127</v>
      </c>
      <c r="AD87" s="111">
        <f>AC$87*'Population Treasury'!AO$134*'Statistics NZ'!AO$416/('Population Treasury'!AN$134*'Statistics NZ'!AN$416)</f>
        <v>33378.704548997011</v>
      </c>
      <c r="AE87" s="111">
        <f>AD$87*'Population Treasury'!AP$134*'Statistics NZ'!AP$416/('Population Treasury'!AO$134*'Statistics NZ'!AO$416)</f>
        <v>33349.988659059803</v>
      </c>
      <c r="AF87" s="111">
        <f>AE$87*'Population Treasury'!AQ$134*'Statistics NZ'!AQ$416/('Population Treasury'!AP$134*'Statistics NZ'!AP$416)</f>
        <v>33301.541798692619</v>
      </c>
      <c r="AG87" s="111">
        <f>AF$87*'Population Treasury'!AR$134*'Statistics NZ'!AR$416/('Population Treasury'!AQ$134*'Statistics NZ'!AQ$416)</f>
        <v>33226.899043431185</v>
      </c>
      <c r="AH87" s="111">
        <f>AG$87*'Population Treasury'!AS$134*'Statistics NZ'!AS$416/('Population Treasury'!AR$134*'Statistics NZ'!AR$416)</f>
        <v>33347.211242815683</v>
      </c>
      <c r="AI87" s="111">
        <f>AH$87*'Population Treasury'!AT$134*'Statistics NZ'!AT$416/('Population Treasury'!AS$134*'Statistics NZ'!AS$416)</f>
        <v>33433.323849271139</v>
      </c>
      <c r="AJ87" s="111">
        <f>AI$87*'Population Treasury'!AU$134*'Statistics NZ'!AU$416/('Population Treasury'!AT$134*'Statistics NZ'!AT$416)</f>
        <v>33487.018993145168</v>
      </c>
      <c r="AK87" s="111">
        <f>AJ$87*'Population Treasury'!AV$134*'Statistics NZ'!AV$416/('Population Treasury'!AU$134*'Statistics NZ'!AU$416)</f>
        <v>33525.995433108023</v>
      </c>
      <c r="AL87" s="111">
        <f>AK$87*'Population Treasury'!AW$134*'Statistics NZ'!AW$416/('Population Treasury'!AV$134*'Statistics NZ'!AV$416)</f>
        <v>33551.29477326374</v>
      </c>
      <c r="AM87" s="111">
        <f>AL$87*'Population Treasury'!AX$134*'Statistics NZ'!AX$416/('Population Treasury'!AW$134*'Statistics NZ'!AW$416)</f>
        <v>33583.30302173891</v>
      </c>
      <c r="AN87" s="111">
        <f>AM$87*'Population Treasury'!AY$134*'Statistics NZ'!AY$416/('Population Treasury'!AX$134*'Statistics NZ'!AX$416)</f>
        <v>33614.235611524615</v>
      </c>
      <c r="AO87" s="111">
        <f>AN$87*'Population Treasury'!AZ$134*'Statistics NZ'!AZ$416/('Population Treasury'!AY$134*'Statistics NZ'!AY$416)</f>
        <v>33654.429230996415</v>
      </c>
      <c r="AP87" s="111">
        <f>AO$87*'Population Treasury'!BA$134*'Statistics NZ'!BA$416/('Population Treasury'!AZ$134*'Statistics NZ'!AZ$416)</f>
        <v>33695.831766268537</v>
      </c>
      <c r="AQ87" s="111">
        <f>AP$87*'Population Treasury'!BB$134*'Statistics NZ'!BB$416/('Population Treasury'!BA$134*'Statistics NZ'!BA$416)</f>
        <v>33759.078902871021</v>
      </c>
      <c r="AR87" s="111">
        <f>AQ$87*'Population Treasury'!BC$134*'Statistics NZ'!BC$416/('Population Treasury'!BB$134*'Statistics NZ'!BB$416)</f>
        <v>33846.586332691782</v>
      </c>
      <c r="AS87" s="111">
        <f>AR$87*'Population Treasury'!BD$134*'Statistics NZ'!BD$416/('Population Treasury'!BC$134*'Statistics NZ'!BC$416)</f>
        <v>33966.494557798767</v>
      </c>
      <c r="AT87" s="111">
        <f>AS$87*'Population Treasury'!BE$134*'Statistics NZ'!BE$416/('Population Treasury'!BD$134*'Statistics NZ'!BD$416)</f>
        <v>34081.34783273135</v>
      </c>
      <c r="AU87" s="111">
        <f>AT$87*'Population Treasury'!BF$134*'Statistics NZ'!BF$416/('Population Treasury'!BE$134*'Statistics NZ'!BE$416)</f>
        <v>34239.38208535625</v>
      </c>
      <c r="AV87" s="111">
        <f>AU$87*'Population Treasury'!BG$134*'Statistics NZ'!BG$416/('Population Treasury'!BF$134*'Statistics NZ'!BF$416)</f>
        <v>34391.269946267006</v>
      </c>
      <c r="AW87" s="111">
        <f>AV$87*'Population Treasury'!BH$134*'Statistics NZ'!BH$416/('Population Treasury'!BG$134*'Statistics NZ'!BG$416)</f>
        <v>34546.712502649956</v>
      </c>
      <c r="AX87" s="111">
        <f>AW$87*'Population Treasury'!BI$134*'Statistics NZ'!BI$416/('Population Treasury'!BH$134*'Statistics NZ'!BH$416)</f>
        <v>34686.117343323764</v>
      </c>
      <c r="AY87" s="111">
        <f>AX$87*'Population Treasury'!BJ$134*'Statistics NZ'!BJ$416/('Population Treasury'!BI$134*'Statistics NZ'!BI$416)</f>
        <v>34807.0995251606</v>
      </c>
      <c r="AZ87" s="111">
        <f>AY$87*'Population Treasury'!BK$134*'Statistics NZ'!BK$416/('Population Treasury'!BJ$134*'Statistics NZ'!BJ$416)</f>
        <v>34890.903088489882</v>
      </c>
      <c r="BA87" s="111">
        <f>AZ$87*'Population Treasury'!BL$134*'Statistics NZ'!BL$416/('Population Treasury'!BK$134*'Statistics NZ'!BK$416)</f>
        <v>34967.341130557819</v>
      </c>
      <c r="BB87" s="195">
        <f>BA$87*'Population Treasury'!BM$134*'Statistics NZ'!BM$416/('Population Treasury'!BL$134*'Statistics NZ'!BL$416)</f>
        <v>34985.479493588231</v>
      </c>
      <c r="BC87" s="195">
        <f>BB$87*'Population Treasury'!BN$134*'Statistics NZ'!BN$416/('Population Treasury'!BM$134*'Statistics NZ'!BM$416)</f>
        <v>34996.193675386414</v>
      </c>
      <c r="BD87" s="195">
        <f>BC$87*'Population Treasury'!BO$134*'Statistics NZ'!BO$416/('Population Treasury'!BN$134*'Statistics NZ'!BN$416)</f>
        <v>34957.915095116419</v>
      </c>
      <c r="BE87" s="195">
        <f>BD$87*'Population Treasury'!BP$134*'Statistics NZ'!BP$416/('Population Treasury'!BO$134*'Statistics NZ'!BO$416)</f>
        <v>34921.318460042312</v>
      </c>
      <c r="BF87" s="195">
        <f>BE$87*'Population Treasury'!BQ$134*'Statistics NZ'!BQ$416/('Population Treasury'!BP$134*'Statistics NZ'!BP$416)</f>
        <v>34837.059572883081</v>
      </c>
    </row>
    <row r="88" spans="1:58">
      <c r="A88" s="124">
        <f>$A$20</f>
        <v>25</v>
      </c>
      <c r="B88" s="118">
        <f>'Population Treasury'!M$135*'Statistics NZ'!M$417*'Economic Forecasts'!O$8/B$7</f>
        <v>33661.288578317115</v>
      </c>
      <c r="C88" s="118">
        <f>'Population Treasury'!N$135*'Statistics NZ'!N$417*'Economic Forecasts'!P$8/C$7</f>
        <v>34146.187666411621</v>
      </c>
      <c r="D88" s="118">
        <f>'Population Treasury'!O$135*'Statistics NZ'!O$417*'Economic Forecasts'!Q$8/D$7</f>
        <v>32715.387358547305</v>
      </c>
      <c r="E88" s="203">
        <f>'Population Treasury'!P$135*'Statistics NZ'!P$417*'Economic Forecasts'!R$8/E$7</f>
        <v>33109.160503603111</v>
      </c>
      <c r="F88" s="121">
        <f>'Population Treasury'!Q$135*'Statistics NZ'!Q$417*'Economic Forecasts'!S$8/F$7</f>
        <v>32800.979217346176</v>
      </c>
      <c r="G88" s="121">
        <f>'Population Treasury'!R$135*'Statistics NZ'!R$417*'Economic Forecasts'!T$8/G$7</f>
        <v>31870.840956576802</v>
      </c>
      <c r="H88" s="121">
        <f>'Population Treasury'!S$135*'Statistics NZ'!S$417*'Economic Forecasts'!U$8/H$7</f>
        <v>32040.682736810846</v>
      </c>
      <c r="I88" s="121">
        <f>'Population Treasury'!T$135*'Statistics NZ'!T$417*'Economic Forecasts'!V$8/I$7</f>
        <v>31503.499121475306</v>
      </c>
      <c r="J88" s="205">
        <f>'Population Treasury'!U$135*'Statistics NZ'!U$417*'Economic Forecasts'!W$8/J$7</f>
        <v>32469.271185849761</v>
      </c>
      <c r="K88" s="111">
        <f>J$88*'Population Treasury'!V$135*'Statistics NZ'!V$417/('Population Treasury'!U$135*'Statistics NZ'!U$417)</f>
        <v>32298.24429388576</v>
      </c>
      <c r="L88" s="111">
        <f>K$88*'Population Treasury'!W$135*'Statistics NZ'!W$417/('Population Treasury'!V$135*'Statistics NZ'!V$417)</f>
        <v>31285.412830343677</v>
      </c>
      <c r="M88" s="111">
        <f>L$88*'Population Treasury'!X$135*'Statistics NZ'!X$417/('Population Treasury'!W$135*'Statistics NZ'!W$417)</f>
        <v>32022.949212062154</v>
      </c>
      <c r="N88" s="111">
        <f>M$88*'Population Treasury'!Y$135*'Statistics NZ'!Y$417/('Population Treasury'!X$135*'Statistics NZ'!X$417)</f>
        <v>32449.680338489157</v>
      </c>
      <c r="O88" s="111">
        <f>N$88*'Population Treasury'!Z$135*'Statistics NZ'!Z$417/('Population Treasury'!Y$135*'Statistics NZ'!Y$417)</f>
        <v>32973.355037828776</v>
      </c>
      <c r="P88" s="111">
        <f>O$88*'Population Treasury'!AA$135*'Statistics NZ'!AA$417/('Population Treasury'!Z$135*'Statistics NZ'!Z$417)</f>
        <v>34045.476547882463</v>
      </c>
      <c r="Q88" s="111">
        <f>P$88*'Population Treasury'!AB$135*'Statistics NZ'!AB$417/('Population Treasury'!AA$135*'Statistics NZ'!AA$417)</f>
        <v>36009.980931144819</v>
      </c>
      <c r="R88" s="111">
        <f>Q$88*'Population Treasury'!AC$135*'Statistics NZ'!AC$417/('Population Treasury'!AB$135*'Statistics NZ'!AB$417)</f>
        <v>37088.89738965009</v>
      </c>
      <c r="S88" s="111">
        <f>R$88*'Population Treasury'!AD$135*'Statistics NZ'!AD$417/('Population Treasury'!AC$135*'Statistics NZ'!AC$417)</f>
        <v>37663.981647200635</v>
      </c>
      <c r="T88" s="111">
        <f>S$88*'Population Treasury'!AE$135*'Statistics NZ'!AE$417/('Population Treasury'!AD$135*'Statistics NZ'!AD$417)</f>
        <v>38155.784087416956</v>
      </c>
      <c r="U88" s="111">
        <f>T$88*'Population Treasury'!AF$135*'Statistics NZ'!AF$417/('Population Treasury'!AE$135*'Statistics NZ'!AE$417)</f>
        <v>37903.655018871068</v>
      </c>
      <c r="V88" s="111">
        <f>U$88*'Population Treasury'!AG$135*'Statistics NZ'!AG$417/('Population Treasury'!AF$135*'Statistics NZ'!AF$417)</f>
        <v>37783.811415119148</v>
      </c>
      <c r="W88" s="111">
        <f>V$88*'Population Treasury'!AH$135*'Statistics NZ'!AH$417/('Population Treasury'!AG$135*'Statistics NZ'!AG$417)</f>
        <v>37535.408661817673</v>
      </c>
      <c r="X88" s="111">
        <f>W$88*'Population Treasury'!AI$135*'Statistics NZ'!AI$417/('Population Treasury'!AH$135*'Statistics NZ'!AH$417)</f>
        <v>37224.874241003585</v>
      </c>
      <c r="Y88" s="111">
        <f>X$88*'Population Treasury'!AJ$135*'Statistics NZ'!AJ$417/('Population Treasury'!AI$135*'Statistics NZ'!AI$417)</f>
        <v>37184.122077653112</v>
      </c>
      <c r="Z88" s="111">
        <f>Y$88*'Population Treasury'!AK$135*'Statistics NZ'!AK$417/('Population Treasury'!AJ$135*'Statistics NZ'!AJ$417)</f>
        <v>36907.40783118947</v>
      </c>
      <c r="AA88" s="111">
        <f>Z$88*'Population Treasury'!AL$135*'Statistics NZ'!AL$417/('Population Treasury'!AK$135*'Statistics NZ'!AK$417)</f>
        <v>36711.374503697778</v>
      </c>
      <c r="AB88" s="111">
        <f>AA$88*'Population Treasury'!AM$135*'Statistics NZ'!AM$417/('Population Treasury'!AL$135*'Statistics NZ'!AL$417)</f>
        <v>36054.307494607456</v>
      </c>
      <c r="AC88" s="111">
        <f>AB$88*'Population Treasury'!AN$135*'Statistics NZ'!AN$417/('Population Treasury'!AM$135*'Statistics NZ'!AM$417)</f>
        <v>36054.979916684548</v>
      </c>
      <c r="AD88" s="111">
        <f>AC$88*'Population Treasury'!AO$135*'Statistics NZ'!AO$417/('Population Treasury'!AN$135*'Statistics NZ'!AN$417)</f>
        <v>35460.830860923161</v>
      </c>
      <c r="AE88" s="111">
        <f>AD$88*'Population Treasury'!AP$135*'Statistics NZ'!AP$417/('Population Treasury'!AO$135*'Statistics NZ'!AO$417)</f>
        <v>35302.94020408568</v>
      </c>
      <c r="AF88" s="111">
        <f>AE$88*'Population Treasury'!AQ$135*'Statistics NZ'!AQ$417/('Population Treasury'!AP$135*'Statistics NZ'!AP$417)</f>
        <v>35276.217372772648</v>
      </c>
      <c r="AG88" s="111">
        <f>AF$88*'Population Treasury'!AR$135*'Statistics NZ'!AR$417/('Population Treasury'!AQ$135*'Statistics NZ'!AQ$417)</f>
        <v>35232.561870727142</v>
      </c>
      <c r="AH88" s="111">
        <f>AG$88*'Population Treasury'!AS$135*'Statistics NZ'!AS$417/('Population Treasury'!AR$135*'Statistics NZ'!AR$417)</f>
        <v>35144.174560057094</v>
      </c>
      <c r="AI88" s="111">
        <f>AH$88*'Population Treasury'!AT$135*'Statistics NZ'!AT$417/('Population Treasury'!AS$135*'Statistics NZ'!AS$417)</f>
        <v>35267.963716422142</v>
      </c>
      <c r="AJ88" s="111">
        <f>AI$88*'Population Treasury'!AU$135*'Statistics NZ'!AU$417/('Population Treasury'!AT$135*'Statistics NZ'!AT$417)</f>
        <v>35348.866617808933</v>
      </c>
      <c r="AK88" s="111">
        <f>AJ$88*'Population Treasury'!AV$135*'Statistics NZ'!AV$417/('Population Treasury'!AU$135*'Statistics NZ'!AU$417)</f>
        <v>35415.572287685056</v>
      </c>
      <c r="AL88" s="111">
        <f>AK$88*'Population Treasury'!AW$135*'Statistics NZ'!AW$417/('Population Treasury'!AV$135*'Statistics NZ'!AV$417)</f>
        <v>35459.898154560193</v>
      </c>
      <c r="AM88" s="111">
        <f>AL$88*'Population Treasury'!AX$135*'Statistics NZ'!AX$417/('Population Treasury'!AW$135*'Statistics NZ'!AW$417)</f>
        <v>35491.278113466571</v>
      </c>
      <c r="AN88" s="111">
        <f>AM$88*'Population Treasury'!AY$135*'Statistics NZ'!AY$417/('Population Treasury'!AX$135*'Statistics NZ'!AX$417)</f>
        <v>35510.545611390939</v>
      </c>
      <c r="AO88" s="111">
        <f>AN$88*'Population Treasury'!AZ$135*'Statistics NZ'!AZ$417/('Population Treasury'!AY$135*'Statistics NZ'!AY$417)</f>
        <v>35538.399544251784</v>
      </c>
      <c r="AP88" s="111">
        <f>AO$88*'Population Treasury'!BA$135*'Statistics NZ'!BA$417/('Population Treasury'!AZ$135*'Statistics NZ'!AZ$417)</f>
        <v>35586.273936887548</v>
      </c>
      <c r="AQ88" s="111">
        <f>AP$88*'Population Treasury'!BB$135*'Statistics NZ'!BB$417/('Population Treasury'!BA$135*'Statistics NZ'!BA$417)</f>
        <v>35634.966504064978</v>
      </c>
      <c r="AR88" s="111">
        <f>AQ$88*'Population Treasury'!BC$135*'Statistics NZ'!BC$417/('Population Treasury'!BB$135*'Statistics NZ'!BB$417)</f>
        <v>35684.894937379737</v>
      </c>
      <c r="AS88" s="111">
        <f>AR$88*'Population Treasury'!BD$135*'Statistics NZ'!BD$417/('Population Treasury'!BC$135*'Statistics NZ'!BC$417)</f>
        <v>35777.870808737185</v>
      </c>
      <c r="AT88" s="111">
        <f>AS$88*'Population Treasury'!BE$135*'Statistics NZ'!BE$417/('Population Treasury'!BD$135*'Statistics NZ'!BD$417)</f>
        <v>35894.110888198673</v>
      </c>
      <c r="AU88" s="111">
        <f>AT$88*'Population Treasury'!BF$135*'Statistics NZ'!BF$417/('Population Treasury'!BE$135*'Statistics NZ'!BE$417)</f>
        <v>36023.108902625725</v>
      </c>
      <c r="AV88" s="111">
        <f>AU$88*'Population Treasury'!BG$135*'Statistics NZ'!BG$417/('Population Treasury'!BF$135*'Statistics NZ'!BF$417)</f>
        <v>36175.710946312771</v>
      </c>
      <c r="AW88" s="111">
        <f>AV$88*'Population Treasury'!BH$135*'Statistics NZ'!BH$417/('Population Treasury'!BG$135*'Statistics NZ'!BG$417)</f>
        <v>36341.551951348993</v>
      </c>
      <c r="AX88" s="111">
        <f>AW$88*'Population Treasury'!BI$135*'Statistics NZ'!BI$417/('Population Treasury'!BH$135*'Statistics NZ'!BH$417)</f>
        <v>36499.251027295912</v>
      </c>
      <c r="AY88" s="111">
        <f>AX$88*'Population Treasury'!BJ$135*'Statistics NZ'!BJ$417/('Population Treasury'!BI$135*'Statistics NZ'!BI$417)</f>
        <v>36649.918788247101</v>
      </c>
      <c r="AZ88" s="111">
        <f>AY$88*'Population Treasury'!BK$135*'Statistics NZ'!BK$417/('Population Treasury'!BJ$135*'Statistics NZ'!BJ$417)</f>
        <v>36761.509943336074</v>
      </c>
      <c r="BA88" s="111">
        <f>AZ$88*'Population Treasury'!BL$135*'Statistics NZ'!BL$417/('Population Treasury'!BK$135*'Statistics NZ'!BK$417)</f>
        <v>36875.204015301671</v>
      </c>
      <c r="BB88" s="195">
        <f>BA$88*'Population Treasury'!BM$135*'Statistics NZ'!BM$417/('Population Treasury'!BL$135*'Statistics NZ'!BL$417)</f>
        <v>36920.44095313851</v>
      </c>
      <c r="BC88" s="195">
        <f>BB$88*'Population Treasury'!BN$135*'Statistics NZ'!BN$417/('Population Treasury'!BM$135*'Statistics NZ'!BM$417)</f>
        <v>36956.78718555285</v>
      </c>
      <c r="BD88" s="195">
        <f>BC$88*'Population Treasury'!BO$135*'Statistics NZ'!BO$417/('Population Treasury'!BN$135*'Statistics NZ'!BN$417)</f>
        <v>36965.232695913786</v>
      </c>
      <c r="BE88" s="195">
        <f>BD$88*'Population Treasury'!BP$135*'Statistics NZ'!BP$417/('Population Treasury'!BO$135*'Statistics NZ'!BO$417)</f>
        <v>36934.282460560484</v>
      </c>
      <c r="BF88" s="195">
        <f>BE$88*'Population Treasury'!BQ$135*'Statistics NZ'!BQ$417/('Population Treasury'!BP$135*'Statistics NZ'!BP$417)</f>
        <v>36884.848471674522</v>
      </c>
    </row>
    <row r="89" spans="1:58">
      <c r="A89" s="124">
        <f>$A$21</f>
        <v>26</v>
      </c>
      <c r="B89" s="118">
        <f>'Population Treasury'!M$136*'Statistics NZ'!M$418*'Economic Forecasts'!O$8/B$7</f>
        <v>34046.393378987676</v>
      </c>
      <c r="C89" s="118">
        <f>'Population Treasury'!N$136*'Statistics NZ'!N$418*'Economic Forecasts'!P$8/C$7</f>
        <v>35353.484219485508</v>
      </c>
      <c r="D89" s="118">
        <f>'Population Treasury'!O$136*'Statistics NZ'!O$418*'Economic Forecasts'!Q$8/D$7</f>
        <v>34742.580620365035</v>
      </c>
      <c r="E89" s="203">
        <f>'Population Treasury'!P$136*'Statistics NZ'!P$418*'Economic Forecasts'!R$8/E$7</f>
        <v>33989.684277676955</v>
      </c>
      <c r="F89" s="121">
        <f>'Population Treasury'!Q$136*'Statistics NZ'!Q$418*'Economic Forecasts'!S$8/F$7</f>
        <v>33709.753727303425</v>
      </c>
      <c r="G89" s="121">
        <f>'Population Treasury'!R$136*'Statistics NZ'!R$418*'Economic Forecasts'!T$8/G$7</f>
        <v>33712.353910454207</v>
      </c>
      <c r="H89" s="121">
        <f>'Population Treasury'!S$136*'Statistics NZ'!S$418*'Economic Forecasts'!U$8/H$7</f>
        <v>32770.372284890902</v>
      </c>
      <c r="I89" s="121">
        <f>'Population Treasury'!T$136*'Statistics NZ'!T$418*'Economic Forecasts'!V$8/I$7</f>
        <v>32946.307433980372</v>
      </c>
      <c r="J89" s="205">
        <f>'Population Treasury'!U$136*'Statistics NZ'!U$418*'Economic Forecasts'!W$8/J$7</f>
        <v>32391.076488360377</v>
      </c>
      <c r="K89" s="111">
        <f>J$89*'Population Treasury'!V$136*'Statistics NZ'!V$418/('Population Treasury'!U$136*'Statistics NZ'!U$418)</f>
        <v>33356.902918567568</v>
      </c>
      <c r="L89" s="111">
        <f>K$89*'Population Treasury'!W$136*'Statistics NZ'!W$418/('Population Treasury'!V$136*'Statistics NZ'!V$418)</f>
        <v>33146.714249290548</v>
      </c>
      <c r="M89" s="111">
        <f>L$89*'Population Treasury'!X$136*'Statistics NZ'!X$418/('Population Treasury'!W$136*'Statistics NZ'!W$418)</f>
        <v>32095.636199125442</v>
      </c>
      <c r="N89" s="111">
        <f>M$89*'Population Treasury'!Y$136*'Statistics NZ'!Y$418/('Population Treasury'!X$136*'Statistics NZ'!X$418)</f>
        <v>32797.016876331189</v>
      </c>
      <c r="O89" s="111">
        <f>N$89*'Population Treasury'!Z$136*'Statistics NZ'!Z$418/('Population Treasury'!Y$136*'Statistics NZ'!Y$418)</f>
        <v>33196.434971142997</v>
      </c>
      <c r="P89" s="111">
        <f>O$89*'Population Treasury'!AA$136*'Statistics NZ'!AA$418/('Population Treasury'!Z$136*'Statistics NZ'!Z$418)</f>
        <v>33713.959954396058</v>
      </c>
      <c r="Q89" s="111">
        <f>P$89*'Population Treasury'!AB$136*'Statistics NZ'!AB$418/('Population Treasury'!AA$136*'Statistics NZ'!AA$418)</f>
        <v>34777.925714059886</v>
      </c>
      <c r="R89" s="111">
        <f>Q$89*'Population Treasury'!AC$136*'Statistics NZ'!AC$418/('Population Treasury'!AB$136*'Statistics NZ'!AB$418)</f>
        <v>36730.126729762495</v>
      </c>
      <c r="S89" s="111">
        <f>R$89*'Population Treasury'!AD$136*'Statistics NZ'!AD$418/('Population Treasury'!AC$136*'Statistics NZ'!AC$418)</f>
        <v>37799.630667164471</v>
      </c>
      <c r="T89" s="111">
        <f>S$89*'Population Treasury'!AE$136*'Statistics NZ'!AE$418/('Population Treasury'!AD$136*'Statistics NZ'!AD$418)</f>
        <v>38377.170714467495</v>
      </c>
      <c r="U89" s="111">
        <f>T$89*'Population Treasury'!AF$136*'Statistics NZ'!AF$418/('Population Treasury'!AE$136*'Statistics NZ'!AE$418)</f>
        <v>38873.168263989901</v>
      </c>
      <c r="V89" s="111">
        <f>U$89*'Population Treasury'!AG$136*'Statistics NZ'!AG$418/('Population Treasury'!AF$136*'Statistics NZ'!AF$418)</f>
        <v>38616.147094618434</v>
      </c>
      <c r="W89" s="111">
        <f>V$89*'Population Treasury'!AH$136*'Statistics NZ'!AH$418/('Population Treasury'!AG$136*'Statistics NZ'!AG$418)</f>
        <v>38490.108093441377</v>
      </c>
      <c r="X89" s="111">
        <f>W$89*'Population Treasury'!AI$136*'Statistics NZ'!AI$418/('Population Treasury'!AH$136*'Statistics NZ'!AH$418)</f>
        <v>38231.060940869051</v>
      </c>
      <c r="Y89" s="111">
        <f>X$89*'Population Treasury'!AJ$136*'Statistics NZ'!AJ$418/('Population Treasury'!AI$136*'Statistics NZ'!AI$418)</f>
        <v>37915.110714147449</v>
      </c>
      <c r="Z89" s="111">
        <f>Y$89*'Population Treasury'!AK$136*'Statistics NZ'!AK$418/('Population Treasury'!AJ$136*'Statistics NZ'!AJ$418)</f>
        <v>37864.142158288014</v>
      </c>
      <c r="AA89" s="111">
        <f>Z$89*'Population Treasury'!AL$136*'Statistics NZ'!AL$418/('Population Treasury'!AK$136*'Statistics NZ'!AK$418)</f>
        <v>37606.166134404113</v>
      </c>
      <c r="AB89" s="111">
        <f>AA$89*'Population Treasury'!AM$136*'Statistics NZ'!AM$418/('Population Treasury'!AL$136*'Statistics NZ'!AL$418)</f>
        <v>37379.950073159111</v>
      </c>
      <c r="AC89" s="111">
        <f>AB$89*'Population Treasury'!AN$136*'Statistics NZ'!AN$418/('Population Treasury'!AM$136*'Statistics NZ'!AM$418)</f>
        <v>36734.779033019629</v>
      </c>
      <c r="AD89" s="111">
        <f>AC$89*'Population Treasury'!AO$136*'Statistics NZ'!AO$418/('Population Treasury'!AN$136*'Statistics NZ'!AN$418)</f>
        <v>36717.523940447354</v>
      </c>
      <c r="AE89" s="111">
        <f>AD$89*'Population Treasury'!AP$136*'Statistics NZ'!AP$418/('Population Treasury'!AO$136*'Statistics NZ'!AO$418)</f>
        <v>36107.799343622166</v>
      </c>
      <c r="AF89" s="111">
        <f>AE$89*'Population Treasury'!AQ$136*'Statistics NZ'!AQ$418/('Population Treasury'!AP$136*'Statistics NZ'!AP$418)</f>
        <v>35952.822890416181</v>
      </c>
      <c r="AG89" s="111">
        <f>AF$89*'Population Treasury'!AR$136*'Statistics NZ'!AR$418/('Population Treasury'!AQ$136*'Statistics NZ'!AQ$418)</f>
        <v>35922.93346509512</v>
      </c>
      <c r="AH89" s="111">
        <f>AG$89*'Population Treasury'!AS$136*'Statistics NZ'!AS$418/('Population Treasury'!AR$136*'Statistics NZ'!AR$418)</f>
        <v>35866.283309144783</v>
      </c>
      <c r="AI89" s="111">
        <f>AH$89*'Population Treasury'!AT$136*'Statistics NZ'!AT$418/('Population Treasury'!AS$136*'Statistics NZ'!AS$418)</f>
        <v>35795.336853964749</v>
      </c>
      <c r="AJ89" s="111">
        <f>AI$89*'Population Treasury'!AU$136*'Statistics NZ'!AU$418/('Population Treasury'!AT$136*'Statistics NZ'!AT$418)</f>
        <v>35920.79535946394</v>
      </c>
      <c r="AK89" s="111">
        <f>AJ$89*'Population Treasury'!AV$136*'Statistics NZ'!AV$418/('Population Treasury'!AU$136*'Statistics NZ'!AU$418)</f>
        <v>36013.043550205657</v>
      </c>
      <c r="AL89" s="111">
        <f>AK$89*'Population Treasury'!AW$136*'Statistics NZ'!AW$418/('Population Treasury'!AV$136*'Statistics NZ'!AV$418)</f>
        <v>36062.556753584424</v>
      </c>
      <c r="AM89" s="111">
        <f>AL$89*'Population Treasury'!AX$136*'Statistics NZ'!AX$418/('Population Treasury'!AW$136*'Statistics NZ'!AW$418)</f>
        <v>36099.971161455556</v>
      </c>
      <c r="AN89" s="111">
        <f>AM$89*'Population Treasury'!AY$136*'Statistics NZ'!AY$418/('Population Treasury'!AX$136*'Statistics NZ'!AX$418)</f>
        <v>36124.135489342007</v>
      </c>
      <c r="AO89" s="111">
        <f>AN$89*'Population Treasury'!AZ$136*'Statistics NZ'!AZ$418/('Population Treasury'!AY$136*'Statistics NZ'!AY$418)</f>
        <v>36156.379899591855</v>
      </c>
      <c r="AP89" s="111">
        <f>AO$89*'Population Treasury'!BA$136*'Statistics NZ'!BA$418/('Population Treasury'!AZ$136*'Statistics NZ'!AZ$418)</f>
        <v>36187.910768567628</v>
      </c>
      <c r="AQ89" s="111">
        <f>AP$89*'Population Treasury'!BB$136*'Statistics NZ'!BB$418/('Population Treasury'!BA$136*'Statistics NZ'!BA$418)</f>
        <v>36229.096093035929</v>
      </c>
      <c r="AR89" s="111">
        <f>AQ$89*'Population Treasury'!BC$136*'Statistics NZ'!BC$418/('Population Treasury'!BB$136*'Statistics NZ'!BB$418)</f>
        <v>36281.48123306784</v>
      </c>
      <c r="AS89" s="111">
        <f>AR$89*'Population Treasury'!BD$136*'Statistics NZ'!BD$418/('Population Treasury'!BC$136*'Statistics NZ'!BC$418)</f>
        <v>36345.545809165626</v>
      </c>
      <c r="AT89" s="111">
        <f>AS$89*'Population Treasury'!BE$136*'Statistics NZ'!BE$418/('Population Treasury'!BD$136*'Statistics NZ'!BD$418)</f>
        <v>36431.143953262566</v>
      </c>
      <c r="AU89" s="111">
        <f>AT$89*'Population Treasury'!BF$136*'Statistics NZ'!BF$418/('Population Treasury'!BE$136*'Statistics NZ'!BE$418)</f>
        <v>36550.29618384959</v>
      </c>
      <c r="AV89" s="111">
        <f>AU$89*'Population Treasury'!BG$136*'Statistics NZ'!BG$418/('Population Treasury'!BF$136*'Statistics NZ'!BF$418)</f>
        <v>36681.766056548615</v>
      </c>
      <c r="AW89" s="111">
        <f>AV$89*'Population Treasury'!BH$136*'Statistics NZ'!BH$418/('Population Treasury'!BG$136*'Statistics NZ'!BG$418)</f>
        <v>36836.405925447893</v>
      </c>
      <c r="AX89" s="111">
        <f>AW$89*'Population Treasury'!BI$136*'Statistics NZ'!BI$418/('Population Treasury'!BH$136*'Statistics NZ'!BH$418)</f>
        <v>37003.849051257843</v>
      </c>
      <c r="AY89" s="111">
        <f>AX$89*'Population Treasury'!BJ$136*'Statistics NZ'!BJ$418/('Population Treasury'!BI$136*'Statistics NZ'!BI$418)</f>
        <v>37162.700250842783</v>
      </c>
      <c r="AZ89" s="111">
        <f>AY$89*'Population Treasury'!BK$136*'Statistics NZ'!BK$418/('Population Treasury'!BJ$136*'Statistics NZ'!BJ$418)</f>
        <v>37314.11929929952</v>
      </c>
      <c r="BA89" s="111">
        <f>AZ$89*'Population Treasury'!BL$136*'Statistics NZ'!BL$418/('Population Treasury'!BK$136*'Statistics NZ'!BK$418)</f>
        <v>37425.86884847287</v>
      </c>
      <c r="BB89" s="195">
        <f>BA$89*'Population Treasury'!BM$136*'Statistics NZ'!BM$418/('Population Treasury'!BL$136*'Statistics NZ'!BL$418)</f>
        <v>37519.793796297592</v>
      </c>
      <c r="BC89" s="195">
        <f>BB$89*'Population Treasury'!BN$136*'Statistics NZ'!BN$418/('Population Treasury'!BM$136*'Statistics NZ'!BM$418)</f>
        <v>37595.087330729795</v>
      </c>
      <c r="BD89" s="195">
        <f>BC$89*'Population Treasury'!BO$136*'Statistics NZ'!BO$418/('Population Treasury'!BN$136*'Statistics NZ'!BN$418)</f>
        <v>37630.526869410482</v>
      </c>
      <c r="BE89" s="195">
        <f>BD$89*'Population Treasury'!BP$136*'Statistics NZ'!BP$418/('Population Treasury'!BO$136*'Statistics NZ'!BO$418)</f>
        <v>37637.685346052342</v>
      </c>
      <c r="BF89" s="195">
        <f>BE$89*'Population Treasury'!BQ$136*'Statistics NZ'!BQ$418/('Population Treasury'!BP$136*'Statistics NZ'!BP$418)</f>
        <v>37605.029009932761</v>
      </c>
    </row>
    <row r="90" spans="1:58">
      <c r="A90" s="124">
        <f>$A$22</f>
        <v>27</v>
      </c>
      <c r="B90" s="118">
        <f>'Population Treasury'!M$137*'Statistics NZ'!M$419*'Economic Forecasts'!O$8/B$7</f>
        <v>33358.189394185254</v>
      </c>
      <c r="C90" s="118">
        <f>'Population Treasury'!N$137*'Statistics NZ'!N$419*'Economic Forecasts'!P$8/C$7</f>
        <v>35539.922309497699</v>
      </c>
      <c r="D90" s="118">
        <f>'Population Treasury'!O$137*'Statistics NZ'!O$419*'Economic Forecasts'!Q$8/D$7</f>
        <v>35728.067438172286</v>
      </c>
      <c r="E90" s="203">
        <f>'Population Treasury'!P$137*'Statistics NZ'!P$419*'Economic Forecasts'!R$8/E$7</f>
        <v>35690.932954804121</v>
      </c>
      <c r="F90" s="121">
        <f>'Population Treasury'!Q$137*'Statistics NZ'!Q$419*'Economic Forecasts'!S$8/F$7</f>
        <v>34269.715874872636</v>
      </c>
      <c r="G90" s="121">
        <f>'Population Treasury'!R$137*'Statistics NZ'!R$419*'Economic Forecasts'!T$8/G$7</f>
        <v>34273.696805879488</v>
      </c>
      <c r="H90" s="121">
        <f>'Population Treasury'!S$137*'Statistics NZ'!S$419*'Economic Forecasts'!U$8/H$7</f>
        <v>34262.749948953962</v>
      </c>
      <c r="I90" s="121">
        <f>'Population Treasury'!T$137*'Statistics NZ'!T$419*'Economic Forecasts'!V$8/I$7</f>
        <v>33323.125048079768</v>
      </c>
      <c r="J90" s="205">
        <f>'Population Treasury'!U$137*'Statistics NZ'!U$419*'Economic Forecasts'!W$8/J$7</f>
        <v>33500.831504235102</v>
      </c>
      <c r="K90" s="111">
        <f>J$90*'Population Treasury'!V$137*'Statistics NZ'!V$419/('Population Treasury'!U$137*'Statistics NZ'!U$419)</f>
        <v>32903.913035871854</v>
      </c>
      <c r="L90" s="111">
        <f>K$90*'Population Treasury'!W$137*'Statistics NZ'!W$419/('Population Treasury'!V$137*'Statistics NZ'!V$419)</f>
        <v>33828.194656614935</v>
      </c>
      <c r="M90" s="111">
        <f>L$90*'Population Treasury'!X$137*'Statistics NZ'!X$419/('Population Treasury'!W$137*'Statistics NZ'!W$419)</f>
        <v>33586.32373806135</v>
      </c>
      <c r="N90" s="111">
        <f>M$90*'Population Treasury'!Y$137*'Statistics NZ'!Y$419/('Population Treasury'!X$137*'Statistics NZ'!X$419)</f>
        <v>32490.319107228657</v>
      </c>
      <c r="O90" s="111">
        <f>N$90*'Population Treasury'!Z$137*'Statistics NZ'!Z$419/('Population Treasury'!Y$137*'Statistics NZ'!Y$419)</f>
        <v>33156.801365497995</v>
      </c>
      <c r="P90" s="111">
        <f>O$90*'Population Treasury'!AA$137*'Statistics NZ'!AA$419/('Population Treasury'!Z$137*'Statistics NZ'!Z$419)</f>
        <v>33517.876244229323</v>
      </c>
      <c r="Q90" s="111">
        <f>P$90*'Population Treasury'!AB$137*'Statistics NZ'!AB$419/('Population Treasury'!AA$137*'Statistics NZ'!AA$419)</f>
        <v>33999.919900130961</v>
      </c>
      <c r="R90" s="111">
        <f>Q$90*'Population Treasury'!AC$137*'Statistics NZ'!AC$419/('Population Treasury'!AB$137*'Statistics NZ'!AB$419)</f>
        <v>35027.211038403446</v>
      </c>
      <c r="S90" s="111">
        <f>R$90*'Population Treasury'!AD$137*'Statistics NZ'!AD$419/('Population Treasury'!AC$137*'Statistics NZ'!AC$419)</f>
        <v>36963.947394375828</v>
      </c>
      <c r="T90" s="111">
        <f>S$90*'Population Treasury'!AE$137*'Statistics NZ'!AE$419/('Population Treasury'!AD$137*'Statistics NZ'!AD$419)</f>
        <v>38021.371393918897</v>
      </c>
      <c r="U90" s="111">
        <f>T$90*'Population Treasury'!AF$137*'Statistics NZ'!AF$419/('Population Treasury'!AE$137*'Statistics NZ'!AE$419)</f>
        <v>38588.254125299893</v>
      </c>
      <c r="V90" s="111">
        <f>U$90*'Population Treasury'!AG$137*'Statistics NZ'!AG$419/('Population Treasury'!AF$137*'Statistics NZ'!AF$419)</f>
        <v>39084.949360302708</v>
      </c>
      <c r="W90" s="111">
        <f>V$90*'Population Treasury'!AH$137*'Statistics NZ'!AH$419/('Population Treasury'!AG$137*'Statistics NZ'!AG$419)</f>
        <v>38828.995193449809</v>
      </c>
      <c r="X90" s="111">
        <f>W$90*'Population Treasury'!AI$137*'Statistics NZ'!AI$419/('Population Treasury'!AH$137*'Statistics NZ'!AH$419)</f>
        <v>38692.427375018277</v>
      </c>
      <c r="Y90" s="111">
        <f>X$90*'Population Treasury'!AJ$137*'Statistics NZ'!AJ$419/('Population Treasury'!AI$137*'Statistics NZ'!AI$419)</f>
        <v>38433.49767671914</v>
      </c>
      <c r="Z90" s="111">
        <f>Y$90*'Population Treasury'!AK$137*'Statistics NZ'!AK$419/('Population Treasury'!AJ$137*'Statistics NZ'!AJ$419)</f>
        <v>38106.955254411594</v>
      </c>
      <c r="AA90" s="111">
        <f>Z$90*'Population Treasury'!AL$137*'Statistics NZ'!AL$419/('Population Treasury'!AK$137*'Statistics NZ'!AK$419)</f>
        <v>38044.47421310412</v>
      </c>
      <c r="AB90" s="111">
        <f>AA$90*'Population Treasury'!AM$137*'Statistics NZ'!AM$419/('Population Treasury'!AL$137*'Statistics NZ'!AL$419)</f>
        <v>37775.671885504533</v>
      </c>
      <c r="AC90" s="111">
        <f>AB$90*'Population Treasury'!AN$137*'Statistics NZ'!AN$419/('Population Treasury'!AM$137*'Statistics NZ'!AM$419)</f>
        <v>37558.90844510452</v>
      </c>
      <c r="AD90" s="111">
        <f>AC$90*'Population Treasury'!AO$137*'Statistics NZ'!AO$419/('Population Treasury'!AN$137*'Statistics NZ'!AN$419)</f>
        <v>36900.599377289</v>
      </c>
      <c r="AE90" s="111">
        <f>AD$90*'Population Treasury'!AP$137*'Statistics NZ'!AP$419/('Population Treasury'!AO$137*'Statistics NZ'!AO$419)</f>
        <v>36872.564653960828</v>
      </c>
      <c r="AF90" s="111">
        <f>AE$90*'Population Treasury'!AQ$137*'Statistics NZ'!AQ$419/('Population Treasury'!AP$137*'Statistics NZ'!AP$419)</f>
        <v>36281.775813734064</v>
      </c>
      <c r="AG90" s="111">
        <f>AF$90*'Population Treasury'!AR$137*'Statistics NZ'!AR$419/('Population Treasury'!AQ$137*'Statistics NZ'!AQ$419)</f>
        <v>36115.64683315756</v>
      </c>
      <c r="AH90" s="111">
        <f>AG$90*'Population Treasury'!AS$137*'Statistics NZ'!AS$419/('Population Treasury'!AR$137*'Statistics NZ'!AR$419)</f>
        <v>36095.011266641588</v>
      </c>
      <c r="AI90" s="111">
        <f>AH$90*'Population Treasury'!AT$137*'Statistics NZ'!AT$419/('Population Treasury'!AS$137*'Statistics NZ'!AS$419)</f>
        <v>36038.095176969931</v>
      </c>
      <c r="AJ90" s="111">
        <f>AI$90*'Population Treasury'!AU$137*'Statistics NZ'!AU$419/('Population Treasury'!AT$137*'Statistics NZ'!AT$419)</f>
        <v>35957.328227040074</v>
      </c>
      <c r="AK90" s="111">
        <f>AJ$90*'Population Treasury'!AV$137*'Statistics NZ'!AV$419/('Population Treasury'!AU$137*'Statistics NZ'!AU$419)</f>
        <v>36073.003018092699</v>
      </c>
      <c r="AL90" s="111">
        <f>AK$90*'Population Treasury'!AW$137*'Statistics NZ'!AW$419/('Population Treasury'!AV$137*'Statistics NZ'!AV$419)</f>
        <v>36155.745674112499</v>
      </c>
      <c r="AM90" s="111">
        <f>AL$90*'Population Treasury'!AX$137*'Statistics NZ'!AX$419/('Population Treasury'!AW$137*'Statistics NZ'!AW$419)</f>
        <v>36225.112842411421</v>
      </c>
      <c r="AN90" s="111">
        <f>AM$90*'Population Treasury'!AY$137*'Statistics NZ'!AY$419/('Population Treasury'!AX$137*'Statistics NZ'!AX$419)</f>
        <v>36262.114234516077</v>
      </c>
      <c r="AO90" s="111">
        <f>AN$90*'Population Treasury'!AZ$137*'Statistics NZ'!AZ$419/('Population Treasury'!AY$137*'Statistics NZ'!AY$419)</f>
        <v>36296.858446187754</v>
      </c>
      <c r="AP90" s="111">
        <f>AO$90*'Population Treasury'!BA$137*'Statistics NZ'!BA$419/('Population Treasury'!AZ$137*'Statistics NZ'!AZ$419)</f>
        <v>36319.769396824304</v>
      </c>
      <c r="AQ90" s="111">
        <f>AP$90*'Population Treasury'!BB$137*'Statistics NZ'!BB$419/('Population Treasury'!BA$137*'Statistics NZ'!BA$419)</f>
        <v>36351.587797334934</v>
      </c>
      <c r="AR90" s="111">
        <f>AQ$90*'Population Treasury'!BC$137*'Statistics NZ'!BC$419/('Population Treasury'!BB$137*'Statistics NZ'!BB$419)</f>
        <v>36393.074880329579</v>
      </c>
      <c r="AS90" s="111">
        <f>AR$90*'Population Treasury'!BD$137*'Statistics NZ'!BD$419/('Population Treasury'!BC$137*'Statistics NZ'!BC$419)</f>
        <v>36435.104535512466</v>
      </c>
      <c r="AT90" s="111">
        <f>AS$90*'Population Treasury'!BE$137*'Statistics NZ'!BE$419/('Population Treasury'!BD$137*'Statistics NZ'!BD$419)</f>
        <v>36509.325538492201</v>
      </c>
      <c r="AU90" s="111">
        <f>AT$90*'Population Treasury'!BF$137*'Statistics NZ'!BF$419/('Population Treasury'!BE$137*'Statistics NZ'!BE$419)</f>
        <v>36595.953890737503</v>
      </c>
      <c r="AV90" s="111">
        <f>AU$90*'Population Treasury'!BG$137*'Statistics NZ'!BG$419/('Population Treasury'!BF$137*'Statistics NZ'!BF$419)</f>
        <v>36704.485511136598</v>
      </c>
      <c r="AW90" s="111">
        <f>AV$90*'Population Treasury'!BH$137*'Statistics NZ'!BH$419/('Population Treasury'!BG$137*'Statistics NZ'!BG$419)</f>
        <v>36847.003905811973</v>
      </c>
      <c r="AX90" s="111">
        <f>AW$90*'Population Treasury'!BI$137*'Statistics NZ'!BI$419/('Population Treasury'!BH$137*'Statistics NZ'!BH$419)</f>
        <v>36990.858423813421</v>
      </c>
      <c r="AY90" s="111">
        <f>AX$90*'Population Treasury'!BJ$137*'Statistics NZ'!BJ$419/('Population Treasury'!BI$137*'Statistics NZ'!BI$419)</f>
        <v>37158.396058601393</v>
      </c>
      <c r="AZ90" s="111">
        <f>AY$90*'Population Treasury'!BK$137*'Statistics NZ'!BK$419/('Population Treasury'!BJ$137*'Statistics NZ'!BJ$419)</f>
        <v>37317.313476497358</v>
      </c>
      <c r="BA90" s="111">
        <f>AZ$90*'Population Treasury'!BL$137*'Statistics NZ'!BL$419/('Population Treasury'!BK$137*'Statistics NZ'!BK$419)</f>
        <v>37468.777849576261</v>
      </c>
      <c r="BB90" s="195">
        <f>BA$90*'Population Treasury'!BM$137*'Statistics NZ'!BM$419/('Population Treasury'!BL$137*'Statistics NZ'!BL$419)</f>
        <v>37591.557599130014</v>
      </c>
      <c r="BC90" s="195">
        <f>BB$90*'Population Treasury'!BN$137*'Statistics NZ'!BN$419/('Population Treasury'!BM$137*'Statistics NZ'!BM$419)</f>
        <v>37695.696004631711</v>
      </c>
      <c r="BD90" s="195">
        <f>BC$90*'Population Treasury'!BO$137*'Statistics NZ'!BO$419/('Population Treasury'!BN$137*'Statistics NZ'!BN$419)</f>
        <v>37760.721015764328</v>
      </c>
      <c r="BE90" s="195">
        <f>BD$90*'Population Treasury'!BP$137*'Statistics NZ'!BP$419/('Population Treasury'!BO$137*'Statistics NZ'!BO$419)</f>
        <v>37796.089262041583</v>
      </c>
      <c r="BF90" s="195">
        <f>BE$90*'Population Treasury'!BQ$137*'Statistics NZ'!BQ$419/('Population Treasury'!BP$137*'Statistics NZ'!BP$419)</f>
        <v>37792.18503975268</v>
      </c>
    </row>
    <row r="91" spans="1:58">
      <c r="A91" s="124">
        <f>$A$23</f>
        <v>28</v>
      </c>
      <c r="B91" s="118">
        <f>'Population Treasury'!M$138*'Statistics NZ'!M$420*'Economic Forecasts'!O$8/B$7</f>
        <v>31927.6588796541</v>
      </c>
      <c r="C91" s="118">
        <f>'Population Treasury'!N$138*'Statistics NZ'!N$420*'Economic Forecasts'!P$8/C$7</f>
        <v>35069.93137490582</v>
      </c>
      <c r="D91" s="118">
        <f>'Population Treasury'!O$138*'Statistics NZ'!O$420*'Economic Forecasts'!Q$8/D$7</f>
        <v>35978.189305918189</v>
      </c>
      <c r="E91" s="203">
        <f>'Population Treasury'!P$138*'Statistics NZ'!P$420*'Economic Forecasts'!R$8/E$7</f>
        <v>36647.966934011056</v>
      </c>
      <c r="F91" s="121">
        <f>'Population Treasury'!Q$138*'Statistics NZ'!Q$420*'Economic Forecasts'!S$8/F$7</f>
        <v>35982.633951963799</v>
      </c>
      <c r="G91" s="121">
        <f>'Population Treasury'!R$138*'Statistics NZ'!R$420*'Economic Forecasts'!T$8/G$7</f>
        <v>34862.767490274608</v>
      </c>
      <c r="H91" s="121">
        <f>'Population Treasury'!S$138*'Statistics NZ'!S$420*'Economic Forecasts'!U$8/H$7</f>
        <v>34866.970721017839</v>
      </c>
      <c r="I91" s="121">
        <f>'Population Treasury'!T$138*'Statistics NZ'!T$420*'Economic Forecasts'!V$8/I$7</f>
        <v>34962.820991850473</v>
      </c>
      <c r="J91" s="205">
        <f>'Population Treasury'!U$138*'Statistics NZ'!U$420*'Economic Forecasts'!W$8/J$7</f>
        <v>34017.798722076121</v>
      </c>
      <c r="K91" s="111">
        <f>J$91*'Population Treasury'!V$138*'Statistics NZ'!V$420/('Population Treasury'!U$138*'Statistics NZ'!U$420)</f>
        <v>34147.773153303577</v>
      </c>
      <c r="L91" s="111">
        <f>K$91*'Population Treasury'!W$138*'Statistics NZ'!W$420/('Population Treasury'!V$138*'Statistics NZ'!V$420)</f>
        <v>33507.744373656977</v>
      </c>
      <c r="M91" s="111">
        <f>L$91*'Population Treasury'!X$138*'Statistics NZ'!X$420/('Population Treasury'!W$138*'Statistics NZ'!W$420)</f>
        <v>34399.567165157612</v>
      </c>
      <c r="N91" s="111">
        <f>M$91*'Population Treasury'!Y$138*'Statistics NZ'!Y$420/('Population Treasury'!X$138*'Statistics NZ'!X$420)</f>
        <v>34136.148775729394</v>
      </c>
      <c r="O91" s="111">
        <f>N$91*'Population Treasury'!Z$138*'Statistics NZ'!Z$420/('Population Treasury'!Y$138*'Statistics NZ'!Y$420)</f>
        <v>32995.354350745918</v>
      </c>
      <c r="P91" s="111">
        <f>O$91*'Population Treasury'!AA$138*'Statistics NZ'!AA$420/('Population Treasury'!Z$138*'Statistics NZ'!Z$420)</f>
        <v>33637.962445046127</v>
      </c>
      <c r="Q91" s="111">
        <f>P$91*'Population Treasury'!AB$138*'Statistics NZ'!AB$420/('Population Treasury'!AA$138*'Statistics NZ'!AA$420)</f>
        <v>33970.871446933234</v>
      </c>
      <c r="R91" s="111">
        <f>Q$91*'Population Treasury'!AC$138*'Statistics NZ'!AC$420/('Population Treasury'!AB$138*'Statistics NZ'!AB$420)</f>
        <v>34418.14627136958</v>
      </c>
      <c r="S91" s="111">
        <f>R$91*'Population Treasury'!AD$138*'Statistics NZ'!AD$420/('Population Treasury'!AC$138*'Statistics NZ'!AC$420)</f>
        <v>35420.277116502672</v>
      </c>
      <c r="T91" s="111">
        <f>S$91*'Population Treasury'!AE$138*'Statistics NZ'!AE$420/('Population Treasury'!AD$138*'Statistics NZ'!AD$420)</f>
        <v>37357.855060093541</v>
      </c>
      <c r="U91" s="111">
        <f>T$91*'Population Treasury'!AF$138*'Statistics NZ'!AF$420/('Population Treasury'!AE$138*'Statistics NZ'!AE$420)</f>
        <v>38404.140848347888</v>
      </c>
      <c r="V91" s="111">
        <f>U$91*'Population Treasury'!AG$138*'Statistics NZ'!AG$420/('Population Treasury'!AF$138*'Statistics NZ'!AF$420)</f>
        <v>38981.337196187109</v>
      </c>
      <c r="W91" s="111">
        <f>V$91*'Population Treasury'!AH$138*'Statistics NZ'!AH$420/('Population Treasury'!AG$138*'Statistics NZ'!AG$420)</f>
        <v>39458.442506236832</v>
      </c>
      <c r="X91" s="111">
        <f>W$91*'Population Treasury'!AI$138*'Statistics NZ'!AI$420/('Population Treasury'!AH$138*'Statistics NZ'!AH$420)</f>
        <v>39204.243093441451</v>
      </c>
      <c r="Y91" s="111">
        <f>X$91*'Population Treasury'!AJ$138*'Statistics NZ'!AJ$420/('Population Treasury'!AI$138*'Statistics NZ'!AI$420)</f>
        <v>39067.361947531026</v>
      </c>
      <c r="Z91" s="111">
        <f>Y$91*'Population Treasury'!AK$138*'Statistics NZ'!AK$420/('Population Treasury'!AJ$138*'Statistics NZ'!AJ$420)</f>
        <v>38808.608122503087</v>
      </c>
      <c r="AA91" s="111">
        <f>Z$91*'Population Treasury'!AL$138*'Statistics NZ'!AL$420/('Population Treasury'!AK$138*'Statistics NZ'!AK$420)</f>
        <v>38473.013487043208</v>
      </c>
      <c r="AB91" s="111">
        <f>AA$91*'Population Treasury'!AM$138*'Statistics NZ'!AM$420/('Population Treasury'!AL$138*'Statistics NZ'!AL$420)</f>
        <v>38421.325065476391</v>
      </c>
      <c r="AC91" s="111">
        <f>AB$91*'Population Treasury'!AN$138*'Statistics NZ'!AN$420/('Population Treasury'!AM$138*'Statistics NZ'!AM$420)</f>
        <v>38140.587051709597</v>
      </c>
      <c r="AD91" s="111">
        <f>AC$91*'Population Treasury'!AO$138*'Statistics NZ'!AO$420/('Population Treasury'!AN$138*'Statistics NZ'!AN$420)</f>
        <v>37921.120104259273</v>
      </c>
      <c r="AE91" s="111">
        <f>AD$91*'Population Treasury'!AP$138*'Statistics NZ'!AP$420/('Population Treasury'!AO$138*'Statistics NZ'!AO$420)</f>
        <v>37258.650948348855</v>
      </c>
      <c r="AF91" s="111">
        <f>AE$91*'Population Treasury'!AQ$138*'Statistics NZ'!AQ$420/('Population Treasury'!AP$138*'Statistics NZ'!AP$420)</f>
        <v>37238.391512052847</v>
      </c>
      <c r="AG91" s="111">
        <f>AF$91*'Population Treasury'!AR$138*'Statistics NZ'!AR$420/('Population Treasury'!AQ$138*'Statistics NZ'!AQ$420)</f>
        <v>36632.911078715573</v>
      </c>
      <c r="AH91" s="111">
        <f>AG$91*'Population Treasury'!AS$138*'Statistics NZ'!AS$420/('Population Treasury'!AR$138*'Statistics NZ'!AR$420)</f>
        <v>36455.275043333371</v>
      </c>
      <c r="AI91" s="111">
        <f>AH$91*'Population Treasury'!AT$138*'Statistics NZ'!AT$420/('Population Treasury'!AS$138*'Statistics NZ'!AS$420)</f>
        <v>36433.739949187206</v>
      </c>
      <c r="AJ91" s="111">
        <f>AI$91*'Population Treasury'!AU$138*'Statistics NZ'!AU$420/('Population Treasury'!AT$138*'Statistics NZ'!AT$420)</f>
        <v>36376.158947442127</v>
      </c>
      <c r="AK91" s="111">
        <f>AJ$91*'Population Treasury'!AV$138*'Statistics NZ'!AV$420/('Population Treasury'!AU$138*'Statistics NZ'!AU$420)</f>
        <v>36294.850465636599</v>
      </c>
      <c r="AL91" s="111">
        <f>AK$91*'Population Treasury'!AW$138*'Statistics NZ'!AW$420/('Population Treasury'!AV$138*'Statistics NZ'!AV$420)</f>
        <v>36430.500671693582</v>
      </c>
      <c r="AM91" s="111">
        <f>AL$91*'Population Treasury'!AX$138*'Statistics NZ'!AX$420/('Population Treasury'!AW$138*'Statistics NZ'!AW$420)</f>
        <v>36503.576316485589</v>
      </c>
      <c r="AN91" s="111">
        <f>AM$91*'Population Treasury'!AY$138*'Statistics NZ'!AY$420/('Population Treasury'!AX$138*'Statistics NZ'!AX$420)</f>
        <v>36564.025008083088</v>
      </c>
      <c r="AO91" s="111">
        <f>AN$91*'Population Treasury'!AZ$138*'Statistics NZ'!AZ$420/('Population Treasury'!AY$138*'Statistics NZ'!AY$420)</f>
        <v>36601.663909026996</v>
      </c>
      <c r="AP91" s="111">
        <f>AO$91*'Population Treasury'!BA$138*'Statistics NZ'!BA$420/('Population Treasury'!AZ$138*'Statistics NZ'!AZ$420)</f>
        <v>36637.141182132029</v>
      </c>
      <c r="AQ91" s="111">
        <f>AP$91*'Population Treasury'!BB$138*'Statistics NZ'!BB$420/('Population Treasury'!BA$138*'Statistics NZ'!BA$420)</f>
        <v>36670.567354030471</v>
      </c>
      <c r="AR91" s="111">
        <f>AQ$91*'Population Treasury'!BC$138*'Statistics NZ'!BC$420/('Population Treasury'!BB$138*'Statistics NZ'!BB$420)</f>
        <v>36692.853885180237</v>
      </c>
      <c r="AS91" s="111">
        <f>AR$91*'Population Treasury'!BD$138*'Statistics NZ'!BD$420/('Population Treasury'!BC$138*'Statistics NZ'!BC$420)</f>
        <v>36725.424050185051</v>
      </c>
      <c r="AT91" s="111">
        <f>AS$91*'Population Treasury'!BE$138*'Statistics NZ'!BE$420/('Population Treasury'!BD$138*'Statistics NZ'!BD$420)</f>
        <v>36778.930847253265</v>
      </c>
      <c r="AU91" s="111">
        <f>AT$91*'Population Treasury'!BF$138*'Statistics NZ'!BF$420/('Population Treasury'!BE$138*'Statistics NZ'!BE$420)</f>
        <v>36854.026821258703</v>
      </c>
      <c r="AV91" s="111">
        <f>AU$91*'Population Treasury'!BG$138*'Statistics NZ'!BG$420/('Population Treasury'!BF$138*'Statistics NZ'!BF$420)</f>
        <v>36930.660037804497</v>
      </c>
      <c r="AW91" s="111">
        <f>AV$91*'Population Treasury'!BH$138*'Statistics NZ'!BH$420/('Population Treasury'!BG$138*'Statistics NZ'!BG$420)</f>
        <v>37050.695181278017</v>
      </c>
      <c r="AX91" s="111">
        <f>AW$91*'Population Treasury'!BI$138*'Statistics NZ'!BI$420/('Population Treasury'!BH$138*'Statistics NZ'!BH$420)</f>
        <v>37182.922828327173</v>
      </c>
      <c r="AY91" s="111">
        <f>AX$91*'Population Treasury'!BJ$138*'Statistics NZ'!BJ$420/('Population Treasury'!BI$138*'Statistics NZ'!BI$420)</f>
        <v>37338.182652799267</v>
      </c>
      <c r="AZ91" s="111">
        <f>AY$91*'Population Treasury'!BK$138*'Statistics NZ'!BK$420/('Population Treasury'!BJ$138*'Statistics NZ'!BJ$420)</f>
        <v>37506.108199628441</v>
      </c>
      <c r="BA91" s="111">
        <f>AZ$91*'Population Treasury'!BL$138*'Statistics NZ'!BL$420/('Population Treasury'!BK$138*'Statistics NZ'!BK$420)</f>
        <v>37674.973797559906</v>
      </c>
      <c r="BB91" s="195">
        <f>BA$91*'Population Treasury'!BM$138*'Statistics NZ'!BM$420/('Population Treasury'!BL$138*'Statistics NZ'!BL$420)</f>
        <v>37826.612830357975</v>
      </c>
      <c r="BC91" s="195">
        <f>BB$91*'Population Treasury'!BN$138*'Statistics NZ'!BN$420/('Population Treasury'!BM$138*'Statistics NZ'!BM$420)</f>
        <v>37949.438826182166</v>
      </c>
      <c r="BD91" s="195">
        <f>BC$91*'Population Treasury'!BO$138*'Statistics NZ'!BO$420/('Population Treasury'!BN$138*'Statistics NZ'!BN$420)</f>
        <v>38053.548513561822</v>
      </c>
      <c r="BE91" s="195">
        <f>BD$91*'Population Treasury'!BP$138*'Statistics NZ'!BP$420/('Population Treasury'!BO$138*'Statistics NZ'!BO$420)</f>
        <v>38107.423356337167</v>
      </c>
      <c r="BF91" s="195">
        <f>BE$91*'Population Treasury'!BQ$138*'Statistics NZ'!BQ$420/('Population Treasury'!BP$138*'Statistics NZ'!BP$420)</f>
        <v>38143.91655214678</v>
      </c>
    </row>
    <row r="92" spans="1:58">
      <c r="A92" s="124">
        <f>$A$24</f>
        <v>29</v>
      </c>
      <c r="B92" s="118">
        <f>'Population Treasury'!M$139*'Statistics NZ'!M$421*'Economic Forecasts'!O$8/B$7</f>
        <v>31419.275482587851</v>
      </c>
      <c r="C92" s="118">
        <f>'Population Treasury'!N$139*'Statistics NZ'!N$421*'Economic Forecasts'!P$8/C$7</f>
        <v>33559.40643990886</v>
      </c>
      <c r="D92" s="118">
        <f>'Population Treasury'!O$139*'Statistics NZ'!O$421*'Economic Forecasts'!Q$8/D$7</f>
        <v>35695.887426996931</v>
      </c>
      <c r="E92" s="203">
        <f>'Population Treasury'!P$139*'Statistics NZ'!P$421*'Economic Forecasts'!R$8/E$7</f>
        <v>37077.207452368617</v>
      </c>
      <c r="F92" s="121">
        <f>'Population Treasury'!Q$139*'Statistics NZ'!Q$421*'Economic Forecasts'!S$8/F$7</f>
        <v>36993.381629156735</v>
      </c>
      <c r="G92" s="121">
        <f>'Population Treasury'!R$139*'Statistics NZ'!R$421*'Economic Forecasts'!T$8/G$7</f>
        <v>36672.742822884989</v>
      </c>
      <c r="H92" s="121">
        <f>'Population Treasury'!S$139*'Statistics NZ'!S$421*'Economic Forecasts'!U$8/H$7</f>
        <v>35547.219881254932</v>
      </c>
      <c r="I92" s="121">
        <f>'Population Treasury'!T$139*'Statistics NZ'!T$421*'Economic Forecasts'!V$8/I$7</f>
        <v>35769.331848803879</v>
      </c>
      <c r="J92" s="205">
        <f>'Population Treasury'!U$139*'Statistics NZ'!U$421*'Economic Forecasts'!W$8/J$7</f>
        <v>35863.39606398761</v>
      </c>
      <c r="K92" s="111">
        <f>J$92*'Population Treasury'!V$139*'Statistics NZ'!V$421/('Population Treasury'!U$139*'Statistics NZ'!U$421)</f>
        <v>34857.367783701222</v>
      </c>
      <c r="L92" s="111">
        <f>K$92*'Population Treasury'!W$139*'Statistics NZ'!W$421/('Population Treasury'!V$139*'Statistics NZ'!V$421)</f>
        <v>34967.880843897379</v>
      </c>
      <c r="M92" s="111">
        <f>L$92*'Population Treasury'!X$139*'Statistics NZ'!X$421/('Population Treasury'!W$139*'Statistics NZ'!W$421)</f>
        <v>34294.837420782031</v>
      </c>
      <c r="N92" s="111">
        <f>M$92*'Population Treasury'!Y$139*'Statistics NZ'!Y$421/('Population Treasury'!X$139*'Statistics NZ'!X$421)</f>
        <v>35164.718010954937</v>
      </c>
      <c r="O92" s="111">
        <f>N$92*'Population Treasury'!Z$139*'Statistics NZ'!Z$421/('Population Treasury'!Y$139*'Statistics NZ'!Y$421)</f>
        <v>34851.248229448094</v>
      </c>
      <c r="P92" s="111">
        <f>O$92*'Population Treasury'!AA$139*'Statistics NZ'!AA$421/('Population Treasury'!Z$139*'Statistics NZ'!Z$421)</f>
        <v>33687.240761832676</v>
      </c>
      <c r="Q92" s="111">
        <f>P$92*'Population Treasury'!AB$139*'Statistics NZ'!AB$421/('Population Treasury'!AA$139*'Statistics NZ'!AA$421)</f>
        <v>34295.85301517482</v>
      </c>
      <c r="R92" s="111">
        <f>Q$92*'Population Treasury'!AC$139*'Statistics NZ'!AC$421/('Population Treasury'!AB$139*'Statistics NZ'!AB$421)</f>
        <v>34599.961853750538</v>
      </c>
      <c r="S92" s="111">
        <f>R$92*'Population Treasury'!AD$139*'Statistics NZ'!AD$421/('Population Treasury'!AC$139*'Statistics NZ'!AC$421)</f>
        <v>35013.810028782638</v>
      </c>
      <c r="T92" s="111">
        <f>S$92*'Population Treasury'!AE$139*'Statistics NZ'!AE$421/('Population Treasury'!AD$139*'Statistics NZ'!AD$421)</f>
        <v>36038.65571369086</v>
      </c>
      <c r="U92" s="111">
        <f>T$92*'Population Treasury'!AF$139*'Statistics NZ'!AF$421/('Population Treasury'!AE$139*'Statistics NZ'!AE$421)</f>
        <v>37978.879186907077</v>
      </c>
      <c r="V92" s="111">
        <f>U$92*'Population Treasury'!AG$139*'Statistics NZ'!AG$421/('Population Treasury'!AF$139*'Statistics NZ'!AF$421)</f>
        <v>39032.65178048364</v>
      </c>
      <c r="W92" s="111">
        <f>V$92*'Population Treasury'!AH$139*'Statistics NZ'!AH$421/('Population Treasury'!AG$139*'Statistics NZ'!AG$421)</f>
        <v>39612.325766369053</v>
      </c>
      <c r="X92" s="111">
        <f>W$92*'Population Treasury'!AI$139*'Statistics NZ'!AI$421/('Population Treasury'!AH$139*'Statistics NZ'!AH$421)</f>
        <v>40100.883933437428</v>
      </c>
      <c r="Y92" s="111">
        <f>X$92*'Population Treasury'!AJ$139*'Statistics NZ'!AJ$421/('Population Treasury'!AI$139*'Statistics NZ'!AI$421)</f>
        <v>39838.199013327823</v>
      </c>
      <c r="Z92" s="111">
        <f>Y$92*'Population Treasury'!AK$139*'Statistics NZ'!AK$421/('Population Treasury'!AJ$139*'Statistics NZ'!AJ$421)</f>
        <v>39683.259139939073</v>
      </c>
      <c r="AA92" s="111">
        <f>Z$92*'Population Treasury'!AL$139*'Statistics NZ'!AL$421/('Population Treasury'!AK$139*'Statistics NZ'!AK$421)</f>
        <v>39423.085834923659</v>
      </c>
      <c r="AB92" s="111">
        <f>AA$92*'Population Treasury'!AM$139*'Statistics NZ'!AM$421/('Population Treasury'!AL$139*'Statistics NZ'!AL$421)</f>
        <v>39100.692309201375</v>
      </c>
      <c r="AC92" s="111">
        <f>AB$92*'Population Treasury'!AN$139*'Statistics NZ'!AN$421/('Population Treasury'!AM$139*'Statistics NZ'!AM$421)</f>
        <v>39038.386849417933</v>
      </c>
      <c r="AD92" s="111">
        <f>AC$92*'Population Treasury'!AO$139*'Statistics NZ'!AO$421/('Population Treasury'!AN$139*'Statistics NZ'!AN$421)</f>
        <v>38747.334558015122</v>
      </c>
      <c r="AE92" s="111">
        <f>AD$92*'Population Treasury'!AP$139*'Statistics NZ'!AP$421/('Population Treasury'!AO$139*'Statistics NZ'!AO$421)</f>
        <v>38533.257699282891</v>
      </c>
      <c r="AF92" s="111">
        <f>AE$92*'Population Treasury'!AQ$139*'Statistics NZ'!AQ$421/('Population Treasury'!AP$139*'Statistics NZ'!AP$421)</f>
        <v>37873.072193536973</v>
      </c>
      <c r="AG92" s="111">
        <f>AF$92*'Population Treasury'!AR$139*'Statistics NZ'!AR$421/('Population Treasury'!AQ$139*'Statistics NZ'!AQ$421)</f>
        <v>37839.111546007713</v>
      </c>
      <c r="AH92" s="111">
        <f>AG$92*'Population Treasury'!AS$139*'Statistics NZ'!AS$421/('Population Treasury'!AR$139*'Statistics NZ'!AR$421)</f>
        <v>37237.755123292882</v>
      </c>
      <c r="AI92" s="111">
        <f>AH$92*'Population Treasury'!AT$139*'Statistics NZ'!AT$421/('Population Treasury'!AS$139*'Statistics NZ'!AS$421)</f>
        <v>37066.45522393001</v>
      </c>
      <c r="AJ92" s="111">
        <f>AI$92*'Population Treasury'!AU$139*'Statistics NZ'!AU$421/('Population Treasury'!AT$139*'Statistics NZ'!AT$421)</f>
        <v>37043.232326642428</v>
      </c>
      <c r="AK92" s="111">
        <f>AJ$92*'Population Treasury'!AV$139*'Statistics NZ'!AV$421/('Population Treasury'!AU$139*'Statistics NZ'!AU$421)</f>
        <v>36984.394495234454</v>
      </c>
      <c r="AL92" s="111">
        <f>AK$92*'Population Treasury'!AW$139*'Statistics NZ'!AW$421/('Population Treasury'!AV$139*'Statistics NZ'!AV$421)</f>
        <v>36902.071065639349</v>
      </c>
      <c r="AM92" s="111">
        <f>AL$92*'Population Treasury'!AX$139*'Statistics NZ'!AX$421/('Population Treasury'!AW$139*'Statistics NZ'!AW$421)</f>
        <v>37018.859703840018</v>
      </c>
      <c r="AN92" s="111">
        <f>AM$92*'Population Treasury'!AY$139*'Statistics NZ'!AY$421/('Population Treasury'!AX$139*'Statistics NZ'!AX$421)</f>
        <v>37102.881182720666</v>
      </c>
      <c r="AO92" s="111">
        <f>AN$92*'Population Treasury'!AZ$139*'Statistics NZ'!AZ$421/('Population Treasury'!AY$139*'Statistics NZ'!AY$421)</f>
        <v>37164.305953414208</v>
      </c>
      <c r="AP92" s="111">
        <f>AO$92*'Population Treasury'!BA$139*'Statistics NZ'!BA$421/('Population Treasury'!AZ$139*'Statistics NZ'!AZ$421)</f>
        <v>37203.09898419174</v>
      </c>
      <c r="AQ92" s="111">
        <f>AP$92*'Population Treasury'!BB$139*'Statistics NZ'!BB$421/('Population Treasury'!BA$139*'Statistics NZ'!BA$421)</f>
        <v>37229.575077386871</v>
      </c>
      <c r="AR92" s="111">
        <f>AQ$92*'Population Treasury'!BC$139*'Statistics NZ'!BC$421/('Population Treasury'!BB$139*'Statistics NZ'!BB$421)</f>
        <v>37264.459572804051</v>
      </c>
      <c r="AS92" s="111">
        <f>AR$92*'Population Treasury'!BD$139*'Statistics NZ'!BD$421/('Population Treasury'!BC$139*'Statistics NZ'!BC$421)</f>
        <v>37298.765580829269</v>
      </c>
      <c r="AT92" s="111">
        <f>AS$92*'Population Treasury'!BE$139*'Statistics NZ'!BE$421/('Population Treasury'!BD$139*'Statistics NZ'!BD$421)</f>
        <v>37332.966269617355</v>
      </c>
      <c r="AU92" s="111">
        <f>AT$92*'Population Treasury'!BF$139*'Statistics NZ'!BF$421/('Population Treasury'!BE$139*'Statistics NZ'!BE$421)</f>
        <v>37377.483647319095</v>
      </c>
      <c r="AV92" s="111">
        <f>AU$92*'Population Treasury'!BG$139*'Statistics NZ'!BG$421/('Population Treasury'!BF$139*'Statistics NZ'!BF$421)</f>
        <v>37454.101295676177</v>
      </c>
      <c r="AW92" s="111">
        <f>AV$92*'Population Treasury'!BH$139*'Statistics NZ'!BH$421/('Population Treasury'!BG$139*'Statistics NZ'!BG$421)</f>
        <v>37532.097053302212</v>
      </c>
      <c r="AX92" s="111">
        <f>AW$92*'Population Treasury'!BI$139*'Statistics NZ'!BI$421/('Population Treasury'!BH$139*'Statistics NZ'!BH$421)</f>
        <v>37663.521778847018</v>
      </c>
      <c r="AY92" s="111">
        <f>AX$92*'Population Treasury'!BJ$139*'Statistics NZ'!BJ$421/('Population Treasury'!BI$139*'Statistics NZ'!BI$421)</f>
        <v>37796.366794876638</v>
      </c>
      <c r="AZ92" s="111">
        <f>AY$92*'Population Treasury'!BK$139*'Statistics NZ'!BK$421/('Population Treasury'!BJ$139*'Statistics NZ'!BJ$421)</f>
        <v>37942.778403955199</v>
      </c>
      <c r="BA92" s="111">
        <f>AZ$92*'Population Treasury'!BL$139*'Statistics NZ'!BL$421/('Population Treasury'!BK$139*'Statistics NZ'!BK$421)</f>
        <v>38121.096566579297</v>
      </c>
      <c r="BB92" s="195">
        <f>BA$92*'Population Treasury'!BM$139*'Statistics NZ'!BM$421/('Population Treasury'!BL$139*'Statistics NZ'!BL$421)</f>
        <v>38280.801915409284</v>
      </c>
      <c r="BC92" s="195">
        <f>BB$92*'Population Treasury'!BN$139*'Statistics NZ'!BN$421/('Population Treasury'!BM$139*'Statistics NZ'!BM$421)</f>
        <v>38432.75036038152</v>
      </c>
      <c r="BD92" s="195">
        <f>BC$92*'Population Treasury'!BO$139*'Statistics NZ'!BO$421/('Population Treasury'!BN$139*'Statistics NZ'!BN$421)</f>
        <v>38555.655039174562</v>
      </c>
      <c r="BE92" s="195">
        <f>BD$92*'Population Treasury'!BP$139*'Statistics NZ'!BP$421/('Population Treasury'!BO$139*'Statistics NZ'!BO$421)</f>
        <v>38659.723209791468</v>
      </c>
      <c r="BF92" s="195">
        <f>BE$92*'Population Treasury'!BQ$139*'Statistics NZ'!BQ$421/('Population Treasury'!BP$139*'Statistics NZ'!BP$421)</f>
        <v>38724.3310335981</v>
      </c>
    </row>
    <row r="93" spans="1:58">
      <c r="A93" s="124">
        <f>$A$25</f>
        <v>30</v>
      </c>
      <c r="B93" s="118">
        <f>'Population Treasury'!M$140*'Statistics NZ'!M$422*'Economic Forecasts'!O$8/B$7</f>
        <v>30602.283933761461</v>
      </c>
      <c r="C93" s="118">
        <f>'Population Treasury'!N$140*'Statistics NZ'!N$422*'Economic Forecasts'!P$8/C$7</f>
        <v>33112.127399766876</v>
      </c>
      <c r="D93" s="118">
        <f>'Population Treasury'!O$140*'Statistics NZ'!O$422*'Economic Forecasts'!Q$8/D$7</f>
        <v>34112.660571106608</v>
      </c>
      <c r="E93" s="203">
        <f>'Population Treasury'!P$140*'Statistics NZ'!P$422*'Economic Forecasts'!R$8/E$7</f>
        <v>36684.505290672758</v>
      </c>
      <c r="F93" s="121">
        <f>'Population Treasury'!Q$140*'Statistics NZ'!Q$422*'Economic Forecasts'!S$8/F$7</f>
        <v>37298.088388059245</v>
      </c>
      <c r="G93" s="121">
        <f>'Population Treasury'!R$140*'Statistics NZ'!R$422*'Economic Forecasts'!T$8/G$7</f>
        <v>37545.232828458647</v>
      </c>
      <c r="H93" s="121">
        <f>'Population Treasury'!S$140*'Statistics NZ'!S$422*'Economic Forecasts'!U$8/H$7</f>
        <v>37221.129930672956</v>
      </c>
      <c r="I93" s="121">
        <f>'Population Treasury'!T$140*'Statistics NZ'!T$422*'Economic Forecasts'!V$8/I$7</f>
        <v>36340.997419841442</v>
      </c>
      <c r="J93" s="205">
        <f>'Population Treasury'!U$140*'Statistics NZ'!U$422*'Economic Forecasts'!W$8/J$7</f>
        <v>36585.591672604583</v>
      </c>
      <c r="K93" s="111">
        <f>J$93*'Population Treasury'!V$140*'Statistics NZ'!V$422/('Population Treasury'!U$140*'Statistics NZ'!U$422)</f>
        <v>36666.626933778491</v>
      </c>
      <c r="L93" s="111">
        <f>K$93*'Population Treasury'!W$140*'Statistics NZ'!W$422/('Population Treasury'!V$140*'Statistics NZ'!V$422)</f>
        <v>35663.456418439171</v>
      </c>
      <c r="M93" s="111">
        <f>L$93*'Population Treasury'!X$140*'Statistics NZ'!X$422/('Population Treasury'!W$140*'Statistics NZ'!W$422)</f>
        <v>35756.072454092864</v>
      </c>
      <c r="N93" s="111">
        <f>M$93*'Population Treasury'!Y$140*'Statistics NZ'!Y$422/('Population Treasury'!X$140*'Statistics NZ'!X$422)</f>
        <v>35067.221568249697</v>
      </c>
      <c r="O93" s="111">
        <f>N$93*'Population Treasury'!Z$140*'Statistics NZ'!Z$422/('Population Treasury'!Y$140*'Statistics NZ'!Y$422)</f>
        <v>35928.329847601941</v>
      </c>
      <c r="P93" s="111">
        <f>O$93*'Population Treasury'!AA$140*'Statistics NZ'!AA$422/('Population Treasury'!Z$140*'Statistics NZ'!Z$422)</f>
        <v>35612.833476352956</v>
      </c>
      <c r="Q93" s="111">
        <f>P$93*'Population Treasury'!AB$140*'Statistics NZ'!AB$422/('Population Treasury'!AA$140*'Statistics NZ'!AA$422)</f>
        <v>34400.176671908353</v>
      </c>
      <c r="R93" s="111">
        <f>Q$93*'Population Treasury'!AC$140*'Statistics NZ'!AC$422/('Population Treasury'!AB$140*'Statistics NZ'!AB$422)</f>
        <v>34986.917951698051</v>
      </c>
      <c r="S93" s="111">
        <f>R$93*'Population Treasury'!AD$140*'Statistics NZ'!AD$422/('Population Treasury'!AC$140*'Statistics NZ'!AC$422)</f>
        <v>35263.001742071698</v>
      </c>
      <c r="T93" s="111">
        <f>S$93*'Population Treasury'!AE$140*'Statistics NZ'!AE$422/('Population Treasury'!AD$140*'Statistics NZ'!AD$422)</f>
        <v>35688.816416514033</v>
      </c>
      <c r="U93" s="111">
        <f>T$93*'Population Treasury'!AF$140*'Statistics NZ'!AF$422/('Population Treasury'!AE$140*'Statistics NZ'!AE$422)</f>
        <v>36694.97275547625</v>
      </c>
      <c r="V93" s="111">
        <f>U$93*'Population Treasury'!AG$140*'Statistics NZ'!AG$422/('Population Treasury'!AF$140*'Statistics NZ'!AF$422)</f>
        <v>38634.239472502864</v>
      </c>
      <c r="W93" s="111">
        <f>V$93*'Population Treasury'!AH$140*'Statistics NZ'!AH$422/('Population Treasury'!AG$140*'Statistics NZ'!AG$422)</f>
        <v>39688.751312725428</v>
      </c>
      <c r="X93" s="111">
        <f>W$93*'Population Treasury'!AI$140*'Statistics NZ'!AI$422/('Population Treasury'!AH$140*'Statistics NZ'!AH$422)</f>
        <v>40267.488172002857</v>
      </c>
      <c r="Y93" s="111">
        <f>X$93*'Population Treasury'!AJ$140*'Statistics NZ'!AJ$422/('Population Treasury'!AI$140*'Statistics NZ'!AI$422)</f>
        <v>40746.968449849504</v>
      </c>
      <c r="Z93" s="111">
        <f>Y$93*'Population Treasury'!AK$140*'Statistics NZ'!AK$422/('Population Treasury'!AJ$140*'Statistics NZ'!AJ$422)</f>
        <v>40485.239329702483</v>
      </c>
      <c r="AA93" s="111">
        <f>Z$93*'Population Treasury'!AL$140*'Statistics NZ'!AL$422/('Population Treasury'!AK$140*'Statistics NZ'!AK$422)</f>
        <v>40340.713332475745</v>
      </c>
      <c r="AB93" s="111">
        <f>AA$93*'Population Treasury'!AM$140*'Statistics NZ'!AM$422/('Population Treasury'!AL$140*'Statistics NZ'!AL$422)</f>
        <v>40071.000112113426</v>
      </c>
      <c r="AC93" s="111">
        <f>AB$93*'Population Treasury'!AN$140*'Statistics NZ'!AN$422/('Population Treasury'!AM$140*'Statistics NZ'!AM$422)</f>
        <v>39737.996342830214</v>
      </c>
      <c r="AD93" s="111">
        <f>AC$93*'Population Treasury'!AO$140*'Statistics NZ'!AO$422/('Population Treasury'!AN$140*'Statistics NZ'!AN$422)</f>
        <v>39675.749060127862</v>
      </c>
      <c r="AE93" s="111">
        <f>AD$93*'Population Treasury'!AP$140*'Statistics NZ'!AP$422/('Population Treasury'!AO$140*'Statistics NZ'!AO$422)</f>
        <v>39394.263018865386</v>
      </c>
      <c r="AF93" s="111">
        <f>AE$93*'Population Treasury'!AQ$140*'Statistics NZ'!AQ$422/('Population Treasury'!AP$140*'Statistics NZ'!AP$422)</f>
        <v>39178.939738902125</v>
      </c>
      <c r="AG93" s="111">
        <f>AF$93*'Population Treasury'!AR$140*'Statistics NZ'!AR$422/('Population Treasury'!AQ$140*'Statistics NZ'!AQ$422)</f>
        <v>38516.415390314869</v>
      </c>
      <c r="AH93" s="111">
        <f>AG$93*'Population Treasury'!AS$140*'Statistics NZ'!AS$422/('Population Treasury'!AR$140*'Statistics NZ'!AR$422)</f>
        <v>38481.352032848925</v>
      </c>
      <c r="AI93" s="111">
        <f>AH$93*'Population Treasury'!AT$140*'Statistics NZ'!AT$422/('Population Treasury'!AS$140*'Statistics NZ'!AS$422)</f>
        <v>37878.138158668153</v>
      </c>
      <c r="AJ93" s="111">
        <f>AI$93*'Population Treasury'!AU$140*'Statistics NZ'!AU$422/('Population Treasury'!AT$140*'Statistics NZ'!AT$422)</f>
        <v>37705.920221497137</v>
      </c>
      <c r="AK93" s="111">
        <f>AJ$93*'Population Treasury'!AV$140*'Statistics NZ'!AV$422/('Population Treasury'!AU$140*'Statistics NZ'!AU$422)</f>
        <v>37682.262438846621</v>
      </c>
      <c r="AL93" s="111">
        <f>AK$93*'Population Treasury'!AW$140*'Statistics NZ'!AW$422/('Population Treasury'!AV$140*'Statistics NZ'!AV$422)</f>
        <v>37623.072356592071</v>
      </c>
      <c r="AM93" s="111">
        <f>AL$93*'Population Treasury'!AX$140*'Statistics NZ'!AX$422/('Population Treasury'!AW$140*'Statistics NZ'!AW$422)</f>
        <v>37540.497654393788</v>
      </c>
      <c r="AN93" s="111">
        <f>AM$93*'Population Treasury'!AY$140*'Statistics NZ'!AY$422/('Population Treasury'!AX$140*'Statistics NZ'!AX$422)</f>
        <v>37667.632694921856</v>
      </c>
      <c r="AO93" s="111">
        <f>AN$93*'Population Treasury'!AZ$140*'Statistics NZ'!AZ$422/('Population Treasury'!AY$140*'Statistics NZ'!AY$422)</f>
        <v>37741.721586492364</v>
      </c>
      <c r="AP93" s="111">
        <f>AO$93*'Population Treasury'!BA$140*'Statistics NZ'!BA$422/('Population Treasury'!AZ$140*'Statistics NZ'!AZ$422)</f>
        <v>37803.447361298473</v>
      </c>
      <c r="AQ93" s="111">
        <f>AP$93*'Population Treasury'!BB$140*'Statistics NZ'!BB$422/('Population Treasury'!BA$140*'Statistics NZ'!BA$422)</f>
        <v>37842.574240016831</v>
      </c>
      <c r="AR93" s="111">
        <f>AQ$93*'Population Treasury'!BC$140*'Statistics NZ'!BC$422/('Population Treasury'!BB$140*'Statistics NZ'!BB$422)</f>
        <v>37869.422886958062</v>
      </c>
      <c r="AS93" s="111">
        <f>AR$93*'Population Treasury'!BD$140*'Statistics NZ'!BD$422/('Population Treasury'!BC$140*'Statistics NZ'!BC$422)</f>
        <v>37904.783446743226</v>
      </c>
      <c r="AT93" s="111">
        <f>AS$93*'Population Treasury'!BE$140*'Statistics NZ'!BE$422/('Population Treasury'!BD$140*'Statistics NZ'!BD$422)</f>
        <v>37929.68861028643</v>
      </c>
      <c r="AU93" s="111">
        <f>AT$93*'Population Treasury'!BF$140*'Statistics NZ'!BF$422/('Population Treasury'!BE$140*'Statistics NZ'!BE$422)</f>
        <v>37974.230070143567</v>
      </c>
      <c r="AV93" s="111">
        <f>AU$93*'Population Treasury'!BG$140*'Statistics NZ'!BG$422/('Population Treasury'!BF$140*'Statistics NZ'!BF$422)</f>
        <v>38019.201818354515</v>
      </c>
      <c r="AW93" s="111">
        <f>AV$93*'Population Treasury'!BH$140*'Statistics NZ'!BH$422/('Population Treasury'!BG$140*'Statistics NZ'!BG$422)</f>
        <v>38096.328566941171</v>
      </c>
      <c r="AX93" s="111">
        <f>AW$93*'Population Treasury'!BI$140*'Statistics NZ'!BI$422/('Population Treasury'!BH$140*'Statistics NZ'!BH$422)</f>
        <v>38184.416911161534</v>
      </c>
      <c r="AY93" s="111">
        <f>AX$93*'Population Treasury'!BJ$140*'Statistics NZ'!BJ$422/('Population Treasury'!BI$140*'Statistics NZ'!BI$422)</f>
        <v>38306.087602105734</v>
      </c>
      <c r="AZ93" s="111">
        <f>AY$93*'Population Treasury'!BK$140*'Statistics NZ'!BK$422/('Population Treasury'!BJ$140*'Statistics NZ'!BJ$422)</f>
        <v>38439.676412491201</v>
      </c>
      <c r="BA93" s="111">
        <f>AZ$93*'Population Treasury'!BL$140*'Statistics NZ'!BL$422/('Population Treasury'!BK$140*'Statistics NZ'!BK$422)</f>
        <v>38596.068545576061</v>
      </c>
      <c r="BB93" s="195">
        <f>BA$93*'Population Treasury'!BM$140*'Statistics NZ'!BM$422/('Population Treasury'!BL$140*'Statistics NZ'!BL$422)</f>
        <v>38764.89370456191</v>
      </c>
      <c r="BC93" s="195">
        <f>BB$93*'Population Treasury'!BN$140*'Statistics NZ'!BN$422/('Population Treasury'!BM$140*'Statistics NZ'!BM$422)</f>
        <v>38924.720063385263</v>
      </c>
      <c r="BD93" s="195">
        <f>BC$93*'Population Treasury'!BO$140*'Statistics NZ'!BO$422/('Population Treasury'!BN$140*'Statistics NZ'!BN$422)</f>
        <v>39066.417602424401</v>
      </c>
      <c r="BE93" s="195">
        <f>BD$93*'Population Treasury'!BP$140*'Statistics NZ'!BP$422/('Population Treasury'!BO$140*'Statistics NZ'!BO$422)</f>
        <v>39199.703699505197</v>
      </c>
      <c r="BF93" s="195">
        <f>BE$93*'Population Treasury'!BQ$140*'Statistics NZ'!BQ$422/('Population Treasury'!BP$140*'Statistics NZ'!BP$422)</f>
        <v>39293.415841083748</v>
      </c>
    </row>
    <row r="94" spans="1:58">
      <c r="A94" s="124">
        <f>$A$26</f>
        <v>31</v>
      </c>
      <c r="B94" s="118">
        <f>'Population Treasury'!M$141*'Statistics NZ'!M$423*'Economic Forecasts'!O$8/B$7</f>
        <v>29593.321966459753</v>
      </c>
      <c r="C94" s="118">
        <f>'Population Treasury'!N$141*'Statistics NZ'!N$423*'Economic Forecasts'!P$8/C$7</f>
        <v>32239.1823516484</v>
      </c>
      <c r="D94" s="118">
        <f>'Population Treasury'!O$141*'Statistics NZ'!O$423*'Economic Forecasts'!Q$8/D$7</f>
        <v>33663.736457674866</v>
      </c>
      <c r="E94" s="203">
        <f>'Population Treasury'!P$141*'Statistics NZ'!P$423*'Economic Forecasts'!R$8/E$7</f>
        <v>35229.780426239522</v>
      </c>
      <c r="F94" s="121">
        <f>'Population Treasury'!Q$141*'Statistics NZ'!Q$423*'Economic Forecasts'!S$8/F$7</f>
        <v>36945.599937397572</v>
      </c>
      <c r="G94" s="121">
        <f>'Population Treasury'!R$141*'Statistics NZ'!R$423*'Economic Forecasts'!T$8/G$7</f>
        <v>37896.799598486083</v>
      </c>
      <c r="H94" s="121">
        <f>'Population Treasury'!S$141*'Statistics NZ'!S$423*'Economic Forecasts'!U$8/H$7</f>
        <v>38147.318393522946</v>
      </c>
      <c r="I94" s="121">
        <f>'Population Treasury'!T$141*'Statistics NZ'!T$423*'Economic Forecasts'!V$8/I$7</f>
        <v>38090.847227494967</v>
      </c>
      <c r="J94" s="205">
        <f>'Population Treasury'!U$141*'Statistics NZ'!U$423*'Economic Forecasts'!W$8/J$7</f>
        <v>37202.130463022382</v>
      </c>
      <c r="K94" s="111">
        <f>J$94*'Population Treasury'!V$141*'Statistics NZ'!V$423/('Population Treasury'!U$141*'Statistics NZ'!U$423)</f>
        <v>37416.562084434663</v>
      </c>
      <c r="L94" s="111">
        <f>K$94*'Population Treasury'!W$141*'Statistics NZ'!W$423/('Population Treasury'!V$141*'Statistics NZ'!V$423)</f>
        <v>37477.119071851979</v>
      </c>
      <c r="M94" s="111">
        <f>L$94*'Population Treasury'!X$141*'Statistics NZ'!X$423/('Population Treasury'!W$141*'Statistics NZ'!W$423)</f>
        <v>36425.904501444755</v>
      </c>
      <c r="N94" s="111">
        <f>M$94*'Population Treasury'!Y$141*'Statistics NZ'!Y$423/('Population Treasury'!X$141*'Statistics NZ'!X$423)</f>
        <v>36481.379107202905</v>
      </c>
      <c r="O94" s="111">
        <f>N$94*'Population Treasury'!Z$141*'Statistics NZ'!Z$423/('Population Treasury'!Y$141*'Statistics NZ'!Y$423)</f>
        <v>35762.49168324018</v>
      </c>
      <c r="P94" s="111">
        <f>O$94*'Population Treasury'!AA$141*'Statistics NZ'!AA$423/('Population Treasury'!Z$141*'Statistics NZ'!Z$423)</f>
        <v>36594.537473831442</v>
      </c>
      <c r="Q94" s="111">
        <f>P$94*'Population Treasury'!AB$141*'Statistics NZ'!AB$423/('Population Treasury'!AA$141*'Statistics NZ'!AA$423)</f>
        <v>36220.912747837276</v>
      </c>
      <c r="R94" s="111">
        <f>Q$94*'Population Treasury'!AC$141*'Statistics NZ'!AC$423/('Population Treasury'!AB$141*'Statistics NZ'!AB$423)</f>
        <v>34988.392975118099</v>
      </c>
      <c r="S94" s="111">
        <f>R$94*'Population Treasury'!AD$141*'Statistics NZ'!AD$423/('Population Treasury'!AC$141*'Statistics NZ'!AC$423)</f>
        <v>35555.048898878398</v>
      </c>
      <c r="T94" s="111">
        <f>S$94*'Population Treasury'!AE$141*'Statistics NZ'!AE$423/('Population Treasury'!AD$141*'Statistics NZ'!AD$423)</f>
        <v>35819.54808059027</v>
      </c>
      <c r="U94" s="111">
        <f>T$94*'Population Treasury'!AF$141*'Statistics NZ'!AF$423/('Population Treasury'!AE$141*'Statistics NZ'!AE$423)</f>
        <v>36236.964691701585</v>
      </c>
      <c r="V94" s="111">
        <f>U$94*'Population Treasury'!AG$141*'Statistics NZ'!AG$423/('Population Treasury'!AF$141*'Statistics NZ'!AF$423)</f>
        <v>37244.316357502605</v>
      </c>
      <c r="W94" s="111">
        <f>V$94*'Population Treasury'!AH$141*'Statistics NZ'!AH$423/('Population Treasury'!AG$141*'Statistics NZ'!AG$423)</f>
        <v>39185.567404477071</v>
      </c>
      <c r="X94" s="111">
        <f>W$94*'Population Treasury'!AI$141*'Statistics NZ'!AI$423/('Population Treasury'!AH$141*'Statistics NZ'!AH$423)</f>
        <v>40248.22450610649</v>
      </c>
      <c r="Y94" s="111">
        <f>X$94*'Population Treasury'!AJ$141*'Statistics NZ'!AJ$423/('Population Treasury'!AI$141*'Statistics NZ'!AI$423)</f>
        <v>40817.739886481984</v>
      </c>
      <c r="Z94" s="111">
        <f>Y$94*'Population Treasury'!AK$141*'Statistics NZ'!AK$423/('Population Treasury'!AJ$141*'Statistics NZ'!AJ$423)</f>
        <v>41307.718249186953</v>
      </c>
      <c r="AA94" s="111">
        <f>Z$94*'Population Treasury'!AL$141*'Statistics NZ'!AL$423/('Population Treasury'!AK$141*'Statistics NZ'!AK$423)</f>
        <v>41036.5322156982</v>
      </c>
      <c r="AB94" s="111">
        <f>AA$94*'Population Treasury'!AM$141*'Statistics NZ'!AM$423/('Population Treasury'!AL$141*'Statistics NZ'!AL$423)</f>
        <v>40893.902534954948</v>
      </c>
      <c r="AC94" s="111">
        <f>AB$94*'Population Treasury'!AN$141*'Statistics NZ'!AN$423/('Population Treasury'!AM$141*'Statistics NZ'!AM$423)</f>
        <v>40622.629813650841</v>
      </c>
      <c r="AD94" s="111">
        <f>AC$94*'Population Treasury'!AO$141*'Statistics NZ'!AO$423/('Population Treasury'!AN$141*'Statistics NZ'!AN$423)</f>
        <v>40279.79135356086</v>
      </c>
      <c r="AE94" s="111">
        <f>AD$94*'Population Treasury'!AP$141*'Statistics NZ'!AP$423/('Population Treasury'!AO$141*'Statistics NZ'!AO$423)</f>
        <v>40228.520660575734</v>
      </c>
      <c r="AF94" s="111">
        <f>AE$94*'Population Treasury'!AQ$141*'Statistics NZ'!AQ$423/('Population Treasury'!AP$141*'Statistics NZ'!AP$423)</f>
        <v>39946.829253152173</v>
      </c>
      <c r="AG94" s="111">
        <f>AF$94*'Population Treasury'!AR$141*'Statistics NZ'!AR$423/('Population Treasury'!AQ$141*'Statistics NZ'!AQ$423)</f>
        <v>39719.073303464138</v>
      </c>
      <c r="AH94" s="111">
        <f>AG$94*'Population Treasury'!AS$141*'Statistics NZ'!AS$423/('Population Treasury'!AR$141*'Statistics NZ'!AR$423)</f>
        <v>39043.921618674278</v>
      </c>
      <c r="AI94" s="111">
        <f>AH$94*'Population Treasury'!AT$141*'Statistics NZ'!AT$423/('Population Treasury'!AS$141*'Statistics NZ'!AS$423)</f>
        <v>39027.458420301518</v>
      </c>
      <c r="AJ94" s="111">
        <f>AI$94*'Population Treasury'!AU$141*'Statistics NZ'!AU$423/('Population Treasury'!AT$141*'Statistics NZ'!AT$423)</f>
        <v>38411.755889321365</v>
      </c>
      <c r="AK94" s="111">
        <f>AJ$94*'Population Treasury'!AV$141*'Statistics NZ'!AV$423/('Population Treasury'!AU$141*'Statistics NZ'!AU$423)</f>
        <v>38248.794534172222</v>
      </c>
      <c r="AL94" s="111">
        <f>AK$94*'Population Treasury'!AW$141*'Statistics NZ'!AW$423/('Population Treasury'!AV$141*'Statistics NZ'!AV$423)</f>
        <v>38214.195961878642</v>
      </c>
      <c r="AM94" s="111">
        <f>AL$94*'Population Treasury'!AX$141*'Statistics NZ'!AX$423/('Population Treasury'!AW$141*'Statistics NZ'!AW$423)</f>
        <v>38164.837278688217</v>
      </c>
      <c r="AN94" s="111">
        <f>AM$94*'Population Treasury'!AY$141*'Statistics NZ'!AY$423/('Population Treasury'!AX$141*'Statistics NZ'!AX$423)</f>
        <v>38071.678997443305</v>
      </c>
      <c r="AO94" s="111">
        <f>AN$94*'Population Treasury'!AZ$141*'Statistics NZ'!AZ$423/('Population Treasury'!AY$141*'Statistics NZ'!AY$423)</f>
        <v>38199.061402938612</v>
      </c>
      <c r="AP94" s="111">
        <f>AO$94*'Population Treasury'!BA$141*'Statistics NZ'!BA$423/('Population Treasury'!AZ$141*'Statistics NZ'!AZ$423)</f>
        <v>38293.456605854582</v>
      </c>
      <c r="AQ94" s="111">
        <f>AP$94*'Population Treasury'!BB$141*'Statistics NZ'!BB$423/('Population Treasury'!BA$141*'Statistics NZ'!BA$423)</f>
        <v>38345.255742771922</v>
      </c>
      <c r="AR94" s="111">
        <f>AQ$94*'Population Treasury'!BC$141*'Statistics NZ'!BC$423/('Population Treasury'!BB$141*'Statistics NZ'!BB$423)</f>
        <v>38384.792909777207</v>
      </c>
      <c r="AS94" s="111">
        <f>AR$94*'Population Treasury'!BD$141*'Statistics NZ'!BD$423/('Population Treasury'!BC$141*'Statistics NZ'!BC$423)</f>
        <v>38422.552303408746</v>
      </c>
      <c r="AT94" s="111">
        <f>AS$94*'Population Treasury'!BE$141*'Statistics NZ'!BE$423/('Population Treasury'!BD$141*'Statistics NZ'!BD$423)</f>
        <v>38438.284662548576</v>
      </c>
      <c r="AU94" s="111">
        <f>AT$94*'Population Treasury'!BF$141*'Statistics NZ'!BF$423/('Population Treasury'!BE$141*'Statistics NZ'!BE$423)</f>
        <v>38473.472939932268</v>
      </c>
      <c r="AV94" s="111">
        <f>AU$94*'Population Treasury'!BG$141*'Statistics NZ'!BG$423/('Population Treasury'!BF$141*'Statistics NZ'!BF$423)</f>
        <v>38508.884559055914</v>
      </c>
      <c r="AW94" s="111">
        <f>AV$94*'Population Treasury'!BH$141*'Statistics NZ'!BH$423/('Population Treasury'!BG$141*'Statistics NZ'!BG$423)</f>
        <v>38564.177167128793</v>
      </c>
      <c r="AX94" s="111">
        <f>AW$94*'Population Treasury'!BI$141*'Statistics NZ'!BI$423/('Population Treasury'!BH$141*'Statistics NZ'!BH$423)</f>
        <v>38641.909762020965</v>
      </c>
      <c r="AY94" s="111">
        <f>AX$94*'Population Treasury'!BJ$141*'Statistics NZ'!BJ$423/('Population Treasury'!BI$141*'Statistics NZ'!BI$423)</f>
        <v>38720.728475290947</v>
      </c>
      <c r="AZ94" s="111">
        <f>AY$94*'Population Treasury'!BK$141*'Statistics NZ'!BK$423/('Population Treasury'!BJ$141*'Statistics NZ'!BJ$423)</f>
        <v>38842.876731959754</v>
      </c>
      <c r="BA94" s="111">
        <f>AZ$94*'Population Treasury'!BL$141*'Statistics NZ'!BL$423/('Population Treasury'!BK$141*'Statistics NZ'!BK$423)</f>
        <v>38976.84423457212</v>
      </c>
      <c r="BB94" s="195">
        <f>BA$94*'Population Treasury'!BM$141*'Statistics NZ'!BM$423/('Population Treasury'!BL$141*'Statistics NZ'!BL$423)</f>
        <v>39133.558251271388</v>
      </c>
      <c r="BC94" s="195">
        <f>BB$94*'Population Treasury'!BN$141*'Statistics NZ'!BN$423/('Population Treasury'!BM$141*'Statistics NZ'!BM$423)</f>
        <v>39302.645781173102</v>
      </c>
      <c r="BD94" s="195">
        <f>BC$94*'Population Treasury'!BO$141*'Statistics NZ'!BO$423/('Population Treasury'!BN$141*'Statistics NZ'!BN$423)</f>
        <v>39462.630603690879</v>
      </c>
      <c r="BE94" s="195">
        <f>BD$94*'Population Treasury'!BP$141*'Statistics NZ'!BP$423/('Population Treasury'!BO$141*'Statistics NZ'!BO$423)</f>
        <v>39604.403283786618</v>
      </c>
      <c r="BF94" s="195">
        <f>BE$94*'Population Treasury'!BQ$141*'Statistics NZ'!BQ$423/('Population Treasury'!BP$141*'Statistics NZ'!BP$423)</f>
        <v>39747.517884159592</v>
      </c>
    </row>
    <row r="95" spans="1:58">
      <c r="A95" s="124">
        <f>$A$27</f>
        <v>32</v>
      </c>
      <c r="B95" s="118">
        <f>'Population Treasury'!M$142*'Statistics NZ'!M$424*'Economic Forecasts'!O$8/B$7</f>
        <v>28853.180665684911</v>
      </c>
      <c r="C95" s="118">
        <f>'Population Treasury'!N$142*'Statistics NZ'!N$424*'Economic Forecasts'!P$8/C$7</f>
        <v>31100.548495249979</v>
      </c>
      <c r="D95" s="118">
        <f>'Population Treasury'!O$142*'Statistics NZ'!O$424*'Economic Forecasts'!Q$8/D$7</f>
        <v>32768.925992686418</v>
      </c>
      <c r="E95" s="203">
        <f>'Population Treasury'!P$142*'Statistics NZ'!P$424*'Economic Forecasts'!R$8/E$7</f>
        <v>34615.330325312018</v>
      </c>
      <c r="F95" s="121">
        <f>'Population Treasury'!Q$142*'Statistics NZ'!Q$424*'Economic Forecasts'!S$8/F$7</f>
        <v>35520.973948550316</v>
      </c>
      <c r="G95" s="121">
        <f>'Population Treasury'!R$142*'Statistics NZ'!R$424*'Economic Forecasts'!T$8/G$7</f>
        <v>37556.481708655672</v>
      </c>
      <c r="H95" s="121">
        <f>'Population Treasury'!S$142*'Statistics NZ'!S$424*'Economic Forecasts'!U$8/H$7</f>
        <v>38513.076672382995</v>
      </c>
      <c r="I95" s="121">
        <f>'Population Treasury'!T$142*'Statistics NZ'!T$424*'Economic Forecasts'!V$8/I$7</f>
        <v>38970.670564914129</v>
      </c>
      <c r="J95" s="205">
        <f>'Population Treasury'!U$142*'Statistics NZ'!U$424*'Economic Forecasts'!W$8/J$7</f>
        <v>38918.064978506147</v>
      </c>
      <c r="K95" s="111">
        <f>J$95*'Population Treasury'!V$142*'Statistics NZ'!V$424/('Population Treasury'!U$142*'Statistics NZ'!U$424)</f>
        <v>37978.22734363655</v>
      </c>
      <c r="L95" s="111">
        <f>K$95*'Population Treasury'!W$142*'Statistics NZ'!W$424/('Population Treasury'!V$142*'Statistics NZ'!V$424)</f>
        <v>38151.942433209573</v>
      </c>
      <c r="M95" s="111">
        <f>L$95*'Population Treasury'!X$142*'Statistics NZ'!X$424/('Population Treasury'!W$142*'Statistics NZ'!W$424)</f>
        <v>38172.449345997804</v>
      </c>
      <c r="N95" s="111">
        <f>M$95*'Population Treasury'!Y$142*'Statistics NZ'!Y$424/('Population Treasury'!X$142*'Statistics NZ'!X$424)</f>
        <v>37091.402216044655</v>
      </c>
      <c r="O95" s="111">
        <f>N$95*'Population Treasury'!Z$142*'Statistics NZ'!Z$424/('Population Treasury'!Y$142*'Statistics NZ'!Y$424)</f>
        <v>37119.238809260904</v>
      </c>
      <c r="P95" s="111">
        <f>O$95*'Population Treasury'!AA$142*'Statistics NZ'!AA$424/('Population Treasury'!Z$142*'Statistics NZ'!Z$424)</f>
        <v>36351.288585776085</v>
      </c>
      <c r="Q95" s="111">
        <f>P$95*'Population Treasury'!AB$142*'Statistics NZ'!AB$424/('Population Treasury'!AA$142*'Statistics NZ'!AA$424)</f>
        <v>37153.421059875567</v>
      </c>
      <c r="R95" s="111">
        <f>Q$95*'Population Treasury'!AC$142*'Statistics NZ'!AC$424/('Population Treasury'!AB$142*'Statistics NZ'!AB$424)</f>
        <v>36750.639182991603</v>
      </c>
      <c r="S95" s="111">
        <f>R$95*'Population Treasury'!AD$142*'Statistics NZ'!AD$424/('Population Treasury'!AC$142*'Statistics NZ'!AC$424)</f>
        <v>35488.309172635061</v>
      </c>
      <c r="T95" s="111">
        <f>S$95*'Population Treasury'!AE$142*'Statistics NZ'!AE$424/('Population Treasury'!AD$142*'Statistics NZ'!AD$424)</f>
        <v>36035.512640315443</v>
      </c>
      <c r="U95" s="111">
        <f>T$95*'Population Treasury'!AF$142*'Statistics NZ'!AF$424/('Population Treasury'!AE$142*'Statistics NZ'!AE$424)</f>
        <v>36320.604462877804</v>
      </c>
      <c r="V95" s="111">
        <f>U$95*'Population Treasury'!AG$142*'Statistics NZ'!AG$424/('Population Treasury'!AF$142*'Statistics NZ'!AF$424)</f>
        <v>36729.02971192963</v>
      </c>
      <c r="W95" s="111">
        <f>V$95*'Population Treasury'!AH$142*'Statistics NZ'!AH$424/('Population Treasury'!AG$142*'Statistics NZ'!AG$424)</f>
        <v>37737.723128323923</v>
      </c>
      <c r="X95" s="111">
        <f>W$95*'Population Treasury'!AI$142*'Statistics NZ'!AI$424/('Population Treasury'!AH$142*'Statistics NZ'!AH$424)</f>
        <v>39679.498573915385</v>
      </c>
      <c r="Y95" s="111">
        <f>X$95*'Population Treasury'!AJ$142*'Statistics NZ'!AJ$424/('Population Treasury'!AI$142*'Statistics NZ'!AI$424)</f>
        <v>40741.95174752584</v>
      </c>
      <c r="Z95" s="111">
        <f>Y$95*'Population Treasury'!AK$142*'Statistics NZ'!AK$424/('Population Treasury'!AJ$142*'Statistics NZ'!AJ$424)</f>
        <v>41311.966963595703</v>
      </c>
      <c r="AA95" s="111">
        <f>Z$95*'Population Treasury'!AL$142*'Statistics NZ'!AL$424/('Population Treasury'!AK$142*'Statistics NZ'!AK$424)</f>
        <v>41802.762446602334</v>
      </c>
      <c r="AB95" s="111">
        <f>AA$95*'Population Treasury'!AM$142*'Statistics NZ'!AM$424/('Population Treasury'!AL$142*'Statistics NZ'!AL$424)</f>
        <v>41532.126971602753</v>
      </c>
      <c r="AC95" s="111">
        <f>AB$95*'Population Treasury'!AN$142*'Statistics NZ'!AN$424/('Population Treasury'!AM$142*'Statistics NZ'!AM$424)</f>
        <v>41379.675656989129</v>
      </c>
      <c r="AD95" s="111">
        <f>AC$95*'Population Treasury'!AO$142*'Statistics NZ'!AO$424/('Population Treasury'!AN$142*'Statistics NZ'!AN$424)</f>
        <v>41120.114327620657</v>
      </c>
      <c r="AE95" s="111">
        <f>AD$95*'Population Treasury'!AP$142*'Statistics NZ'!AP$424/('Population Treasury'!AO$142*'Statistics NZ'!AO$424)</f>
        <v>40789.429888986408</v>
      </c>
      <c r="AF95" s="111">
        <f>AE$95*'Population Treasury'!AQ$142*'Statistics NZ'!AQ$424/('Population Treasury'!AP$142*'Statistics NZ'!AP$424)</f>
        <v>40715.667847337805</v>
      </c>
      <c r="AG95" s="111">
        <f>AF$95*'Population Treasury'!AR$142*'Statistics NZ'!AR$424/('Population Treasury'!AQ$142*'Statistics NZ'!AQ$424)</f>
        <v>40433.781573852531</v>
      </c>
      <c r="AH95" s="111">
        <f>AG$95*'Population Treasury'!AS$142*'Statistics NZ'!AS$424/('Population Treasury'!AR$142*'Statistics NZ'!AR$424)</f>
        <v>40214.949119868739</v>
      </c>
      <c r="AI95" s="111">
        <f>AH$95*'Population Treasury'!AT$142*'Statistics NZ'!AT$424/('Population Treasury'!AS$142*'Statistics NZ'!AS$424)</f>
        <v>39535.43752930656</v>
      </c>
      <c r="AJ95" s="111">
        <f>AI$95*'Population Treasury'!AU$142*'Statistics NZ'!AU$424/('Population Treasury'!AT$142*'Statistics NZ'!AT$424)</f>
        <v>39518.64088333807</v>
      </c>
      <c r="AK95" s="111">
        <f>AJ$95*'Population Treasury'!AV$142*'Statistics NZ'!AV$424/('Population Treasury'!AU$142*'Statistics NZ'!AU$424)</f>
        <v>38889.308335322392</v>
      </c>
      <c r="AL95" s="111">
        <f>AK$95*'Population Treasury'!AW$142*'Statistics NZ'!AW$424/('Population Treasury'!AV$142*'Statistics NZ'!AV$424)</f>
        <v>38725.090237651508</v>
      </c>
      <c r="AM95" s="111">
        <f>AL$95*'Population Treasury'!AX$142*'Statistics NZ'!AX$424/('Population Treasury'!AW$142*'Statistics NZ'!AW$424)</f>
        <v>38700.171003739451</v>
      </c>
      <c r="AN95" s="111">
        <f>AM$95*'Population Treasury'!AY$142*'Statistics NZ'!AY$424/('Population Treasury'!AX$142*'Statistics NZ'!AX$424)</f>
        <v>38639.99459797005</v>
      </c>
      <c r="AO95" s="111">
        <f>AN$95*'Population Treasury'!AZ$142*'Statistics NZ'!AZ$424/('Population Treasury'!AY$142*'Statistics NZ'!AY$424)</f>
        <v>38566.461630337923</v>
      </c>
      <c r="AP95" s="111">
        <f>AO$95*'Population Treasury'!BA$142*'Statistics NZ'!BA$424/('Population Treasury'!AZ$142*'Statistics NZ'!AZ$424)</f>
        <v>38674.075096808585</v>
      </c>
      <c r="AQ95" s="111">
        <f>AP$95*'Population Treasury'!BB$142*'Statistics NZ'!BB$424/('Population Treasury'!BA$142*'Statistics NZ'!BA$424)</f>
        <v>38768.859587905376</v>
      </c>
      <c r="AR95" s="111">
        <f>AQ$95*'Population Treasury'!BC$142*'Statistics NZ'!BC$424/('Population Treasury'!BB$142*'Statistics NZ'!BB$424)</f>
        <v>38821.020933391548</v>
      </c>
      <c r="AS95" s="111">
        <f>AR$95*'Population Treasury'!BD$142*'Statistics NZ'!BD$424/('Population Treasury'!BC$142*'Statistics NZ'!BC$424)</f>
        <v>38861.035283328783</v>
      </c>
      <c r="AT95" s="111">
        <f>AS$95*'Population Treasury'!BE$142*'Statistics NZ'!BE$424/('Population Treasury'!BD$142*'Statistics NZ'!BD$424)</f>
        <v>38899.392702764504</v>
      </c>
      <c r="AU95" s="111">
        <f>AT$95*'Population Treasury'!BF$142*'Statistics NZ'!BF$424/('Population Treasury'!BE$142*'Statistics NZ'!BE$424)</f>
        <v>38926.087969556858</v>
      </c>
      <c r="AV95" s="111">
        <f>AU$95*'Population Treasury'!BG$142*'Statistics NZ'!BG$424/('Population Treasury'!BF$142*'Statistics NZ'!BF$424)</f>
        <v>38951.537252345574</v>
      </c>
      <c r="AW95" s="111">
        <f>AV$95*'Population Treasury'!BH$142*'Statistics NZ'!BH$424/('Population Treasury'!BG$142*'Statistics NZ'!BG$424)</f>
        <v>38997.430183929457</v>
      </c>
      <c r="AX95" s="111">
        <f>AW$95*'Population Treasury'!BI$142*'Statistics NZ'!BI$424/('Population Treasury'!BH$142*'Statistics NZ'!BH$424)</f>
        <v>39043.627117782278</v>
      </c>
      <c r="AY95" s="111">
        <f>AX$95*'Population Treasury'!BJ$142*'Statistics NZ'!BJ$424/('Population Treasury'!BI$142*'Statistics NZ'!BI$424)</f>
        <v>39111.81427118789</v>
      </c>
      <c r="AZ95" s="111">
        <f>AY$95*'Population Treasury'!BK$142*'Statistics NZ'!BK$424/('Population Treasury'!BJ$142*'Statistics NZ'!BJ$424)</f>
        <v>39211.196246959647</v>
      </c>
      <c r="BA95" s="111">
        <f>AZ$95*'Population Treasury'!BL$142*'Statistics NZ'!BL$424/('Population Treasury'!BK$142*'Statistics NZ'!BK$424)</f>
        <v>39333.902199785436</v>
      </c>
      <c r="BB95" s="195">
        <f>BA$95*'Population Treasury'!BM$142*'Statistics NZ'!BM$424/('Population Treasury'!BL$142*'Statistics NZ'!BL$424)</f>
        <v>39457.888366110492</v>
      </c>
      <c r="BC95" s="195">
        <f>BB$95*'Population Treasury'!BN$142*'Statistics NZ'!BN$424/('Population Treasury'!BM$142*'Statistics NZ'!BM$424)</f>
        <v>39614.935231518466</v>
      </c>
      <c r="BD95" s="195">
        <f>BC$95*'Population Treasury'!BO$142*'Statistics NZ'!BO$424/('Population Treasury'!BN$142*'Statistics NZ'!BN$424)</f>
        <v>39784.296436625293</v>
      </c>
      <c r="BE95" s="195">
        <f>BD$95*'Population Treasury'!BP$142*'Statistics NZ'!BP$424/('Population Treasury'!BO$142*'Statistics NZ'!BO$424)</f>
        <v>39944.436234591405</v>
      </c>
      <c r="BF95" s="195">
        <f>BE$95*'Population Treasury'!BQ$142*'Statistics NZ'!BQ$424/('Population Treasury'!BP$142*'Statistics NZ'!BP$424)</f>
        <v>40096.794813851375</v>
      </c>
    </row>
    <row r="96" spans="1:58">
      <c r="A96" s="124">
        <f>$A$28</f>
        <v>33</v>
      </c>
      <c r="B96" s="118">
        <f>'Population Treasury'!M$143*'Statistics NZ'!M$425*'Economic Forecasts'!O$8/B$7</f>
        <v>28964.293735005191</v>
      </c>
      <c r="C96" s="118">
        <f>'Population Treasury'!N$143*'Statistics NZ'!N$425*'Economic Forecasts'!P$8/C$7</f>
        <v>30294.099683459968</v>
      </c>
      <c r="D96" s="118">
        <f>'Population Treasury'!O$143*'Statistics NZ'!O$425*'Economic Forecasts'!Q$8/D$7</f>
        <v>31592.948501771807</v>
      </c>
      <c r="E96" s="203">
        <f>'Population Treasury'!P$143*'Statistics NZ'!P$425*'Economic Forecasts'!R$8/E$7</f>
        <v>33646.104695677939</v>
      </c>
      <c r="F96" s="121">
        <f>'Population Treasury'!Q$143*'Statistics NZ'!Q$425*'Economic Forecasts'!S$8/F$7</f>
        <v>34858.658442919426</v>
      </c>
      <c r="G96" s="121">
        <f>'Population Treasury'!R$143*'Statistics NZ'!R$425*'Economic Forecasts'!T$8/G$7</f>
        <v>36045.82050182861</v>
      </c>
      <c r="H96" s="121">
        <f>'Population Treasury'!S$143*'Statistics NZ'!S$425*'Economic Forecasts'!U$8/H$7</f>
        <v>38102.081846752095</v>
      </c>
      <c r="I96" s="121">
        <f>'Population Treasury'!T$143*'Statistics NZ'!T$425*'Economic Forecasts'!V$8/I$7</f>
        <v>39181.20825384921</v>
      </c>
      <c r="J96" s="205">
        <f>'Population Treasury'!U$143*'Statistics NZ'!U$425*'Economic Forecasts'!W$8/J$7</f>
        <v>39636.665530712213</v>
      </c>
      <c r="K96" s="111">
        <f>J$96*'Population Treasury'!V$143*'Statistics NZ'!V$425/('Population Treasury'!U$143*'Statistics NZ'!U$425)</f>
        <v>39539.014616349014</v>
      </c>
      <c r="L96" s="111">
        <f>K$96*'Population Treasury'!W$143*'Statistics NZ'!W$425/('Population Treasury'!V$143*'Statistics NZ'!V$425)</f>
        <v>38567.166837524877</v>
      </c>
      <c r="M96" s="111">
        <f>L$96*'Population Treasury'!X$143*'Statistics NZ'!X$425/('Population Treasury'!W$143*'Statistics NZ'!W$425)</f>
        <v>38710.125797127643</v>
      </c>
      <c r="N96" s="111">
        <f>M$96*'Population Treasury'!Y$143*'Statistics NZ'!Y$425/('Population Treasury'!X$143*'Statistics NZ'!X$425)</f>
        <v>38699.569983043424</v>
      </c>
      <c r="O96" s="111">
        <f>N$96*'Population Treasury'!Z$143*'Statistics NZ'!Z$425/('Population Treasury'!Y$143*'Statistics NZ'!Y$425)</f>
        <v>37577.885698404622</v>
      </c>
      <c r="P96" s="111">
        <f>O$96*'Population Treasury'!AA$143*'Statistics NZ'!AA$425/('Population Treasury'!Z$143*'Statistics NZ'!Z$425)</f>
        <v>37575.178904241468</v>
      </c>
      <c r="Q96" s="111">
        <f>P$96*'Population Treasury'!AB$143*'Statistics NZ'!AB$425/('Population Treasury'!AA$143*'Statistics NZ'!AA$425)</f>
        <v>36775.735775759145</v>
      </c>
      <c r="R96" s="111">
        <f>Q$96*'Population Treasury'!AC$143*'Statistics NZ'!AC$425/('Population Treasury'!AB$143*'Statistics NZ'!AB$425)</f>
        <v>37527.514072210506</v>
      </c>
      <c r="S96" s="111">
        <f>R$96*'Population Treasury'!AD$143*'Statistics NZ'!AD$425/('Population Treasury'!AC$143*'Statistics NZ'!AC$425)</f>
        <v>37094.020016010516</v>
      </c>
      <c r="T96" s="111">
        <f>S$96*'Population Treasury'!AE$143*'Statistics NZ'!AE$425/('Population Treasury'!AD$143*'Statistics NZ'!AD$425)</f>
        <v>35831.931301813573</v>
      </c>
      <c r="U96" s="111">
        <f>T$96*'Population Treasury'!AF$143*'Statistics NZ'!AF$425/('Population Treasury'!AE$143*'Statistics NZ'!AE$425)</f>
        <v>36380.235280178829</v>
      </c>
      <c r="V96" s="111">
        <f>U$96*'Population Treasury'!AG$143*'Statistics NZ'!AG$425/('Population Treasury'!AF$143*'Statistics NZ'!AF$425)</f>
        <v>36643.883630361859</v>
      </c>
      <c r="W96" s="111">
        <f>V$96*'Population Treasury'!AH$143*'Statistics NZ'!AH$425/('Population Treasury'!AG$143*'Statistics NZ'!AG$425)</f>
        <v>37063.844163900576</v>
      </c>
      <c r="X96" s="111">
        <f>W$96*'Population Treasury'!AI$143*'Statistics NZ'!AI$425/('Population Treasury'!AH$143*'Statistics NZ'!AH$425)</f>
        <v>38072.278420152485</v>
      </c>
      <c r="Y96" s="111">
        <f>X$96*'Population Treasury'!AJ$143*'Statistics NZ'!AJ$425/('Population Treasury'!AI$143*'Statistics NZ'!AI$425)</f>
        <v>40014.215125740549</v>
      </c>
      <c r="Z96" s="111">
        <f>Y$96*'Population Treasury'!AK$143*'Statistics NZ'!AK$425/('Population Treasury'!AJ$143*'Statistics NZ'!AJ$425)</f>
        <v>41076.451893128069</v>
      </c>
      <c r="AA96" s="111">
        <f>Z$96*'Population Treasury'!AL$143*'Statistics NZ'!AL$425/('Population Treasury'!AK$143*'Statistics NZ'!AK$425)</f>
        <v>41646.641106387317</v>
      </c>
      <c r="AB96" s="111">
        <f>AA$96*'Population Treasury'!AM$143*'Statistics NZ'!AM$425/('Population Treasury'!AL$143*'Statistics NZ'!AL$425)</f>
        <v>42137.690312456507</v>
      </c>
      <c r="AC96" s="111">
        <f>AB$96*'Population Treasury'!AN$143*'Statistics NZ'!AN$425/('Population Treasury'!AM$143*'Statistics NZ'!AM$425)</f>
        <v>41856.604095830276</v>
      </c>
      <c r="AD96" s="111">
        <f>AC$96*'Population Treasury'!AO$143*'Statistics NZ'!AO$425/('Population Treasury'!AN$143*'Statistics NZ'!AN$425)</f>
        <v>41713.433417621607</v>
      </c>
      <c r="AE96" s="111">
        <f>AD$96*'Population Treasury'!AP$143*'Statistics NZ'!AP$425/('Population Treasury'!AO$143*'Statistics NZ'!AO$425)</f>
        <v>41444.193974908885</v>
      </c>
      <c r="AF96" s="111">
        <f>AE$96*'Population Treasury'!AQ$143*'Statistics NZ'!AQ$425/('Population Treasury'!AP$143*'Statistics NZ'!AP$425)</f>
        <v>41102.71114580139</v>
      </c>
      <c r="AG96" s="111">
        <f>AF$96*'Population Treasury'!AR$143*'Statistics NZ'!AR$425/('Population Treasury'!AQ$143*'Statistics NZ'!AQ$425)</f>
        <v>41039.980375416519</v>
      </c>
      <c r="AH96" s="111">
        <f>AG$96*'Population Treasury'!AS$143*'Statistics NZ'!AS$425/('Population Treasury'!AR$143*'Statistics NZ'!AR$425)</f>
        <v>40747.073367039957</v>
      </c>
      <c r="AI96" s="111">
        <f>AH$96*'Population Treasury'!AT$143*'Statistics NZ'!AT$425/('Population Treasury'!AS$143*'Statistics NZ'!AS$425)</f>
        <v>40528.12849079744</v>
      </c>
      <c r="AJ96" s="111">
        <f>AI$96*'Population Treasury'!AU$143*'Statistics NZ'!AU$425/('Population Treasury'!AT$143*'Statistics NZ'!AT$425)</f>
        <v>39858.820085157771</v>
      </c>
      <c r="AK96" s="111">
        <f>AJ$96*'Population Treasury'!AV$143*'Statistics NZ'!AV$425/('Population Treasury'!AU$143*'Statistics NZ'!AU$425)</f>
        <v>39841.261147704667</v>
      </c>
      <c r="AL96" s="111">
        <f>AK$96*'Population Treasury'!AW$143*'Statistics NZ'!AW$425/('Population Treasury'!AV$143*'Statistics NZ'!AV$425)</f>
        <v>39221.699132525282</v>
      </c>
      <c r="AM96" s="111">
        <f>AL$96*'Population Treasury'!AX$143*'Statistics NZ'!AX$425/('Population Treasury'!AW$143*'Statistics NZ'!AW$425)</f>
        <v>39057.303096720228</v>
      </c>
      <c r="AN96" s="111">
        <f>AM$96*'Population Treasury'!AY$143*'Statistics NZ'!AY$425/('Population Treasury'!AX$143*'Statistics NZ'!AX$425)</f>
        <v>39022.447699037781</v>
      </c>
      <c r="AO96" s="111">
        <f>AN$96*'Population Treasury'!AZ$143*'Statistics NZ'!AZ$425/('Population Treasury'!AY$143*'Statistics NZ'!AY$425)</f>
        <v>38962.226066071395</v>
      </c>
      <c r="AP96" s="111">
        <f>AO$96*'Population Treasury'!BA$143*'Statistics NZ'!BA$425/('Population Treasury'!AZ$143*'Statistics NZ'!AZ$425)</f>
        <v>38878.357008968778</v>
      </c>
      <c r="AQ96" s="111">
        <f>AP$96*'Population Treasury'!BB$143*'Statistics NZ'!BB$425/('Population Treasury'!BA$143*'Statistics NZ'!BA$425)</f>
        <v>39006.045466392068</v>
      </c>
      <c r="AR96" s="111">
        <f>AQ$96*'Population Treasury'!BC$143*'Statistics NZ'!BC$425/('Population Treasury'!BB$143*'Statistics NZ'!BB$425)</f>
        <v>39091.117824197019</v>
      </c>
      <c r="AS96" s="111">
        <f>AR$96*'Population Treasury'!BD$143*'Statistics NZ'!BD$425/('Population Treasury'!BC$143*'Statistics NZ'!BC$425)</f>
        <v>39153.128842458493</v>
      </c>
      <c r="AT96" s="111">
        <f>AS$96*'Population Treasury'!BE$143*'Statistics NZ'!BE$425/('Population Treasury'!BD$143*'Statistics NZ'!BD$425)</f>
        <v>39183.331548141745</v>
      </c>
      <c r="AU96" s="111">
        <f>AT$96*'Population Treasury'!BF$143*'Statistics NZ'!BF$425/('Population Treasury'!BE$143*'Statistics NZ'!BE$425)</f>
        <v>39221.776274465155</v>
      </c>
      <c r="AV96" s="111">
        <f>AU$96*'Population Treasury'!BG$143*'Statistics NZ'!BG$425/('Population Treasury'!BF$143*'Statistics NZ'!BF$425)</f>
        <v>39258.529329253128</v>
      </c>
      <c r="AW96" s="111">
        <f>AV$96*'Population Treasury'!BH$143*'Statistics NZ'!BH$425/('Population Treasury'!BG$143*'Statistics NZ'!BG$425)</f>
        <v>39284.07781194531</v>
      </c>
      <c r="AX96" s="111">
        <f>AW$96*'Population Treasury'!BI$143*'Statistics NZ'!BI$425/('Population Treasury'!BH$143*'Statistics NZ'!BH$425)</f>
        <v>39319.963527458116</v>
      </c>
      <c r="AY96" s="111">
        <f>AX$96*'Population Treasury'!BJ$143*'Statistics NZ'!BJ$425/('Population Treasury'!BI$143*'Statistics NZ'!BI$425)</f>
        <v>39366.19838373534</v>
      </c>
      <c r="AZ96" s="111">
        <f>AY$96*'Population Treasury'!BK$143*'Statistics NZ'!BK$425/('Population Treasury'!BJ$143*'Statistics NZ'!BJ$425)</f>
        <v>39444.736303158767</v>
      </c>
      <c r="BA96" s="111">
        <f>AZ$96*'Population Treasury'!BL$143*'Statistics NZ'!BL$425/('Population Treasury'!BK$143*'Statistics NZ'!BK$425)</f>
        <v>39524.090047541817</v>
      </c>
      <c r="BB96" s="195">
        <f>BA$96*'Population Treasury'!BM$143*'Statistics NZ'!BM$425/('Population Treasury'!BL$143*'Statistics NZ'!BL$425)</f>
        <v>39646.860668686109</v>
      </c>
      <c r="BC96" s="195">
        <f>BB$96*'Population Treasury'!BN$143*'Statistics NZ'!BN$425/('Population Treasury'!BM$143*'Statistics NZ'!BM$425)</f>
        <v>39780.597665370813</v>
      </c>
      <c r="BD96" s="195">
        <f>BC$96*'Population Treasury'!BO$143*'Statistics NZ'!BO$425/('Population Treasury'!BN$143*'Statistics NZ'!BN$425)</f>
        <v>39937.675395156788</v>
      </c>
      <c r="BE96" s="195">
        <f>BD$96*'Population Treasury'!BP$143*'Statistics NZ'!BP$425/('Population Treasury'!BO$143*'Statistics NZ'!BO$425)</f>
        <v>40107.073285170402</v>
      </c>
      <c r="BF96" s="195">
        <f>BE$96*'Population Treasury'!BQ$143*'Statistics NZ'!BQ$425/('Population Treasury'!BP$143*'Statistics NZ'!BP$425)</f>
        <v>40278.391564313511</v>
      </c>
    </row>
    <row r="97" spans="1:58">
      <c r="A97" s="124">
        <f>$A$29</f>
        <v>34</v>
      </c>
      <c r="B97" s="118">
        <f>'Population Treasury'!M$144*'Statistics NZ'!M$426*'Economic Forecasts'!O$8/B$7</f>
        <v>28634.118718367681</v>
      </c>
      <c r="C97" s="118">
        <f>'Population Treasury'!N$144*'Statistics NZ'!N$426*'Economic Forecasts'!P$8/C$7</f>
        <v>30354.618818348357</v>
      </c>
      <c r="D97" s="118">
        <f>'Population Treasury'!O$144*'Statistics NZ'!O$426*'Economic Forecasts'!Q$8/D$7</f>
        <v>30742.738144093957</v>
      </c>
      <c r="E97" s="203">
        <f>'Population Treasury'!P$144*'Statistics NZ'!P$426*'Economic Forecasts'!R$8/E$7</f>
        <v>32234.399500411753</v>
      </c>
      <c r="F97" s="121">
        <f>'Population Treasury'!Q$144*'Statistics NZ'!Q$426*'Economic Forecasts'!S$8/F$7</f>
        <v>33870.009947555569</v>
      </c>
      <c r="G97" s="121">
        <f>'Population Treasury'!R$144*'Statistics NZ'!R$426*'Economic Forecasts'!T$8/G$7</f>
        <v>35376.344483164168</v>
      </c>
      <c r="H97" s="121">
        <f>'Population Treasury'!S$144*'Statistics NZ'!S$426*'Economic Forecasts'!U$8/H$7</f>
        <v>36572.194042037809</v>
      </c>
      <c r="I97" s="121">
        <f>'Population Treasury'!T$144*'Statistics NZ'!T$426*'Economic Forecasts'!V$8/I$7</f>
        <v>38701.7459735429</v>
      </c>
      <c r="J97" s="205">
        <f>'Population Treasury'!U$144*'Statistics NZ'!U$426*'Economic Forecasts'!W$8/J$7</f>
        <v>39798.685644998499</v>
      </c>
      <c r="K97" s="111">
        <f>J$97*'Population Treasury'!V$144*'Statistics NZ'!V$426/('Population Treasury'!U$144*'Statistics NZ'!U$426)</f>
        <v>40225.046202449332</v>
      </c>
      <c r="L97" s="111">
        <f>K$97*'Population Treasury'!W$144*'Statistics NZ'!W$426/('Population Treasury'!V$144*'Statistics NZ'!V$426)</f>
        <v>40086.312345008853</v>
      </c>
      <c r="M97" s="111">
        <f>L$97*'Population Treasury'!X$144*'Statistics NZ'!X$426/('Population Treasury'!W$144*'Statistics NZ'!W$426)</f>
        <v>39082.867236582475</v>
      </c>
      <c r="N97" s="111">
        <f>M$97*'Population Treasury'!Y$144*'Statistics NZ'!Y$426/('Population Treasury'!X$144*'Statistics NZ'!X$426)</f>
        <v>39183.866979953258</v>
      </c>
      <c r="O97" s="111">
        <f>N$97*'Population Treasury'!Z$144*'Statistics NZ'!Z$426/('Population Treasury'!Y$144*'Statistics NZ'!Y$426)</f>
        <v>39141.946985585135</v>
      </c>
      <c r="P97" s="111">
        <f>O$97*'Population Treasury'!AA$144*'Statistics NZ'!AA$426/('Population Treasury'!Z$144*'Statistics NZ'!Z$426)</f>
        <v>37988.866311376223</v>
      </c>
      <c r="Q97" s="111">
        <f>P$97*'Population Treasury'!AB$144*'Statistics NZ'!AB$426/('Population Treasury'!AA$144*'Statistics NZ'!AA$426)</f>
        <v>37945.403798639076</v>
      </c>
      <c r="R97" s="111">
        <f>Q$97*'Population Treasury'!AC$144*'Statistics NZ'!AC$426/('Population Treasury'!AB$144*'Statistics NZ'!AB$426)</f>
        <v>37114.373915972108</v>
      </c>
      <c r="S97" s="111">
        <f>R$97*'Population Treasury'!AD$144*'Statistics NZ'!AD$426/('Population Treasury'!AC$144*'Statistics NZ'!AC$426)</f>
        <v>37833.748594543758</v>
      </c>
      <c r="T97" s="111">
        <f>S$97*'Population Treasury'!AE$144*'Statistics NZ'!AE$426/('Population Treasury'!AD$144*'Statistics NZ'!AD$426)</f>
        <v>37390.503470553711</v>
      </c>
      <c r="U97" s="111">
        <f>T$97*'Population Treasury'!AF$144*'Statistics NZ'!AF$426/('Population Treasury'!AE$144*'Statistics NZ'!AE$426)</f>
        <v>36117.510972665666</v>
      </c>
      <c r="V97" s="111">
        <f>U$97*'Population Treasury'!AG$144*'Statistics NZ'!AG$426/('Population Treasury'!AF$144*'Statistics NZ'!AF$426)</f>
        <v>36676.79645485244</v>
      </c>
      <c r="W97" s="111">
        <f>V$97*'Population Treasury'!AH$144*'Statistics NZ'!AH$426/('Population Treasury'!AG$144*'Statistics NZ'!AG$426)</f>
        <v>36940.523293575498</v>
      </c>
      <c r="X97" s="111">
        <f>W$97*'Population Treasury'!AI$144*'Statistics NZ'!AI$426/('Population Treasury'!AH$144*'Statistics NZ'!AH$426)</f>
        <v>37349.288473781686</v>
      </c>
      <c r="Y97" s="111">
        <f>X$97*'Population Treasury'!AJ$144*'Statistics NZ'!AJ$426/('Population Treasury'!AI$144*'Statistics NZ'!AI$426)</f>
        <v>38346.933027624749</v>
      </c>
      <c r="Z97" s="111">
        <f>Y$97*'Population Treasury'!AK$144*'Statistics NZ'!AK$426/('Population Treasury'!AJ$144*'Statistics NZ'!AJ$426)</f>
        <v>40288.823149008313</v>
      </c>
      <c r="AA97" s="111">
        <f>Z$97*'Population Treasury'!AL$144*'Statistics NZ'!AL$426/('Population Treasury'!AK$144*'Statistics NZ'!AK$426)</f>
        <v>41350.655932083246</v>
      </c>
      <c r="AB97" s="111">
        <f>AA$97*'Population Treasury'!AM$144*'Statistics NZ'!AM$426/('Population Treasury'!AL$144*'Statistics NZ'!AL$426)</f>
        <v>41920.808477013234</v>
      </c>
      <c r="AC97" s="111">
        <f>AB$97*'Population Treasury'!AN$144*'Statistics NZ'!AN$426/('Population Treasury'!AM$144*'Statistics NZ'!AM$426)</f>
        <v>42411.736829141926</v>
      </c>
      <c r="AD97" s="111">
        <f>AC$97*'Population Treasury'!AO$144*'Statistics NZ'!AO$426/('Population Treasury'!AN$144*'Statistics NZ'!AN$426)</f>
        <v>42130.384255137586</v>
      </c>
      <c r="AE97" s="111">
        <f>AD$97*'Population Treasury'!AP$144*'Statistics NZ'!AP$426/('Population Treasury'!AO$144*'Statistics NZ'!AO$426)</f>
        <v>41986.98964760168</v>
      </c>
      <c r="AF97" s="111">
        <f>AE$97*'Population Treasury'!AQ$144*'Statistics NZ'!AQ$426/('Population Treasury'!AP$144*'Statistics NZ'!AP$426)</f>
        <v>41706.80456762197</v>
      </c>
      <c r="AG97" s="111">
        <f>AF$97*'Population Treasury'!AR$144*'Statistics NZ'!AR$426/('Population Treasury'!AQ$144*'Statistics NZ'!AQ$426)</f>
        <v>41385.781209387904</v>
      </c>
      <c r="AH97" s="111">
        <f>AG$97*'Population Treasury'!AS$144*'Statistics NZ'!AS$426/('Population Treasury'!AR$144*'Statistics NZ'!AR$426)</f>
        <v>41311.961941607675</v>
      </c>
      <c r="AI97" s="111">
        <f>AH$97*'Population Treasury'!AT$144*'Statistics NZ'!AT$426/('Population Treasury'!AS$144*'Statistics NZ'!AS$426)</f>
        <v>41030.22086698081</v>
      </c>
      <c r="AJ97" s="111">
        <f>AI$97*'Population Treasury'!AU$144*'Statistics NZ'!AU$426/('Population Treasury'!AT$144*'Statistics NZ'!AT$426)</f>
        <v>40802.011423233329</v>
      </c>
      <c r="AK97" s="111">
        <f>AJ$97*'Population Treasury'!AV$144*'Statistics NZ'!AV$426/('Population Treasury'!AU$144*'Statistics NZ'!AU$426)</f>
        <v>40132.854634365845</v>
      </c>
      <c r="AL97" s="111">
        <f>AK$97*'Population Treasury'!AW$144*'Statistics NZ'!AW$426/('Population Treasury'!AV$144*'Statistics NZ'!AV$426)</f>
        <v>40105.455685576962</v>
      </c>
      <c r="AM97" s="111">
        <f>AL$97*'Population Treasury'!AX$144*'Statistics NZ'!AX$426/('Population Treasury'!AW$144*'Statistics NZ'!AW$426)</f>
        <v>39487.503258050696</v>
      </c>
      <c r="AN97" s="111">
        <f>AM$97*'Population Treasury'!AY$144*'Statistics NZ'!AY$426/('Population Treasury'!AX$144*'Statistics NZ'!AX$426)</f>
        <v>39313.096302682534</v>
      </c>
      <c r="AO97" s="111">
        <f>AN$97*'Population Treasury'!AZ$144*'Statistics NZ'!AZ$426/('Population Treasury'!AY$144*'Statistics NZ'!AY$426)</f>
        <v>39288.420779673012</v>
      </c>
      <c r="AP97" s="111">
        <f>AO$97*'Population Treasury'!BA$144*'Statistics NZ'!BA$426/('Population Treasury'!AZ$144*'Statistics NZ'!AZ$426)</f>
        <v>39238.146755051406</v>
      </c>
      <c r="AQ97" s="111">
        <f>AP$97*'Population Treasury'!BB$144*'Statistics NZ'!BB$426/('Population Treasury'!BA$144*'Statistics NZ'!BA$426)</f>
        <v>39155.003355969129</v>
      </c>
      <c r="AR97" s="111">
        <f>AQ$97*'Population Treasury'!BC$144*'Statistics NZ'!BC$426/('Population Treasury'!BB$144*'Statistics NZ'!BB$426)</f>
        <v>39282.624715876045</v>
      </c>
      <c r="AS97" s="111">
        <f>AR$97*'Population Treasury'!BD$144*'Statistics NZ'!BD$426/('Population Treasury'!BC$144*'Statistics NZ'!BC$426)</f>
        <v>39357.19003956869</v>
      </c>
      <c r="AT97" s="111">
        <f>AS$97*'Population Treasury'!BE$144*'Statistics NZ'!BE$426/('Population Treasury'!BD$144*'Statistics NZ'!BD$426)</f>
        <v>39419.661732886008</v>
      </c>
      <c r="AU97" s="111">
        <f>AT$97*'Population Treasury'!BF$144*'Statistics NZ'!BF$426/('Population Treasury'!BE$144*'Statistics NZ'!BE$426)</f>
        <v>39469.367520362088</v>
      </c>
      <c r="AV97" s="111">
        <f>AU$97*'Population Treasury'!BG$144*'Statistics NZ'!BG$426/('Population Treasury'!BF$144*'Statistics NZ'!BF$426)</f>
        <v>39487.102300932107</v>
      </c>
      <c r="AW97" s="111">
        <f>AV$97*'Population Treasury'!BH$144*'Statistics NZ'!BH$426/('Population Treasury'!BG$144*'Statistics NZ'!BG$426)</f>
        <v>39513.818311520161</v>
      </c>
      <c r="AX97" s="111">
        <f>AW$97*'Population Treasury'!BI$144*'Statistics NZ'!BI$426/('Population Treasury'!BH$144*'Statistics NZ'!BH$426)</f>
        <v>39559.553291791643</v>
      </c>
      <c r="AY97" s="111">
        <f>AX$97*'Population Treasury'!BJ$144*'Statistics NZ'!BJ$426/('Population Treasury'!BI$144*'Statistics NZ'!BI$426)</f>
        <v>39595.176264828107</v>
      </c>
      <c r="AZ97" s="111">
        <f>AY$97*'Population Treasury'!BK$144*'Statistics NZ'!BK$426/('Population Treasury'!BJ$144*'Statistics NZ'!BJ$426)</f>
        <v>39641.148780394928</v>
      </c>
      <c r="BA97" s="111">
        <f>AZ$97*'Population Treasury'!BL$144*'Statistics NZ'!BL$426/('Population Treasury'!BK$144*'Statistics NZ'!BK$426)</f>
        <v>39719.492603099134</v>
      </c>
      <c r="BB97" s="195">
        <f>BA$97*'Population Treasury'!BM$144*'Statistics NZ'!BM$426/('Population Treasury'!BL$144*'Statistics NZ'!BL$426)</f>
        <v>39798.590921497467</v>
      </c>
      <c r="BC97" s="195">
        <f>BB$97*'Population Treasury'!BN$144*'Statistics NZ'!BN$426/('Population Treasury'!BM$144*'Statistics NZ'!BM$426)</f>
        <v>39921.192192969924</v>
      </c>
      <c r="BD97" s="195">
        <f>BC$97*'Population Treasury'!BO$144*'Statistics NZ'!BO$426/('Population Treasury'!BN$144*'Statistics NZ'!BN$426)</f>
        <v>40054.704385000667</v>
      </c>
      <c r="BE97" s="195">
        <f>BD$97*'Population Treasury'!BP$144*'Statistics NZ'!BP$426/('Population Treasury'!BO$144*'Statistics NZ'!BO$426)</f>
        <v>40211.650433457311</v>
      </c>
      <c r="BF97" s="195">
        <f>BE$97*'Population Treasury'!BQ$144*'Statistics NZ'!BQ$426/('Population Treasury'!BP$144*'Statistics NZ'!BP$426)</f>
        <v>40380.958366469597</v>
      </c>
    </row>
    <row r="98" spans="1:58">
      <c r="A98" s="124">
        <f>$A$30</f>
        <v>35</v>
      </c>
      <c r="B98" s="118">
        <f>'Population Treasury'!M$145*'Statistics NZ'!M$427*'Economic Forecasts'!O$8/B$7</f>
        <v>28003.037336406382</v>
      </c>
      <c r="C98" s="118">
        <f>'Population Treasury'!N$145*'Statistics NZ'!N$427*'Economic Forecasts'!P$8/C$7</f>
        <v>29913.083786939191</v>
      </c>
      <c r="D98" s="118">
        <f>'Population Treasury'!O$145*'Statistics NZ'!O$427*'Economic Forecasts'!Q$8/D$7</f>
        <v>30761.474995018918</v>
      </c>
      <c r="E98" s="203">
        <f>'Population Treasury'!P$145*'Statistics NZ'!P$427*'Economic Forecasts'!R$8/E$7</f>
        <v>31564.034831983343</v>
      </c>
      <c r="F98" s="121">
        <f>'Population Treasury'!Q$145*'Statistics NZ'!Q$427*'Economic Forecasts'!S$8/F$7</f>
        <v>32448.144362092531</v>
      </c>
      <c r="G98" s="121">
        <f>'Population Treasury'!R$145*'Statistics NZ'!R$427*'Economic Forecasts'!T$8/G$7</f>
        <v>34369.46538063055</v>
      </c>
      <c r="H98" s="121">
        <f>'Population Treasury'!S$145*'Statistics NZ'!S$427*'Economic Forecasts'!U$8/H$7</f>
        <v>35848.642621663508</v>
      </c>
      <c r="I98" s="121">
        <f>'Population Treasury'!T$145*'Statistics NZ'!T$427*'Economic Forecasts'!V$8/I$7</f>
        <v>37075.665332533041</v>
      </c>
      <c r="J98" s="205">
        <f>'Population Treasury'!U$145*'Statistics NZ'!U$427*'Economic Forecasts'!W$8/J$7</f>
        <v>39189.052116169391</v>
      </c>
      <c r="K98" s="111">
        <f>J$98*'Population Treasury'!V$145*'Statistics NZ'!V$427/('Population Treasury'!U$145*'Statistics NZ'!U$427)</f>
        <v>40175.864516258662</v>
      </c>
      <c r="L98" s="111">
        <f>K$98*'Population Treasury'!W$145*'Statistics NZ'!W$427/('Population Treasury'!V$145*'Statistics NZ'!V$427)</f>
        <v>40481.049851323711</v>
      </c>
      <c r="M98" s="111">
        <f>L$98*'Population Treasury'!X$145*'Statistics NZ'!X$427/('Population Treasury'!W$145*'Statistics NZ'!W$427)</f>
        <v>40269.875660509664</v>
      </c>
      <c r="N98" s="111">
        <f>M$98*'Population Treasury'!Y$145*'Statistics NZ'!Y$427/('Population Treasury'!X$145*'Statistics NZ'!X$427)</f>
        <v>39174.819290052765</v>
      </c>
      <c r="O98" s="111">
        <f>N$98*'Population Treasury'!Z$145*'Statistics NZ'!Z$427/('Population Treasury'!Y$145*'Statistics NZ'!Y$427)</f>
        <v>39213.919071302662</v>
      </c>
      <c r="P98" s="111">
        <f>O$98*'Population Treasury'!AA$145*'Statistics NZ'!AA$427/('Population Treasury'!Z$145*'Statistics NZ'!Z$427)</f>
        <v>39091.028022564285</v>
      </c>
      <c r="Q98" s="111">
        <f>P$98*'Population Treasury'!AB$145*'Statistics NZ'!AB$427/('Population Treasury'!AA$145*'Statistics NZ'!AA$427)</f>
        <v>37885.917031589641</v>
      </c>
      <c r="R98" s="111">
        <f>Q$98*'Population Treasury'!AC$145*'Statistics NZ'!AC$427/('Population Treasury'!AB$145*'Statistics NZ'!AB$427)</f>
        <v>37800.177091555903</v>
      </c>
      <c r="S98" s="111">
        <f>R$98*'Population Treasury'!AD$145*'Statistics NZ'!AD$427/('Population Treasury'!AC$145*'Statistics NZ'!AC$427)</f>
        <v>36926.765317123551</v>
      </c>
      <c r="T98" s="111">
        <f>S$98*'Population Treasury'!AE$145*'Statistics NZ'!AE$427/('Population Treasury'!AD$145*'Statistics NZ'!AD$427)</f>
        <v>37656.159298976003</v>
      </c>
      <c r="U98" s="111">
        <f>T$98*'Population Treasury'!AF$145*'Statistics NZ'!AF$427/('Population Treasury'!AE$145*'Statistics NZ'!AE$427)</f>
        <v>37222.171152318413</v>
      </c>
      <c r="V98" s="111">
        <f>U$98*'Population Treasury'!AG$145*'Statistics NZ'!AG$427/('Population Treasury'!AF$145*'Statistics NZ'!AF$427)</f>
        <v>35939.137409915922</v>
      </c>
      <c r="W98" s="111">
        <f>V$98*'Population Treasury'!AH$145*'Statistics NZ'!AH$427/('Population Treasury'!AG$145*'Statistics NZ'!AG$427)</f>
        <v>36496.725684137884</v>
      </c>
      <c r="X98" s="111">
        <f>W$98*'Population Treasury'!AI$145*'Statistics NZ'!AI$427/('Population Treasury'!AH$145*'Statistics NZ'!AH$427)</f>
        <v>36760.563825890749</v>
      </c>
      <c r="Y98" s="111">
        <f>X$98*'Population Treasury'!AJ$145*'Statistics NZ'!AJ$427/('Population Treasury'!AI$145*'Statistics NZ'!AI$427)</f>
        <v>37168.829226615584</v>
      </c>
      <c r="Z98" s="111">
        <f>Y$98*'Population Treasury'!AK$145*'Statistics NZ'!AK$427/('Population Treasury'!AJ$145*'Statistics NZ'!AJ$427)</f>
        <v>38166.156557644361</v>
      </c>
      <c r="AA98" s="111">
        <f>Z$98*'Population Treasury'!AL$145*'Statistics NZ'!AL$427/('Population Treasury'!AK$145*'Statistics NZ'!AK$427)</f>
        <v>40107.874634291278</v>
      </c>
      <c r="AB98" s="111">
        <f>AA$98*'Population Treasury'!AM$145*'Statistics NZ'!AM$427/('Population Treasury'!AL$145*'Statistics NZ'!AL$427)</f>
        <v>41160.129511970954</v>
      </c>
      <c r="AC98" s="111">
        <f>AB$98*'Population Treasury'!AN$145*'Statistics NZ'!AN$427/('Population Treasury'!AM$145*'Statistics NZ'!AM$427)</f>
        <v>41728.575670045706</v>
      </c>
      <c r="AD98" s="111">
        <f>AC$98*'Population Treasury'!AO$145*'Statistics NZ'!AO$427/('Population Treasury'!AN$145*'Statistics NZ'!AN$427)</f>
        <v>42198.751603031742</v>
      </c>
      <c r="AE98" s="111">
        <f>AD$98*'Population Treasury'!AP$145*'Statistics NZ'!AP$427/('Population Treasury'!AO$145*'Statistics NZ'!AO$427)</f>
        <v>41937.415258841575</v>
      </c>
      <c r="AF98" s="111">
        <f>AE$98*'Population Treasury'!AQ$145*'Statistics NZ'!AQ$427/('Population Treasury'!AP$145*'Statistics NZ'!AP$427)</f>
        <v>41784.588738842067</v>
      </c>
      <c r="AG98" s="111">
        <f>AF$98*'Population Treasury'!AR$145*'Statistics NZ'!AR$427/('Population Treasury'!AQ$145*'Statistics NZ'!AQ$427)</f>
        <v>41513.415843346404</v>
      </c>
      <c r="AH98" s="111">
        <f>AG$98*'Population Treasury'!AS$145*'Statistics NZ'!AS$427/('Population Treasury'!AR$145*'Statistics NZ'!AR$427)</f>
        <v>41171.147586506137</v>
      </c>
      <c r="AI98" s="111">
        <f>AH$98*'Population Treasury'!AT$145*'Statistics NZ'!AT$427/('Population Treasury'!AS$145*'Statistics NZ'!AS$427)</f>
        <v>41120.039871989102</v>
      </c>
      <c r="AJ98" s="111">
        <f>AI$98*'Population Treasury'!AU$145*'Statistics NZ'!AU$427/('Population Treasury'!AT$145*'Statistics NZ'!AT$427)</f>
        <v>40825.396728705069</v>
      </c>
      <c r="AK98" s="111">
        <f>AJ$98*'Population Treasury'!AV$145*'Statistics NZ'!AV$427/('Population Treasury'!AU$145*'Statistics NZ'!AU$427)</f>
        <v>40598.029964280104</v>
      </c>
      <c r="AL98" s="111">
        <f>AK$98*'Population Treasury'!AW$145*'Statistics NZ'!AW$427/('Population Treasury'!AV$145*'Statistics NZ'!AV$427)</f>
        <v>39920.765060129874</v>
      </c>
      <c r="AM98" s="111">
        <f>AL$98*'Population Treasury'!AX$145*'Statistics NZ'!AX$427/('Population Treasury'!AW$145*'Statistics NZ'!AW$427)</f>
        <v>39903.832075421487</v>
      </c>
      <c r="AN98" s="111">
        <f>AM$98*'Population Treasury'!AY$145*'Statistics NZ'!AY$427/('Population Treasury'!AX$145*'Statistics NZ'!AX$427)</f>
        <v>39297.212570345961</v>
      </c>
      <c r="AO98" s="111">
        <f>AN$98*'Population Treasury'!AZ$145*'Statistics NZ'!AZ$427/('Population Treasury'!AY$145*'Statistics NZ'!AY$427)</f>
        <v>39113.427735022953</v>
      </c>
      <c r="AP98" s="111">
        <f>AO$98*'Population Treasury'!BA$145*'Statistics NZ'!BA$427/('Population Treasury'!AZ$145*'Statistics NZ'!AZ$427)</f>
        <v>39089.04220612513</v>
      </c>
      <c r="AQ98" s="111">
        <f>AP$98*'Population Treasury'!BB$145*'Statistics NZ'!BB$427/('Population Treasury'!BA$145*'Statistics NZ'!BA$427)</f>
        <v>39039.004485718833</v>
      </c>
      <c r="AR98" s="111">
        <f>AQ$98*'Population Treasury'!BC$145*'Statistics NZ'!BC$427/('Population Treasury'!BB$145*'Statistics NZ'!BB$427)</f>
        <v>38956.020936333909</v>
      </c>
      <c r="AS98" s="111">
        <f>AR$98*'Population Treasury'!BD$145*'Statistics NZ'!BD$427/('Population Treasury'!BC$145*'Statistics NZ'!BC$427)</f>
        <v>39083.502860546825</v>
      </c>
      <c r="AT98" s="111">
        <f>AS$98*'Population Treasury'!BE$145*'Statistics NZ'!BE$427/('Population Treasury'!BD$145*'Statistics NZ'!BD$427)</f>
        <v>39167.693001658641</v>
      </c>
      <c r="AU98" s="111">
        <f>AT$98*'Population Treasury'!BF$145*'Statistics NZ'!BF$427/('Population Treasury'!BE$145*'Statistics NZ'!BE$427)</f>
        <v>39229.947256225969</v>
      </c>
      <c r="AV98" s="111">
        <f>AU$98*'Population Treasury'!BG$145*'Statistics NZ'!BG$427/('Population Treasury'!BF$145*'Statistics NZ'!BF$427)</f>
        <v>39269.647587823099</v>
      </c>
      <c r="AW98" s="111">
        <f>AV$98*'Population Treasury'!BH$145*'Statistics NZ'!BH$427/('Population Treasury'!BG$145*'Statistics NZ'!BG$427)</f>
        <v>39297.126652263469</v>
      </c>
      <c r="AX98" s="111">
        <f>AW$98*'Population Treasury'!BI$145*'Statistics NZ'!BI$427/('Population Treasury'!BH$145*'Statistics NZ'!BH$427)</f>
        <v>39323.340869316438</v>
      </c>
      <c r="AY98" s="111">
        <f>AX$98*'Population Treasury'!BJ$145*'Statistics NZ'!BJ$427/('Population Treasury'!BI$145*'Statistics NZ'!BI$427)</f>
        <v>39358.942272263666</v>
      </c>
      <c r="AZ98" s="111">
        <f>AY$98*'Population Treasury'!BK$145*'Statistics NZ'!BK$427/('Population Treasury'!BJ$145*'Statistics NZ'!BJ$427)</f>
        <v>39394.266095386003</v>
      </c>
      <c r="BA98" s="111">
        <f>AZ$98*'Population Treasury'!BL$145*'Statistics NZ'!BL$427/('Population Treasury'!BK$145*'Statistics NZ'!BK$427)</f>
        <v>39439.932348589282</v>
      </c>
      <c r="BB98" s="195">
        <f>BA$98*'Population Treasury'!BM$145*'Statistics NZ'!BM$427/('Population Treasury'!BL$145*'Statistics NZ'!BL$427)</f>
        <v>39517.893576194198</v>
      </c>
      <c r="BC98" s="195">
        <f>BB$98*'Population Treasury'!BN$145*'Statistics NZ'!BN$427/('Population Treasury'!BM$145*'Statistics NZ'!BM$427)</f>
        <v>39606.530173107443</v>
      </c>
      <c r="BD98" s="195">
        <f>BC$98*'Population Treasury'!BO$145*'Statistics NZ'!BO$427/('Population Treasury'!BN$145*'Statistics NZ'!BN$427)</f>
        <v>39728.842159785032</v>
      </c>
      <c r="BE98" s="195">
        <f>BD$98*'Population Treasury'!BP$145*'Statistics NZ'!BP$427/('Population Treasury'!BO$145*'Statistics NZ'!BO$427)</f>
        <v>39863.53963873141</v>
      </c>
      <c r="BF98" s="195">
        <f>BE$98*'Population Treasury'!BQ$145*'Statistics NZ'!BQ$427/('Population Treasury'!BP$145*'Statistics NZ'!BP$427)</f>
        <v>40020.345172357418</v>
      </c>
    </row>
    <row r="99" spans="1:58">
      <c r="A99" s="124">
        <f>$A$31</f>
        <v>36</v>
      </c>
      <c r="B99" s="118">
        <f>'Population Treasury'!M$146*'Statistics NZ'!M$428*'Economic Forecasts'!O$8/B$7</f>
        <v>27635.868064823397</v>
      </c>
      <c r="C99" s="118">
        <f>'Population Treasury'!N$146*'Statistics NZ'!N$428*'Economic Forecasts'!P$8/C$7</f>
        <v>29308.380628505784</v>
      </c>
      <c r="D99" s="118">
        <f>'Population Treasury'!O$146*'Statistics NZ'!O$428*'Economic Forecasts'!Q$8/D$7</f>
        <v>30383.628287234944</v>
      </c>
      <c r="E99" s="203">
        <f>'Population Treasury'!P$146*'Statistics NZ'!P$428*'Economic Forecasts'!R$8/E$7</f>
        <v>31423.927148412873</v>
      </c>
      <c r="F99" s="121">
        <f>'Population Treasury'!Q$146*'Statistics NZ'!Q$428*'Economic Forecasts'!S$8/F$7</f>
        <v>31774.725913857892</v>
      </c>
      <c r="G99" s="121">
        <f>'Population Treasury'!R$146*'Statistics NZ'!R$428*'Economic Forecasts'!T$8/G$7</f>
        <v>32934.219376312001</v>
      </c>
      <c r="H99" s="121">
        <f>'Population Treasury'!S$146*'Statistics NZ'!S$428*'Economic Forecasts'!U$8/H$7</f>
        <v>34823.765784648844</v>
      </c>
      <c r="I99" s="121">
        <f>'Population Treasury'!T$146*'Statistics NZ'!T$428*'Economic Forecasts'!V$8/I$7</f>
        <v>36360.426481463721</v>
      </c>
      <c r="J99" s="205">
        <f>'Population Treasury'!U$146*'Statistics NZ'!U$428*'Economic Forecasts'!W$8/J$7</f>
        <v>37596.572512064493</v>
      </c>
      <c r="K99" s="111">
        <f>J$99*'Population Treasury'!V$146*'Statistics NZ'!V$428/('Population Treasury'!U$146*'Statistics NZ'!U$428)</f>
        <v>39667.205968331473</v>
      </c>
      <c r="L99" s="111">
        <f>K$99*'Population Treasury'!W$146*'Statistics NZ'!W$428/('Population Treasury'!V$146*'Statistics NZ'!V$428)</f>
        <v>40631.25653131889</v>
      </c>
      <c r="M99" s="111">
        <f>L$99*'Population Treasury'!X$146*'Statistics NZ'!X$428/('Population Treasury'!W$146*'Statistics NZ'!W$428)</f>
        <v>40915.022134598061</v>
      </c>
      <c r="N99" s="111">
        <f>M$99*'Population Treasury'!Y$146*'Statistics NZ'!Y$428/('Population Treasury'!X$146*'Statistics NZ'!X$428)</f>
        <v>40672.624989536598</v>
      </c>
      <c r="O99" s="111">
        <f>N$99*'Population Treasury'!Z$146*'Statistics NZ'!Z$428/('Population Treasury'!Y$146*'Statistics NZ'!Y$428)</f>
        <v>39555.87579724317</v>
      </c>
      <c r="P99" s="111">
        <f>O$99*'Population Treasury'!AA$146*'Statistics NZ'!AA$428/('Population Treasury'!Z$146*'Statistics NZ'!Z$428)</f>
        <v>39563.493645604038</v>
      </c>
      <c r="Q99" s="111">
        <f>P$99*'Population Treasury'!AB$146*'Statistics NZ'!AB$428/('Population Treasury'!AA$146*'Statistics NZ'!AA$428)</f>
        <v>39418.983814259562</v>
      </c>
      <c r="R99" s="111">
        <f>Q$99*'Population Treasury'!AC$146*'Statistics NZ'!AC$428/('Population Treasury'!AB$146*'Statistics NZ'!AB$428)</f>
        <v>38192.320966127481</v>
      </c>
      <c r="S99" s="111">
        <f>R$99*'Population Treasury'!AD$146*'Statistics NZ'!AD$428/('Population Treasury'!AC$146*'Statistics NZ'!AC$428)</f>
        <v>38094.785160019033</v>
      </c>
      <c r="T99" s="111">
        <f>S$99*'Population Treasury'!AE$146*'Statistics NZ'!AE$428/('Population Treasury'!AD$146*'Statistics NZ'!AD$428)</f>
        <v>37222.125779992253</v>
      </c>
      <c r="U99" s="111">
        <f>T$99*'Population Treasury'!AF$146*'Statistics NZ'!AF$428/('Population Treasury'!AE$146*'Statistics NZ'!AE$428)</f>
        <v>37941.194119522719</v>
      </c>
      <c r="V99" s="111">
        <f>U$99*'Population Treasury'!AG$146*'Statistics NZ'!AG$428/('Population Treasury'!AF$146*'Statistics NZ'!AF$428)</f>
        <v>37507.155711008185</v>
      </c>
      <c r="W99" s="111">
        <f>V$99*'Population Treasury'!AH$146*'Statistics NZ'!AH$428/('Population Treasury'!AG$146*'Statistics NZ'!AG$428)</f>
        <v>36224.113972596009</v>
      </c>
      <c r="X99" s="111">
        <f>W$99*'Population Treasury'!AI$146*'Statistics NZ'!AI$428/('Population Treasury'!AH$146*'Statistics NZ'!AH$428)</f>
        <v>36781.69722951384</v>
      </c>
      <c r="Y99" s="111">
        <f>X$99*'Population Treasury'!AJ$146*'Statistics NZ'!AJ$428/('Population Treasury'!AI$146*'Statistics NZ'!AI$428)</f>
        <v>37045.627231954713</v>
      </c>
      <c r="Z99" s="111">
        <f>Y$99*'Population Treasury'!AK$146*'Statistics NZ'!AK$428/('Population Treasury'!AJ$146*'Statistics NZ'!AJ$428)</f>
        <v>37453.85609825133</v>
      </c>
      <c r="AA99" s="111">
        <f>Z$99*'Population Treasury'!AL$146*'Statistics NZ'!AL$428/('Population Treasury'!AK$146*'Statistics NZ'!AK$428)</f>
        <v>38451.144847271578</v>
      </c>
      <c r="AB99" s="111">
        <f>AA$99*'Population Treasury'!AM$146*'Statistics NZ'!AM$428/('Population Treasury'!AL$146*'Statistics NZ'!AL$428)</f>
        <v>40392.904015950931</v>
      </c>
      <c r="AC99" s="111">
        <f>AB$99*'Population Treasury'!AN$146*'Statistics NZ'!AN$428/('Population Treasury'!AM$146*'Statistics NZ'!AM$428)</f>
        <v>41445.247689191092</v>
      </c>
      <c r="AD99" s="111">
        <f>AC$99*'Population Treasury'!AO$146*'Statistics NZ'!AO$428/('Population Treasury'!AN$146*'Statistics NZ'!AN$428)</f>
        <v>42003.937698288493</v>
      </c>
      <c r="AE99" s="111">
        <f>AD$99*'Population Treasury'!AP$146*'Statistics NZ'!AP$428/('Population Treasury'!AO$146*'Statistics NZ'!AO$428)</f>
        <v>42494.555913619799</v>
      </c>
      <c r="AF99" s="111">
        <f>AE$99*'Population Treasury'!AQ$146*'Statistics NZ'!AQ$428/('Population Treasury'!AP$146*'Statistics NZ'!AP$428)</f>
        <v>42212.749513717943</v>
      </c>
      <c r="AG99" s="111">
        <f>AF$99*'Population Treasury'!AR$146*'Statistics NZ'!AR$428/('Population Treasury'!AQ$146*'Statistics NZ'!AQ$428)</f>
        <v>42058.04103539967</v>
      </c>
      <c r="AH99" s="111">
        <f>AG$99*'Population Treasury'!AS$146*'Statistics NZ'!AS$428/('Population Treasury'!AR$146*'Statistics NZ'!AR$428)</f>
        <v>41798.474106379756</v>
      </c>
      <c r="AI99" s="111">
        <f>AH$99*'Population Treasury'!AT$146*'Statistics NZ'!AT$428/('Population Treasury'!AS$146*'Statistics NZ'!AS$428)</f>
        <v>41456.147091844316</v>
      </c>
      <c r="AJ99" s="111">
        <f>AI$99*'Population Treasury'!AU$146*'Statistics NZ'!AU$428/('Population Treasury'!AT$146*'Statistics NZ'!AT$428)</f>
        <v>41382.312620565863</v>
      </c>
      <c r="AK99" s="111">
        <f>AJ$99*'Population Treasury'!AV$146*'Statistics NZ'!AV$428/('Population Treasury'!AU$146*'Statistics NZ'!AU$428)</f>
        <v>41100.675233466332</v>
      </c>
      <c r="AL99" s="111">
        <f>AK$99*'Population Treasury'!AW$146*'Statistics NZ'!AW$428/('Population Treasury'!AV$146*'Statistics NZ'!AV$428)</f>
        <v>40883.190969944699</v>
      </c>
      <c r="AM99" s="111">
        <f>AL$99*'Population Treasury'!AX$146*'Statistics NZ'!AX$428/('Population Treasury'!AW$146*'Statistics NZ'!AW$428)</f>
        <v>40206.082337004897</v>
      </c>
      <c r="AN99" s="111">
        <f>AM$99*'Population Treasury'!AY$146*'Statistics NZ'!AY$428/('Population Treasury'!AX$146*'Statistics NZ'!AX$428)</f>
        <v>40189.238818920712</v>
      </c>
      <c r="AO99" s="111">
        <f>AN$99*'Population Treasury'!AZ$146*'Statistics NZ'!AZ$428/('Population Treasury'!AY$146*'Statistics NZ'!AY$428)</f>
        <v>39582.800562683224</v>
      </c>
      <c r="AP99" s="111">
        <f>AO$99*'Population Treasury'!BA$146*'Statistics NZ'!BA$428/('Population Treasury'!AZ$146*'Statistics NZ'!AZ$428)</f>
        <v>39408.800836509901</v>
      </c>
      <c r="AQ99" s="111">
        <f>AP$99*'Population Treasury'!BB$146*'Statistics NZ'!BB$428/('Population Treasury'!BA$146*'Statistics NZ'!BA$428)</f>
        <v>39384.476481878643</v>
      </c>
      <c r="AR99" s="111">
        <f>AQ$99*'Population Treasury'!BC$146*'Statistics NZ'!BC$428/('Population Treasury'!BB$146*'Statistics NZ'!BB$428)</f>
        <v>39324.699309039235</v>
      </c>
      <c r="AS99" s="111">
        <f>AR$99*'Population Treasury'!BD$146*'Statistics NZ'!BD$428/('Population Treasury'!BC$146*'Statistics NZ'!BC$428)</f>
        <v>39241.149878267148</v>
      </c>
      <c r="AT99" s="111">
        <f>AS$99*'Population Treasury'!BE$146*'Statistics NZ'!BE$428/('Population Treasury'!BD$146*'Statistics NZ'!BD$428)</f>
        <v>39358.833494414524</v>
      </c>
      <c r="AU99" s="111">
        <f>AT$99*'Population Treasury'!BF$146*'Statistics NZ'!BF$428/('Population Treasury'!BE$146*'Statistics NZ'!BE$428)</f>
        <v>39453.385100422209</v>
      </c>
      <c r="AV99" s="111">
        <f>AU$99*'Population Treasury'!BG$146*'Statistics NZ'!BG$428/('Population Treasury'!BF$146*'Statistics NZ'!BF$428)</f>
        <v>39515.637525693688</v>
      </c>
      <c r="AW99" s="111">
        <f>AV$99*'Population Treasury'!BH$146*'Statistics NZ'!BH$428/('Population Treasury'!BG$146*'Statistics NZ'!BG$428)</f>
        <v>39555.316445314747</v>
      </c>
      <c r="AX99" s="111">
        <f>AW$99*'Population Treasury'!BI$146*'Statistics NZ'!BI$428/('Population Treasury'!BH$146*'Statistics NZ'!BH$428)</f>
        <v>39572.78701492949</v>
      </c>
      <c r="AY99" s="111">
        <f>AX$99*'Population Treasury'!BJ$146*'Statistics NZ'!BJ$428/('Population Treasury'!BI$146*'Statistics NZ'!BI$428)</f>
        <v>39608.924449569065</v>
      </c>
      <c r="AZ99" s="111">
        <f>AY$99*'Population Treasury'!BK$146*'Statistics NZ'!BK$428/('Population Treasury'!BJ$146*'Statistics NZ'!BJ$428)</f>
        <v>39634.420320882069</v>
      </c>
      <c r="BA99" s="111">
        <f>AZ$99*'Population Treasury'!BL$146*'Statistics NZ'!BL$428/('Population Treasury'!BK$146*'Statistics NZ'!BK$428)</f>
        <v>39679.79344217202</v>
      </c>
      <c r="BB99" s="195">
        <f>BA$99*'Population Treasury'!BM$146*'Statistics NZ'!BM$428/('Population Treasury'!BL$146*'Statistics NZ'!BL$428)</f>
        <v>39735.166066255973</v>
      </c>
      <c r="BC99" s="195">
        <f>BB$99*'Population Treasury'!BN$146*'Statistics NZ'!BN$428/('Population Treasury'!BM$146*'Statistics NZ'!BM$428)</f>
        <v>39802.829528151786</v>
      </c>
      <c r="BD99" s="195">
        <f>BC$99*'Population Treasury'!BO$146*'Statistics NZ'!BO$428/('Population Treasury'!BN$146*'Statistics NZ'!BN$428)</f>
        <v>39892.591971858616</v>
      </c>
      <c r="BE99" s="195">
        <f>BD$99*'Population Treasury'!BP$146*'Statistics NZ'!BP$428/('Population Treasury'!BO$146*'Statistics NZ'!BO$428)</f>
        <v>40003.825961758084</v>
      </c>
      <c r="BF99" s="195">
        <f>BE$99*'Population Treasury'!BQ$146*'Statistics NZ'!BQ$428/('Population Treasury'!BP$146*'Statistics NZ'!BP$428)</f>
        <v>40158.678745455865</v>
      </c>
    </row>
    <row r="100" spans="1:58">
      <c r="A100" s="124">
        <f>$A$32</f>
        <v>37</v>
      </c>
      <c r="B100" s="118">
        <f>'Population Treasury'!M$147*'Statistics NZ'!M$429*'Economic Forecasts'!O$8/B$7</f>
        <v>27140.860136835403</v>
      </c>
      <c r="C100" s="118">
        <f>'Population Treasury'!N$147*'Statistics NZ'!N$429*'Economic Forecasts'!P$8/C$7</f>
        <v>28841.009231397653</v>
      </c>
      <c r="D100" s="118">
        <f>'Population Treasury'!O$147*'Statistics NZ'!O$429*'Economic Forecasts'!Q$8/D$7</f>
        <v>29832.929500894599</v>
      </c>
      <c r="E100" s="203">
        <f>'Population Treasury'!P$147*'Statistics NZ'!P$429*'Economic Forecasts'!R$8/E$7</f>
        <v>31095.868926264342</v>
      </c>
      <c r="F100" s="121">
        <f>'Population Treasury'!Q$147*'Statistics NZ'!Q$429*'Economic Forecasts'!S$8/F$7</f>
        <v>31622.469985604093</v>
      </c>
      <c r="G100" s="121">
        <f>'Population Treasury'!R$147*'Statistics NZ'!R$429*'Economic Forecasts'!T$8/G$7</f>
        <v>32245.290758692779</v>
      </c>
      <c r="H100" s="121">
        <f>'Population Treasury'!S$147*'Statistics NZ'!S$429*'Economic Forecasts'!U$8/H$7</f>
        <v>33372.279677412</v>
      </c>
      <c r="I100" s="121">
        <f>'Population Treasury'!T$147*'Statistics NZ'!T$429*'Economic Forecasts'!V$8/I$7</f>
        <v>35323.175437550053</v>
      </c>
      <c r="J100" s="205">
        <f>'Population Treasury'!U$147*'Statistics NZ'!U$429*'Economic Forecasts'!W$8/J$7</f>
        <v>36870.576179031697</v>
      </c>
      <c r="K100" s="111">
        <f>J$100*'Population Treasury'!V$147*'Statistics NZ'!V$429/('Population Treasury'!U$147*'Statistics NZ'!U$429)</f>
        <v>38056.527846689285</v>
      </c>
      <c r="L100" s="111">
        <f>K$100*'Population Treasury'!W$147*'Statistics NZ'!W$429/('Population Treasury'!V$147*'Statistics NZ'!V$429)</f>
        <v>40105.55436964002</v>
      </c>
      <c r="M100" s="111">
        <f>L$100*'Population Treasury'!X$147*'Statistics NZ'!X$429/('Population Treasury'!W$147*'Statistics NZ'!W$429)</f>
        <v>41047.174135827205</v>
      </c>
      <c r="N100" s="111">
        <f>M$100*'Population Treasury'!Y$147*'Statistics NZ'!Y$429/('Population Treasury'!X$147*'Statistics NZ'!X$429)</f>
        <v>41309.451542034119</v>
      </c>
      <c r="O100" s="111">
        <f>N$100*'Population Treasury'!Z$147*'Statistics NZ'!Z$429/('Population Treasury'!Y$147*'Statistics NZ'!Y$429)</f>
        <v>41044.958914875861</v>
      </c>
      <c r="P100" s="111">
        <f>O$100*'Population Treasury'!AA$147*'Statistics NZ'!AA$429/('Population Treasury'!Z$147*'Statistics NZ'!Z$429)</f>
        <v>39915.918747215437</v>
      </c>
      <c r="Q100" s="111">
        <f>P$100*'Population Treasury'!AB$147*'Statistics NZ'!AB$429/('Population Treasury'!AA$147*'Statistics NZ'!AA$429)</f>
        <v>39892.433097415844</v>
      </c>
      <c r="R100" s="111">
        <f>Q$100*'Population Treasury'!AC$147*'Statistics NZ'!AC$429/('Population Treasury'!AB$147*'Statistics NZ'!AB$429)</f>
        <v>39725.932853953695</v>
      </c>
      <c r="S100" s="111">
        <f>R$100*'Population Treasury'!AD$147*'Statistics NZ'!AD$429/('Population Treasury'!AC$147*'Statistics NZ'!AC$429)</f>
        <v>38478.206514501529</v>
      </c>
      <c r="T100" s="111">
        <f>S$100*'Population Treasury'!AE$147*'Statistics NZ'!AE$429/('Population Treasury'!AD$147*'Statistics NZ'!AD$429)</f>
        <v>38371.678874364159</v>
      </c>
      <c r="U100" s="111">
        <f>T$100*'Population Treasury'!AF$147*'Statistics NZ'!AF$429/('Population Treasury'!AE$147*'Statistics NZ'!AE$429)</f>
        <v>37509.080542158321</v>
      </c>
      <c r="V100" s="111">
        <f>U$100*'Population Treasury'!AG$147*'Statistics NZ'!AG$429/('Population Treasury'!AF$147*'Statistics NZ'!AF$429)</f>
        <v>38228.737297750777</v>
      </c>
      <c r="W100" s="111">
        <f>V$100*'Population Treasury'!AH$147*'Statistics NZ'!AH$429/('Population Treasury'!AG$147*'Statistics NZ'!AG$429)</f>
        <v>37795.710776643522</v>
      </c>
      <c r="X100" s="111">
        <f>W$100*'Population Treasury'!AI$147*'Statistics NZ'!AI$429/('Population Treasury'!AH$147*'Statistics NZ'!AH$429)</f>
        <v>36512.671715563069</v>
      </c>
      <c r="Y100" s="111">
        <f>X$100*'Population Treasury'!AJ$147*'Statistics NZ'!AJ$429/('Population Treasury'!AI$147*'Statistics NZ'!AI$429)</f>
        <v>37060.963602908872</v>
      </c>
      <c r="Z100" s="111">
        <f>Y$100*'Population Treasury'!AK$147*'Statistics NZ'!AK$429/('Population Treasury'!AJ$147*'Statistics NZ'!AJ$429)</f>
        <v>37324.750045642562</v>
      </c>
      <c r="AA100" s="111">
        <f>Z$100*'Population Treasury'!AL$147*'Statistics NZ'!AL$429/('Population Treasury'!AK$147*'Statistics NZ'!AK$429)</f>
        <v>37733.469352082015</v>
      </c>
      <c r="AB100" s="111">
        <f>AA$100*'Population Treasury'!AM$147*'Statistics NZ'!AM$429/('Population Treasury'!AL$147*'Statistics NZ'!AL$429)</f>
        <v>38731.073834331146</v>
      </c>
      <c r="AC100" s="111">
        <f>AB$100*'Population Treasury'!AN$147*'Statistics NZ'!AN$429/('Population Treasury'!AM$147*'Statistics NZ'!AM$429)</f>
        <v>40661.554432970697</v>
      </c>
      <c r="AD100" s="111">
        <f>AC$100*'Population Treasury'!AO$147*'Statistics NZ'!AO$429/('Population Treasury'!AN$147*'Statistics NZ'!AN$429)</f>
        <v>41713.78999716969</v>
      </c>
      <c r="AE100" s="111">
        <f>AD$100*'Population Treasury'!AP$147*'Statistics NZ'!AP$429/('Population Treasury'!AO$147*'Statistics NZ'!AO$429)</f>
        <v>42293.671533732231</v>
      </c>
      <c r="AF100" s="111">
        <f>AE$100*'Population Treasury'!AQ$147*'Statistics NZ'!AQ$429/('Population Treasury'!AP$147*'Statistics NZ'!AP$429)</f>
        <v>42763.328980330582</v>
      </c>
      <c r="AG100" s="111">
        <f>AF$100*'Population Treasury'!AR$147*'Statistics NZ'!AR$429/('Population Treasury'!AQ$147*'Statistics NZ'!AQ$429)</f>
        <v>42491.454565443964</v>
      </c>
      <c r="AH100" s="111">
        <f>AG$100*'Population Treasury'!AS$147*'Statistics NZ'!AS$429/('Population Treasury'!AR$147*'Statistics NZ'!AR$429)</f>
        <v>42348.508259070841</v>
      </c>
      <c r="AI100" s="111">
        <f>AH$100*'Population Treasury'!AT$147*'Statistics NZ'!AT$429/('Population Treasury'!AS$147*'Statistics NZ'!AS$429)</f>
        <v>42089.04316992253</v>
      </c>
      <c r="AJ100" s="111">
        <f>AI$100*'Population Treasury'!AU$147*'Statistics NZ'!AU$429/('Population Treasury'!AT$147*'Statistics NZ'!AT$429)</f>
        <v>41735.213606238518</v>
      </c>
      <c r="AK100" s="111">
        <f>AJ$100*'Population Treasury'!AV$147*'Statistics NZ'!AV$429/('Population Treasury'!AU$147*'Statistics NZ'!AU$429)</f>
        <v>41673.159851873585</v>
      </c>
      <c r="AL100" s="111">
        <f>AK$100*'Population Treasury'!AW$147*'Statistics NZ'!AW$429/('Population Treasury'!AV$147*'Statistics NZ'!AV$429)</f>
        <v>41391.503148170385</v>
      </c>
      <c r="AM100" s="111">
        <f>AL$100*'Population Treasury'!AX$147*'Statistics NZ'!AX$429/('Population Treasury'!AW$147*'Statistics NZ'!AW$429)</f>
        <v>41161.98466974168</v>
      </c>
      <c r="AN100" s="111">
        <f>AM$100*'Population Treasury'!AY$147*'Statistics NZ'!AY$429/('Population Treasury'!AX$147*'Statistics NZ'!AX$429)</f>
        <v>40484.31018640098</v>
      </c>
      <c r="AO100" s="111">
        <f>AN$100*'Population Treasury'!AZ$147*'Statistics NZ'!AZ$429/('Population Treasury'!AY$147*'Statistics NZ'!AY$429)</f>
        <v>40478.270601572396</v>
      </c>
      <c r="AP100" s="111">
        <f>AO$100*'Population Treasury'!BA$147*'Statistics NZ'!BA$429/('Population Treasury'!AZ$147*'Statistics NZ'!AZ$429)</f>
        <v>39850.293625099672</v>
      </c>
      <c r="AQ100" s="111">
        <f>AP$100*'Population Treasury'!BB$147*'Statistics NZ'!BB$429/('Population Treasury'!BA$147*'Statistics NZ'!BA$429)</f>
        <v>39686.147379825314</v>
      </c>
      <c r="AR100" s="111">
        <f>AQ$100*'Population Treasury'!BC$147*'Statistics NZ'!BC$429/('Population Treasury'!BB$147*'Statistics NZ'!BB$429)</f>
        <v>39661.737317018451</v>
      </c>
      <c r="AS100" s="111">
        <f>AR$100*'Population Treasury'!BD$147*'Statistics NZ'!BD$429/('Population Treasury'!BC$147*'Statistics NZ'!BC$429)</f>
        <v>39602.485166809718</v>
      </c>
      <c r="AT100" s="111">
        <f>AS$100*'Population Treasury'!BE$147*'Statistics NZ'!BE$429/('Population Treasury'!BD$147*'Statistics NZ'!BD$429)</f>
        <v>39518.848232907156</v>
      </c>
      <c r="AU100" s="111">
        <f>AT$100*'Population Treasury'!BF$147*'Statistics NZ'!BF$429/('Population Treasury'!BE$147*'Statistics NZ'!BE$429)</f>
        <v>39646.413204683355</v>
      </c>
      <c r="AV100" s="111">
        <f>AU$100*'Population Treasury'!BG$147*'Statistics NZ'!BG$429/('Population Treasury'!BF$147*'Statistics NZ'!BF$429)</f>
        <v>39731.218318239997</v>
      </c>
      <c r="AW100" s="111">
        <f>AV$100*'Population Treasury'!BH$147*'Statistics NZ'!BH$429/('Population Treasury'!BG$147*'Statistics NZ'!BG$429)</f>
        <v>39783.027154081188</v>
      </c>
      <c r="AX100" s="111">
        <f>AW$100*'Population Treasury'!BI$147*'Statistics NZ'!BI$429/('Population Treasury'!BH$147*'Statistics NZ'!BH$429)</f>
        <v>39833.316503385315</v>
      </c>
      <c r="AY100" s="111">
        <f>AX$100*'Population Treasury'!BJ$147*'Statistics NZ'!BJ$429/('Population Treasury'!BI$147*'Statistics NZ'!BI$429)</f>
        <v>39870.60511980782</v>
      </c>
      <c r="AZ100" s="111">
        <f>AY$100*'Population Treasury'!BK$147*'Statistics NZ'!BK$429/('Population Treasury'!BJ$147*'Statistics NZ'!BJ$429)</f>
        <v>39896.860375865006</v>
      </c>
      <c r="BA100" s="111">
        <f>AZ$100*'Population Treasury'!BL$147*'Statistics NZ'!BL$429/('Population Treasury'!BK$147*'Statistics NZ'!BK$429)</f>
        <v>39932.60015072157</v>
      </c>
      <c r="BB100" s="195">
        <f>BA$100*'Population Treasury'!BM$147*'Statistics NZ'!BM$429/('Population Treasury'!BL$147*'Statistics NZ'!BL$429)</f>
        <v>39967.96627174288</v>
      </c>
      <c r="BC100" s="195">
        <f>BB$100*'Population Treasury'!BN$147*'Statistics NZ'!BN$429/('Population Treasury'!BM$147*'Statistics NZ'!BM$429)</f>
        <v>40013.681483154207</v>
      </c>
      <c r="BD100" s="195">
        <f>BC$100*'Population Treasury'!BO$147*'Statistics NZ'!BO$429/('Population Treasury'!BN$147*'Statistics NZ'!BN$429)</f>
        <v>40081.448698147484</v>
      </c>
      <c r="BE100" s="195">
        <f>BD$100*'Population Treasury'!BP$147*'Statistics NZ'!BP$429/('Population Treasury'!BO$147*'Statistics NZ'!BO$429)</f>
        <v>40181.079313816859</v>
      </c>
      <c r="BF100" s="195">
        <f>BE$100*'Population Treasury'!BQ$147*'Statistics NZ'!BQ$429/('Population Treasury'!BP$147*'Statistics NZ'!BP$429)</f>
        <v>40292.376394742154</v>
      </c>
    </row>
    <row r="101" spans="1:58">
      <c r="A101" s="124">
        <f>$A$33</f>
        <v>38</v>
      </c>
      <c r="B101" s="118">
        <f>'Population Treasury'!M$148*'Statistics NZ'!M$430*'Economic Forecasts'!O$8/B$7</f>
        <v>26652.219617738989</v>
      </c>
      <c r="C101" s="118">
        <f>'Population Treasury'!N$148*'Statistics NZ'!N$430*'Economic Forecasts'!P$8/C$7</f>
        <v>28299.387247522904</v>
      </c>
      <c r="D101" s="118">
        <f>'Population Treasury'!O$148*'Statistics NZ'!O$430*'Economic Forecasts'!Q$8/D$7</f>
        <v>29151.938608897766</v>
      </c>
      <c r="E101" s="203">
        <f>'Population Treasury'!P$148*'Statistics NZ'!P$430*'Economic Forecasts'!R$8/E$7</f>
        <v>30362.476151467883</v>
      </c>
      <c r="F101" s="121">
        <f>'Population Treasury'!Q$148*'Statistics NZ'!Q$430*'Economic Forecasts'!S$8/F$7</f>
        <v>31300.814021898663</v>
      </c>
      <c r="G101" s="121">
        <f>'Population Treasury'!R$148*'Statistics NZ'!R$430*'Economic Forecasts'!T$8/G$7</f>
        <v>32070.615596526819</v>
      </c>
      <c r="H101" s="121">
        <f>'Population Treasury'!S$148*'Statistics NZ'!S$430*'Economic Forecasts'!U$8/H$7</f>
        <v>32677.776528244827</v>
      </c>
      <c r="I101" s="121">
        <f>'Population Treasury'!T$148*'Statistics NZ'!T$430*'Economic Forecasts'!V$8/I$7</f>
        <v>33844.699145769671</v>
      </c>
      <c r="J101" s="205">
        <f>'Population Treasury'!U$148*'Statistics NZ'!U$430*'Economic Forecasts'!W$8/J$7</f>
        <v>35808.262569913386</v>
      </c>
      <c r="K101" s="111">
        <f>J$101*'Population Treasury'!V$148*'Statistics NZ'!V$430/('Population Treasury'!U$148*'Statistics NZ'!U$430)</f>
        <v>37313.93125098633</v>
      </c>
      <c r="L101" s="111">
        <f>K$101*'Population Treasury'!W$148*'Statistics NZ'!W$430/('Population Treasury'!V$148*'Statistics NZ'!V$430)</f>
        <v>38477.739754711605</v>
      </c>
      <c r="M101" s="111">
        <f>L$101*'Population Treasury'!X$148*'Statistics NZ'!X$430/('Population Treasury'!W$148*'Statistics NZ'!W$430)</f>
        <v>40505.173386533097</v>
      </c>
      <c r="N101" s="111">
        <f>M$101*'Population Treasury'!Y$148*'Statistics NZ'!Y$430/('Population Treasury'!X$148*'Statistics NZ'!X$430)</f>
        <v>41414.904734468</v>
      </c>
      <c r="O101" s="111">
        <f>N$101*'Population Treasury'!Z$148*'Statistics NZ'!Z$430/('Population Treasury'!Y$148*'Statistics NZ'!Y$430)</f>
        <v>41675.746101901954</v>
      </c>
      <c r="P101" s="111">
        <f>O$101*'Population Treasury'!AA$148*'Statistics NZ'!AA$430/('Population Treasury'!Z$148*'Statistics NZ'!Z$430)</f>
        <v>41369.185011556241</v>
      </c>
      <c r="Q101" s="111">
        <f>P$101*'Population Treasury'!AB$148*'Statistics NZ'!AB$430/('Population Treasury'!AA$148*'Statistics NZ'!AA$430)</f>
        <v>40218.249970533674</v>
      </c>
      <c r="R101" s="111">
        <f>Q$101*'Population Treasury'!AC$148*'Statistics NZ'!AC$430/('Population Treasury'!AB$148*'Statistics NZ'!AB$430)</f>
        <v>40172.954320797879</v>
      </c>
      <c r="S101" s="111">
        <f>R$101*'Population Treasury'!AD$148*'Statistics NZ'!AD$430/('Population Treasury'!AC$148*'Statistics NZ'!AC$430)</f>
        <v>39994.554465122623</v>
      </c>
      <c r="T101" s="111">
        <f>S$101*'Population Treasury'!AE$148*'Statistics NZ'!AE$430/('Population Treasury'!AD$148*'Statistics NZ'!AD$430)</f>
        <v>38747.095718708319</v>
      </c>
      <c r="U101" s="111">
        <f>T$101*'Population Treasury'!AF$148*'Statistics NZ'!AF$430/('Population Treasury'!AE$148*'Statistics NZ'!AE$430)</f>
        <v>38641.272877549411</v>
      </c>
      <c r="V101" s="111">
        <f>U$101*'Population Treasury'!AG$148*'Statistics NZ'!AG$430/('Population Treasury'!AF$148*'Statistics NZ'!AF$430)</f>
        <v>37769.189273553347</v>
      </c>
      <c r="W101" s="111">
        <f>V$101*'Population Treasury'!AH$148*'Statistics NZ'!AH$430/('Population Treasury'!AG$148*'Statistics NZ'!AG$430)</f>
        <v>38489.113181704808</v>
      </c>
      <c r="X101" s="111">
        <f>W$101*'Population Treasury'!AI$148*'Statistics NZ'!AI$430/('Population Treasury'!AH$148*'Statistics NZ'!AH$430)</f>
        <v>38056.550411431701</v>
      </c>
      <c r="Y101" s="111">
        <f>X$101*'Population Treasury'!AJ$148*'Statistics NZ'!AJ$430/('Population Treasury'!AI$148*'Statistics NZ'!AI$430)</f>
        <v>36773.753929895873</v>
      </c>
      <c r="Z101" s="111">
        <f>Y$101*'Population Treasury'!AK$148*'Statistics NZ'!AK$430/('Population Treasury'!AJ$148*'Statistics NZ'!AJ$430)</f>
        <v>37332.072952080409</v>
      </c>
      <c r="AA101" s="111">
        <f>Z$101*'Population Treasury'!AL$148*'Statistics NZ'!AL$430/('Population Treasury'!AK$148*'Statistics NZ'!AK$430)</f>
        <v>37595.799425772231</v>
      </c>
      <c r="AB101" s="111">
        <f>AA$101*'Population Treasury'!AM$148*'Statistics NZ'!AM$430/('Population Treasury'!AL$148*'Statistics NZ'!AL$430)</f>
        <v>38004.819589097191</v>
      </c>
      <c r="AC101" s="111">
        <f>AB$101*'Population Treasury'!AN$148*'Statistics NZ'!AN$430/('Population Treasury'!AM$148*'Statistics NZ'!AM$430)</f>
        <v>39002.608564807284</v>
      </c>
      <c r="AD101" s="111">
        <f>AC$101*'Population Treasury'!AO$148*'Statistics NZ'!AO$430/('Population Treasury'!AN$148*'Statistics NZ'!AN$430)</f>
        <v>40933.137429084585</v>
      </c>
      <c r="AE101" s="111">
        <f>AD$101*'Population Treasury'!AP$148*'Statistics NZ'!AP$430/('Population Treasury'!AO$148*'Statistics NZ'!AO$430)</f>
        <v>41985.269485053243</v>
      </c>
      <c r="AF101" s="111">
        <f>AE$101*'Population Treasury'!AQ$148*'Statistics NZ'!AQ$430/('Population Treasury'!AP$148*'Statistics NZ'!AP$430)</f>
        <v>42555.512335381354</v>
      </c>
      <c r="AG101" s="111">
        <f>AF$101*'Population Treasury'!AR$148*'Statistics NZ'!AR$430/('Population Treasury'!AQ$148*'Statistics NZ'!AQ$430)</f>
        <v>43035.034890556075</v>
      </c>
      <c r="AH101" s="111">
        <f>AG$101*'Population Treasury'!AS$148*'Statistics NZ'!AS$430/('Population Treasury'!AR$148*'Statistics NZ'!AR$430)</f>
        <v>42753.574365470864</v>
      </c>
      <c r="AI101" s="111">
        <f>AH$101*'Population Treasury'!AT$148*'Statistics NZ'!AT$430/('Population Treasury'!AS$148*'Statistics NZ'!AS$430)</f>
        <v>42610.779679287611</v>
      </c>
      <c r="AJ101" s="111">
        <f>AI$101*'Population Treasury'!AU$148*'Statistics NZ'!AU$430/('Population Treasury'!AT$148*'Statistics NZ'!AT$430)</f>
        <v>42340.36152717458</v>
      </c>
      <c r="AK101" s="111">
        <f>AJ$101*'Population Treasury'!AV$148*'Statistics NZ'!AV$430/('Population Treasury'!AU$148*'Statistics NZ'!AU$430)</f>
        <v>42009.521375287775</v>
      </c>
      <c r="AL101" s="111">
        <f>AK$101*'Population Treasury'!AW$148*'Statistics NZ'!AW$430/('Population Treasury'!AV$148*'Statistics NZ'!AV$430)</f>
        <v>41945.427193622076</v>
      </c>
      <c r="AM101" s="111">
        <f>AL$101*'Population Treasury'!AX$148*'Statistics NZ'!AX$430/('Population Treasury'!AW$148*'Statistics NZ'!AW$430)</f>
        <v>41652.650260239352</v>
      </c>
      <c r="AN101" s="111">
        <f>AM$101*'Population Treasury'!AY$148*'Statistics NZ'!AY$430/('Population Treasury'!AX$148*'Statistics NZ'!AX$430)</f>
        <v>41434.63397410485</v>
      </c>
      <c r="AO101" s="111">
        <f>AN$101*'Population Treasury'!AZ$148*'Statistics NZ'!AZ$430/('Population Treasury'!AY$148*'Statistics NZ'!AY$430)</f>
        <v>40756.394360764447</v>
      </c>
      <c r="AP101" s="111">
        <f>AO$101*'Population Treasury'!BA$148*'Statistics NZ'!BA$430/('Population Treasury'!AZ$148*'Statistics NZ'!AZ$430)</f>
        <v>40739.092255511219</v>
      </c>
      <c r="AQ101" s="111">
        <f>AP$101*'Population Treasury'!BB$148*'Statistics NZ'!BB$430/('Population Treasury'!BA$148*'Statistics NZ'!BA$430)</f>
        <v>40131.853436271049</v>
      </c>
      <c r="AR101" s="111">
        <f>AQ$101*'Population Treasury'!BC$148*'Statistics NZ'!BC$430/('Population Treasury'!BB$148*'Statistics NZ'!BB$430)</f>
        <v>39957.348474687366</v>
      </c>
      <c r="AS101" s="111">
        <f>AR$101*'Population Treasury'!BD$148*'Statistics NZ'!BD$430/('Population Treasury'!BC$148*'Statistics NZ'!BC$430)</f>
        <v>39932.851401530876</v>
      </c>
      <c r="AT101" s="111">
        <f>AS$101*'Population Treasury'!BE$148*'Statistics NZ'!BE$430/('Population Treasury'!BD$148*'Statistics NZ'!BD$430)</f>
        <v>39872.90196423509</v>
      </c>
      <c r="AU101" s="111">
        <f>AT$101*'Population Treasury'!BF$148*'Statistics NZ'!BF$430/('Population Treasury'!BE$148*'Statistics NZ'!BE$430)</f>
        <v>39799.64588173895</v>
      </c>
      <c r="AV101" s="111">
        <f>AU$101*'Population Treasury'!BG$148*'Statistics NZ'!BG$430/('Population Treasury'!BF$148*'Statistics NZ'!BF$430)</f>
        <v>39906.952805245419</v>
      </c>
      <c r="AW101" s="111">
        <f>AV$101*'Population Treasury'!BH$148*'Statistics NZ'!BH$430/('Population Treasury'!BG$148*'Statistics NZ'!BG$430)</f>
        <v>39991.761217066778</v>
      </c>
      <c r="AX101" s="111">
        <f>AW$101*'Population Treasury'!BI$148*'Statistics NZ'!BI$430/('Population Treasury'!BH$148*'Statistics NZ'!BH$430)</f>
        <v>40054.134779674569</v>
      </c>
      <c r="AY101" s="111">
        <f>AX$101*'Population Treasury'!BJ$148*'Statistics NZ'!BJ$430/('Population Treasury'!BI$148*'Statistics NZ'!BI$430)</f>
        <v>40103.688350513941</v>
      </c>
      <c r="AZ101" s="111">
        <f>AY$101*'Population Treasury'!BK$148*'Statistics NZ'!BK$430/('Population Treasury'!BJ$148*'Statistics NZ'!BJ$430)</f>
        <v>40141.925239691838</v>
      </c>
      <c r="BA101" s="111">
        <f>AZ$101*'Population Treasury'!BL$148*'Statistics NZ'!BL$430/('Population Treasury'!BK$148*'Statistics NZ'!BK$430)</f>
        <v>40168.265747401863</v>
      </c>
      <c r="BB101" s="195">
        <f>BA$101*'Population Treasury'!BM$148*'Statistics NZ'!BM$430/('Population Treasury'!BL$148*'Statistics NZ'!BL$430)</f>
        <v>40193.310521276631</v>
      </c>
      <c r="BC101" s="195">
        <f>BB$101*'Population Treasury'!BN$148*'Statistics NZ'!BN$430/('Population Treasury'!BM$148*'Statistics NZ'!BM$430)</f>
        <v>40228.69520404956</v>
      </c>
      <c r="BD101" s="195">
        <f>BC$101*'Population Treasury'!BO$148*'Statistics NZ'!BO$430/('Population Treasury'!BN$148*'Statistics NZ'!BN$430)</f>
        <v>40285.411930460934</v>
      </c>
      <c r="BE101" s="195">
        <f>BD$101*'Population Treasury'!BP$148*'Statistics NZ'!BP$430/('Population Treasury'!BO$148*'Statistics NZ'!BO$430)</f>
        <v>40351.991952350465</v>
      </c>
      <c r="BF101" s="195">
        <f>BE$101*'Population Treasury'!BQ$148*'Statistics NZ'!BQ$430/('Population Treasury'!BP$148*'Statistics NZ'!BP$430)</f>
        <v>40441.899839174155</v>
      </c>
    </row>
    <row r="102" spans="1:58">
      <c r="A102" s="124">
        <f>$A$34</f>
        <v>39</v>
      </c>
      <c r="B102" s="118">
        <f>'Population Treasury'!M$149*'Statistics NZ'!M$431*'Economic Forecasts'!O$8/B$7</f>
        <v>25914.777817961913</v>
      </c>
      <c r="C102" s="118">
        <f>'Population Treasury'!N$149*'Statistics NZ'!N$431*'Economic Forecasts'!P$8/C$7</f>
        <v>27765.096329994263</v>
      </c>
      <c r="D102" s="118">
        <f>'Population Treasury'!O$149*'Statistics NZ'!O$431*'Economic Forecasts'!Q$8/D$7</f>
        <v>28696.551879748386</v>
      </c>
      <c r="E102" s="203">
        <f>'Population Treasury'!P$149*'Statistics NZ'!P$431*'Economic Forecasts'!R$8/E$7</f>
        <v>29740.472726410684</v>
      </c>
      <c r="F102" s="121">
        <f>'Population Treasury'!Q$149*'Statistics NZ'!Q$431*'Economic Forecasts'!S$8/F$7</f>
        <v>30553.558672306488</v>
      </c>
      <c r="G102" s="121">
        <f>'Population Treasury'!R$149*'Statistics NZ'!R$431*'Economic Forecasts'!T$8/G$7</f>
        <v>31735.958227899206</v>
      </c>
      <c r="H102" s="121">
        <f>'Population Treasury'!S$149*'Statistics NZ'!S$431*'Economic Forecasts'!U$8/H$7</f>
        <v>32493.028750938272</v>
      </c>
      <c r="I102" s="121">
        <f>'Population Treasury'!T$149*'Statistics NZ'!T$431*'Economic Forecasts'!V$8/I$7</f>
        <v>33109.08337296536</v>
      </c>
      <c r="J102" s="205">
        <f>'Population Treasury'!U$149*'Statistics NZ'!U$431*'Economic Forecasts'!W$8/J$7</f>
        <v>34283.934281072266</v>
      </c>
      <c r="K102" s="111">
        <f>J$102*'Population Treasury'!V$149*'Statistics NZ'!V$431/('Population Treasury'!U$149*'Statistics NZ'!U$431)</f>
        <v>36217.547647390158</v>
      </c>
      <c r="L102" s="111">
        <f>K$102*'Population Treasury'!W$149*'Statistics NZ'!W$431/('Population Treasury'!V$149*'Statistics NZ'!V$431)</f>
        <v>37711.34926394996</v>
      </c>
      <c r="M102" s="111">
        <f>L$102*'Population Treasury'!X$149*'Statistics NZ'!X$431/('Population Treasury'!W$149*'Statistics NZ'!W$431)</f>
        <v>38843.269529855439</v>
      </c>
      <c r="N102" s="111">
        <f>M$102*'Population Treasury'!Y$149*'Statistics NZ'!Y$431/('Population Treasury'!X$149*'Statistics NZ'!X$431)</f>
        <v>40838.247242734389</v>
      </c>
      <c r="O102" s="111">
        <f>N$102*'Population Treasury'!Z$149*'Statistics NZ'!Z$431/('Population Treasury'!Y$149*'Statistics NZ'!Y$431)</f>
        <v>41736.505210377312</v>
      </c>
      <c r="P102" s="111">
        <f>O$102*'Population Treasury'!AA$149*'Statistics NZ'!AA$431/('Population Treasury'!Z$149*'Statistics NZ'!Z$431)</f>
        <v>41965.36516470449</v>
      </c>
      <c r="Q102" s="111">
        <f>P$102*'Population Treasury'!AB$149*'Statistics NZ'!AB$431/('Population Treasury'!AA$149*'Statistics NZ'!AA$431)</f>
        <v>41656.259463895374</v>
      </c>
      <c r="R102" s="111">
        <f>Q$102*'Population Treasury'!AC$149*'Statistics NZ'!AC$431/('Population Treasury'!AB$149*'Statistics NZ'!AB$431)</f>
        <v>40473.915382104438</v>
      </c>
      <c r="S102" s="111">
        <f>R$102*'Population Treasury'!AD$149*'Statistics NZ'!AD$431/('Population Treasury'!AC$149*'Statistics NZ'!AC$431)</f>
        <v>40426.355984724447</v>
      </c>
      <c r="T102" s="111">
        <f>S$102*'Population Treasury'!AE$149*'Statistics NZ'!AE$431/('Population Treasury'!AD$149*'Statistics NZ'!AD$431)</f>
        <v>40238.62760876587</v>
      </c>
      <c r="U102" s="111">
        <f>T$102*'Population Treasury'!AF$149*'Statistics NZ'!AF$431/('Population Treasury'!AE$149*'Statistics NZ'!AE$431)</f>
        <v>38981.27908263827</v>
      </c>
      <c r="V102" s="111">
        <f>U$102*'Population Treasury'!AG$149*'Statistics NZ'!AG$431/('Population Treasury'!AF$149*'Statistics NZ'!AF$431)</f>
        <v>38866.107036616973</v>
      </c>
      <c r="W102" s="111">
        <f>V$102*'Population Treasury'!AH$149*'Statistics NZ'!AH$431/('Population Treasury'!AG$149*'Statistics NZ'!AG$431)</f>
        <v>38013.73077903151</v>
      </c>
      <c r="X102" s="111">
        <f>W$102*'Population Treasury'!AI$149*'Statistics NZ'!AI$431/('Population Treasury'!AH$149*'Statistics NZ'!AH$431)</f>
        <v>38734.823210002607</v>
      </c>
      <c r="Y102" s="111">
        <f>X$102*'Population Treasury'!AJ$149*'Statistics NZ'!AJ$431/('Population Treasury'!AI$149*'Statistics NZ'!AI$431)</f>
        <v>38302.429155469683</v>
      </c>
      <c r="Z102" s="111">
        <f>Y$102*'Population Treasury'!AK$149*'Statistics NZ'!AK$431/('Population Treasury'!AJ$149*'Statistics NZ'!AJ$431)</f>
        <v>37019.87117482903</v>
      </c>
      <c r="AA102" s="111">
        <f>Z$102*'Population Treasury'!AL$149*'Statistics NZ'!AL$431/('Population Treasury'!AK$149*'Statistics NZ'!AK$431)</f>
        <v>37568.707638978194</v>
      </c>
      <c r="AB102" s="111">
        <f>AA$102*'Population Treasury'!AM$149*'Statistics NZ'!AM$431/('Population Treasury'!AL$149*'Statistics NZ'!AL$431)</f>
        <v>37821.187593818722</v>
      </c>
      <c r="AC102" s="111">
        <f>AB$102*'Population Treasury'!AN$149*'Statistics NZ'!AN$431/('Population Treasury'!AM$149*'Statistics NZ'!AM$431)</f>
        <v>38230.310457893313</v>
      </c>
      <c r="AD102" s="111">
        <f>AC$102*'Population Treasury'!AO$149*'Statistics NZ'!AO$431/('Population Treasury'!AN$149*'Statistics NZ'!AN$431)</f>
        <v>39239.636894670999</v>
      </c>
      <c r="AE102" s="111">
        <f>AD$102*'Population Treasury'!AP$149*'Statistics NZ'!AP$431/('Population Treasury'!AO$149*'Statistics NZ'!AO$431)</f>
        <v>41181.049100760989</v>
      </c>
      <c r="AF102" s="111">
        <f>AE$102*'Population Treasury'!AQ$149*'Statistics NZ'!AQ$431/('Population Treasury'!AP$149*'Statistics NZ'!AP$431)</f>
        <v>42222.23207612546</v>
      </c>
      <c r="AG102" s="111">
        <f>AF$102*'Population Treasury'!AR$149*'Statistics NZ'!AR$431/('Population Treasury'!AQ$149*'Statistics NZ'!AQ$431)</f>
        <v>42781.126492554475</v>
      </c>
      <c r="AH102" s="111">
        <f>AG$102*'Population Treasury'!AS$149*'Statistics NZ'!AS$431/('Population Treasury'!AR$149*'Statistics NZ'!AR$431)</f>
        <v>43272.206319051533</v>
      </c>
      <c r="AI102" s="111">
        <f>AH$102*'Population Treasury'!AT$149*'Statistics NZ'!AT$431/('Population Treasury'!AS$149*'Statistics NZ'!AS$431)</f>
        <v>43000.674117171024</v>
      </c>
      <c r="AJ102" s="111">
        <f>AI$102*'Population Treasury'!AU$149*'Statistics NZ'!AU$431/('Population Treasury'!AT$149*'Statistics NZ'!AT$431)</f>
        <v>42858.026030053421</v>
      </c>
      <c r="AK102" s="111">
        <f>AJ$102*'Population Treasury'!AV$149*'Statistics NZ'!AV$431/('Population Treasury'!AU$149*'Statistics NZ'!AU$431)</f>
        <v>42575.879677533667</v>
      </c>
      <c r="AL102" s="111">
        <f>AK$102*'Population Treasury'!AW$149*'Statistics NZ'!AW$431/('Population Treasury'!AV$149*'Statistics NZ'!AV$431)</f>
        <v>42245.124588974948</v>
      </c>
      <c r="AM102" s="111">
        <f>AL$102*'Population Treasury'!AX$149*'Statistics NZ'!AX$431/('Population Treasury'!AW$149*'Statistics NZ'!AW$431)</f>
        <v>42183.137088155214</v>
      </c>
      <c r="AN102" s="111">
        <f>AM$102*'Population Treasury'!AY$149*'Statistics NZ'!AY$431/('Population Treasury'!AX$149*'Statistics NZ'!AX$431)</f>
        <v>41888.225264766901</v>
      </c>
      <c r="AO102" s="111">
        <f>AN$102*'Population Treasury'!AZ$149*'Statistics NZ'!AZ$431/('Population Treasury'!AY$149*'Statistics NZ'!AY$431)</f>
        <v>41670.165035741142</v>
      </c>
      <c r="AP102" s="111">
        <f>AO$102*'Population Treasury'!BA$149*'Statistics NZ'!BA$431/('Population Treasury'!AZ$149*'Statistics NZ'!AZ$431)</f>
        <v>40991.776950055639</v>
      </c>
      <c r="AQ102" s="111">
        <f>AP$102*'Population Treasury'!BB$149*'Statistics NZ'!BB$431/('Population Treasury'!BA$149*'Statistics NZ'!BA$431)</f>
        <v>40974.426750074912</v>
      </c>
      <c r="AR102" s="111">
        <f>AQ$102*'Population Treasury'!BC$149*'Statistics NZ'!BC$431/('Population Treasury'!BB$149*'Statistics NZ'!BB$431)</f>
        <v>40367.117777336673</v>
      </c>
      <c r="AS102" s="111">
        <f>AR$102*'Population Treasury'!BD$149*'Statistics NZ'!BD$431/('Population Treasury'!BC$149*'Statistics NZ'!BC$431)</f>
        <v>40192.525338260566</v>
      </c>
      <c r="AT102" s="111">
        <f>AS$102*'Population Treasury'!BE$149*'Statistics NZ'!BE$431/('Population Treasury'!BD$149*'Statistics NZ'!BD$431)</f>
        <v>40168.02298239294</v>
      </c>
      <c r="AU102" s="111">
        <f>AT$102*'Population Treasury'!BF$149*'Statistics NZ'!BF$431/('Population Treasury'!BE$149*'Statistics NZ'!BE$431)</f>
        <v>40118.600561557694</v>
      </c>
      <c r="AV102" s="111">
        <f>AU$102*'Population Treasury'!BG$149*'Statistics NZ'!BG$431/('Population Treasury'!BF$149*'Statistics NZ'!BF$431)</f>
        <v>40034.799107023093</v>
      </c>
      <c r="AW102" s="111">
        <f>AV$102*'Population Treasury'!BH$149*'Statistics NZ'!BH$431/('Population Treasury'!BG$149*'Statistics NZ'!BG$431)</f>
        <v>40152.611990415549</v>
      </c>
      <c r="AX102" s="111">
        <f>AW$102*'Population Treasury'!BI$149*'Statistics NZ'!BI$431/('Population Treasury'!BH$149*'Statistics NZ'!BH$431)</f>
        <v>40237.456017956945</v>
      </c>
      <c r="AY102" s="111">
        <f>AX$102*'Population Treasury'!BJ$149*'Statistics NZ'!BJ$431/('Population Treasury'!BI$149*'Statistics NZ'!BI$431)</f>
        <v>40309.672895882468</v>
      </c>
      <c r="AZ102" s="111">
        <f>AY$102*'Population Treasury'!BK$149*'Statistics NZ'!BK$431/('Population Treasury'!BJ$149*'Statistics NZ'!BJ$431)</f>
        <v>40349.536915310709</v>
      </c>
      <c r="BA102" s="111">
        <f>AZ$102*'Population Treasury'!BL$149*'Statistics NZ'!BL$431/('Population Treasury'!BK$149*'Statistics NZ'!BK$431)</f>
        <v>40367.046784428967</v>
      </c>
      <c r="BB102" s="195">
        <f>BA$102*'Population Treasury'!BM$149*'Statistics NZ'!BM$431/('Population Treasury'!BL$149*'Statistics NZ'!BL$431)</f>
        <v>40403.510138734484</v>
      </c>
      <c r="BC102" s="195">
        <f>BB$102*'Population Treasury'!BN$149*'Statistics NZ'!BN$431/('Population Treasury'!BM$149*'Statistics NZ'!BM$431)</f>
        <v>40429.193600198065</v>
      </c>
      <c r="BD102" s="195">
        <f>BC$102*'Population Treasury'!BO$149*'Statistics NZ'!BO$431/('Population Treasury'!BN$149*'Statistics NZ'!BN$431)</f>
        <v>40474.908679826054</v>
      </c>
      <c r="BE102" s="195">
        <f>BD$102*'Population Treasury'!BP$149*'Statistics NZ'!BP$431/('Population Treasury'!BO$149*'Statistics NZ'!BO$431)</f>
        <v>40531.138884215128</v>
      </c>
      <c r="BF102" s="195">
        <f>BE$102*'Population Treasury'!BQ$149*'Statistics NZ'!BQ$431/('Population Treasury'!BP$149*'Statistics NZ'!BP$431)</f>
        <v>40598.389294683941</v>
      </c>
    </row>
    <row r="103" spans="1:58">
      <c r="A103" s="124">
        <f>$A$35</f>
        <v>40</v>
      </c>
      <c r="B103" s="118">
        <f>'Population Treasury'!M$150*'Statistics NZ'!M$432*'Economic Forecasts'!O$8/B$7</f>
        <v>26339.871890794377</v>
      </c>
      <c r="C103" s="118">
        <f>'Population Treasury'!N$150*'Statistics NZ'!N$432*'Economic Forecasts'!P$8/C$7</f>
        <v>26960.702757920739</v>
      </c>
      <c r="D103" s="118">
        <f>'Population Treasury'!O$150*'Statistics NZ'!O$432*'Economic Forecasts'!Q$8/D$7</f>
        <v>28130.1385175225</v>
      </c>
      <c r="E103" s="203">
        <f>'Population Treasury'!P$150*'Statistics NZ'!P$432*'Economic Forecasts'!R$8/E$7</f>
        <v>29214.641053850028</v>
      </c>
      <c r="F103" s="121">
        <f>'Population Treasury'!Q$150*'Statistics NZ'!Q$432*'Economic Forecasts'!S$8/F$7</f>
        <v>29924.275726409647</v>
      </c>
      <c r="G103" s="121">
        <f>'Population Treasury'!R$150*'Statistics NZ'!R$432*'Economic Forecasts'!T$8/G$7</f>
        <v>30989.136943493915</v>
      </c>
      <c r="H103" s="121">
        <f>'Population Treasury'!S$150*'Statistics NZ'!S$432*'Economic Forecasts'!U$8/H$7</f>
        <v>32140.239361718694</v>
      </c>
      <c r="I103" s="121">
        <f>'Population Treasury'!T$150*'Statistics NZ'!T$432*'Economic Forecasts'!V$8/I$7</f>
        <v>32873.707457991433</v>
      </c>
      <c r="J103" s="205">
        <f>'Population Treasury'!U$150*'Statistics NZ'!U$432*'Economic Forecasts'!W$8/J$7</f>
        <v>33470.608537099506</v>
      </c>
      <c r="K103" s="111">
        <f>J$103*'Population Treasury'!V$150*'Statistics NZ'!V$432/('Population Treasury'!U$150*'Statistics NZ'!U$432)</f>
        <v>34548.388362411948</v>
      </c>
      <c r="L103" s="111">
        <f>K$103*'Population Treasury'!W$150*'Statistics NZ'!W$432/('Population Treasury'!V$150*'Statistics NZ'!V$432)</f>
        <v>36426.159282847693</v>
      </c>
      <c r="M103" s="111">
        <f>L$103*'Population Treasury'!X$150*'Statistics NZ'!X$432/('Population Treasury'!W$150*'Statistics NZ'!W$432)</f>
        <v>37850.536843721966</v>
      </c>
      <c r="N103" s="111">
        <f>M$103*'Population Treasury'!Y$150*'Statistics NZ'!Y$432/('Population Treasury'!X$150*'Statistics NZ'!X$432)</f>
        <v>38938.607123503352</v>
      </c>
      <c r="O103" s="111">
        <f>N$103*'Population Treasury'!Z$150*'Statistics NZ'!Z$432/('Population Treasury'!Y$150*'Statistics NZ'!Y$432)</f>
        <v>40896.942406409798</v>
      </c>
      <c r="P103" s="111">
        <f>O$103*'Population Treasury'!AA$150*'Statistics NZ'!AA$432/('Population Treasury'!Z$150*'Statistics NZ'!Z$432)</f>
        <v>41752.384464061637</v>
      </c>
      <c r="Q103" s="111">
        <f>P$103*'Population Treasury'!AB$150*'Statistics NZ'!AB$432/('Population Treasury'!AA$150*'Statistics NZ'!AA$432)</f>
        <v>41957.163330657866</v>
      </c>
      <c r="R103" s="111">
        <f>Q$103*'Population Treasury'!AC$150*'Statistics NZ'!AC$432/('Population Treasury'!AB$150*'Statistics NZ'!AB$432)</f>
        <v>41599.802496623728</v>
      </c>
      <c r="S103" s="111">
        <f>R$103*'Population Treasury'!AD$150*'Statistics NZ'!AD$432/('Population Treasury'!AC$150*'Statistics NZ'!AC$432)</f>
        <v>40395.144042086693</v>
      </c>
      <c r="T103" s="111">
        <f>S$103*'Population Treasury'!AE$150*'Statistics NZ'!AE$432/('Population Treasury'!AD$150*'Statistics NZ'!AD$432)</f>
        <v>40346.986101865194</v>
      </c>
      <c r="U103" s="111">
        <f>T$103*'Population Treasury'!AF$150*'Statistics NZ'!AF$432/('Population Treasury'!AE$150*'Statistics NZ'!AE$432)</f>
        <v>40159.201950109971</v>
      </c>
      <c r="V103" s="111">
        <f>U$103*'Population Treasury'!AG$150*'Statistics NZ'!AG$432/('Population Treasury'!AF$150*'Statistics NZ'!AF$432)</f>
        <v>38902.382224550332</v>
      </c>
      <c r="W103" s="111">
        <f>V$103*'Population Treasury'!AH$150*'Statistics NZ'!AH$432/('Population Treasury'!AG$150*'Statistics NZ'!AG$432)</f>
        <v>38797.73245076005</v>
      </c>
      <c r="X103" s="111">
        <f>W$103*'Population Treasury'!AI$150*'Statistics NZ'!AI$432/('Population Treasury'!AH$150*'Statistics NZ'!AH$432)</f>
        <v>37925.996737334564</v>
      </c>
      <c r="Y103" s="111">
        <f>X$103*'Population Treasury'!AJ$150*'Statistics NZ'!AJ$432/('Population Treasury'!AI$150*'Statistics NZ'!AI$432)</f>
        <v>38646.494116636335</v>
      </c>
      <c r="Z103" s="111">
        <f>Y$103*'Population Treasury'!AK$150*'Statistics NZ'!AK$432/('Population Treasury'!AJ$150*'Statistics NZ'!AJ$432)</f>
        <v>38224.690758792101</v>
      </c>
      <c r="AA103" s="111">
        <f>Z$103*'Population Treasury'!AL$150*'Statistics NZ'!AL$432/('Population Treasury'!AK$150*'Statistics NZ'!AK$432)</f>
        <v>36942.477299548904</v>
      </c>
      <c r="AB103" s="111">
        <f>AA$103*'Population Treasury'!AM$150*'Statistics NZ'!AM$432/('Population Treasury'!AL$150*'Statistics NZ'!AL$432)</f>
        <v>37492.267963268278</v>
      </c>
      <c r="AC103" s="111">
        <f>AB$103*'Population Treasury'!AN$150*'Statistics NZ'!AN$432/('Population Treasury'!AM$150*'Statistics NZ'!AM$432)</f>
        <v>37744.573815709075</v>
      </c>
      <c r="AD103" s="111">
        <f>AC$103*'Population Treasury'!AO$150*'Statistics NZ'!AO$432/('Population Treasury'!AN$150*'Statistics NZ'!AN$432)</f>
        <v>38154.074513728548</v>
      </c>
      <c r="AE103" s="111">
        <f>AD$103*'Population Treasury'!AP$150*'Statistics NZ'!AP$432/('Population Treasury'!AO$150*'Statistics NZ'!AO$432)</f>
        <v>39152.180658558216</v>
      </c>
      <c r="AF103" s="111">
        <f>AE$103*'Population Treasury'!AQ$150*'Statistics NZ'!AQ$432/('Population Treasury'!AP$150*'Statistics NZ'!AP$432)</f>
        <v>41105.081861024875</v>
      </c>
      <c r="AG103" s="111">
        <f>AF$103*'Population Treasury'!AR$150*'Statistics NZ'!AR$432/('Population Treasury'!AQ$150*'Statistics NZ'!AQ$432)</f>
        <v>42156.756447191401</v>
      </c>
      <c r="AH103" s="111">
        <f>AG$103*'Population Treasury'!AS$150*'Statistics NZ'!AS$432/('Population Treasury'!AR$150*'Statistics NZ'!AR$432)</f>
        <v>42705.017125674</v>
      </c>
      <c r="AI103" s="111">
        <f>AH$103*'Population Treasury'!AT$150*'Statistics NZ'!AT$432/('Population Treasury'!AS$150*'Statistics NZ'!AS$432)</f>
        <v>43196.21789494306</v>
      </c>
      <c r="AJ103" s="111">
        <f>AI$103*'Population Treasury'!AU$150*'Statistics NZ'!AU$432/('Population Treasury'!AT$150*'Statistics NZ'!AT$432)</f>
        <v>42924.951981303173</v>
      </c>
      <c r="AK103" s="111">
        <f>AJ$103*'Population Treasury'!AV$150*'Statistics NZ'!AV$432/('Population Treasury'!AU$150*'Statistics NZ'!AU$432)</f>
        <v>42782.513308235844</v>
      </c>
      <c r="AL103" s="111">
        <f>AK$103*'Population Treasury'!AW$150*'Statistics NZ'!AW$432/('Population Treasury'!AV$150*'Statistics NZ'!AV$432)</f>
        <v>42500.435420785856</v>
      </c>
      <c r="AM103" s="111">
        <f>AL$103*'Population Treasury'!AX$150*'Statistics NZ'!AX$432/('Population Treasury'!AW$150*'Statistics NZ'!AW$432)</f>
        <v>42158.760661706518</v>
      </c>
      <c r="AN103" s="111">
        <f>AM$103*'Population Treasury'!AY$150*'Statistics NZ'!AY$432/('Population Treasury'!AX$150*'Statistics NZ'!AX$432)</f>
        <v>42106.526029410947</v>
      </c>
      <c r="AO103" s="111">
        <f>AN$103*'Population Treasury'!AZ$150*'Statistics NZ'!AZ$432/('Population Treasury'!AY$150*'Statistics NZ'!AY$432)</f>
        <v>41812.990443621035</v>
      </c>
      <c r="AP103" s="111">
        <f>AO$103*'Population Treasury'!BA$150*'Statistics NZ'!BA$432/('Population Treasury'!AZ$150*'Statistics NZ'!AZ$432)</f>
        <v>41594.448213541946</v>
      </c>
      <c r="AQ103" s="111">
        <f>AP$103*'Population Treasury'!BB$150*'Statistics NZ'!BB$432/('Population Treasury'!BA$150*'Statistics NZ'!BA$432)</f>
        <v>40915.225666684462</v>
      </c>
      <c r="AR103" s="111">
        <f>AQ$103*'Population Treasury'!BC$150*'Statistics NZ'!BC$432/('Population Treasury'!BB$150*'Statistics NZ'!BB$432)</f>
        <v>40897.493218590622</v>
      </c>
      <c r="AS103" s="111">
        <f>AR$103*'Population Treasury'!BD$150*'Statistics NZ'!BD$432/('Population Treasury'!BC$150*'Statistics NZ'!BC$432)</f>
        <v>40289.079733847953</v>
      </c>
      <c r="AT103" s="111">
        <f>AS$103*'Population Treasury'!BE$150*'Statistics NZ'!BE$432/('Population Treasury'!BD$150*'Statistics NZ'!BD$432)</f>
        <v>40114.580176160802</v>
      </c>
      <c r="AU103" s="111">
        <f>AT$103*'Population Treasury'!BF$150*'Statistics NZ'!BF$432/('Population Treasury'!BE$150*'Statistics NZ'!BE$432)</f>
        <v>40089.890606614121</v>
      </c>
      <c r="AV103" s="111">
        <f>AU$103*'Population Treasury'!BG$150*'Statistics NZ'!BG$432/('Population Treasury'!BF$150*'Statistics NZ'!BF$432)</f>
        <v>40040.171595980384</v>
      </c>
      <c r="AW103" s="111">
        <f>AV$103*'Population Treasury'!BH$150*'Statistics NZ'!BH$432/('Population Treasury'!BG$150*'Statistics NZ'!BG$432)</f>
        <v>39956.336032956853</v>
      </c>
      <c r="AX103" s="111">
        <f>AW$103*'Population Treasury'!BI$150*'Statistics NZ'!BI$432/('Population Treasury'!BH$150*'Statistics NZ'!BH$432)</f>
        <v>40074.184509103667</v>
      </c>
      <c r="AY103" s="111">
        <f>AX$103*'Population Treasury'!BJ$150*'Statistics NZ'!BJ$432/('Population Treasury'!BI$150*'Statistics NZ'!BI$432)</f>
        <v>40169.019196258763</v>
      </c>
      <c r="AZ103" s="111">
        <f>AY$103*'Population Treasury'!BK$150*'Statistics NZ'!BK$432/('Population Treasury'!BJ$150*'Statistics NZ'!BJ$432)</f>
        <v>40231.556334129258</v>
      </c>
      <c r="BA103" s="111">
        <f>AZ$103*'Population Treasury'!BL$150*'Statistics NZ'!BL$432/('Population Treasury'!BK$150*'Statistics NZ'!BK$432)</f>
        <v>40271.285602715863</v>
      </c>
      <c r="BB103" s="195">
        <f>BA$103*'Population Treasury'!BM$150*'Statistics NZ'!BM$432/('Population Treasury'!BL$150*'Statistics NZ'!BL$432)</f>
        <v>40309.691021394734</v>
      </c>
      <c r="BC103" s="195">
        <f>BB$103*'Population Treasury'!BN$150*'Statistics NZ'!BN$432/('Population Treasury'!BM$150*'Statistics NZ'!BM$432)</f>
        <v>40336.210851110292</v>
      </c>
      <c r="BD103" s="195">
        <f>BC$103*'Population Treasury'!BO$150*'Statistics NZ'!BO$432/('Population Treasury'!BN$150*'Statistics NZ'!BN$432)</f>
        <v>40372.286611839947</v>
      </c>
      <c r="BE103" s="195">
        <f>BD$103*'Population Treasury'!BP$150*'Statistics NZ'!BP$432/('Population Treasury'!BO$150*'Statistics NZ'!BO$432)</f>
        <v>40407.943418971961</v>
      </c>
      <c r="BF103" s="195">
        <f>BE$103*'Population Treasury'!BQ$150*'Statistics NZ'!BQ$432/('Population Treasury'!BP$150*'Statistics NZ'!BP$432)</f>
        <v>40453.373819476648</v>
      </c>
    </row>
    <row r="104" spans="1:58">
      <c r="A104" s="124">
        <f>$A$36</f>
        <v>41</v>
      </c>
      <c r="B104" s="118">
        <f>'Population Treasury'!M$151*'Statistics NZ'!M$433*'Economic Forecasts'!O$8/B$7</f>
        <v>26365.005686307435</v>
      </c>
      <c r="C104" s="118">
        <f>'Population Treasury'!N$151*'Statistics NZ'!N$433*'Economic Forecasts'!P$8/C$7</f>
        <v>27265.710675056096</v>
      </c>
      <c r="D104" s="118">
        <f>'Population Treasury'!O$151*'Statistics NZ'!O$433*'Economic Forecasts'!Q$8/D$7</f>
        <v>27211.662267218409</v>
      </c>
      <c r="E104" s="203">
        <f>'Population Treasury'!P$151*'Statistics NZ'!P$433*'Economic Forecasts'!R$8/E$7</f>
        <v>28597.104965092978</v>
      </c>
      <c r="F104" s="121">
        <f>'Population Treasury'!Q$151*'Statistics NZ'!Q$433*'Economic Forecasts'!S$8/F$7</f>
        <v>29406.767711432451</v>
      </c>
      <c r="G104" s="121">
        <f>'Population Treasury'!R$151*'Statistics NZ'!R$433*'Economic Forecasts'!T$8/G$7</f>
        <v>30349.067752263767</v>
      </c>
      <c r="H104" s="121">
        <f>'Population Treasury'!S$151*'Statistics NZ'!S$433*'Economic Forecasts'!U$8/H$7</f>
        <v>31372.638858986629</v>
      </c>
      <c r="I104" s="121">
        <f>'Population Treasury'!T$151*'Statistics NZ'!T$433*'Economic Forecasts'!V$8/I$7</f>
        <v>32517.463541284764</v>
      </c>
      <c r="J104" s="205">
        <f>'Population Treasury'!U$151*'Statistics NZ'!U$433*'Economic Forecasts'!W$8/J$7</f>
        <v>33266.820932171941</v>
      </c>
      <c r="K104" s="111">
        <f>J$104*'Population Treasury'!V$151*'Statistics NZ'!V$433/('Population Treasury'!U$151*'Statistics NZ'!U$433)</f>
        <v>33797.209353182159</v>
      </c>
      <c r="L104" s="111">
        <f>K$104*'Population Treasury'!W$151*'Statistics NZ'!W$433/('Population Treasury'!V$151*'Statistics NZ'!V$433)</f>
        <v>34869.986260677208</v>
      </c>
      <c r="M104" s="111">
        <f>L$104*'Population Treasury'!X$151*'Statistics NZ'!X$433/('Population Treasury'!W$151*'Statistics NZ'!W$433)</f>
        <v>36712.539420331457</v>
      </c>
      <c r="N104" s="111">
        <f>M$104*'Population Treasury'!Y$151*'Statistics NZ'!Y$433/('Population Treasury'!X$151*'Statistics NZ'!X$433)</f>
        <v>38121.350223844376</v>
      </c>
      <c r="O104" s="111">
        <f>N$104*'Population Treasury'!Z$151*'Statistics NZ'!Z$433/('Population Treasury'!Y$151*'Statistics NZ'!Y$433)</f>
        <v>39202.807623131332</v>
      </c>
      <c r="P104" s="111">
        <f>O$104*'Population Treasury'!AA$151*'Statistics NZ'!AA$433/('Population Treasury'!Z$151*'Statistics NZ'!Z$433)</f>
        <v>41135.771477215021</v>
      </c>
      <c r="Q104" s="111">
        <f>P$104*'Population Treasury'!AB$151*'Statistics NZ'!AB$433/('Population Treasury'!AA$151*'Statistics NZ'!AA$433)</f>
        <v>41984.710982085671</v>
      </c>
      <c r="R104" s="111">
        <f>Q$104*'Population Treasury'!AC$151*'Statistics NZ'!AC$433/('Population Treasury'!AB$151*'Statistics NZ'!AB$433)</f>
        <v>42153.828506196536</v>
      </c>
      <c r="S104" s="111">
        <f>R$104*'Population Treasury'!AD$151*'Statistics NZ'!AD$433/('Population Treasury'!AC$151*'Statistics NZ'!AC$433)</f>
        <v>41800.588156504389</v>
      </c>
      <c r="T104" s="111">
        <f>S$104*'Population Treasury'!AE$151*'Statistics NZ'!AE$433/('Population Treasury'!AD$151*'Statistics NZ'!AD$433)</f>
        <v>40605.097019994624</v>
      </c>
      <c r="U104" s="111">
        <f>T$104*'Population Treasury'!AF$151*'Statistics NZ'!AF$433/('Population Treasury'!AE$151*'Statistics NZ'!AE$433)</f>
        <v>40537.575725915121</v>
      </c>
      <c r="V104" s="111">
        <f>U$104*'Population Treasury'!AG$151*'Statistics NZ'!AG$433/('Population Treasury'!AF$151*'Statistics NZ'!AF$433)</f>
        <v>40359.309236658497</v>
      </c>
      <c r="W104" s="111">
        <f>V$104*'Population Treasury'!AH$151*'Statistics NZ'!AH$433/('Population Treasury'!AG$151*'Statistics NZ'!AG$433)</f>
        <v>39103.087311447976</v>
      </c>
      <c r="X104" s="111">
        <f>W$104*'Population Treasury'!AI$151*'Statistics NZ'!AI$433/('Population Treasury'!AH$151*'Statistics NZ'!AH$433)</f>
        <v>38999.31000220494</v>
      </c>
      <c r="Y104" s="111">
        <f>X$104*'Population Treasury'!AJ$151*'Statistics NZ'!AJ$433/('Population Treasury'!AI$151*'Statistics NZ'!AI$433)</f>
        <v>38127.93390381529</v>
      </c>
      <c r="Z104" s="111">
        <f>Y$104*'Population Treasury'!AK$151*'Statistics NZ'!AK$433/('Population Treasury'!AJ$151*'Statistics NZ'!AJ$433)</f>
        <v>38848.970693268129</v>
      </c>
      <c r="AA104" s="111">
        <f>Z$104*'Population Treasury'!AL$151*'Statistics NZ'!AL$433/('Population Treasury'!AK$151*'Statistics NZ'!AK$433)</f>
        <v>38417.832775533592</v>
      </c>
      <c r="AB104" s="111">
        <f>AA$104*'Population Treasury'!AM$151*'Statistics NZ'!AM$433/('Population Treasury'!AL$151*'Statistics NZ'!AL$433)</f>
        <v>37147.108433617272</v>
      </c>
      <c r="AC104" s="111">
        <f>AB$104*'Population Treasury'!AN$151*'Statistics NZ'!AN$433/('Population Treasury'!AM$151*'Statistics NZ'!AM$433)</f>
        <v>37696.788334376397</v>
      </c>
      <c r="AD104" s="111">
        <f>AC$104*'Population Treasury'!AO$151*'Statistics NZ'!AO$433/('Population Treasury'!AN$151*'Statistics NZ'!AN$433)</f>
        <v>37958.605036816116</v>
      </c>
      <c r="AE104" s="111">
        <f>AD$104*'Population Treasury'!AP$151*'Statistics NZ'!AP$433/('Population Treasury'!AO$151*'Statistics NZ'!AO$433)</f>
        <v>38369.376927145015</v>
      </c>
      <c r="AF104" s="111">
        <f>AE$104*'Population Treasury'!AQ$151*'Statistics NZ'!AQ$433/('Population Treasury'!AP$151*'Statistics NZ'!AP$433)</f>
        <v>39368.926153499939</v>
      </c>
      <c r="AG104" s="111">
        <f>AF$104*'Population Treasury'!AR$151*'Statistics NZ'!AR$433/('Population Treasury'!AQ$151*'Statistics NZ'!AQ$433)</f>
        <v>41299.678215180887</v>
      </c>
      <c r="AH104" s="111">
        <f>AG$104*'Population Treasury'!AS$151*'Statistics NZ'!AS$433/('Population Treasury'!AR$151*'Statistics NZ'!AR$433)</f>
        <v>42351.139247106184</v>
      </c>
      <c r="AI104" s="111">
        <f>AH$104*'Population Treasury'!AT$151*'Statistics NZ'!AT$433/('Population Treasury'!AS$151*'Statistics NZ'!AS$433)</f>
        <v>42920.025749913744</v>
      </c>
      <c r="AJ104" s="111">
        <f>AI$104*'Population Treasury'!AU$151*'Statistics NZ'!AU$433/('Population Treasury'!AT$151*'Statistics NZ'!AT$433)</f>
        <v>43390.861703670016</v>
      </c>
      <c r="AK104" s="111">
        <f>AJ$104*'Population Treasury'!AV$151*'Statistics NZ'!AV$433/('Population Treasury'!AU$151*'Statistics NZ'!AU$433)</f>
        <v>43119.875321263884</v>
      </c>
      <c r="AL104" s="111">
        <f>AK$104*'Population Treasury'!AW$151*'Statistics NZ'!AW$433/('Population Treasury'!AV$151*'Statistics NZ'!AV$433)</f>
        <v>42977.67118276158</v>
      </c>
      <c r="AM104" s="111">
        <f>AL$104*'Population Treasury'!AX$151*'Statistics NZ'!AX$433/('Population Treasury'!AW$151*'Statistics NZ'!AW$433)</f>
        <v>42706.688494153394</v>
      </c>
      <c r="AN104" s="111">
        <f>AM$104*'Population Treasury'!AY$151*'Statistics NZ'!AY$433/('Population Treasury'!AX$151*'Statistics NZ'!AX$433)</f>
        <v>42387.047987857601</v>
      </c>
      <c r="AO104" s="111">
        <f>AN$104*'Population Treasury'!AZ$151*'Statistics NZ'!AZ$433/('Population Treasury'!AY$151*'Statistics NZ'!AY$433)</f>
        <v>42313.209083865659</v>
      </c>
      <c r="AP104" s="111">
        <f>AO$104*'Population Treasury'!BA$151*'Statistics NZ'!BA$433/('Population Treasury'!AZ$151*'Statistics NZ'!AZ$433)</f>
        <v>42020.260373235302</v>
      </c>
      <c r="AQ104" s="111">
        <f>AP$104*'Population Treasury'!BB$151*'Statistics NZ'!BB$433/('Population Treasury'!BA$151*'Statistics NZ'!BA$433)</f>
        <v>41810.858944981766</v>
      </c>
      <c r="AR104" s="111">
        <f>AQ$104*'Population Treasury'!BC$151*'Statistics NZ'!BC$433/('Population Treasury'!BB$151*'Statistics NZ'!BB$433)</f>
        <v>41130.398464678168</v>
      </c>
      <c r="AS104" s="111">
        <f>AR$104*'Population Treasury'!BD$151*'Statistics NZ'!BD$433/('Population Treasury'!BC$151*'Statistics NZ'!BC$433)</f>
        <v>41112.133835784996</v>
      </c>
      <c r="AT104" s="111">
        <f>AS$104*'Population Treasury'!BE$151*'Statistics NZ'!BE$433/('Population Treasury'!BD$151*'Statistics NZ'!BD$433)</f>
        <v>40502.737542204311</v>
      </c>
      <c r="AU104" s="111">
        <f>AT$104*'Population Treasury'!BF$151*'Statistics NZ'!BF$433/('Population Treasury'!BE$151*'Statistics NZ'!BE$433)</f>
        <v>40327.76050182867</v>
      </c>
      <c r="AV104" s="111">
        <f>AU$104*'Population Treasury'!BG$151*'Statistics NZ'!BG$433/('Population Treasury'!BF$151*'Statistics NZ'!BF$433)</f>
        <v>40302.842646689489</v>
      </c>
      <c r="AW104" s="111">
        <f>AV$104*'Population Treasury'!BH$151*'Statistics NZ'!BH$433/('Population Treasury'!BG$151*'Statistics NZ'!BG$433)</f>
        <v>40252.940982231485</v>
      </c>
      <c r="AX104" s="111">
        <f>AW$104*'Population Treasury'!BI$151*'Statistics NZ'!BI$433/('Population Treasury'!BH$151*'Statistics NZ'!BH$433)</f>
        <v>40168.951549337507</v>
      </c>
      <c r="AY104" s="111">
        <f>AX$104*'Population Treasury'!BJ$151*'Statistics NZ'!BJ$433/('Population Treasury'!BI$151*'Statistics NZ'!BI$433)</f>
        <v>40286.894309104588</v>
      </c>
      <c r="AZ104" s="111">
        <f>AY$104*'Population Treasury'!BK$151*'Statistics NZ'!BK$433/('Population Treasury'!BJ$151*'Statistics NZ'!BJ$433)</f>
        <v>40381.878104247699</v>
      </c>
      <c r="BA104" s="111">
        <f>AZ$104*'Population Treasury'!BL$151*'Statistics NZ'!BL$433/('Population Treasury'!BK$151*'Statistics NZ'!BK$433)</f>
        <v>40434.559443154612</v>
      </c>
      <c r="BB104" s="195">
        <f>BA$104*'Population Treasury'!BM$151*'Statistics NZ'!BM$433/('Population Treasury'!BL$151*'Statistics NZ'!BL$433)</f>
        <v>40484.445644259366</v>
      </c>
      <c r="BC104" s="195">
        <f>BB$104*'Population Treasury'!BN$151*'Statistics NZ'!BN$433/('Population Treasury'!BM$151*'Statistics NZ'!BM$433)</f>
        <v>40512.959947106378</v>
      </c>
      <c r="BD104" s="195">
        <f>BC$104*'Population Treasury'!BO$151*'Statistics NZ'!BO$433/('Population Treasury'!BN$151*'Statistics NZ'!BN$433)</f>
        <v>40549.812122276206</v>
      </c>
      <c r="BE104" s="195">
        <f>BD$104*'Population Treasury'!BP$151*'Statistics NZ'!BP$433/('Population Treasury'!BO$151*'Statistics NZ'!BO$433)</f>
        <v>40575.895968089775</v>
      </c>
      <c r="BF104" s="195">
        <f>BE$104*'Population Treasury'!BQ$151*'Statistics NZ'!BQ$433/('Population Treasury'!BP$151*'Statistics NZ'!BP$433)</f>
        <v>40621.495818019386</v>
      </c>
    </row>
    <row r="105" spans="1:58">
      <c r="A105" s="124">
        <f>$A$37</f>
        <v>42</v>
      </c>
      <c r="B105" s="118">
        <f>'Population Treasury'!M$152*'Statistics NZ'!M$434*'Economic Forecasts'!O$8/B$7</f>
        <v>27030.185698207952</v>
      </c>
      <c r="C105" s="118">
        <f>'Population Treasury'!N$152*'Statistics NZ'!N$434*'Economic Forecasts'!P$8/C$7</f>
        <v>27260.700719304965</v>
      </c>
      <c r="D105" s="118">
        <f>'Population Treasury'!O$152*'Statistics NZ'!O$434*'Economic Forecasts'!Q$8/D$7</f>
        <v>27595.031133414985</v>
      </c>
      <c r="E105" s="203">
        <f>'Population Treasury'!P$152*'Statistics NZ'!P$434*'Economic Forecasts'!R$8/E$7</f>
        <v>27639.164234125328</v>
      </c>
      <c r="F105" s="121">
        <f>'Population Treasury'!Q$152*'Statistics NZ'!Q$434*'Economic Forecasts'!S$8/F$7</f>
        <v>28774.355146759088</v>
      </c>
      <c r="G105" s="121">
        <f>'Population Treasury'!R$152*'Statistics NZ'!R$434*'Economic Forecasts'!T$8/G$7</f>
        <v>29806.411305638034</v>
      </c>
      <c r="H105" s="121">
        <f>'Population Treasury'!S$152*'Statistics NZ'!S$434*'Economic Forecasts'!U$8/H$7</f>
        <v>30708.003809878832</v>
      </c>
      <c r="I105" s="121">
        <f>'Population Treasury'!T$152*'Statistics NZ'!T$434*'Economic Forecasts'!V$8/I$7</f>
        <v>31715.839286486895</v>
      </c>
      <c r="J105" s="205">
        <f>'Population Treasury'!U$152*'Statistics NZ'!U$434*'Economic Forecasts'!W$8/J$7</f>
        <v>32857.465413101309</v>
      </c>
      <c r="K105" s="111">
        <f>J$105*'Population Treasury'!V$152*'Statistics NZ'!V$434/('Population Treasury'!U$152*'Statistics NZ'!U$434)</f>
        <v>33533.837871849675</v>
      </c>
      <c r="L105" s="111">
        <f>K$105*'Population Treasury'!W$152*'Statistics NZ'!W$434/('Population Treasury'!V$152*'Statistics NZ'!V$434)</f>
        <v>34048.338800712045</v>
      </c>
      <c r="M105" s="111">
        <f>L$105*'Population Treasury'!X$152*'Statistics NZ'!X$434/('Population Treasury'!W$152*'Statistics NZ'!W$434)</f>
        <v>35104.812019844539</v>
      </c>
      <c r="N105" s="111">
        <f>M$105*'Population Treasury'!Y$152*'Statistics NZ'!Y$434/('Population Treasury'!X$152*'Statistics NZ'!X$434)</f>
        <v>36933.184639532905</v>
      </c>
      <c r="O105" s="111">
        <f>N$105*'Population Treasury'!Z$152*'Statistics NZ'!Z$434/('Population Treasury'!Y$152*'Statistics NZ'!Y$434)</f>
        <v>38336.324013691941</v>
      </c>
      <c r="P105" s="111">
        <f>O$105*'Population Treasury'!AA$152*'Statistics NZ'!AA$434/('Population Treasury'!Z$152*'Statistics NZ'!Z$434)</f>
        <v>39392.411752655673</v>
      </c>
      <c r="Q105" s="111">
        <f>P$105*'Population Treasury'!AB$152*'Statistics NZ'!AB$434/('Population Treasury'!AA$152*'Statistics NZ'!AA$434)</f>
        <v>41329.815435958582</v>
      </c>
      <c r="R105" s="111">
        <f>Q$105*'Population Treasury'!AC$152*'Statistics NZ'!AC$434/('Population Treasury'!AB$152*'Statistics NZ'!AB$434)</f>
        <v>42143.173513503622</v>
      </c>
      <c r="S105" s="111">
        <f>R$105*'Population Treasury'!AD$152*'Statistics NZ'!AD$434/('Population Treasury'!AC$152*'Statistics NZ'!AC$434)</f>
        <v>42306.735452790017</v>
      </c>
      <c r="T105" s="111">
        <f>S$105*'Population Treasury'!AE$152*'Statistics NZ'!AE$434/('Population Treasury'!AD$152*'Statistics NZ'!AD$434)</f>
        <v>41953.241666017027</v>
      </c>
      <c r="U105" s="111">
        <f>T$105*'Population Treasury'!AF$152*'Statistics NZ'!AF$434/('Population Treasury'!AE$152*'Statistics NZ'!AE$434)</f>
        <v>40747.891587864404</v>
      </c>
      <c r="V105" s="111">
        <f>U$105*'Population Treasury'!AG$152*'Statistics NZ'!AG$434/('Population Treasury'!AF$152*'Statistics NZ'!AF$434)</f>
        <v>40699.558702770773</v>
      </c>
      <c r="W105" s="111">
        <f>V$105*'Population Treasury'!AH$152*'Statistics NZ'!AH$434/('Population Treasury'!AG$152*'Statistics NZ'!AG$434)</f>
        <v>40511.879984797575</v>
      </c>
      <c r="X105" s="111">
        <f>W$105*'Population Treasury'!AI$152*'Statistics NZ'!AI$434/('Population Treasury'!AH$152*'Statistics NZ'!AH$434)</f>
        <v>39255.783673315993</v>
      </c>
      <c r="Y105" s="111">
        <f>X$105*'Population Treasury'!AJ$152*'Statistics NZ'!AJ$434/('Population Treasury'!AI$152*'Statistics NZ'!AI$434)</f>
        <v>39152.347304529249</v>
      </c>
      <c r="Z105" s="111">
        <f>Y$105*'Population Treasury'!AK$152*'Statistics NZ'!AK$434/('Population Treasury'!AJ$152*'Statistics NZ'!AJ$434)</f>
        <v>38281.131492459594</v>
      </c>
      <c r="AA105" s="111">
        <f>Z$105*'Population Treasury'!AL$152*'Statistics NZ'!AL$434/('Population Treasury'!AK$152*'Statistics NZ'!AK$434)</f>
        <v>39003.001517986479</v>
      </c>
      <c r="AB105" s="111">
        <f>AA$105*'Population Treasury'!AM$152*'Statistics NZ'!AM$434/('Population Treasury'!AL$152*'Statistics NZ'!AL$434)</f>
        <v>38582.558203131346</v>
      </c>
      <c r="AC105" s="111">
        <f>AB$105*'Population Treasury'!AN$152*'Statistics NZ'!AN$434/('Population Treasury'!AM$152*'Statistics NZ'!AM$434)</f>
        <v>37290.625245227209</v>
      </c>
      <c r="AD105" s="111">
        <f>AC$105*'Population Treasury'!AO$152*'Statistics NZ'!AO$434/('Population Treasury'!AN$152*'Statistics NZ'!AN$434)</f>
        <v>37850.1434344437</v>
      </c>
      <c r="AE105" s="111">
        <f>AD$105*'Population Treasury'!AP$152*'Statistics NZ'!AP$434/('Population Treasury'!AO$152*'Statistics NZ'!AO$434)</f>
        <v>38113.374352616309</v>
      </c>
      <c r="AF105" s="111">
        <f>AE$105*'Population Treasury'!AQ$152*'Statistics NZ'!AQ$434/('Population Treasury'!AP$152*'Statistics NZ'!AP$434)</f>
        <v>38513.006985921522</v>
      </c>
      <c r="AG105" s="111">
        <f>AF$105*'Population Treasury'!AR$152*'Statistics NZ'!AR$434/('Population Treasury'!AQ$152*'Statistics NZ'!AQ$434)</f>
        <v>39522.389904402065</v>
      </c>
      <c r="AH105" s="111">
        <f>AG$105*'Population Treasury'!AS$152*'Statistics NZ'!AS$434/('Population Treasury'!AR$152*'Statistics NZ'!AR$434)</f>
        <v>41443.363357155751</v>
      </c>
      <c r="AI105" s="111">
        <f>AH$105*'Population Treasury'!AT$152*'Statistics NZ'!AT$434/('Population Treasury'!AS$152*'Statistics NZ'!AS$434)</f>
        <v>42494.814272470103</v>
      </c>
      <c r="AJ105" s="111">
        <f>AI$105*'Population Treasury'!AU$152*'Statistics NZ'!AU$434/('Population Treasury'!AT$152*'Statistics NZ'!AT$434)</f>
        <v>43075.189298099205</v>
      </c>
      <c r="AK105" s="111">
        <f>AJ$105*'Population Treasury'!AV$152*'Statistics NZ'!AV$434/('Population Treasury'!AU$152*'Statistics NZ'!AU$434)</f>
        <v>43534.569754063537</v>
      </c>
      <c r="AL105" s="111">
        <f>AK$105*'Population Treasury'!AW$152*'Statistics NZ'!AW$434/('Population Treasury'!AV$152*'Statistics NZ'!AV$434)</f>
        <v>43263.61686027285</v>
      </c>
      <c r="AM105" s="111">
        <f>AL$105*'Population Treasury'!AX$152*'Statistics NZ'!AX$434/('Population Treasury'!AW$152*'Statistics NZ'!AW$434)</f>
        <v>43121.44504431016</v>
      </c>
      <c r="AN105" s="111">
        <f>AM$105*'Population Treasury'!AY$152*'Statistics NZ'!AY$434/('Population Treasury'!AX$152*'Statistics NZ'!AX$434)</f>
        <v>42851.141631620725</v>
      </c>
      <c r="AO105" s="111">
        <f>AN$105*'Population Treasury'!AZ$152*'Statistics NZ'!AZ$434/('Population Treasury'!AY$152*'Statistics NZ'!AY$434)</f>
        <v>42519.664368302314</v>
      </c>
      <c r="AP105" s="111">
        <f>AO$105*'Population Treasury'!BA$152*'Statistics NZ'!BA$434/('Population Treasury'!AZ$152*'Statistics NZ'!AZ$434)</f>
        <v>42467.493470141148</v>
      </c>
      <c r="AQ105" s="111">
        <f>AP$105*'Population Treasury'!BB$152*'Statistics NZ'!BB$434/('Population Treasury'!BA$152*'Statistics NZ'!BA$434)</f>
        <v>42173.865288791683</v>
      </c>
      <c r="AR105" s="111">
        <f>AQ$105*'Population Treasury'!BC$152*'Statistics NZ'!BC$434/('Population Treasury'!BB$152*'Statistics NZ'!BB$434)</f>
        <v>41943.63489069778</v>
      </c>
      <c r="AS105" s="111">
        <f>AR$105*'Population Treasury'!BD$152*'Statistics NZ'!BD$434/('Population Treasury'!BC$152*'Statistics NZ'!BC$434)</f>
        <v>41283.874531886009</v>
      </c>
      <c r="AT105" s="111">
        <f>AS$105*'Population Treasury'!BE$152*'Statistics NZ'!BE$434/('Population Treasury'!BD$152*'Statistics NZ'!BD$434)</f>
        <v>41255.062678507435</v>
      </c>
      <c r="AU105" s="111">
        <f>AT$105*'Population Treasury'!BF$152*'Statistics NZ'!BF$434/('Population Treasury'!BE$152*'Statistics NZ'!BE$434)</f>
        <v>40646.324786440193</v>
      </c>
      <c r="AV105" s="111">
        <f>AU$105*'Population Treasury'!BG$152*'Statistics NZ'!BG$434/('Population Treasury'!BF$152*'Statistics NZ'!BF$434)</f>
        <v>40481.702934087843</v>
      </c>
      <c r="AW105" s="111">
        <f>AV$105*'Population Treasury'!BH$152*'Statistics NZ'!BH$434/('Population Treasury'!BG$152*'Statistics NZ'!BG$434)</f>
        <v>40456.775160083955</v>
      </c>
      <c r="AX105" s="111">
        <f>AW$105*'Population Treasury'!BI$152*'Statistics NZ'!BI$434/('Population Treasury'!BH$152*'Statistics NZ'!BH$434)</f>
        <v>40406.2577086479</v>
      </c>
      <c r="AY105" s="111">
        <f>AX$105*'Population Treasury'!BJ$152*'Statistics NZ'!BJ$434/('Population Treasury'!BI$152*'Statistics NZ'!BI$434)</f>
        <v>40322.839895058365</v>
      </c>
      <c r="AZ105" s="111">
        <f>AY$105*'Population Treasury'!BK$152*'Statistics NZ'!BK$434/('Population Treasury'!BJ$152*'Statistics NZ'!BJ$434)</f>
        <v>40440.792110631628</v>
      </c>
      <c r="BA105" s="111">
        <f>AZ$105*'Population Treasury'!BL$152*'Statistics NZ'!BL$434/('Population Treasury'!BK$152*'Statistics NZ'!BK$434)</f>
        <v>40535.804295876798</v>
      </c>
      <c r="BB105" s="195">
        <f>BA$105*'Population Treasury'!BM$152*'Statistics NZ'!BM$434/('Population Treasury'!BL$152*'Statistics NZ'!BL$434)</f>
        <v>40597.659558703272</v>
      </c>
      <c r="BC105" s="195">
        <f>BB$105*'Population Treasury'!BN$152*'Statistics NZ'!BN$434/('Population Treasury'!BM$152*'Statistics NZ'!BM$434)</f>
        <v>40638.386730174207</v>
      </c>
      <c r="BD105" s="195">
        <f>BC$105*'Population Treasury'!BO$152*'Statistics NZ'!BO$434/('Population Treasury'!BN$152*'Statistics NZ'!BN$434)</f>
        <v>40666.306555408279</v>
      </c>
      <c r="BE105" s="195">
        <f>BD$105*'Population Treasury'!BP$152*'Statistics NZ'!BP$434/('Population Treasury'!BO$152*'Statistics NZ'!BO$434)</f>
        <v>40692.983438674171</v>
      </c>
      <c r="BF105" s="195">
        <f>BE$105*'Population Treasury'!BQ$152*'Statistics NZ'!BQ$434/('Population Treasury'!BP$152*'Statistics NZ'!BP$434)</f>
        <v>40728.786939428923</v>
      </c>
    </row>
    <row r="106" spans="1:58">
      <c r="A106" s="124">
        <f>$A$38</f>
        <v>43</v>
      </c>
      <c r="B106" s="118">
        <f>'Population Treasury'!M$153*'Statistics NZ'!M$435*'Economic Forecasts'!O$8/B$7</f>
        <v>28002.702942249107</v>
      </c>
      <c r="C106" s="118">
        <f>'Population Treasury'!N$153*'Statistics NZ'!N$435*'Economic Forecasts'!P$8/C$7</f>
        <v>27901.430294624242</v>
      </c>
      <c r="D106" s="118">
        <f>'Population Treasury'!O$153*'Statistics NZ'!O$435*'Economic Forecasts'!Q$8/D$7</f>
        <v>27484.68468989012</v>
      </c>
      <c r="E106" s="203">
        <f>'Population Treasury'!P$153*'Statistics NZ'!P$435*'Economic Forecasts'!R$8/E$7</f>
        <v>27961.063871236369</v>
      </c>
      <c r="F106" s="121">
        <f>'Population Treasury'!Q$153*'Statistics NZ'!Q$435*'Economic Forecasts'!S$8/F$7</f>
        <v>27801.126534443931</v>
      </c>
      <c r="G106" s="121">
        <f>'Population Treasury'!R$153*'Statistics NZ'!R$435*'Economic Forecasts'!T$8/G$7</f>
        <v>29146.539705816074</v>
      </c>
      <c r="H106" s="121">
        <f>'Population Treasury'!S$153*'Statistics NZ'!S$435*'Economic Forecasts'!U$8/H$7</f>
        <v>30131.331282367722</v>
      </c>
      <c r="I106" s="121">
        <f>'Population Treasury'!T$153*'Statistics NZ'!T$435*'Economic Forecasts'!V$8/I$7</f>
        <v>31007.37024629561</v>
      </c>
      <c r="J106" s="205">
        <f>'Population Treasury'!U$153*'Statistics NZ'!U$435*'Economic Forecasts'!W$8/J$7</f>
        <v>32002.773225779416</v>
      </c>
      <c r="K106" s="111">
        <f>J$106*'Population Treasury'!V$153*'Statistics NZ'!V$435/('Population Treasury'!U$153*'Statistics NZ'!U$435)</f>
        <v>33108.256821518364</v>
      </c>
      <c r="L106" s="111">
        <f>K$106*'Population Treasury'!W$153*'Statistics NZ'!W$435/('Population Treasury'!V$153*'Statistics NZ'!V$435)</f>
        <v>33757.924198427951</v>
      </c>
      <c r="M106" s="111">
        <f>L$106*'Population Treasury'!X$153*'Statistics NZ'!X$435/('Population Treasury'!W$153*'Statistics NZ'!W$435)</f>
        <v>34246.455528352635</v>
      </c>
      <c r="N106" s="111">
        <f>M$106*'Population Treasury'!Y$153*'Statistics NZ'!Y$435/('Population Treasury'!X$153*'Statistics NZ'!X$435)</f>
        <v>35288.878402129238</v>
      </c>
      <c r="O106" s="111">
        <f>N$106*'Population Treasury'!Z$153*'Statistics NZ'!Z$435/('Population Treasury'!Y$153*'Statistics NZ'!Y$435)</f>
        <v>37111.749740102881</v>
      </c>
      <c r="P106" s="111">
        <f>O$106*'Population Treasury'!AA$153*'Statistics NZ'!AA$435/('Population Treasury'!Z$153*'Statistics NZ'!Z$435)</f>
        <v>38478.55060037419</v>
      </c>
      <c r="Q106" s="111">
        <f>P$106*'Population Treasury'!AB$153*'Statistics NZ'!AB$435/('Population Treasury'!AA$153*'Statistics NZ'!AA$435)</f>
        <v>39519.658825668368</v>
      </c>
      <c r="R106" s="111">
        <f>Q$106*'Population Treasury'!AC$153*'Statistics NZ'!AC$435/('Population Treasury'!AB$153*'Statistics NZ'!AB$435)</f>
        <v>41431.023536764624</v>
      </c>
      <c r="S106" s="111">
        <f>R$106*'Population Treasury'!AD$153*'Statistics NZ'!AD$435/('Population Treasury'!AC$153*'Statistics NZ'!AC$435)</f>
        <v>42229.643746629918</v>
      </c>
      <c r="T106" s="111">
        <f>S$106*'Population Treasury'!AE$153*'Statistics NZ'!AE$435/('Population Treasury'!AD$153*'Statistics NZ'!AD$435)</f>
        <v>42393.318182105482</v>
      </c>
      <c r="U106" s="111">
        <f>T$106*'Population Treasury'!AF$153*'Statistics NZ'!AF$435/('Population Treasury'!AE$153*'Statistics NZ'!AE$435)</f>
        <v>42039.606548730728</v>
      </c>
      <c r="V106" s="111">
        <f>U$106*'Population Treasury'!AG$153*'Statistics NZ'!AG$435/('Population Treasury'!AF$153*'Statistics NZ'!AF$435)</f>
        <v>40844.955377429593</v>
      </c>
      <c r="W106" s="111">
        <f>V$106*'Population Treasury'!AH$153*'Statistics NZ'!AH$435/('Population Treasury'!AG$153*'Statistics NZ'!AG$435)</f>
        <v>40787.031975817059</v>
      </c>
      <c r="X106" s="111">
        <f>W$106*'Population Treasury'!AI$153*'Statistics NZ'!AI$435/('Population Treasury'!AH$153*'Statistics NZ'!AH$435)</f>
        <v>40609.132878934062</v>
      </c>
      <c r="Y106" s="111">
        <f>X$106*'Population Treasury'!AJ$153*'Statistics NZ'!AJ$435/('Population Treasury'!AI$153*'Statistics NZ'!AI$435)</f>
        <v>39352.912196774465</v>
      </c>
      <c r="Z106" s="111">
        <f>Y$106*'Population Treasury'!AK$153*'Statistics NZ'!AK$435/('Population Treasury'!AJ$153*'Statistics NZ'!AJ$435)</f>
        <v>39239.273281339527</v>
      </c>
      <c r="AA106" s="111">
        <f>Z$106*'Population Treasury'!AL$153*'Statistics NZ'!AL$435/('Population Treasury'!AK$153*'Statistics NZ'!AK$435)</f>
        <v>38367.735588943484</v>
      </c>
      <c r="AB106" s="111">
        <f>AA$106*'Population Treasury'!AM$153*'Statistics NZ'!AM$435/('Population Treasury'!AL$153*'Statistics NZ'!AL$435)</f>
        <v>39099.270323428449</v>
      </c>
      <c r="AC106" s="111">
        <f>AB$106*'Population Treasury'!AN$153*'Statistics NZ'!AN$435/('Population Treasury'!AM$153*'Statistics NZ'!AM$435)</f>
        <v>38667.99209452582</v>
      </c>
      <c r="AD106" s="111">
        <f>AC$106*'Population Treasury'!AO$153*'Statistics NZ'!AO$435/('Population Treasury'!AN$153*'Statistics NZ'!AN$435)</f>
        <v>37385.353231273832</v>
      </c>
      <c r="AE106" s="111">
        <f>AD$106*'Population Treasury'!AP$153*'Statistics NZ'!AP$435/('Population Treasury'!AO$153*'Statistics NZ'!AO$435)</f>
        <v>37934.698311065549</v>
      </c>
      <c r="AF106" s="111">
        <f>AE$106*'Population Treasury'!AQ$153*'Statistics NZ'!AQ$435/('Population Treasury'!AP$153*'Statistics NZ'!AP$435)</f>
        <v>38198.172609927875</v>
      </c>
      <c r="AG106" s="111">
        <f>AF$106*'Population Treasury'!AR$153*'Statistics NZ'!AR$435/('Population Treasury'!AQ$153*'Statistics NZ'!AQ$435)</f>
        <v>38597.30037137631</v>
      </c>
      <c r="AH106" s="111">
        <f>AG$106*'Population Treasury'!AS$153*'Statistics NZ'!AS$435/('Population Treasury'!AR$153*'Statistics NZ'!AR$435)</f>
        <v>39595.507891886649</v>
      </c>
      <c r="AI106" s="111">
        <f>AH$106*'Population Treasury'!AT$153*'Statistics NZ'!AT$435/('Population Treasury'!AS$153*'Statistics NZ'!AS$435)</f>
        <v>41527.253780051142</v>
      </c>
      <c r="AJ106" s="111">
        <f>AI$106*'Population Treasury'!AU$153*'Statistics NZ'!AU$435/('Population Treasury'!AT$153*'Statistics NZ'!AT$435)</f>
        <v>42579.006108574984</v>
      </c>
      <c r="AK106" s="111">
        <f>AJ$106*'Population Treasury'!AV$153*'Statistics NZ'!AV$435/('Population Treasury'!AU$153*'Statistics NZ'!AU$435)</f>
        <v>43136.962288861461</v>
      </c>
      <c r="AL106" s="111">
        <f>AK$106*'Population Treasury'!AW$153*'Statistics NZ'!AW$435/('Population Treasury'!AV$153*'Statistics NZ'!AV$435)</f>
        <v>43628.230141056709</v>
      </c>
      <c r="AM106" s="111">
        <f>AL$106*'Population Treasury'!AX$153*'Statistics NZ'!AX$435/('Population Treasury'!AW$153*'Statistics NZ'!AW$435)</f>
        <v>43356.943276787468</v>
      </c>
      <c r="AN106" s="111">
        <f>AM$106*'Population Treasury'!AY$153*'Statistics NZ'!AY$435/('Population Treasury'!AX$153*'Statistics NZ'!AX$435)</f>
        <v>43214.503313486421</v>
      </c>
      <c r="AO106" s="111">
        <f>AN$106*'Population Treasury'!AZ$153*'Statistics NZ'!AZ$435/('Population Treasury'!AY$153*'Statistics NZ'!AY$435)</f>
        <v>42944.161070841154</v>
      </c>
      <c r="AP106" s="111">
        <f>AO$106*'Population Treasury'!BA$153*'Statistics NZ'!BA$435/('Population Treasury'!AZ$153*'Statistics NZ'!AZ$435)</f>
        <v>42612.341356276316</v>
      </c>
      <c r="AQ106" s="111">
        <f>AP$106*'Population Treasury'!BB$153*'Statistics NZ'!BB$435/('Population Treasury'!BA$153*'Statistics NZ'!BA$435)</f>
        <v>42539.145567864449</v>
      </c>
      <c r="AR106" s="111">
        <f>AQ$106*'Population Treasury'!BC$153*'Statistics NZ'!BC$435/('Population Treasury'!BB$153*'Statistics NZ'!BB$435)</f>
        <v>42255.38325336347</v>
      </c>
      <c r="AS106" s="111">
        <f>AR$106*'Population Treasury'!BD$153*'Statistics NZ'!BD$435/('Population Treasury'!BC$153*'Statistics NZ'!BC$435)</f>
        <v>42025.908753576463</v>
      </c>
      <c r="AT106" s="111">
        <f>AS$106*'Population Treasury'!BE$153*'Statistics NZ'!BE$435/('Population Treasury'!BD$153*'Statistics NZ'!BD$435)</f>
        <v>41367.540994513998</v>
      </c>
      <c r="AU106" s="111">
        <f>AT$106*'Population Treasury'!BF$153*'Statistics NZ'!BF$435/('Population Treasury'!BE$153*'Statistics NZ'!BE$435)</f>
        <v>41350.506488546867</v>
      </c>
      <c r="AV106" s="111">
        <f>AU$106*'Population Treasury'!BG$153*'Statistics NZ'!BG$435/('Population Treasury'!BF$153*'Statistics NZ'!BF$435)</f>
        <v>40731.734852009358</v>
      </c>
      <c r="AW106" s="111">
        <f>AV$106*'Population Treasury'!BH$153*'Statistics NZ'!BH$435/('Population Treasury'!BG$153*'Statistics NZ'!BG$435)</f>
        <v>40567.670461447167</v>
      </c>
      <c r="AX106" s="111">
        <f>AW$106*'Population Treasury'!BI$153*'Statistics NZ'!BI$435/('Population Treasury'!BH$153*'Statistics NZ'!BH$435)</f>
        <v>40543.031625476789</v>
      </c>
      <c r="AY106" s="111">
        <f>AX$106*'Population Treasury'!BJ$153*'Statistics NZ'!BJ$435/('Population Treasury'!BI$153*'Statistics NZ'!BI$435)</f>
        <v>40492.707689879717</v>
      </c>
      <c r="AZ106" s="111">
        <f>AY$106*'Population Treasury'!BK$153*'Statistics NZ'!BK$435/('Population Treasury'!BJ$153*'Statistics NZ'!BJ$435)</f>
        <v>40409.444389545992</v>
      </c>
      <c r="BA106" s="111">
        <f>AZ$106*'Population Treasury'!BL$153*'Statistics NZ'!BL$435/('Population Treasury'!BK$153*'Statistics NZ'!BK$435)</f>
        <v>40527.292177802585</v>
      </c>
      <c r="BB106" s="195">
        <f>BA$106*'Population Treasury'!BM$153*'Statistics NZ'!BM$435/('Population Treasury'!BL$153*'Statistics NZ'!BL$435)</f>
        <v>40622.17347294245</v>
      </c>
      <c r="BC106" s="195">
        <f>BB$106*'Population Treasury'!BN$153*'Statistics NZ'!BN$435/('Population Treasury'!BM$153*'Statistics NZ'!BM$435)</f>
        <v>40684.452062343655</v>
      </c>
      <c r="BD106" s="195">
        <f>BC$106*'Population Treasury'!BO$153*'Statistics NZ'!BO$435/('Population Treasury'!BN$153*'Statistics NZ'!BN$435)</f>
        <v>40724.380101267459</v>
      </c>
      <c r="BE106" s="195">
        <f>BD$106*'Population Treasury'!BP$153*'Statistics NZ'!BP$435/('Population Treasury'!BO$153*'Statistics NZ'!BO$435)</f>
        <v>40762.456671339758</v>
      </c>
      <c r="BF106" s="195">
        <f>BE$106*'Population Treasury'!BQ$153*'Statistics NZ'!BQ$435/('Population Treasury'!BP$153*'Statistics NZ'!BP$435)</f>
        <v>40788.878199531529</v>
      </c>
    </row>
    <row r="107" spans="1:58">
      <c r="A107" s="124">
        <f>$A$39</f>
        <v>44</v>
      </c>
      <c r="B107" s="118">
        <f>'Population Treasury'!M$154*'Statistics NZ'!M$436*'Economic Forecasts'!O$8/B$7</f>
        <v>29057.91977153299</v>
      </c>
      <c r="C107" s="118">
        <f>'Population Treasury'!N$154*'Statistics NZ'!N$436*'Economic Forecasts'!P$8/C$7</f>
        <v>28826.691772011225</v>
      </c>
      <c r="D107" s="118">
        <f>'Population Treasury'!O$154*'Statistics NZ'!O$436*'Economic Forecasts'!Q$8/D$7</f>
        <v>28042.330326929252</v>
      </c>
      <c r="E107" s="203">
        <f>'Population Treasury'!P$154*'Statistics NZ'!P$436*'Economic Forecasts'!R$8/E$7</f>
        <v>27756.351171579689</v>
      </c>
      <c r="F107" s="121">
        <f>'Population Treasury'!Q$154*'Statistics NZ'!Q$436*'Economic Forecasts'!S$8/F$7</f>
        <v>28102.252244399602</v>
      </c>
      <c r="G107" s="121">
        <f>'Population Treasury'!R$154*'Statistics NZ'!R$436*'Economic Forecasts'!T$8/G$7</f>
        <v>28153.056366655237</v>
      </c>
      <c r="H107" s="121">
        <f>'Population Treasury'!S$154*'Statistics NZ'!S$436*'Economic Forecasts'!U$8/H$7</f>
        <v>29457.529842084408</v>
      </c>
      <c r="I107" s="121">
        <f>'Population Treasury'!T$154*'Statistics NZ'!T$436*'Economic Forecasts'!V$8/I$7</f>
        <v>30396.9941821067</v>
      </c>
      <c r="J107" s="205">
        <f>'Population Treasury'!U$154*'Statistics NZ'!U$436*'Economic Forecasts'!W$8/J$7</f>
        <v>31259.793892482681</v>
      </c>
      <c r="K107" s="111">
        <f>J$107*'Population Treasury'!V$154*'Statistics NZ'!V$436/('Population Treasury'!U$154*'Statistics NZ'!U$436)</f>
        <v>32220.235315449434</v>
      </c>
      <c r="L107" s="111">
        <f>K$107*'Population Treasury'!W$154*'Statistics NZ'!W$436/('Population Treasury'!V$154*'Statistics NZ'!V$436)</f>
        <v>33278.409712105495</v>
      </c>
      <c r="M107" s="111">
        <f>L$107*'Population Treasury'!X$154*'Statistics NZ'!X$436/('Population Treasury'!W$154*'Statistics NZ'!W$436)</f>
        <v>33912.896998821307</v>
      </c>
      <c r="N107" s="111">
        <f>M$107*'Population Treasury'!Y$154*'Statistics NZ'!Y$436/('Population Treasury'!X$154*'Statistics NZ'!X$436)</f>
        <v>34408.902356559105</v>
      </c>
      <c r="O107" s="111">
        <f>N$107*'Population Treasury'!Z$154*'Statistics NZ'!Z$436/('Population Treasury'!Y$154*'Statistics NZ'!Y$436)</f>
        <v>35424.600568383066</v>
      </c>
      <c r="P107" s="111">
        <f>O$107*'Population Treasury'!AA$154*'Statistics NZ'!AA$436/('Population Treasury'!Z$154*'Statistics NZ'!Z$436)</f>
        <v>37209.876260261917</v>
      </c>
      <c r="Q107" s="111">
        <f>P$107*'Population Treasury'!AB$154*'Statistics NZ'!AB$436/('Population Treasury'!AA$154*'Statistics NZ'!AA$436)</f>
        <v>38583.850573198572</v>
      </c>
      <c r="R107" s="111">
        <f>Q$107*'Population Treasury'!AC$154*'Statistics NZ'!AC$436/('Population Treasury'!AB$154*'Statistics NZ'!AB$436)</f>
        <v>39598.944101992449</v>
      </c>
      <c r="S107" s="111">
        <f>R$107*'Population Treasury'!AD$154*'Statistics NZ'!AD$436/('Population Treasury'!AC$154*'Statistics NZ'!AC$436)</f>
        <v>41484.37162313993</v>
      </c>
      <c r="T107" s="111">
        <f>S$107*'Population Treasury'!AE$154*'Statistics NZ'!AE$436/('Population Treasury'!AD$154*'Statistics NZ'!AD$436)</f>
        <v>42293.911536863197</v>
      </c>
      <c r="U107" s="111">
        <f>T$107*'Population Treasury'!AF$154*'Statistics NZ'!AF$436/('Population Treasury'!AE$154*'Statistics NZ'!AE$436)</f>
        <v>42447.823491251642</v>
      </c>
      <c r="V107" s="111">
        <f>U$107*'Population Treasury'!AG$154*'Statistics NZ'!AG$436/('Population Treasury'!AF$154*'Statistics NZ'!AF$436)</f>
        <v>42094.717226227891</v>
      </c>
      <c r="W107" s="111">
        <f>V$107*'Population Treasury'!AH$154*'Statistics NZ'!AH$436/('Population Treasury'!AG$154*'Statistics NZ'!AG$436)</f>
        <v>40890.354705978083</v>
      </c>
      <c r="X107" s="111">
        <f>W$107*'Population Treasury'!AI$154*'Statistics NZ'!AI$436/('Population Treasury'!AH$154*'Statistics NZ'!AH$436)</f>
        <v>40832.910002118319</v>
      </c>
      <c r="Y107" s="111">
        <f>X$107*'Population Treasury'!AJ$154*'Statistics NZ'!AJ$436/('Population Treasury'!AI$154*'Statistics NZ'!AI$436)</f>
        <v>40645.291530565519</v>
      </c>
      <c r="Z107" s="111">
        <f>Y$107*'Population Treasury'!AK$154*'Statistics NZ'!AK$436/('Population Treasury'!AJ$154*'Statistics NZ'!AJ$436)</f>
        <v>39398.425534250127</v>
      </c>
      <c r="AA107" s="111">
        <f>Z$107*'Population Treasury'!AL$154*'Statistics NZ'!AL$436/('Population Treasury'!AK$154*'Statistics NZ'!AK$436)</f>
        <v>39294.042441978025</v>
      </c>
      <c r="AB107" s="111">
        <f>AA$107*'Population Treasury'!AM$154*'Statistics NZ'!AM$436/('Population Treasury'!AL$154*'Statistics NZ'!AL$436)</f>
        <v>38422.138409436178</v>
      </c>
      <c r="AC107" s="111">
        <f>AB$107*'Population Treasury'!AN$154*'Statistics NZ'!AN$436/('Population Treasury'!AM$154*'Statistics NZ'!AM$436)</f>
        <v>39142.369177468805</v>
      </c>
      <c r="AD107" s="111">
        <f>AC$107*'Population Treasury'!AO$154*'Statistics NZ'!AO$436/('Population Treasury'!AN$154*'Statistics NZ'!AN$436)</f>
        <v>38710.398702301194</v>
      </c>
      <c r="AE107" s="111">
        <f>AD$107*'Population Treasury'!AP$154*'Statistics NZ'!AP$436/('Population Treasury'!AO$154*'Statistics NZ'!AO$436)</f>
        <v>37448.638968344785</v>
      </c>
      <c r="AF107" s="111">
        <f>AE$107*'Population Treasury'!AQ$154*'Statistics NZ'!AQ$436/('Population Treasury'!AP$154*'Statistics NZ'!AP$436)</f>
        <v>37986.907181891758</v>
      </c>
      <c r="AG107" s="111">
        <f>AF$107*'Population Treasury'!AR$154*'Statistics NZ'!AR$436/('Population Treasury'!AQ$154*'Statistics NZ'!AQ$436)</f>
        <v>38249.199866468232</v>
      </c>
      <c r="AH107" s="111">
        <f>AG$107*'Population Treasury'!AS$154*'Statistics NZ'!AS$436/('Population Treasury'!AR$154*'Statistics NZ'!AR$436)</f>
        <v>38647.4678369834</v>
      </c>
      <c r="AI107" s="111">
        <f>AH$107*'Population Treasury'!AT$154*'Statistics NZ'!AT$436/('Population Treasury'!AS$154*'Statistics NZ'!AS$436)</f>
        <v>39646.224180214296</v>
      </c>
      <c r="AJ107" s="111">
        <f>AI$107*'Population Treasury'!AU$154*'Statistics NZ'!AU$436/('Population Treasury'!AT$154*'Statistics NZ'!AT$436)</f>
        <v>41577.868907252392</v>
      </c>
      <c r="AK107" s="111">
        <f>AJ$107*'Population Treasury'!AV$154*'Statistics NZ'!AV$436/('Population Treasury'!AU$154*'Statistics NZ'!AU$436)</f>
        <v>42617.51639090044</v>
      </c>
      <c r="AL107" s="111">
        <f>AK$107*'Population Treasury'!AW$154*'Statistics NZ'!AW$436/('Population Treasury'!AV$154*'Statistics NZ'!AV$436)</f>
        <v>43187.825661903145</v>
      </c>
      <c r="AM107" s="111">
        <f>AL$107*'Population Treasury'!AX$154*'Statistics NZ'!AX$436/('Population Treasury'!AW$154*'Statistics NZ'!AW$436)</f>
        <v>43667.248679536096</v>
      </c>
      <c r="AN107" s="111">
        <f>AM$107*'Population Treasury'!AY$154*'Statistics NZ'!AY$436/('Population Treasury'!AX$154*'Statistics NZ'!AX$436)</f>
        <v>43396.066638447461</v>
      </c>
      <c r="AO107" s="111">
        <f>AN$107*'Population Treasury'!AZ$154*'Statistics NZ'!AZ$436/('Population Treasury'!AY$154*'Statistics NZ'!AY$436)</f>
        <v>43253.157994714144</v>
      </c>
      <c r="AP107" s="111">
        <f>AO$107*'Population Treasury'!BA$154*'Statistics NZ'!BA$436/('Population Treasury'!AZ$154*'Statistics NZ'!AZ$436)</f>
        <v>42982.740742531401</v>
      </c>
      <c r="AQ107" s="111">
        <f>AP$107*'Population Treasury'!BB$154*'Statistics NZ'!BB$436/('Population Treasury'!BA$154*'Statistics NZ'!BA$436)</f>
        <v>42650.332650762204</v>
      </c>
      <c r="AR107" s="111">
        <f>AQ$107*'Population Treasury'!BC$154*'Statistics NZ'!BC$436/('Population Treasury'!BB$154*'Statistics NZ'!BB$436)</f>
        <v>42586.872471937852</v>
      </c>
      <c r="AS107" s="111">
        <f>AR$107*'Population Treasury'!BD$154*'Statistics NZ'!BD$436/('Population Treasury'!BC$154*'Statistics NZ'!BC$436)</f>
        <v>42293.462581803164</v>
      </c>
      <c r="AT107" s="111">
        <f>AS$107*'Population Treasury'!BE$154*'Statistics NZ'!BE$436/('Population Treasury'!BD$154*'Statistics NZ'!BD$436)</f>
        <v>42074.716934404823</v>
      </c>
      <c r="AU107" s="111">
        <f>AT$107*'Population Treasury'!BF$154*'Statistics NZ'!BF$436/('Population Treasury'!BE$154*'Statistics NZ'!BE$436)</f>
        <v>41418.127819227193</v>
      </c>
      <c r="AV107" s="111">
        <f>AU$107*'Population Treasury'!BG$154*'Statistics NZ'!BG$436/('Population Treasury'!BF$154*'Statistics NZ'!BF$436)</f>
        <v>41380.961881613541</v>
      </c>
      <c r="AW107" s="111">
        <f>AV$107*'Population Treasury'!BH$154*'Statistics NZ'!BH$436/('Population Treasury'!BG$154*'Statistics NZ'!BG$436)</f>
        <v>40784.556530406546</v>
      </c>
      <c r="AX107" s="111">
        <f>AW$107*'Population Treasury'!BI$154*'Statistics NZ'!BI$436/('Population Treasury'!BH$154*'Statistics NZ'!BH$436)</f>
        <v>40610.461460770486</v>
      </c>
      <c r="AY107" s="111">
        <f>AX$107*'Population Treasury'!BJ$154*'Statistics NZ'!BJ$436/('Population Treasury'!BI$154*'Statistics NZ'!BI$436)</f>
        <v>40586.263356454328</v>
      </c>
      <c r="AZ107" s="111">
        <f>AY$107*'Population Treasury'!BK$154*'Statistics NZ'!BK$436/('Population Treasury'!BJ$154*'Statistics NZ'!BJ$436)</f>
        <v>40536.866345623908</v>
      </c>
      <c r="BA107" s="111">
        <f>AZ$107*'Population Treasury'!BL$154*'Statistics NZ'!BL$436/('Population Treasury'!BK$154*'Statistics NZ'!BK$436)</f>
        <v>40463.797281307809</v>
      </c>
      <c r="BB107" s="195">
        <f>BA$107*'Population Treasury'!BM$154*'Statistics NZ'!BM$436/('Population Treasury'!BL$154*'Statistics NZ'!BL$436)</f>
        <v>40591.26880220462</v>
      </c>
      <c r="BC107" s="195">
        <f>BB$107*'Population Treasury'!BN$154*'Statistics NZ'!BN$436/('Population Treasury'!BM$154*'Statistics NZ'!BM$436)</f>
        <v>40675.96188000586</v>
      </c>
      <c r="BD107" s="195">
        <f>BC$107*'Population Treasury'!BO$154*'Statistics NZ'!BO$436/('Population Treasury'!BN$154*'Statistics NZ'!BN$436)</f>
        <v>40738.27275456705</v>
      </c>
      <c r="BE107" s="195">
        <f>BD$107*'Population Treasury'!BP$154*'Statistics NZ'!BP$436/('Population Treasury'!BO$154*'Statistics NZ'!BO$436)</f>
        <v>40777.600272460011</v>
      </c>
      <c r="BF107" s="195">
        <f>BE$107*'Population Treasury'!BQ$154*'Statistics NZ'!BQ$436/('Population Treasury'!BP$154*'Statistics NZ'!BP$436)</f>
        <v>40815.727898558674</v>
      </c>
    </row>
    <row r="108" spans="1:58">
      <c r="A108" s="124">
        <f>$A$40</f>
        <v>45</v>
      </c>
      <c r="B108" s="118">
        <f>'Population Treasury'!M$155*'Statistics NZ'!M$437*'Economic Forecasts'!O$8/B$7</f>
        <v>30016.029921701145</v>
      </c>
      <c r="C108" s="118">
        <f>'Population Treasury'!N$155*'Statistics NZ'!N$437*'Economic Forecasts'!P$8/C$7</f>
        <v>29935.817829223281</v>
      </c>
      <c r="D108" s="118">
        <f>'Population Treasury'!O$155*'Statistics NZ'!O$437*'Economic Forecasts'!Q$8/D$7</f>
        <v>28880.225146826931</v>
      </c>
      <c r="E108" s="203">
        <f>'Population Treasury'!P$155*'Statistics NZ'!P$437*'Economic Forecasts'!R$8/E$7</f>
        <v>28204.258622631682</v>
      </c>
      <c r="F108" s="121">
        <f>'Population Treasury'!Q$155*'Statistics NZ'!Q$437*'Economic Forecasts'!S$8/F$7</f>
        <v>27913.416953535896</v>
      </c>
      <c r="G108" s="121">
        <f>'Population Treasury'!R$155*'Statistics NZ'!R$437*'Economic Forecasts'!T$8/G$7</f>
        <v>28457.400203861089</v>
      </c>
      <c r="H108" s="121">
        <f>'Population Treasury'!S$155*'Statistics NZ'!S$437*'Economic Forecasts'!U$8/H$7</f>
        <v>28419.623704287093</v>
      </c>
      <c r="I108" s="121">
        <f>'Population Treasury'!T$155*'Statistics NZ'!T$437*'Economic Forecasts'!V$8/I$7</f>
        <v>29641.67292151515</v>
      </c>
      <c r="J108" s="205">
        <f>'Population Treasury'!U$155*'Statistics NZ'!U$437*'Economic Forecasts'!W$8/J$7</f>
        <v>30545.026436881111</v>
      </c>
      <c r="K108" s="111">
        <f>J$108*'Population Treasury'!V$155*'Statistics NZ'!V$437/('Population Treasury'!U$155*'Statistics NZ'!U$437)</f>
        <v>31299.114880440331</v>
      </c>
      <c r="L108" s="111">
        <f>K$108*'Population Treasury'!W$155*'Statistics NZ'!W$437/('Population Treasury'!V$155*'Statistics NZ'!V$437)</f>
        <v>32164.561664694771</v>
      </c>
      <c r="M108" s="111">
        <f>L$108*'Population Treasury'!X$155*'Statistics NZ'!X$437/('Population Treasury'!W$155*'Statistics NZ'!W$437)</f>
        <v>33158.722075325706</v>
      </c>
      <c r="N108" s="111">
        <f>M$108*'Population Treasury'!Y$155*'Statistics NZ'!Y$437/('Population Treasury'!X$155*'Statistics NZ'!X$437)</f>
        <v>33747.905105783298</v>
      </c>
      <c r="O108" s="111">
        <f>N$108*'Population Treasury'!Z$155*'Statistics NZ'!Z$437/('Population Treasury'!Y$155*'Statistics NZ'!Y$437)</f>
        <v>34173.26028745521</v>
      </c>
      <c r="P108" s="111">
        <f>O$108*'Population Treasury'!AA$155*'Statistics NZ'!AA$437/('Population Treasury'!Z$155*'Statistics NZ'!Z$437)</f>
        <v>35149.454291791953</v>
      </c>
      <c r="Q108" s="111">
        <f>P$108*'Population Treasury'!AB$155*'Statistics NZ'!AB$437/('Population Treasury'!AA$155*'Statistics NZ'!AA$437)</f>
        <v>36913.556286772291</v>
      </c>
      <c r="R108" s="111">
        <f>Q$108*'Population Treasury'!AC$155*'Statistics NZ'!AC$437/('Population Treasury'!AB$155*'Statistics NZ'!AB$437)</f>
        <v>38242.039755014848</v>
      </c>
      <c r="S108" s="111">
        <f>R$108*'Population Treasury'!AD$155*'Statistics NZ'!AD$437/('Population Treasury'!AC$155*'Statistics NZ'!AC$437)</f>
        <v>39242.29507412565</v>
      </c>
      <c r="T108" s="111">
        <f>S$108*'Population Treasury'!AE$155*'Statistics NZ'!AE$437/('Population Treasury'!AD$155*'Statistics NZ'!AD$437)</f>
        <v>41118.430351222567</v>
      </c>
      <c r="U108" s="111">
        <f>T$108*'Population Treasury'!AF$155*'Statistics NZ'!AF$437/('Population Treasury'!AE$155*'Statistics NZ'!AE$437)</f>
        <v>41918.54036809961</v>
      </c>
      <c r="V108" s="111">
        <f>U$108*'Population Treasury'!AG$155*'Statistics NZ'!AG$437/('Population Treasury'!AF$155*'Statistics NZ'!AF$437)</f>
        <v>42082.182560149355</v>
      </c>
      <c r="W108" s="111">
        <f>V$108*'Population Treasury'!AH$155*'Statistics NZ'!AH$437/('Population Treasury'!AG$155*'Statistics NZ'!AG$437)</f>
        <v>41729.831541933352</v>
      </c>
      <c r="X108" s="111">
        <f>W$108*'Population Treasury'!AI$155*'Statistics NZ'!AI$437/('Population Treasury'!AH$155*'Statistics NZ'!AH$437)</f>
        <v>40526.142559552376</v>
      </c>
      <c r="Y108" s="111">
        <f>X$108*'Population Treasury'!AJ$155*'Statistics NZ'!AJ$437/('Population Treasury'!AI$155*'Statistics NZ'!AI$437)</f>
        <v>40468.900978919286</v>
      </c>
      <c r="Z108" s="111">
        <f>Y$108*'Population Treasury'!AK$155*'Statistics NZ'!AK$437/('Population Treasury'!AJ$155*'Statistics NZ'!AJ$437)</f>
        <v>40281.149373638924</v>
      </c>
      <c r="AA108" s="111">
        <f>Z$108*'Population Treasury'!AL$155*'Statistics NZ'!AL$437/('Population Treasury'!AK$155*'Statistics NZ'!AK$437)</f>
        <v>39034.438545177043</v>
      </c>
      <c r="AB108" s="111">
        <f>AA$108*'Population Treasury'!AM$155*'Statistics NZ'!AM$437/('Population Treasury'!AL$155*'Statistics NZ'!AL$437)</f>
        <v>38927.955355852006</v>
      </c>
      <c r="AC108" s="111">
        <f>AB$108*'Population Treasury'!AN$155*'Statistics NZ'!AN$437/('Population Treasury'!AM$155*'Statistics NZ'!AM$437)</f>
        <v>38065.938981956118</v>
      </c>
      <c r="AD108" s="111">
        <f>AC$108*'Population Treasury'!AO$155*'Statistics NZ'!AO$437/('Population Treasury'!AN$155*'Statistics NZ'!AN$437)</f>
        <v>38785.320672824171</v>
      </c>
      <c r="AE108" s="111">
        <f>AD$108*'Population Treasury'!AP$155*'Statistics NZ'!AP$437/('Population Treasury'!AO$155*'Statistics NZ'!AO$437)</f>
        <v>38351.944943760158</v>
      </c>
      <c r="AF108" s="111">
        <f>AE$108*'Population Treasury'!AQ$155*'Statistics NZ'!AQ$437/('Population Treasury'!AP$155*'Statistics NZ'!AP$437)</f>
        <v>37078.840516177974</v>
      </c>
      <c r="AG108" s="111">
        <f>AF$108*'Population Treasury'!AR$155*'Statistics NZ'!AR$437/('Population Treasury'!AQ$155*'Statistics NZ'!AQ$437)</f>
        <v>37616.206127149198</v>
      </c>
      <c r="AH108" s="111">
        <f>AG$108*'Population Treasury'!AS$155*'Statistics NZ'!AS$437/('Population Treasury'!AR$155*'Statistics NZ'!AR$437)</f>
        <v>37878.946945261385</v>
      </c>
      <c r="AI108" s="111">
        <f>AH$108*'Population Treasury'!AT$155*'Statistics NZ'!AT$437/('Population Treasury'!AS$155*'Statistics NZ'!AS$437)</f>
        <v>38298.167573945888</v>
      </c>
      <c r="AJ108" s="111">
        <f>AI$108*'Population Treasury'!AU$155*'Statistics NZ'!AU$437/('Population Treasury'!AT$155*'Statistics NZ'!AT$437)</f>
        <v>39274.126169314943</v>
      </c>
      <c r="AK108" s="111">
        <f>AJ$108*'Population Treasury'!AV$155*'Statistics NZ'!AV$437/('Population Treasury'!AU$155*'Statistics NZ'!AU$437)</f>
        <v>41205.490842313164</v>
      </c>
      <c r="AL108" s="111">
        <f>AK$108*'Population Treasury'!AW$155*'Statistics NZ'!AW$437/('Population Treasury'!AV$155*'Statistics NZ'!AV$437)</f>
        <v>42246.794308373275</v>
      </c>
      <c r="AM108" s="111">
        <f>AL$108*'Population Treasury'!AX$155*'Statistics NZ'!AX$437/('Population Treasury'!AW$155*'Statistics NZ'!AW$437)</f>
        <v>42804.376270939727</v>
      </c>
      <c r="AN108" s="111">
        <f>AM$108*'Population Treasury'!AY$155*'Statistics NZ'!AY$437/('Population Treasury'!AX$155*'Statistics NZ'!AX$437)</f>
        <v>43294.788581682318</v>
      </c>
      <c r="AO108" s="111">
        <f>AN$108*'Population Treasury'!AZ$155*'Statistics NZ'!AZ$437/('Population Treasury'!AY$155*'Statistics NZ'!AY$437)</f>
        <v>43011.294134259966</v>
      </c>
      <c r="AP108" s="111">
        <f>AO$108*'Population Treasury'!BA$155*'Statistics NZ'!BA$437/('Population Treasury'!AZ$155*'Statistics NZ'!AZ$437)</f>
        <v>42879.402843393946</v>
      </c>
      <c r="AQ108" s="111">
        <f>AP$108*'Population Treasury'!BB$155*'Statistics NZ'!BB$437/('Population Treasury'!BA$155*'Statistics NZ'!BA$437)</f>
        <v>42597.143141134191</v>
      </c>
      <c r="AR108" s="111">
        <f>AQ$108*'Population Treasury'!BC$155*'Statistics NZ'!BC$437/('Population Treasury'!BB$155*'Statistics NZ'!BB$437)</f>
        <v>42264.629524708951</v>
      </c>
      <c r="AS108" s="111">
        <f>AR$108*'Population Treasury'!BD$155*'Statistics NZ'!BD$437/('Population Treasury'!BC$155*'Statistics NZ'!BC$437)</f>
        <v>42212.305962760474</v>
      </c>
      <c r="AT108" s="111">
        <f>AS$108*'Population Treasury'!BE$155*'Statistics NZ'!BE$437/('Population Treasury'!BD$155*'Statistics NZ'!BD$437)</f>
        <v>41929.509057480849</v>
      </c>
      <c r="AU108" s="111">
        <f>AT$108*'Population Treasury'!BF$155*'Statistics NZ'!BF$437/('Population Treasury'!BE$155*'Statistics NZ'!BE$437)</f>
        <v>41701.5117747236</v>
      </c>
      <c r="AV108" s="111">
        <f>AU$108*'Population Treasury'!BG$155*'Statistics NZ'!BG$437/('Population Treasury'!BF$155*'Statistics NZ'!BF$437)</f>
        <v>41036.432587742223</v>
      </c>
      <c r="AW108" s="111">
        <f>AV$108*'Population Treasury'!BH$155*'Statistics NZ'!BH$437/('Population Treasury'!BG$155*'Statistics NZ'!BG$437)</f>
        <v>41020.640094821414</v>
      </c>
      <c r="AX108" s="111">
        <f>AW$108*'Population Treasury'!BI$155*'Statistics NZ'!BI$437/('Population Treasury'!BH$155*'Statistics NZ'!BH$437)</f>
        <v>40415.737864605297</v>
      </c>
      <c r="AY108" s="111">
        <f>AX$108*'Population Treasury'!BJ$155*'Statistics NZ'!BJ$437/('Population Treasury'!BI$155*'Statistics NZ'!BI$437)</f>
        <v>40252.717717051433</v>
      </c>
      <c r="AZ108" s="111">
        <f>AY$108*'Population Treasury'!BK$155*'Statistics NZ'!BK$437/('Population Treasury'!BJ$155*'Statistics NZ'!BJ$437)</f>
        <v>40218.967802968029</v>
      </c>
      <c r="BA108" s="111">
        <f>AZ$108*'Population Treasury'!BL$155*'Statistics NZ'!BL$437/('Population Treasury'!BK$155*'Statistics NZ'!BK$437)</f>
        <v>40179.84141758363</v>
      </c>
      <c r="BB108" s="195">
        <f>BA$108*'Population Treasury'!BM$155*'Statistics NZ'!BM$437/('Population Treasury'!BL$155*'Statistics NZ'!BL$437)</f>
        <v>40106.975343572893</v>
      </c>
      <c r="BC108" s="195">
        <f>BB$108*'Population Treasury'!BN$155*'Statistics NZ'!BN$437/('Population Treasury'!BM$155*'Statistics NZ'!BM$437)</f>
        <v>40224.376793853204</v>
      </c>
      <c r="BD108" s="195">
        <f>BC$108*'Population Treasury'!BO$155*'Statistics NZ'!BO$437/('Population Treasury'!BN$155*'Statistics NZ'!BN$437)</f>
        <v>40318.768448896306</v>
      </c>
      <c r="BE108" s="195">
        <f>BD$108*'Population Treasury'!BP$155*'Statistics NZ'!BP$437/('Population Treasury'!BO$155*'Statistics NZ'!BO$437)</f>
        <v>40370.830620504457</v>
      </c>
      <c r="BF108" s="195">
        <f>BE$108*'Population Treasury'!BQ$155*'Statistics NZ'!BQ$437/('Population Treasury'!BP$155*'Statistics NZ'!BP$437)</f>
        <v>40419.884808764771</v>
      </c>
    </row>
    <row r="109" spans="1:58">
      <c r="A109" s="124">
        <f>$A$41</f>
        <v>46</v>
      </c>
      <c r="B109" s="118">
        <f>'Population Treasury'!M$156*'Statistics NZ'!M$438*'Economic Forecasts'!O$8/B$7</f>
        <v>30010.006974622029</v>
      </c>
      <c r="C109" s="118">
        <f>'Population Treasury'!N$156*'Statistics NZ'!N$438*'Economic Forecasts'!P$8/C$7</f>
        <v>30786.871347601365</v>
      </c>
      <c r="D109" s="118">
        <f>'Population Treasury'!O$156*'Statistics NZ'!O$438*'Economic Forecasts'!Q$8/D$7</f>
        <v>29956.361231259507</v>
      </c>
      <c r="E109" s="203">
        <f>'Population Treasury'!P$156*'Statistics NZ'!P$438*'Economic Forecasts'!R$8/E$7</f>
        <v>29023.201068731763</v>
      </c>
      <c r="F109" s="121">
        <f>'Population Treasury'!Q$156*'Statistics NZ'!Q$438*'Economic Forecasts'!S$8/F$7</f>
        <v>28361.571229506055</v>
      </c>
      <c r="G109" s="121">
        <f>'Population Treasury'!R$156*'Statistics NZ'!R$438*'Economic Forecasts'!T$8/G$7</f>
        <v>28237.860974535794</v>
      </c>
      <c r="H109" s="121">
        <f>'Population Treasury'!S$156*'Statistics NZ'!S$438*'Economic Forecasts'!U$8/H$7</f>
        <v>28694.012891718779</v>
      </c>
      <c r="I109" s="121">
        <f>'Population Treasury'!T$156*'Statistics NZ'!T$438*'Economic Forecasts'!V$8/I$7</f>
        <v>28578.313197237279</v>
      </c>
      <c r="J109" s="205">
        <f>'Population Treasury'!U$156*'Statistics NZ'!U$438*'Economic Forecasts'!W$8/J$7</f>
        <v>29785.812897973199</v>
      </c>
      <c r="K109" s="111">
        <f>J$109*'Population Treasury'!V$156*'Statistics NZ'!V$438/('Population Treasury'!U$156*'Statistics NZ'!U$438)</f>
        <v>30605.492968132367</v>
      </c>
      <c r="L109" s="111">
        <f>K$109*'Population Treasury'!W$156*'Statistics NZ'!W$438/('Population Treasury'!V$156*'Statistics NZ'!V$438)</f>
        <v>31341.044635360169</v>
      </c>
      <c r="M109" s="111">
        <f>L$109*'Population Treasury'!X$156*'Statistics NZ'!X$438/('Population Treasury'!W$156*'Statistics NZ'!W$438)</f>
        <v>32201.06359398313</v>
      </c>
      <c r="N109" s="111">
        <f>M$109*'Population Treasury'!Y$156*'Statistics NZ'!Y$438/('Population Treasury'!X$156*'Statistics NZ'!X$438)</f>
        <v>33187.535229920402</v>
      </c>
      <c r="O109" s="111">
        <f>N$109*'Population Treasury'!Z$156*'Statistics NZ'!Z$438/('Population Treasury'!Y$156*'Statistics NZ'!Y$438)</f>
        <v>33758.785424990056</v>
      </c>
      <c r="P109" s="111">
        <f>O$109*'Population Treasury'!AA$156*'Statistics NZ'!AA$438/('Population Treasury'!Z$156*'Statistics NZ'!Z$438)</f>
        <v>34186.860737448413</v>
      </c>
      <c r="Q109" s="111">
        <f>P$109*'Population Treasury'!AB$156*'Statistics NZ'!AB$438/('Population Treasury'!AA$156*'Statistics NZ'!AA$438)</f>
        <v>35145.017788245408</v>
      </c>
      <c r="R109" s="111">
        <f>Q$109*'Population Treasury'!AC$156*'Statistics NZ'!AC$438/('Population Treasury'!AB$156*'Statistics NZ'!AB$438)</f>
        <v>36892.241832412314</v>
      </c>
      <c r="S109" s="111">
        <f>R$109*'Population Treasury'!AD$156*'Statistics NZ'!AD$438/('Population Treasury'!AC$156*'Statistics NZ'!AC$438)</f>
        <v>38213.407002217595</v>
      </c>
      <c r="T109" s="111">
        <f>S$109*'Population Treasury'!AE$156*'Statistics NZ'!AE$438/('Population Treasury'!AD$156*'Statistics NZ'!AD$438)</f>
        <v>39215.127688386317</v>
      </c>
      <c r="U109" s="111">
        <f>T$109*'Population Treasury'!AF$156*'Statistics NZ'!AF$438/('Population Treasury'!AE$156*'Statistics NZ'!AE$438)</f>
        <v>41081.055608975068</v>
      </c>
      <c r="V109" s="111">
        <f>U$109*'Population Treasury'!AG$156*'Statistics NZ'!AG$438/('Population Treasury'!AF$156*'Statistics NZ'!AF$438)</f>
        <v>41872.347762928148</v>
      </c>
      <c r="W109" s="111">
        <f>V$109*'Population Treasury'!AH$156*'Statistics NZ'!AH$438/('Population Treasury'!AG$156*'Statistics NZ'!AG$438)</f>
        <v>42036.182104081658</v>
      </c>
      <c r="X109" s="111">
        <f>W$109*'Population Treasury'!AI$156*'Statistics NZ'!AI$438/('Population Treasury'!AH$156*'Statistics NZ'!AH$438)</f>
        <v>41684.998607316709</v>
      </c>
      <c r="Y109" s="111">
        <f>X$109*'Population Treasury'!AJ$156*'Statistics NZ'!AJ$438/('Population Treasury'!AI$156*'Statistics NZ'!AI$438)</f>
        <v>40482.236538098317</v>
      </c>
      <c r="Z109" s="111">
        <f>Y$109*'Population Treasury'!AK$156*'Statistics NZ'!AK$438/('Population Treasury'!AJ$156*'Statistics NZ'!AJ$438)</f>
        <v>40425.347803834848</v>
      </c>
      <c r="AA109" s="111">
        <f>Z$109*'Population Treasury'!AL$156*'Statistics NZ'!AL$438/('Population Treasury'!AK$156*'Statistics NZ'!AK$438)</f>
        <v>40237.882571389397</v>
      </c>
      <c r="AB109" s="111">
        <f>AA$109*'Population Treasury'!AM$156*'Statistics NZ'!AM$438/('Population Treasury'!AL$156*'Statistics NZ'!AL$438)</f>
        <v>39000.125451752989</v>
      </c>
      <c r="AC109" s="111">
        <f>AB$109*'Population Treasury'!AN$156*'Statistics NZ'!AN$438/('Population Treasury'!AM$156*'Statistics NZ'!AM$438)</f>
        <v>38892.758435469019</v>
      </c>
      <c r="AD109" s="111">
        <f>AC$109*'Population Treasury'!AO$156*'Statistics NZ'!AO$438/('Population Treasury'!AN$156*'Statistics NZ'!AN$438)</f>
        <v>38030.18178834951</v>
      </c>
      <c r="AE109" s="111">
        <f>AD$109*'Population Treasury'!AP$156*'Statistics NZ'!AP$438/('Population Treasury'!AO$156*'Statistics NZ'!AO$438)</f>
        <v>38738.645513439507</v>
      </c>
      <c r="AF109" s="111">
        <f>AE$109*'Population Treasury'!AQ$156*'Statistics NZ'!AQ$438/('Population Treasury'!AP$156*'Statistics NZ'!AP$438)</f>
        <v>38313.61058883099</v>
      </c>
      <c r="AG109" s="111">
        <f>AF$109*'Population Treasury'!AR$156*'Statistics NZ'!AR$438/('Population Treasury'!AQ$156*'Statistics NZ'!AQ$438)</f>
        <v>37050.62716935217</v>
      </c>
      <c r="AH109" s="111">
        <f>AG$109*'Population Treasury'!AS$156*'Statistics NZ'!AS$438/('Population Treasury'!AR$156*'Statistics NZ'!AR$438)</f>
        <v>37596.960473697494</v>
      </c>
      <c r="AI109" s="111">
        <f>AH$109*'Population Treasury'!AT$156*'Statistics NZ'!AT$438/('Population Treasury'!AS$156*'Statistics NZ'!AS$438)</f>
        <v>37850.356972277201</v>
      </c>
      <c r="AJ109" s="111">
        <f>AI$109*'Population Treasury'!AU$156*'Statistics NZ'!AU$438/('Population Treasury'!AT$156*'Statistics NZ'!AT$438)</f>
        <v>38246.708955933456</v>
      </c>
      <c r="AK109" s="111">
        <f>AJ$109*'Population Treasury'!AV$156*'Statistics NZ'!AV$438/('Population Treasury'!AU$156*'Statistics NZ'!AU$438)</f>
        <v>39243.038187261642</v>
      </c>
      <c r="AL109" s="111">
        <f>AK$109*'Population Treasury'!AW$156*'Statistics NZ'!AW$438/('Population Treasury'!AV$156*'Statistics NZ'!AV$438)</f>
        <v>41162.717055669724</v>
      </c>
      <c r="AM109" s="111">
        <f>AL$109*'Population Treasury'!AX$156*'Statistics NZ'!AX$438/('Population Treasury'!AW$156*'Statistics NZ'!AW$438)</f>
        <v>42204.71667260916</v>
      </c>
      <c r="AN109" s="111">
        <f>AM$109*'Population Treasury'!AY$156*'Statistics NZ'!AY$438/('Population Treasury'!AX$156*'Statistics NZ'!AX$438)</f>
        <v>42752.301394327813</v>
      </c>
      <c r="AO109" s="111">
        <f>AN$109*'Population Treasury'!AZ$156*'Statistics NZ'!AZ$438/('Population Treasury'!AY$156*'Statistics NZ'!AY$438)</f>
        <v>43230.711631935636</v>
      </c>
      <c r="AP109" s="111">
        <f>AO$109*'Population Treasury'!BA$156*'Statistics NZ'!BA$438/('Population Treasury'!AZ$156*'Statistics NZ'!AZ$438)</f>
        <v>42957.911623114036</v>
      </c>
      <c r="AQ109" s="111">
        <f>AP$109*'Population Treasury'!BB$156*'Statistics NZ'!BB$438/('Population Treasury'!BA$156*'Statistics NZ'!BA$438)</f>
        <v>42825.350822459906</v>
      </c>
      <c r="AR109" s="111">
        <f>AQ$109*'Population Treasury'!BC$156*'Statistics NZ'!BC$438/('Population Treasury'!BB$156*'Statistics NZ'!BB$438)</f>
        <v>42564.433886529237</v>
      </c>
      <c r="AS109" s="111">
        <f>AR$109*'Population Treasury'!BD$156*'Statistics NZ'!BD$438/('Population Treasury'!BC$156*'Statistics NZ'!BC$438)</f>
        <v>42219.370153567928</v>
      </c>
      <c r="AT109" s="111">
        <f>AS$109*'Population Treasury'!BE$156*'Statistics NZ'!BE$438/('Population Treasury'!BD$156*'Statistics NZ'!BD$438)</f>
        <v>42166.99062300341</v>
      </c>
      <c r="AU109" s="111">
        <f>AT$109*'Population Treasury'!BF$156*'Statistics NZ'!BF$438/('Population Treasury'!BE$156*'Statistics NZ'!BE$438)</f>
        <v>41884.375556208506</v>
      </c>
      <c r="AV109" s="111">
        <f>AU$109*'Population Treasury'!BG$156*'Statistics NZ'!BG$438/('Population Treasury'!BF$156*'Statistics NZ'!BF$438)</f>
        <v>41669.391925119729</v>
      </c>
      <c r="AW109" s="111">
        <f>AV$109*'Population Treasury'!BH$156*'Statistics NZ'!BH$438/('Population Treasury'!BG$156*'Statistics NZ'!BG$438)</f>
        <v>41006.494464096315</v>
      </c>
      <c r="AX109" s="111">
        <f>AW$109*'Population Treasury'!BI$156*'Statistics NZ'!BI$438/('Population Treasury'!BH$156*'Statistics NZ'!BH$438)</f>
        <v>40981.256577455686</v>
      </c>
      <c r="AY109" s="111">
        <f>AX$109*'Population Treasury'!BJ$156*'Statistics NZ'!BJ$438/('Population Treasury'!BI$156*'Statistics NZ'!BI$438)</f>
        <v>40377.710989354637</v>
      </c>
      <c r="AZ109" s="111">
        <f>AY$109*'Population Treasury'!BK$156*'Statistics NZ'!BK$438/('Population Treasury'!BJ$156*'Statistics NZ'!BJ$438)</f>
        <v>40205.685849188405</v>
      </c>
      <c r="BA109" s="111">
        <f>AZ$109*'Population Treasury'!BL$156*'Statistics NZ'!BL$438/('Population Treasury'!BK$156*'Statistics NZ'!BK$438)</f>
        <v>40182.463345638513</v>
      </c>
      <c r="BB109" s="195">
        <f>BA$109*'Population Treasury'!BM$156*'Statistics NZ'!BM$438/('Population Treasury'!BL$156*'Statistics NZ'!BL$438)</f>
        <v>40133.820714640191</v>
      </c>
      <c r="BC109" s="195">
        <f>BB$109*'Population Treasury'!BN$156*'Statistics NZ'!BN$438/('Population Treasury'!BM$156*'Statistics NZ'!BM$438)</f>
        <v>40061.28056729558</v>
      </c>
      <c r="BD109" s="195">
        <f>BC$109*'Population Treasury'!BO$156*'Statistics NZ'!BO$438/('Population Treasury'!BN$156*'Statistics NZ'!BN$438)</f>
        <v>40188.327319691904</v>
      </c>
      <c r="BE109" s="195">
        <f>BD$109*'Population Treasury'!BP$156*'Statistics NZ'!BP$438/('Population Treasury'!BO$156*'Statistics NZ'!BO$438)</f>
        <v>40272.549249321404</v>
      </c>
      <c r="BF109" s="195">
        <f>BE$109*'Population Treasury'!BQ$156*'Statistics NZ'!BQ$438/('Population Treasury'!BP$156*'Statistics NZ'!BP$438)</f>
        <v>40334.002970999951</v>
      </c>
    </row>
    <row r="110" spans="1:58">
      <c r="A110" s="124">
        <f>$A$42</f>
        <v>47</v>
      </c>
      <c r="B110" s="118">
        <f>'Population Treasury'!M$157*'Statistics NZ'!M$439*'Economic Forecasts'!O$8/B$7</f>
        <v>29363.4575045374</v>
      </c>
      <c r="C110" s="118">
        <f>'Population Treasury'!N$157*'Statistics NZ'!N$439*'Economic Forecasts'!P$8/C$7</f>
        <v>30740.637745996632</v>
      </c>
      <c r="D110" s="118">
        <f>'Population Treasury'!O$157*'Statistics NZ'!O$439*'Economic Forecasts'!Q$8/D$7</f>
        <v>30777.841728573436</v>
      </c>
      <c r="E110" s="203">
        <f>'Population Treasury'!P$157*'Statistics NZ'!P$439*'Economic Forecasts'!R$8/E$7</f>
        <v>30057.165640808267</v>
      </c>
      <c r="F110" s="121">
        <f>'Population Treasury'!Q$157*'Statistics NZ'!Q$439*'Economic Forecasts'!S$8/F$7</f>
        <v>29162.342714727332</v>
      </c>
      <c r="G110" s="121">
        <f>'Population Treasury'!R$157*'Statistics NZ'!R$439*'Economic Forecasts'!T$8/G$7</f>
        <v>28678.858843294518</v>
      </c>
      <c r="H110" s="121">
        <f>'Population Treasury'!S$157*'Statistics NZ'!S$439*'Economic Forecasts'!U$8/H$7</f>
        <v>28482.74087301136</v>
      </c>
      <c r="I110" s="121">
        <f>'Population Treasury'!T$157*'Statistics NZ'!T$439*'Economic Forecasts'!V$8/I$7</f>
        <v>28823.658379147397</v>
      </c>
      <c r="J110" s="205">
        <f>'Population Treasury'!U$157*'Statistics NZ'!U$439*'Economic Forecasts'!W$8/J$7</f>
        <v>28688.05557967299</v>
      </c>
      <c r="K110" s="111">
        <f>J$110*'Population Treasury'!V$157*'Statistics NZ'!V$439/('Population Treasury'!U$157*'Statistics NZ'!U$439)</f>
        <v>29809.854060441161</v>
      </c>
      <c r="L110" s="111">
        <f>K$110*'Population Treasury'!W$157*'Statistics NZ'!W$439/('Population Treasury'!V$157*'Statistics NZ'!V$439)</f>
        <v>30622.317865552606</v>
      </c>
      <c r="M110" s="111">
        <f>L$110*'Population Treasury'!X$157*'Statistics NZ'!X$439/('Population Treasury'!W$157*'Statistics NZ'!W$439)</f>
        <v>31350.943824956161</v>
      </c>
      <c r="N110" s="111">
        <f>M$110*'Population Treasury'!Y$157*'Statistics NZ'!Y$439/('Population Treasury'!X$157*'Statistics NZ'!X$439)</f>
        <v>32201.30524277455</v>
      </c>
      <c r="O110" s="111">
        <f>N$110*'Population Treasury'!Z$157*'Statistics NZ'!Z$439/('Population Treasury'!Y$157*'Statistics NZ'!Y$439)</f>
        <v>33192.771868017429</v>
      </c>
      <c r="P110" s="111">
        <f>O$110*'Population Treasury'!AA$157*'Statistics NZ'!AA$439/('Population Treasury'!Z$157*'Statistics NZ'!Z$439)</f>
        <v>33745.254334938632</v>
      </c>
      <c r="Q110" s="111">
        <f>P$110*'Population Treasury'!AB$157*'Statistics NZ'!AB$439/('Population Treasury'!AA$157*'Statistics NZ'!AA$439)</f>
        <v>34145.120501069781</v>
      </c>
      <c r="R110" s="111">
        <f>Q$110*'Population Treasury'!AC$157*'Statistics NZ'!AC$439/('Population Treasury'!AB$157*'Statistics NZ'!AB$439)</f>
        <v>35096.898870765392</v>
      </c>
      <c r="S110" s="111">
        <f>R$110*'Population Treasury'!AD$157*'Statistics NZ'!AD$439/('Population Treasury'!AC$157*'Statistics NZ'!AC$439)</f>
        <v>36836.136804334339</v>
      </c>
      <c r="T110" s="111">
        <f>S$110*'Population Treasury'!AE$157*'Statistics NZ'!AE$439/('Population Treasury'!AD$157*'Statistics NZ'!AD$439)</f>
        <v>38147.373713623623</v>
      </c>
      <c r="U110" s="111">
        <f>T$110*'Population Treasury'!AF$157*'Statistics NZ'!AF$439/('Population Treasury'!AE$157*'Statistics NZ'!AE$439)</f>
        <v>39139.962272860605</v>
      </c>
      <c r="V110" s="111">
        <f>U$110*'Population Treasury'!AG$157*'Statistics NZ'!AG$439/('Population Treasury'!AF$157*'Statistics NZ'!AF$439)</f>
        <v>41016.896703213439</v>
      </c>
      <c r="W110" s="111">
        <f>V$110*'Population Treasury'!AH$157*'Statistics NZ'!AH$439/('Population Treasury'!AG$157*'Statistics NZ'!AG$439)</f>
        <v>41809.904331300699</v>
      </c>
      <c r="X110" s="111">
        <f>W$110*'Population Treasury'!AI$157*'Statistics NZ'!AI$439/('Population Treasury'!AH$157*'Statistics NZ'!AH$439)</f>
        <v>41963.433117005552</v>
      </c>
      <c r="Y110" s="111">
        <f>X$110*'Population Treasury'!AJ$157*'Statistics NZ'!AJ$439/('Population Treasury'!AI$157*'Statistics NZ'!AI$439)</f>
        <v>41603.840314898822</v>
      </c>
      <c r="Z110" s="111">
        <f>Y$110*'Population Treasury'!AK$157*'Statistics NZ'!AK$439/('Population Treasury'!AJ$157*'Statistics NZ'!AJ$439)</f>
        <v>40411.84542618689</v>
      </c>
      <c r="AA110" s="111">
        <f>Z$110*'Population Treasury'!AL$157*'Statistics NZ'!AL$439/('Population Treasury'!AK$157*'Statistics NZ'!AK$439)</f>
        <v>40355.369113866524</v>
      </c>
      <c r="AB110" s="111">
        <f>AA$110*'Population Treasury'!AM$157*'Statistics NZ'!AM$439/('Population Treasury'!AL$157*'Statistics NZ'!AL$439)</f>
        <v>40167.624858685609</v>
      </c>
      <c r="AC110" s="111">
        <f>AB$110*'Population Treasury'!AN$157*'Statistics NZ'!AN$439/('Population Treasury'!AM$157*'Statistics NZ'!AM$439)</f>
        <v>38939.722984052896</v>
      </c>
      <c r="AD110" s="111">
        <f>AC$110*'Population Treasury'!AO$157*'Statistics NZ'!AO$439/('Population Treasury'!AN$157*'Statistics NZ'!AN$439)</f>
        <v>38830.805643229403</v>
      </c>
      <c r="AE110" s="111">
        <f>AD$110*'Population Treasury'!AP$157*'Statistics NZ'!AP$439/('Population Treasury'!AO$157*'Statistics NZ'!AO$439)</f>
        <v>37957.831241093998</v>
      </c>
      <c r="AF110" s="111">
        <f>AE$110*'Population Treasury'!AQ$157*'Statistics NZ'!AQ$439/('Population Treasury'!AP$157*'Statistics NZ'!AP$439)</f>
        <v>38675.169403914835</v>
      </c>
      <c r="AG110" s="111">
        <f>AF$110*'Population Treasury'!AR$157*'Statistics NZ'!AR$439/('Population Treasury'!AQ$157*'Statistics NZ'!AQ$439)</f>
        <v>38238.216915395438</v>
      </c>
      <c r="AH110" s="111">
        <f>AG$110*'Population Treasury'!AS$157*'Statistics NZ'!AS$439/('Population Treasury'!AR$157*'Statistics NZ'!AR$439)</f>
        <v>36973.41401676157</v>
      </c>
      <c r="AI110" s="111">
        <f>AH$110*'Population Treasury'!AT$157*'Statistics NZ'!AT$439/('Population Treasury'!AS$157*'Statistics NZ'!AS$439)</f>
        <v>37520.068657738186</v>
      </c>
      <c r="AJ110" s="111">
        <f>AI$110*'Population Treasury'!AU$157*'Statistics NZ'!AU$439/('Population Treasury'!AT$157*'Statistics NZ'!AT$439)</f>
        <v>37794.160782447128</v>
      </c>
      <c r="AK110" s="111">
        <f>AJ$110*'Population Treasury'!AV$157*'Statistics NZ'!AV$439/('Population Treasury'!AU$157*'Statistics NZ'!AU$439)</f>
        <v>38189.437095210502</v>
      </c>
      <c r="AL110" s="111">
        <f>AK$110*'Population Treasury'!AW$157*'Statistics NZ'!AW$439/('Population Treasury'!AV$157*'Statistics NZ'!AV$439)</f>
        <v>39185.049805499424</v>
      </c>
      <c r="AM110" s="111">
        <f>AL$110*'Population Treasury'!AX$157*'Statistics NZ'!AX$439/('Population Treasury'!AW$157*'Statistics NZ'!AW$439)</f>
        <v>41083.326712191112</v>
      </c>
      <c r="AN110" s="111">
        <f>AM$110*'Population Treasury'!AY$157*'Statistics NZ'!AY$439/('Population Treasury'!AX$157*'Statistics NZ'!AX$439)</f>
        <v>42126.036892634816</v>
      </c>
      <c r="AO110" s="111">
        <f>AN$110*'Population Treasury'!AZ$157*'Statistics NZ'!AZ$439/('Population Treasury'!AY$157*'Statistics NZ'!AY$439)</f>
        <v>42683.061883362119</v>
      </c>
      <c r="AP110" s="111">
        <f>AO$110*'Population Treasury'!BA$157*'Statistics NZ'!BA$439/('Population Treasury'!AZ$157*'Statistics NZ'!AZ$439)</f>
        <v>43151.258890547935</v>
      </c>
      <c r="AQ110" s="111">
        <f>AP$110*'Population Treasury'!BB$157*'Statistics NZ'!BB$439/('Population Treasury'!BA$157*'Statistics NZ'!BA$439)</f>
        <v>42887.340295600487</v>
      </c>
      <c r="AR110" s="111">
        <f>AQ$110*'Population Treasury'!BC$157*'Statistics NZ'!BC$439/('Population Treasury'!BB$157*'Statistics NZ'!BB$439)</f>
        <v>42743.127901720676</v>
      </c>
      <c r="AS110" s="111">
        <f>AR$110*'Population Treasury'!BD$157*'Statistics NZ'!BD$439/('Population Treasury'!BC$157*'Statistics NZ'!BC$439)</f>
        <v>42482.063079209322</v>
      </c>
      <c r="AT110" s="111">
        <f>AS$110*'Population Treasury'!BE$157*'Statistics NZ'!BE$439/('Population Treasury'!BD$157*'Statistics NZ'!BD$439)</f>
        <v>42147.912678178582</v>
      </c>
      <c r="AU110" s="111">
        <f>AT$110*'Population Treasury'!BF$157*'Statistics NZ'!BF$439/('Population Treasury'!BE$157*'Statistics NZ'!BE$439)</f>
        <v>42095.474492812427</v>
      </c>
      <c r="AV110" s="111">
        <f>AU$110*'Population Treasury'!BG$157*'Statistics NZ'!BG$439/('Population Treasury'!BF$157*'Statistics NZ'!BF$439)</f>
        <v>41813.042755518552</v>
      </c>
      <c r="AW110" s="111">
        <f>AV$110*'Population Treasury'!BH$157*'Statistics NZ'!BH$439/('Population Treasury'!BG$157*'Statistics NZ'!BG$439)</f>
        <v>41599.453673062293</v>
      </c>
      <c r="AX110" s="111">
        <f>AW$110*'Population Treasury'!BI$157*'Statistics NZ'!BI$439/('Population Treasury'!BH$157*'Statistics NZ'!BH$439)</f>
        <v>40927.857704313479</v>
      </c>
      <c r="AY110" s="111">
        <f>AX$110*'Population Treasury'!BJ$157*'Statistics NZ'!BJ$439/('Population Treasury'!BI$157*'Statistics NZ'!BI$439)</f>
        <v>40913.643852228808</v>
      </c>
      <c r="AZ110" s="111">
        <f>AY$110*'Population Treasury'!BK$157*'Statistics NZ'!BK$439/('Population Treasury'!BJ$157*'Statistics NZ'!BJ$439)</f>
        <v>40323.253831739086</v>
      </c>
      <c r="BA110" s="111">
        <f>AZ$110*'Population Treasury'!BL$157*'Statistics NZ'!BL$439/('Population Treasury'!BK$157*'Statistics NZ'!BK$439)</f>
        <v>40152.247451967873</v>
      </c>
      <c r="BB110" s="195">
        <f>BA$110*'Population Treasury'!BM$157*'Statistics NZ'!BM$439/('Population Treasury'!BL$157*'Statistics NZ'!BL$439)</f>
        <v>40129.543413741201</v>
      </c>
      <c r="BC110" s="195">
        <f>BB$110*'Population Treasury'!BN$157*'Statistics NZ'!BN$439/('Population Treasury'!BM$157*'Statistics NZ'!BM$439)</f>
        <v>40070.740109786479</v>
      </c>
      <c r="BD110" s="195">
        <f>BC$110*'Population Treasury'!BO$157*'Statistics NZ'!BO$439/('Population Treasury'!BN$157*'Statistics NZ'!BN$439)</f>
        <v>39998.531529150321</v>
      </c>
      <c r="BE110" s="195">
        <f>BD$110*'Population Treasury'!BP$157*'Statistics NZ'!BP$439/('Population Treasury'!BO$157*'Statistics NZ'!BO$439)</f>
        <v>40135.866008190897</v>
      </c>
      <c r="BF110" s="195">
        <f>BE$110*'Population Treasury'!BQ$157*'Statistics NZ'!BQ$439/('Population Treasury'!BP$157*'Statistics NZ'!BP$439)</f>
        <v>40219.834921187408</v>
      </c>
    </row>
    <row r="111" spans="1:58">
      <c r="A111" s="124">
        <f>$A$43</f>
        <v>48</v>
      </c>
      <c r="B111" s="118">
        <f>'Population Treasury'!M$158*'Statistics NZ'!M$440*'Economic Forecasts'!O$8/B$7</f>
        <v>29295.038729693122</v>
      </c>
      <c r="C111" s="118">
        <f>'Population Treasury'!N$158*'Statistics NZ'!N$440*'Economic Forecasts'!P$8/C$7</f>
        <v>30030.658031879073</v>
      </c>
      <c r="D111" s="118">
        <f>'Population Treasury'!O$158*'Statistics NZ'!O$440*'Economic Forecasts'!Q$8/D$7</f>
        <v>30665.300050290447</v>
      </c>
      <c r="E111" s="203">
        <f>'Population Treasury'!P$158*'Statistics NZ'!P$440*'Economic Forecasts'!R$8/E$7</f>
        <v>30804.848127551184</v>
      </c>
      <c r="F111" s="121">
        <f>'Population Treasury'!Q$158*'Statistics NZ'!Q$440*'Economic Forecasts'!S$8/F$7</f>
        <v>30200.654162423394</v>
      </c>
      <c r="G111" s="121">
        <f>'Population Treasury'!R$158*'Statistics NZ'!R$440*'Economic Forecasts'!T$8/G$7</f>
        <v>29465.612940044255</v>
      </c>
      <c r="H111" s="121">
        <f>'Population Treasury'!S$158*'Statistics NZ'!S$440*'Economic Forecasts'!U$8/H$7</f>
        <v>28905.394918785511</v>
      </c>
      <c r="I111" s="121">
        <f>'Population Treasury'!T$158*'Statistics NZ'!T$440*'Economic Forecasts'!V$8/I$7</f>
        <v>28561.697089220084</v>
      </c>
      <c r="J111" s="205">
        <f>'Population Treasury'!U$158*'Statistics NZ'!U$440*'Economic Forecasts'!W$8/J$7</f>
        <v>28905.280021697723</v>
      </c>
      <c r="K111" s="111">
        <f>J$111*'Population Treasury'!V$158*'Statistics NZ'!V$440/('Population Treasury'!U$158*'Statistics NZ'!U$440)</f>
        <v>28677.782567125159</v>
      </c>
      <c r="L111" s="111">
        <f>K$111*'Population Treasury'!W$158*'Statistics NZ'!W$440/('Population Treasury'!V$158*'Statistics NZ'!V$440)</f>
        <v>29792.272674746455</v>
      </c>
      <c r="M111" s="111">
        <f>L$111*'Population Treasury'!X$158*'Statistics NZ'!X$440/('Population Treasury'!W$158*'Statistics NZ'!W$440)</f>
        <v>30596.615692804004</v>
      </c>
      <c r="N111" s="111">
        <f>M$111*'Population Treasury'!Y$158*'Statistics NZ'!Y$440/('Population Treasury'!X$158*'Statistics NZ'!X$440)</f>
        <v>31318.319225297022</v>
      </c>
      <c r="O111" s="111">
        <f>N$111*'Population Treasury'!Z$158*'Statistics NZ'!Z$440/('Population Treasury'!Y$158*'Statistics NZ'!Y$440)</f>
        <v>32151.575592859113</v>
      </c>
      <c r="P111" s="111">
        <f>O$111*'Population Treasury'!AA$158*'Statistics NZ'!AA$440/('Population Treasury'!Z$158*'Statistics NZ'!Z$440)</f>
        <v>33123.21171907911</v>
      </c>
      <c r="Q111" s="111">
        <f>P$111*'Population Treasury'!AB$158*'Statistics NZ'!AB$440/('Population Treasury'!AA$158*'Statistics NZ'!AA$440)</f>
        <v>33679.516367667355</v>
      </c>
      <c r="R111" s="111">
        <f>Q$111*'Population Treasury'!AC$158*'Statistics NZ'!AC$440/('Population Treasury'!AB$158*'Statistics NZ'!AB$440)</f>
        <v>34072.469741565546</v>
      </c>
      <c r="S111" s="111">
        <f>R$111*'Population Treasury'!AD$158*'Statistics NZ'!AD$440/('Population Treasury'!AC$158*'Statistics NZ'!AC$440)</f>
        <v>35017.721478572879</v>
      </c>
      <c r="T111" s="111">
        <f>S$111*'Population Treasury'!AE$158*'Statistics NZ'!AE$440/('Population Treasury'!AD$158*'Statistics NZ'!AD$440)</f>
        <v>36734.75302836128</v>
      </c>
      <c r="U111" s="111">
        <f>T$111*'Population Treasury'!AF$158*'Statistics NZ'!AF$440/('Population Treasury'!AE$158*'Statistics NZ'!AE$440)</f>
        <v>38045.971487970302</v>
      </c>
      <c r="V111" s="111">
        <f>U$111*'Population Treasury'!AG$158*'Statistics NZ'!AG$440/('Population Treasury'!AF$158*'Statistics NZ'!AF$440)</f>
        <v>39040.444253731985</v>
      </c>
      <c r="W111" s="111">
        <f>V$111*'Population Treasury'!AH$158*'Statistics NZ'!AH$440/('Population Treasury'!AG$158*'Statistics NZ'!AG$440)</f>
        <v>40897.65933607125</v>
      </c>
      <c r="X111" s="111">
        <f>W$111*'Population Treasury'!AI$158*'Statistics NZ'!AI$440/('Population Treasury'!AH$158*'Statistics NZ'!AH$440)</f>
        <v>41682.224329806479</v>
      </c>
      <c r="Y111" s="111">
        <f>X$111*'Population Treasury'!AJ$158*'Statistics NZ'!AJ$440/('Population Treasury'!AI$158*'Statistics NZ'!AI$440)</f>
        <v>41835.967313678018</v>
      </c>
      <c r="Z111" s="111">
        <f>Y$111*'Population Treasury'!AK$158*'Statistics NZ'!AK$440/('Population Treasury'!AJ$158*'Statistics NZ'!AJ$440)</f>
        <v>41477.767267594834</v>
      </c>
      <c r="AA111" s="111">
        <f>Z$111*'Population Treasury'!AL$158*'Statistics NZ'!AL$440/('Population Treasury'!AK$158*'Statistics NZ'!AK$440)</f>
        <v>40296.520835254196</v>
      </c>
      <c r="AB111" s="111">
        <f>AA$111*'Population Treasury'!AM$158*'Statistics NZ'!AM$440/('Population Treasury'!AL$158*'Statistics NZ'!AL$440)</f>
        <v>40230.790508454003</v>
      </c>
      <c r="AC111" s="111">
        <f>AB$111*'Population Treasury'!AN$158*'Statistics NZ'!AN$440/('Population Treasury'!AM$158*'Statistics NZ'!AM$440)</f>
        <v>40043.312610439738</v>
      </c>
      <c r="AD111" s="111">
        <f>AC$111*'Population Treasury'!AO$158*'Statistics NZ'!AO$440/('Population Treasury'!AN$158*'Statistics NZ'!AN$440)</f>
        <v>38814.737929160918</v>
      </c>
      <c r="AE111" s="111">
        <f>AD$111*'Population Treasury'!AP$158*'Statistics NZ'!AP$440/('Population Treasury'!AO$158*'Statistics NZ'!AO$440)</f>
        <v>38703.737138433251</v>
      </c>
      <c r="AF111" s="111">
        <f>AE$111*'Population Treasury'!AQ$158*'Statistics NZ'!AQ$440/('Population Treasury'!AP$158*'Statistics NZ'!AP$440)</f>
        <v>37850.176587423295</v>
      </c>
      <c r="AG111" s="111">
        <f>AF$111*'Population Treasury'!AR$158*'Statistics NZ'!AR$440/('Population Treasury'!AQ$158*'Statistics NZ'!AQ$440)</f>
        <v>38566.382562756065</v>
      </c>
      <c r="AH111" s="111">
        <f>AG$111*'Population Treasury'!AS$158*'Statistics NZ'!AS$440/('Population Treasury'!AR$158*'Statistics NZ'!AR$440)</f>
        <v>38128.184223653763</v>
      </c>
      <c r="AI111" s="111">
        <f>AH$111*'Population Treasury'!AT$158*'Statistics NZ'!AT$440/('Population Treasury'!AS$158*'Statistics NZ'!AS$440)</f>
        <v>36883.674966483915</v>
      </c>
      <c r="AJ111" s="111">
        <f>AI$111*'Population Treasury'!AU$158*'Statistics NZ'!AU$440/('Population Treasury'!AT$158*'Statistics NZ'!AT$440)</f>
        <v>37418.303399096803</v>
      </c>
      <c r="AK111" s="111">
        <f>AJ$111*'Population Treasury'!AV$158*'Statistics NZ'!AV$440/('Population Treasury'!AU$158*'Statistics NZ'!AU$440)</f>
        <v>37682.408153061035</v>
      </c>
      <c r="AL111" s="111">
        <f>AK$111*'Population Treasury'!AW$158*'Statistics NZ'!AW$440/('Population Treasury'!AV$158*'Statistics NZ'!AV$440)</f>
        <v>38076.42126271515</v>
      </c>
      <c r="AM111" s="111">
        <f>AL$111*'Population Treasury'!AX$158*'Statistics NZ'!AX$440/('Population Treasury'!AW$158*'Statistics NZ'!AW$440)</f>
        <v>39061.503387321216</v>
      </c>
      <c r="AN111" s="111">
        <f>AM$111*'Population Treasury'!AY$158*'Statistics NZ'!AY$440/('Population Treasury'!AX$158*'Statistics NZ'!AX$440)</f>
        <v>40969.244229362812</v>
      </c>
      <c r="AO111" s="111">
        <f>AN$111*'Population Treasury'!AZ$158*'Statistics NZ'!AZ$440/('Population Treasury'!AY$158*'Statistics NZ'!AY$440)</f>
        <v>42001.274716952132</v>
      </c>
      <c r="AP111" s="111">
        <f>AO$111*'Population Treasury'!BA$158*'Statistics NZ'!BA$440/('Population Treasury'!AZ$158*'Statistics NZ'!AZ$440)</f>
        <v>42548.300932115882</v>
      </c>
      <c r="AQ111" s="111">
        <f>AP$111*'Population Treasury'!BB$158*'Statistics NZ'!BB$440/('Population Treasury'!BA$158*'Statistics NZ'!BA$440)</f>
        <v>43037.112782668555</v>
      </c>
      <c r="AR111" s="111">
        <f>AQ$111*'Population Treasury'!BC$158*'Statistics NZ'!BC$440/('Population Treasury'!BB$158*'Statistics NZ'!BB$440)</f>
        <v>42772.34820004565</v>
      </c>
      <c r="AS111" s="111">
        <f>AR$111*'Population Treasury'!BD$158*'Statistics NZ'!BD$440/('Population Treasury'!BC$158*'Statistics NZ'!BC$440)</f>
        <v>42627.462869327239</v>
      </c>
      <c r="AT111" s="111">
        <f>AS$111*'Population Treasury'!BE$158*'Statistics NZ'!BE$440/('Population Treasury'!BD$158*'Statistics NZ'!BD$440)</f>
        <v>42366.265760232454</v>
      </c>
      <c r="AU111" s="111">
        <f>AT$111*'Population Treasury'!BF$158*'Statistics NZ'!BF$440/('Population Treasury'!BE$158*'Statistics NZ'!BE$440)</f>
        <v>42031.279902883871</v>
      </c>
      <c r="AV111" s="111">
        <f>AU$111*'Population Treasury'!BG$158*'Statistics NZ'!BG$440/('Population Treasury'!BF$158*'Statistics NZ'!BF$440)</f>
        <v>41967.702783799126</v>
      </c>
      <c r="AW111" s="111">
        <f>AV$111*'Population Treasury'!BH$158*'Statistics NZ'!BH$440/('Population Treasury'!BG$158*'Statistics NZ'!BG$440)</f>
        <v>41696.534564715032</v>
      </c>
      <c r="AX111" s="111">
        <f>AW$111*'Population Treasury'!BI$158*'Statistics NZ'!BI$440/('Population Treasury'!BH$158*'Statistics NZ'!BH$440)</f>
        <v>41483.175462294086</v>
      </c>
      <c r="AY111" s="111">
        <f>AX$111*'Population Treasury'!BJ$158*'Statistics NZ'!BJ$440/('Population Treasury'!BI$158*'Statistics NZ'!BI$440)</f>
        <v>40814.548176696582</v>
      </c>
      <c r="AZ111" s="111">
        <f>AY$111*'Population Treasury'!BK$158*'Statistics NZ'!BK$440/('Population Treasury'!BJ$158*'Statistics NZ'!BJ$440)</f>
        <v>40802.339883430817</v>
      </c>
      <c r="BA111" s="111">
        <f>AZ$111*'Population Treasury'!BL$158*'Statistics NZ'!BL$440/('Population Treasury'!BK$158*'Statistics NZ'!BK$440)</f>
        <v>40213.615462929491</v>
      </c>
      <c r="BB111" s="195">
        <f>BA$111*'Population Treasury'!BM$158*'Statistics NZ'!BM$440/('Population Treasury'!BL$158*'Statistics NZ'!BL$440)</f>
        <v>40053.752353877295</v>
      </c>
      <c r="BC111" s="195">
        <f>BB$111*'Population Treasury'!BN$158*'Statistics NZ'!BN$440/('Population Treasury'!BM$158*'Statistics NZ'!BM$440)</f>
        <v>40021.676345281914</v>
      </c>
      <c r="BD111" s="195">
        <f>BC$111*'Population Treasury'!BO$158*'Statistics NZ'!BO$440/('Population Treasury'!BN$158*'Statistics NZ'!BN$440)</f>
        <v>39963.315765612395</v>
      </c>
      <c r="BE111" s="195">
        <f>BD$111*'Population Treasury'!BP$158*'Statistics NZ'!BP$440/('Population Treasury'!BO$158*'Statistics NZ'!BO$440)</f>
        <v>39891.43694381939</v>
      </c>
      <c r="BF111" s="195">
        <f>BE$111*'Population Treasury'!BQ$158*'Statistics NZ'!BQ$440/('Population Treasury'!BP$158*'Statistics NZ'!BP$440)</f>
        <v>40017.993399270374</v>
      </c>
    </row>
    <row r="112" spans="1:58">
      <c r="A112" s="124">
        <f>$A$44</f>
        <v>49</v>
      </c>
      <c r="B112" s="118">
        <f>'Population Treasury'!M$159*'Statistics NZ'!M$441*'Economic Forecasts'!O$8/B$7</f>
        <v>28763.294082952489</v>
      </c>
      <c r="C112" s="118">
        <f>'Population Treasury'!N$159*'Statistics NZ'!N$441*'Economic Forecasts'!P$8/C$7</f>
        <v>29976.65937532868</v>
      </c>
      <c r="D112" s="118">
        <f>'Population Treasury'!O$159*'Statistics NZ'!O$441*'Economic Forecasts'!Q$8/D$7</f>
        <v>29922.132076636775</v>
      </c>
      <c r="E112" s="203">
        <f>'Population Treasury'!P$159*'Statistics NZ'!P$441*'Economic Forecasts'!R$8/E$7</f>
        <v>30663.677409313499</v>
      </c>
      <c r="F112" s="121">
        <f>'Population Treasury'!Q$159*'Statistics NZ'!Q$441*'Economic Forecasts'!S$8/F$7</f>
        <v>30929.763370607117</v>
      </c>
      <c r="G112" s="121">
        <f>'Population Treasury'!R$159*'Statistics NZ'!R$441*'Economic Forecasts'!T$8/G$7</f>
        <v>30492.61343177165</v>
      </c>
      <c r="H112" s="121">
        <f>'Population Treasury'!S$159*'Statistics NZ'!S$441*'Economic Forecasts'!U$8/H$7</f>
        <v>29677.347807572656</v>
      </c>
      <c r="I112" s="121">
        <f>'Population Treasury'!T$159*'Statistics NZ'!T$441*'Economic Forecasts'!V$8/I$7</f>
        <v>28945.820035491193</v>
      </c>
      <c r="J112" s="205">
        <f>'Population Treasury'!U$159*'Statistics NZ'!U$441*'Economic Forecasts'!W$8/J$7</f>
        <v>28612.299644660092</v>
      </c>
      <c r="K112" s="111">
        <f>J$112*'Population Treasury'!V$159*'Statistics NZ'!V$441/('Population Treasury'!U$159*'Statistics NZ'!U$441)</f>
        <v>28860.720630967491</v>
      </c>
      <c r="L112" s="111">
        <f>K$112*'Population Treasury'!W$159*'Statistics NZ'!W$441/('Population Treasury'!V$159*'Statistics NZ'!V$441)</f>
        <v>28635.435092739641</v>
      </c>
      <c r="M112" s="111">
        <f>L$112*'Population Treasury'!X$159*'Statistics NZ'!X$441/('Population Treasury'!W$159*'Statistics NZ'!W$441)</f>
        <v>29742.604158394173</v>
      </c>
      <c r="N112" s="111">
        <f>M$112*'Population Treasury'!Y$159*'Statistics NZ'!Y$441/('Population Treasury'!X$159*'Statistics NZ'!X$441)</f>
        <v>30528.832777197735</v>
      </c>
      <c r="O112" s="111">
        <f>N$112*'Population Treasury'!Z$159*'Statistics NZ'!Z$441/('Population Treasury'!Y$159*'Statistics NZ'!Y$441)</f>
        <v>31231.985854922903</v>
      </c>
      <c r="P112" s="111">
        <f>O$112*'Population Treasury'!AA$159*'Statistics NZ'!AA$441/('Population Treasury'!Z$159*'Statistics NZ'!Z$441)</f>
        <v>32057.397740890072</v>
      </c>
      <c r="Q112" s="111">
        <f>P$112*'Population Treasury'!AB$159*'Statistics NZ'!AB$441/('Population Treasury'!AA$159*'Statistics NZ'!AA$441)</f>
        <v>33011.962570601179</v>
      </c>
      <c r="R112" s="111">
        <f>Q$112*'Population Treasury'!AC$159*'Statistics NZ'!AC$441/('Population Treasury'!AB$159*'Statistics NZ'!AB$441)</f>
        <v>33550.35921517956</v>
      </c>
      <c r="S112" s="111">
        <f>R$112*'Population Treasury'!AD$159*'Statistics NZ'!AD$441/('Population Treasury'!AC$159*'Statistics NZ'!AC$441)</f>
        <v>33936.529153107571</v>
      </c>
      <c r="T112" s="111">
        <f>S$112*'Population Treasury'!AE$159*'Statistics NZ'!AE$441/('Population Treasury'!AD$159*'Statistics NZ'!AD$441)</f>
        <v>34881.918170748089</v>
      </c>
      <c r="U112" s="111">
        <f>T$112*'Population Treasury'!AF$159*'Statistics NZ'!AF$441/('Population Treasury'!AE$159*'Statistics NZ'!AE$441)</f>
        <v>36598.868463322884</v>
      </c>
      <c r="V112" s="111">
        <f>U$112*'Population Treasury'!AG$159*'Statistics NZ'!AG$441/('Population Treasury'!AF$159*'Statistics NZ'!AF$441)</f>
        <v>37910.856748484766</v>
      </c>
      <c r="W112" s="111">
        <f>V$112*'Population Treasury'!AH$159*'Statistics NZ'!AH$441/('Population Treasury'!AG$159*'Statistics NZ'!AG$441)</f>
        <v>38896.263315870878</v>
      </c>
      <c r="X112" s="111">
        <f>W$112*'Population Treasury'!AI$159*'Statistics NZ'!AI$441/('Population Treasury'!AH$159*'Statistics NZ'!AH$441)</f>
        <v>40743.579355627822</v>
      </c>
      <c r="Y112" s="111">
        <f>X$112*'Population Treasury'!AJ$159*'Statistics NZ'!AJ$441/('Population Treasury'!AI$159*'Statistics NZ'!AI$441)</f>
        <v>41520.060038813055</v>
      </c>
      <c r="Z112" s="111">
        <f>Y$112*'Population Treasury'!AK$159*'Statistics NZ'!AK$441/('Population Treasury'!AJ$159*'Statistics NZ'!AJ$441)</f>
        <v>41674.046189856657</v>
      </c>
      <c r="AA112" s="111">
        <f>Z$112*'Population Treasury'!AL$159*'Statistics NZ'!AL$441/('Population Treasury'!AK$159*'Statistics NZ'!AK$441)</f>
        <v>41326.366813869048</v>
      </c>
      <c r="AB112" s="111">
        <f>AA$112*'Population Treasury'!AM$159*'Statistics NZ'!AM$441/('Population Treasury'!AL$159*'Statistics NZ'!AL$441)</f>
        <v>40137.418327421066</v>
      </c>
      <c r="AC112" s="111">
        <f>AB$112*'Population Treasury'!AN$159*'Statistics NZ'!AN$441/('Population Treasury'!AM$159*'Statistics NZ'!AM$441)</f>
        <v>40081.824295454222</v>
      </c>
      <c r="AD112" s="111">
        <f>AC$112*'Population Treasury'!AO$159*'Statistics NZ'!AO$441/('Population Treasury'!AN$159*'Statistics NZ'!AN$441)</f>
        <v>39894.335925733765</v>
      </c>
      <c r="AE112" s="111">
        <f>AD$112*'Population Treasury'!AP$159*'Statistics NZ'!AP$441/('Population Treasury'!AO$159*'Statistics NZ'!AO$441)</f>
        <v>38665.077744961935</v>
      </c>
      <c r="AF112" s="111">
        <f>AE$112*'Population Treasury'!AQ$159*'Statistics NZ'!AQ$441/('Population Treasury'!AP$159*'Statistics NZ'!AP$441)</f>
        <v>38552.674611433744</v>
      </c>
      <c r="AG112" s="111">
        <f>AF$112*'Population Treasury'!AR$159*'Statistics NZ'!AR$441/('Population Treasury'!AQ$159*'Statistics NZ'!AQ$441)</f>
        <v>37698.323631724874</v>
      </c>
      <c r="AH112" s="111">
        <f>AG$112*'Population Treasury'!AS$159*'Statistics NZ'!AS$441/('Population Treasury'!AR$159*'Statistics NZ'!AR$441)</f>
        <v>38403.305547166783</v>
      </c>
      <c r="AI112" s="111">
        <f>AH$112*'Population Treasury'!AT$159*'Statistics NZ'!AT$441/('Population Treasury'!AS$159*'Statistics NZ'!AS$441)</f>
        <v>37972.780317718592</v>
      </c>
      <c r="AJ112" s="111">
        <f>AI$112*'Population Treasury'!AU$159*'Statistics NZ'!AU$441/('Population Treasury'!AT$159*'Statistics NZ'!AT$441)</f>
        <v>36727.662328180617</v>
      </c>
      <c r="AK112" s="111">
        <f>AJ$112*'Population Treasury'!AV$159*'Statistics NZ'!AV$441/('Population Treasury'!AU$159*'Statistics NZ'!AU$441)</f>
        <v>37270.709100212458</v>
      </c>
      <c r="AL112" s="111">
        <f>AK$112*'Population Treasury'!AW$159*'Statistics NZ'!AW$441/('Population Treasury'!AV$159*'Statistics NZ'!AV$441)</f>
        <v>37525.769207328856</v>
      </c>
      <c r="AM112" s="111">
        <f>AL$112*'Population Treasury'!AX$159*'Statistics NZ'!AX$441/('Population Treasury'!AW$159*'Statistics NZ'!AW$441)</f>
        <v>37927.987187190505</v>
      </c>
      <c r="AN112" s="111">
        <f>AM$112*'Population Treasury'!AY$159*'Statistics NZ'!AY$441/('Population Treasury'!AX$159*'Statistics NZ'!AX$441)</f>
        <v>38912.112748091073</v>
      </c>
      <c r="AO112" s="111">
        <f>AN$112*'Population Treasury'!AZ$159*'Statistics NZ'!AZ$441/('Population Treasury'!AY$159*'Statistics NZ'!AY$441)</f>
        <v>40808.086578601768</v>
      </c>
      <c r="AP112" s="111">
        <f>AO$112*'Population Treasury'!BA$159*'Statistics NZ'!BA$441/('Population Treasury'!AZ$159*'Statistics NZ'!AZ$441)</f>
        <v>41841.042297673666</v>
      </c>
      <c r="AQ112" s="111">
        <f>AP$112*'Population Treasury'!BB$159*'Statistics NZ'!BB$441/('Population Treasury'!BA$159*'Statistics NZ'!BA$441)</f>
        <v>42387.732223590647</v>
      </c>
      <c r="AR112" s="111">
        <f>AQ$112*'Population Treasury'!BC$159*'Statistics NZ'!BC$441/('Population Treasury'!BB$159*'Statistics NZ'!BB$441)</f>
        <v>42875.867607409047</v>
      </c>
      <c r="AS112" s="111">
        <f>AR$112*'Population Treasury'!BD$159*'Statistics NZ'!BD$441/('Population Treasury'!BC$159*'Statistics NZ'!BC$441)</f>
        <v>42600.354109618798</v>
      </c>
      <c r="AT112" s="111">
        <f>AS$112*'Population Treasury'!BE$159*'Statistics NZ'!BE$441/('Population Treasury'!BD$159*'Statistics NZ'!BD$441)</f>
        <v>42464.259266828456</v>
      </c>
      <c r="AU112" s="111">
        <f>AT$112*'Population Treasury'!BF$159*'Statistics NZ'!BF$441/('Population Treasury'!BE$159*'Statistics NZ'!BE$441)</f>
        <v>42203.693525473718</v>
      </c>
      <c r="AV112" s="111">
        <f>AU$112*'Population Treasury'!BG$159*'Statistics NZ'!BG$441/('Population Treasury'!BF$159*'Statistics NZ'!BF$441)</f>
        <v>41878.676835379258</v>
      </c>
      <c r="AW112" s="111">
        <f>AV$112*'Population Treasury'!BH$159*'Statistics NZ'!BH$441/('Population Treasury'!BG$159*'Statistics NZ'!BG$441)</f>
        <v>41815.057758102557</v>
      </c>
      <c r="AX112" s="111">
        <f>AW$112*'Population Treasury'!BI$159*'Statistics NZ'!BI$441/('Population Treasury'!BH$159*'Statistics NZ'!BH$441)</f>
        <v>41533.054667967925</v>
      </c>
      <c r="AY112" s="111">
        <f>AX$112*'Population Treasury'!BJ$159*'Statistics NZ'!BJ$441/('Population Treasury'!BI$159*'Statistics NZ'!BI$441)</f>
        <v>41321.51565271584</v>
      </c>
      <c r="AZ112" s="111">
        <f>AY$112*'Population Treasury'!BK$159*'Statistics NZ'!BK$441/('Population Treasury'!BJ$159*'Statistics NZ'!BJ$441)</f>
        <v>40676.40277448429</v>
      </c>
      <c r="BA112" s="111">
        <f>AZ$112*'Population Treasury'!BL$159*'Statistics NZ'!BL$441/('Population Treasury'!BK$159*'Statistics NZ'!BK$441)</f>
        <v>40655.185130364887</v>
      </c>
      <c r="BB112" s="195">
        <f>BA$112*'Population Treasury'!BM$159*'Statistics NZ'!BM$441/('Population Treasury'!BL$159*'Statistics NZ'!BL$441)</f>
        <v>40058.735982102233</v>
      </c>
      <c r="BC112" s="195">
        <f>BB$112*'Population Treasury'!BN$159*'Statistics NZ'!BN$441/('Population Treasury'!BM$159*'Statistics NZ'!BM$441)</f>
        <v>39900.916569033143</v>
      </c>
      <c r="BD112" s="195">
        <f>BC$112*'Population Treasury'!BO$159*'Statistics NZ'!BO$441/('Population Treasury'!BN$159*'Statistics NZ'!BN$441)</f>
        <v>39879.198749180861</v>
      </c>
      <c r="BE112" s="195">
        <f>BD$112*'Population Treasury'!BP$159*'Statistics NZ'!BP$441/('Population Treasury'!BO$159*'Statistics NZ'!BO$441)</f>
        <v>39831.155418456496</v>
      </c>
      <c r="BF112" s="195">
        <f>BE$112*'Population Treasury'!BQ$159*'Statistics NZ'!BQ$441/('Population Treasury'!BP$159*'Statistics NZ'!BP$441)</f>
        <v>39749.835325144013</v>
      </c>
    </row>
    <row r="113" spans="1:58">
      <c r="A113" s="124">
        <f>$A$45</f>
        <v>50</v>
      </c>
      <c r="B113" s="118">
        <f>'Population Treasury'!M$160*'Statistics NZ'!M$442*'Economic Forecasts'!O$8/B$7</f>
        <v>28039.545950067622</v>
      </c>
      <c r="C113" s="118">
        <f>'Population Treasury'!N$160*'Statistics NZ'!N$442*'Economic Forecasts'!P$8/C$7</f>
        <v>29323.945540216569</v>
      </c>
      <c r="D113" s="118">
        <f>'Population Treasury'!O$160*'Statistics NZ'!O$442*'Economic Forecasts'!Q$8/D$7</f>
        <v>29763.9687452697</v>
      </c>
      <c r="E113" s="203">
        <f>'Population Treasury'!P$160*'Statistics NZ'!P$442*'Economic Forecasts'!R$8/E$7</f>
        <v>29906.375838678436</v>
      </c>
      <c r="F113" s="121">
        <f>'Population Treasury'!Q$160*'Statistics NZ'!Q$442*'Economic Forecasts'!S$8/F$7</f>
        <v>30761.485880761611</v>
      </c>
      <c r="G113" s="121">
        <f>'Population Treasury'!R$160*'Statistics NZ'!R$442*'Economic Forecasts'!T$8/G$7</f>
        <v>31213.822475003381</v>
      </c>
      <c r="H113" s="121">
        <f>'Population Treasury'!S$160*'Statistics NZ'!S$442*'Economic Forecasts'!U$8/H$7</f>
        <v>30671.463498875619</v>
      </c>
      <c r="I113" s="121">
        <f>'Population Treasury'!T$160*'Statistics NZ'!T$442*'Economic Forecasts'!V$8/I$7</f>
        <v>29651.920310275076</v>
      </c>
      <c r="J113" s="205">
        <f>'Population Treasury'!U$160*'Statistics NZ'!U$442*'Economic Forecasts'!W$8/J$7</f>
        <v>28908.371896379758</v>
      </c>
      <c r="K113" s="111">
        <f>J$113*'Population Treasury'!V$160*'Statistics NZ'!V$442/('Population Treasury'!U$160*'Statistics NZ'!U$442)</f>
        <v>28435.540845302825</v>
      </c>
      <c r="L113" s="111">
        <f>K$113*'Population Treasury'!W$160*'Statistics NZ'!W$442/('Population Treasury'!V$160*'Statistics NZ'!V$442)</f>
        <v>28637.539022314591</v>
      </c>
      <c r="M113" s="111">
        <f>L$113*'Population Treasury'!X$160*'Statistics NZ'!X$442/('Population Treasury'!W$160*'Statistics NZ'!W$442)</f>
        <v>28360.643452122978</v>
      </c>
      <c r="N113" s="111">
        <f>M$113*'Population Treasury'!Y$160*'Statistics NZ'!Y$442/('Population Treasury'!X$160*'Statistics NZ'!X$442)</f>
        <v>29431.298620569421</v>
      </c>
      <c r="O113" s="111">
        <f>N$113*'Population Treasury'!Z$160*'Statistics NZ'!Z$442/('Population Treasury'!Y$160*'Statistics NZ'!Y$442)</f>
        <v>30187.650150280722</v>
      </c>
      <c r="P113" s="111">
        <f>O$113*'Population Treasury'!AA$160*'Statistics NZ'!AA$442/('Population Treasury'!Z$160*'Statistics NZ'!Z$442)</f>
        <v>30867.101661661822</v>
      </c>
      <c r="Q113" s="111">
        <f>P$113*'Population Treasury'!AB$160*'Statistics NZ'!AB$442/('Population Treasury'!AA$160*'Statistics NZ'!AA$442)</f>
        <v>31661.525388539772</v>
      </c>
      <c r="R113" s="111">
        <f>Q$113*'Population Treasury'!AC$160*'Statistics NZ'!AC$442/('Population Treasury'!AB$160*'Statistics NZ'!AB$442)</f>
        <v>32604.76875743788</v>
      </c>
      <c r="S113" s="111">
        <f>R$113*'Population Treasury'!AD$160*'Statistics NZ'!AD$442/('Population Treasury'!AC$160*'Statistics NZ'!AC$442)</f>
        <v>33135.100958374598</v>
      </c>
      <c r="T113" s="111">
        <f>S$113*'Population Treasury'!AE$160*'Statistics NZ'!AE$442/('Population Treasury'!AD$160*'Statistics NZ'!AD$442)</f>
        <v>33521.45462641443</v>
      </c>
      <c r="U113" s="111">
        <f>T$113*'Population Treasury'!AF$160*'Statistics NZ'!AF$442/('Population Treasury'!AE$160*'Statistics NZ'!AE$442)</f>
        <v>34445.752853032631</v>
      </c>
      <c r="V113" s="111">
        <f>U$113*'Population Treasury'!AG$160*'Statistics NZ'!AG$442/('Population Treasury'!AF$160*'Statistics NZ'!AF$442)</f>
        <v>36172.985455138427</v>
      </c>
      <c r="W113" s="111">
        <f>V$113*'Population Treasury'!AH$160*'Statistics NZ'!AH$442/('Population Treasury'!AG$160*'Statistics NZ'!AG$442)</f>
        <v>37464.870551484804</v>
      </c>
      <c r="X113" s="111">
        <f>W$113*'Population Treasury'!AI$160*'Statistics NZ'!AI$442/('Population Treasury'!AH$160*'Statistics NZ'!AH$442)</f>
        <v>38441.917640589767</v>
      </c>
      <c r="Y113" s="111">
        <f>X$113*'Population Treasury'!AJ$160*'Statistics NZ'!AJ$442/('Population Treasury'!AI$160*'Statistics NZ'!AI$442)</f>
        <v>40279.566234186255</v>
      </c>
      <c r="Z113" s="111">
        <f>Y$113*'Population Treasury'!AK$160*'Statistics NZ'!AK$442/('Population Treasury'!AJ$160*'Statistics NZ'!AJ$442)</f>
        <v>41068.683391331673</v>
      </c>
      <c r="AA113" s="111">
        <f>Z$113*'Population Treasury'!AL$160*'Statistics NZ'!AL$442/('Population Treasury'!AK$160*'Statistics NZ'!AK$442)</f>
        <v>41222.897380528935</v>
      </c>
      <c r="AB113" s="111">
        <f>AA$113*'Population Treasury'!AM$160*'Statistics NZ'!AM$442/('Population Treasury'!AL$160*'Statistics NZ'!AL$442)</f>
        <v>40867.211879667695</v>
      </c>
      <c r="AC113" s="111">
        <f>AB$113*'Population Treasury'!AN$160*'Statistics NZ'!AN$442/('Population Treasury'!AM$160*'Statistics NZ'!AM$442)</f>
        <v>39689.278712590487</v>
      </c>
      <c r="AD113" s="111">
        <f>AC$113*'Population Treasury'!AO$160*'Statistics NZ'!AO$442/('Population Treasury'!AN$160*'Statistics NZ'!AN$442)</f>
        <v>39624.143881334639</v>
      </c>
      <c r="AE113" s="111">
        <f>AD$113*'Population Treasury'!AP$160*'Statistics NZ'!AP$442/('Population Treasury'!AO$160*'Statistics NZ'!AO$442)</f>
        <v>39436.608798335918</v>
      </c>
      <c r="AF113" s="111">
        <f>AE$113*'Population Treasury'!AQ$160*'Statistics NZ'!AQ$442/('Population Treasury'!AP$160*'Statistics NZ'!AP$442)</f>
        <v>38226.900737383192</v>
      </c>
      <c r="AG113" s="111">
        <f>AF$113*'Population Treasury'!AR$160*'Statistics NZ'!AR$442/('Population Treasury'!AQ$160*'Statistics NZ'!AQ$442)</f>
        <v>38112.138352504735</v>
      </c>
      <c r="AH113" s="111">
        <f>AG$113*'Population Treasury'!AS$160*'Statistics NZ'!AS$442/('Population Treasury'!AR$160*'Statistics NZ'!AR$442)</f>
        <v>37256.886370173699</v>
      </c>
      <c r="AI113" s="111">
        <f>AH$113*'Population Treasury'!AT$160*'Statistics NZ'!AT$442/('Population Treasury'!AS$160*'Statistics NZ'!AS$442)</f>
        <v>37960.414812131508</v>
      </c>
      <c r="AJ113" s="111">
        <f>AI$113*'Population Treasury'!AU$160*'Statistics NZ'!AU$442/('Population Treasury'!AT$160*'Statistics NZ'!AT$442)</f>
        <v>37537.722838135662</v>
      </c>
      <c r="AK113" s="111">
        <f>AJ$113*'Population Treasury'!AV$160*'Statistics NZ'!AV$442/('Population Treasury'!AU$160*'Statistics NZ'!AU$442)</f>
        <v>36291.066025778237</v>
      </c>
      <c r="AL113" s="111">
        <f>AK$113*'Population Treasury'!AW$160*'Statistics NZ'!AW$442/('Population Treasury'!AV$160*'Statistics NZ'!AV$442)</f>
        <v>36823.037373017709</v>
      </c>
      <c r="AM113" s="111">
        <f>AL$113*'Population Treasury'!AX$160*'Statistics NZ'!AX$442/('Population Treasury'!AW$160*'Statistics NZ'!AW$442)</f>
        <v>37088.407489805475</v>
      </c>
      <c r="AN113" s="111">
        <f>AM$113*'Population Treasury'!AY$160*'Statistics NZ'!AY$442/('Population Treasury'!AX$160*'Statistics NZ'!AX$442)</f>
        <v>37490.60055972269</v>
      </c>
      <c r="AO113" s="111">
        <f>AN$113*'Population Treasury'!AZ$160*'Statistics NZ'!AZ$442/('Population Treasury'!AY$160*'Statistics NZ'!AY$442)</f>
        <v>38471.951194741057</v>
      </c>
      <c r="AP113" s="111">
        <f>AO$113*'Population Treasury'!BA$160*'Statistics NZ'!BA$442/('Population Treasury'!AZ$160*'Statistics NZ'!AZ$442)</f>
        <v>40357.992052437337</v>
      </c>
      <c r="AQ113" s="111">
        <f>AP$113*'Population Treasury'!BB$160*'Statistics NZ'!BB$442/('Population Treasury'!BA$160*'Statistics NZ'!BA$442)</f>
        <v>41380.549664931234</v>
      </c>
      <c r="AR113" s="111">
        <f>AQ$113*'Population Treasury'!BC$160*'Statistics NZ'!BC$442/('Population Treasury'!BB$160*'Statistics NZ'!BB$442)</f>
        <v>41926.879230613144</v>
      </c>
      <c r="AS113" s="111">
        <f>AR$113*'Population Treasury'!BD$160*'Statistics NZ'!BD$442/('Population Treasury'!BC$160*'Statistics NZ'!BC$442)</f>
        <v>42414.157655447132</v>
      </c>
      <c r="AT113" s="111">
        <f>AS$113*'Population Treasury'!BE$160*'Statistics NZ'!BE$442/('Population Treasury'!BD$160*'Statistics NZ'!BD$442)</f>
        <v>42147.949199736009</v>
      </c>
      <c r="AU113" s="111">
        <f>AT$113*'Population Treasury'!BF$160*'Statistics NZ'!BF$442/('Population Treasury'!BE$160*'Statistics NZ'!BE$442)</f>
        <v>42010.879747362145</v>
      </c>
      <c r="AV113" s="111">
        <f>AU$113*'Population Treasury'!BG$160*'Statistics NZ'!BG$442/('Population Treasury'!BF$160*'Statistics NZ'!BF$442)</f>
        <v>41749.334362602938</v>
      </c>
      <c r="AW113" s="111">
        <f>AV$113*'Population Treasury'!BH$160*'Statistics NZ'!BH$442/('Population Treasury'!BG$160*'Statistics NZ'!BG$442)</f>
        <v>41423.90635831785</v>
      </c>
      <c r="AX113" s="111">
        <f>AW$113*'Population Treasury'!BI$160*'Statistics NZ'!BI$442/('Population Treasury'!BH$160*'Statistics NZ'!BH$442)</f>
        <v>41360.273877500418</v>
      </c>
      <c r="AY113" s="111">
        <f>AX$113*'Population Treasury'!BJ$160*'Statistics NZ'!BJ$442/('Population Treasury'!BI$160*'Statistics NZ'!BI$442)</f>
        <v>41090.297403931414</v>
      </c>
      <c r="AZ113" s="111">
        <f>AY$113*'Population Treasury'!BK$160*'Statistics NZ'!BK$442/('Population Treasury'!BJ$160*'Statistics NZ'!BJ$442)</f>
        <v>40879.760432859519</v>
      </c>
      <c r="BA113" s="111">
        <f>AZ$113*'Population Treasury'!BL$160*'Statistics NZ'!BL$442/('Population Treasury'!BK$160*'Statistics NZ'!BK$442)</f>
        <v>40227.594365117402</v>
      </c>
      <c r="BB113" s="195">
        <f>BA$113*'Population Treasury'!BM$160*'Statistics NZ'!BM$442/('Population Treasury'!BL$160*'Statistics NZ'!BL$442)</f>
        <v>40208.071034838889</v>
      </c>
      <c r="BC113" s="195">
        <f>BB$113*'Population Treasury'!BN$160*'Statistics NZ'!BN$442/('Population Treasury'!BM$160*'Statistics NZ'!BM$442)</f>
        <v>39624.214483252181</v>
      </c>
      <c r="BD113" s="195">
        <f>BC$113*'Population Treasury'!BO$160*'Statistics NZ'!BO$442/('Population Treasury'!BN$160*'Statistics NZ'!BN$442)</f>
        <v>39457.251058909511</v>
      </c>
      <c r="BE113" s="195">
        <f>BD$113*'Population Treasury'!BP$160*'Statistics NZ'!BP$442/('Population Treasury'!BO$160*'Statistics NZ'!BO$442)</f>
        <v>39436.371525331713</v>
      </c>
      <c r="BF113" s="195">
        <f>BE$113*'Population Treasury'!BQ$160*'Statistics NZ'!BQ$442/('Population Treasury'!BP$160*'Statistics NZ'!BP$442)</f>
        <v>39389.647541337021</v>
      </c>
    </row>
    <row r="114" spans="1:58">
      <c r="A114" s="124">
        <f>$A$46</f>
        <v>51</v>
      </c>
      <c r="B114" s="118">
        <f>'Population Treasury'!M$161*'Statistics NZ'!M$443*'Economic Forecasts'!O$8/B$7</f>
        <v>27980.13430006236</v>
      </c>
      <c r="C114" s="118">
        <f>'Population Treasury'!N$161*'Statistics NZ'!N$443*'Economic Forecasts'!P$8/C$7</f>
        <v>28543.704747729622</v>
      </c>
      <c r="D114" s="118">
        <f>'Population Treasury'!O$161*'Statistics NZ'!O$443*'Economic Forecasts'!Q$8/D$7</f>
        <v>29025.218408766552</v>
      </c>
      <c r="E114" s="203">
        <f>'Population Treasury'!P$161*'Statistics NZ'!P$443*'Economic Forecasts'!R$8/E$7</f>
        <v>29664.849501560522</v>
      </c>
      <c r="F114" s="121">
        <f>'Population Treasury'!Q$161*'Statistics NZ'!Q$443*'Economic Forecasts'!S$8/F$7</f>
        <v>29990.5014255557</v>
      </c>
      <c r="G114" s="121">
        <f>'Population Treasury'!R$161*'Statistics NZ'!R$443*'Economic Forecasts'!T$8/G$7</f>
        <v>30999.360448632859</v>
      </c>
      <c r="H114" s="121">
        <f>'Population Treasury'!S$161*'Statistics NZ'!S$443*'Economic Forecasts'!U$8/H$7</f>
        <v>31349.698198405727</v>
      </c>
      <c r="I114" s="121">
        <f>'Population Treasury'!T$161*'Statistics NZ'!T$443*'Economic Forecasts'!V$8/I$7</f>
        <v>30636.3022065429</v>
      </c>
      <c r="J114" s="205">
        <f>'Population Treasury'!U$161*'Statistics NZ'!U$443*'Economic Forecasts'!W$8/J$7</f>
        <v>29614.364954492998</v>
      </c>
      <c r="K114" s="111">
        <f>J$114*'Population Treasury'!V$161*'Statistics NZ'!V$443/('Population Treasury'!U$161*'Statistics NZ'!U$443)</f>
        <v>28757.54950871021</v>
      </c>
      <c r="L114" s="111">
        <f>K$114*'Population Treasury'!W$161*'Statistics NZ'!W$443/('Population Treasury'!V$161*'Statistics NZ'!V$443)</f>
        <v>28272.562465910127</v>
      </c>
      <c r="M114" s="111">
        <f>L$114*'Population Treasury'!X$161*'Statistics NZ'!X$443/('Population Treasury'!W$161*'Statistics NZ'!W$443)</f>
        <v>28470.771508472892</v>
      </c>
      <c r="N114" s="111">
        <f>M$114*'Population Treasury'!Y$161*'Statistics NZ'!Y$443/('Population Treasury'!X$161*'Statistics NZ'!X$443)</f>
        <v>28203.215052981635</v>
      </c>
      <c r="O114" s="111">
        <f>N$114*'Population Treasury'!Z$161*'Statistics NZ'!Z$443/('Population Treasury'!Y$161*'Statistics NZ'!Y$443)</f>
        <v>29260.276818034345</v>
      </c>
      <c r="P114" s="111">
        <f>O$114*'Population Treasury'!AA$161*'Statistics NZ'!AA$443/('Population Treasury'!Z$161*'Statistics NZ'!Z$443)</f>
        <v>30005.171110103573</v>
      </c>
      <c r="Q114" s="111">
        <f>P$114*'Population Treasury'!AB$161*'Statistics NZ'!AB$443/('Population Treasury'!AA$161*'Statistics NZ'!AA$443)</f>
        <v>30671.908926119238</v>
      </c>
      <c r="R114" s="111">
        <f>Q$114*'Population Treasury'!AC$161*'Statistics NZ'!AC$443/('Population Treasury'!AB$161*'Statistics NZ'!AB$443)</f>
        <v>31485.005406474258</v>
      </c>
      <c r="S114" s="111">
        <f>R$114*'Population Treasury'!AD$161*'Statistics NZ'!AD$443/('Population Treasury'!AC$161*'Statistics NZ'!AC$443)</f>
        <v>32405.315249907362</v>
      </c>
      <c r="T114" s="111">
        <f>S$114*'Population Treasury'!AE$161*'Statistics NZ'!AE$443/('Population Treasury'!AD$161*'Statistics NZ'!AD$443)</f>
        <v>32934.601815246759</v>
      </c>
      <c r="U114" s="111">
        <f>T$114*'Population Treasury'!AF$161*'Statistics NZ'!AF$443/('Population Treasury'!AE$161*'Statistics NZ'!AE$443)</f>
        <v>33321.418716233791</v>
      </c>
      <c r="V114" s="111">
        <f>U$114*'Population Treasury'!AG$161*'Statistics NZ'!AG$443/('Population Treasury'!AF$161*'Statistics NZ'!AF$443)</f>
        <v>34247.066304795058</v>
      </c>
      <c r="W114" s="111">
        <f>V$114*'Population Treasury'!AH$161*'Statistics NZ'!AH$443/('Population Treasury'!AG$161*'Statistics NZ'!AG$443)</f>
        <v>35941.790738017808</v>
      </c>
      <c r="X114" s="111">
        <f>W$114*'Population Treasury'!AI$161*'Statistics NZ'!AI$443/('Population Treasury'!AH$161*'Statistics NZ'!AH$443)</f>
        <v>37235.013565654481</v>
      </c>
      <c r="Y114" s="111">
        <f>X$114*'Population Treasury'!AJ$161*'Statistics NZ'!AJ$443/('Population Treasury'!AI$161*'Statistics NZ'!AI$443)</f>
        <v>38214.555346088229</v>
      </c>
      <c r="Z114" s="111">
        <f>Y$114*'Population Treasury'!AK$161*'Statistics NZ'!AK$443/('Population Treasury'!AJ$161*'Statistics NZ'!AJ$443)</f>
        <v>40042.812881996149</v>
      </c>
      <c r="AA114" s="111">
        <f>Z$114*'Population Treasury'!AL$161*'Statistics NZ'!AL$443/('Population Treasury'!AK$161*'Statistics NZ'!AK$443)</f>
        <v>40815.319256944378</v>
      </c>
      <c r="AB114" s="111">
        <f>AA$114*'Population Treasury'!AM$161*'Statistics NZ'!AM$443/('Population Treasury'!AL$161*'Statistics NZ'!AL$443)</f>
        <v>40969.836716372723</v>
      </c>
      <c r="AC114" s="111">
        <f>AB$114*'Population Treasury'!AN$161*'Statistics NZ'!AN$443/('Population Treasury'!AM$161*'Statistics NZ'!AM$443)</f>
        <v>40616.496280471205</v>
      </c>
      <c r="AD114" s="111">
        <f>AC$114*'Population Treasury'!AO$161*'Statistics NZ'!AO$443/('Population Treasury'!AN$161*'Statistics NZ'!AN$443)</f>
        <v>39450.028640797653</v>
      </c>
      <c r="AE114" s="111">
        <f>AD$114*'Population Treasury'!AP$161*'Statistics NZ'!AP$443/('Population Treasury'!AO$161*'Statistics NZ'!AO$443)</f>
        <v>39395.57210321755</v>
      </c>
      <c r="AF114" s="111">
        <f>AE$114*'Population Treasury'!AQ$161*'Statistics NZ'!AQ$443/('Population Treasury'!AP$161*'Statistics NZ'!AP$443)</f>
        <v>39208.024001529084</v>
      </c>
      <c r="AG114" s="111">
        <f>AF$114*'Population Treasury'!AR$161*'Statistics NZ'!AR$443/('Population Treasury'!AQ$161*'Statistics NZ'!AQ$443)</f>
        <v>37997.403373693836</v>
      </c>
      <c r="AH114" s="111">
        <f>AG$114*'Population Treasury'!AS$161*'Statistics NZ'!AS$443/('Population Treasury'!AR$161*'Statistics NZ'!AR$443)</f>
        <v>37879.787357544526</v>
      </c>
      <c r="AI114" s="111">
        <f>AH$114*'Population Treasury'!AT$161*'Statistics NZ'!AT$443/('Population Treasury'!AS$161*'Statistics NZ'!AS$443)</f>
        <v>37033.848333649046</v>
      </c>
      <c r="AJ114" s="111">
        <f>AI$114*'Population Treasury'!AU$161*'Statistics NZ'!AU$443/('Population Treasury'!AT$161*'Statistics NZ'!AT$443)</f>
        <v>37726.012714285484</v>
      </c>
      <c r="AK114" s="111">
        <f>AJ$114*'Population Treasury'!AV$161*'Statistics NZ'!AV$443/('Population Treasury'!AU$161*'Statistics NZ'!AU$443)</f>
        <v>37311.058260214835</v>
      </c>
      <c r="AL114" s="111">
        <f>AK$114*'Population Treasury'!AW$161*'Statistics NZ'!AW$443/('Population Treasury'!AV$161*'Statistics NZ'!AV$443)</f>
        <v>36072.368223185847</v>
      </c>
      <c r="AM114" s="111">
        <f>AL$114*'Population Treasury'!AX$161*'Statistics NZ'!AX$443/('Population Treasury'!AW$161*'Statistics NZ'!AW$443)</f>
        <v>36613.898608426185</v>
      </c>
      <c r="AN114" s="111">
        <f>AM$114*'Population Treasury'!AY$161*'Statistics NZ'!AY$443/('Population Treasury'!AX$161*'Statistics NZ'!AX$443)</f>
        <v>36858.65967810974</v>
      </c>
      <c r="AO114" s="111">
        <f>AN$114*'Population Treasury'!AZ$161*'Statistics NZ'!AZ$443/('Population Treasury'!AY$161*'Statistics NZ'!AY$443)</f>
        <v>37258.840462128988</v>
      </c>
      <c r="AP114" s="111">
        <f>AO$114*'Population Treasury'!BA$161*'Statistics NZ'!BA$443/('Population Treasury'!AZ$161*'Statistics NZ'!AZ$443)</f>
        <v>38238.828971723815</v>
      </c>
      <c r="AQ114" s="111">
        <f>AP$114*'Population Treasury'!BB$161*'Statistics NZ'!BB$443/('Population Treasury'!BA$161*'Statistics NZ'!BA$443)</f>
        <v>40124.468256325141</v>
      </c>
      <c r="AR114" s="111">
        <f>AQ$114*'Population Treasury'!BC$161*'Statistics NZ'!BC$443/('Population Treasury'!BB$161*'Statistics NZ'!BB$443)</f>
        <v>41158.591131396883</v>
      </c>
      <c r="AS114" s="111">
        <f>AR$114*'Population Treasury'!BD$161*'Statistics NZ'!BD$443/('Population Treasury'!BC$161*'Statistics NZ'!BC$443)</f>
        <v>41704.531676795588</v>
      </c>
      <c r="AT114" s="111">
        <f>AS$114*'Population Treasury'!BE$161*'Statistics NZ'!BE$443/('Population Treasury'!BD$161*'Statistics NZ'!BD$443)</f>
        <v>42169.068286040361</v>
      </c>
      <c r="AU114" s="111">
        <f>AT$114*'Population Treasury'!BF$161*'Statistics NZ'!BF$443/('Population Treasury'!BE$161*'Statistics NZ'!BE$443)</f>
        <v>41912.127993121787</v>
      </c>
      <c r="AV114" s="111">
        <f>AU$114*'Population Treasury'!BG$161*'Statistics NZ'!BG$443/('Population Treasury'!BF$161*'Statistics NZ'!BF$443)</f>
        <v>41785.583928715132</v>
      </c>
      <c r="AW114" s="111">
        <f>AV$114*'Population Treasury'!BH$161*'Statistics NZ'!BH$443/('Population Treasury'!BG$161*'Statistics NZ'!BG$443)</f>
        <v>41513.084908424731</v>
      </c>
      <c r="AX114" s="111">
        <f>AW$114*'Population Treasury'!BI$161*'Statistics NZ'!BI$443/('Population Treasury'!BH$161*'Statistics NZ'!BH$443)</f>
        <v>41198.092108640907</v>
      </c>
      <c r="AY114" s="111">
        <f>AX$114*'Population Treasury'!BJ$161*'Statistics NZ'!BJ$443/('Population Treasury'!BI$161*'Statistics NZ'!BI$443)</f>
        <v>41144.015617269826</v>
      </c>
      <c r="AZ114" s="111">
        <f>AY$114*'Population Treasury'!BK$161*'Statistics NZ'!BK$443/('Population Treasury'!BJ$161*'Statistics NZ'!BJ$443)</f>
        <v>40862.577787352624</v>
      </c>
      <c r="BA114" s="111">
        <f>AZ$114*'Population Treasury'!BL$161*'Statistics NZ'!BL$443/('Population Treasury'!BK$161*'Statistics NZ'!BK$443)</f>
        <v>40655.094950449282</v>
      </c>
      <c r="BB114" s="195">
        <f>BA$114*'Population Treasury'!BM$161*'Statistics NZ'!BM$443/('Population Treasury'!BL$161*'Statistics NZ'!BL$443)</f>
        <v>40007.022745378745</v>
      </c>
      <c r="BC114" s="195">
        <f>BB$114*'Population Treasury'!BN$161*'Statistics NZ'!BN$443/('Population Treasury'!BM$161*'Statistics NZ'!BM$443)</f>
        <v>39988.531820921846</v>
      </c>
      <c r="BD114" s="195">
        <f>BC$114*'Population Treasury'!BO$161*'Statistics NZ'!BO$443/('Population Treasury'!BN$161*'Statistics NZ'!BN$443)</f>
        <v>39398.016658972447</v>
      </c>
      <c r="BE114" s="195">
        <f>BD$114*'Population Treasury'!BP$161*'Statistics NZ'!BP$443/('Population Treasury'!BO$161*'Statistics NZ'!BO$443)</f>
        <v>39232.834292346524</v>
      </c>
      <c r="BF114" s="195">
        <f>BE$114*'Population Treasury'!BQ$161*'Statistics NZ'!BQ$443/('Population Treasury'!BP$161*'Statistics NZ'!BP$443)</f>
        <v>39222.566862001666</v>
      </c>
    </row>
    <row r="115" spans="1:58">
      <c r="A115" s="124">
        <f>$A$47</f>
        <v>52</v>
      </c>
      <c r="B115" s="118">
        <f>'Population Treasury'!M$162*'Statistics NZ'!M$444*'Economic Forecasts'!O$8/B$7</f>
        <v>28162.354415363083</v>
      </c>
      <c r="C115" s="118">
        <f>'Population Treasury'!N$162*'Statistics NZ'!N$444*'Economic Forecasts'!P$8/C$7</f>
        <v>28359.760779776429</v>
      </c>
      <c r="D115" s="118">
        <f>'Population Treasury'!O$162*'Statistics NZ'!O$444*'Economic Forecasts'!Q$8/D$7</f>
        <v>28214.12533813038</v>
      </c>
      <c r="E115" s="203">
        <f>'Population Treasury'!P$162*'Statistics NZ'!P$444*'Economic Forecasts'!R$8/E$7</f>
        <v>28856.447376624557</v>
      </c>
      <c r="F115" s="121">
        <f>'Population Treasury'!Q$162*'Statistics NZ'!Q$444*'Economic Forecasts'!S$8/F$7</f>
        <v>29717.579096878912</v>
      </c>
      <c r="G115" s="121">
        <f>'Population Treasury'!R$162*'Statistics NZ'!R$444*'Economic Forecasts'!T$8/G$7</f>
        <v>30190.766377785945</v>
      </c>
      <c r="H115" s="121">
        <f>'Population Treasury'!S$162*'Statistics NZ'!S$444*'Economic Forecasts'!U$8/H$7</f>
        <v>31112.991829488521</v>
      </c>
      <c r="I115" s="121">
        <f>'Population Treasury'!T$162*'Statistics NZ'!T$444*'Economic Forecasts'!V$8/I$7</f>
        <v>31285.139192724753</v>
      </c>
      <c r="J115" s="205">
        <f>'Population Treasury'!U$162*'Statistics NZ'!U$444*'Economic Forecasts'!W$8/J$7</f>
        <v>30561.21823382844</v>
      </c>
      <c r="K115" s="111">
        <f>J$115*'Population Treasury'!V$162*'Statistics NZ'!V$444/('Population Treasury'!U$162*'Statistics NZ'!U$444)</f>
        <v>29419.149974147935</v>
      </c>
      <c r="L115" s="111">
        <f>K$115*'Population Treasury'!W$162*'Statistics NZ'!W$444/('Population Treasury'!V$162*'Statistics NZ'!V$444)</f>
        <v>28559.567366056253</v>
      </c>
      <c r="M115" s="111">
        <f>L$115*'Population Treasury'!X$162*'Statistics NZ'!X$444/('Population Treasury'!W$162*'Statistics NZ'!W$444)</f>
        <v>28082.062256889218</v>
      </c>
      <c r="N115" s="111">
        <f>M$115*'Population Treasury'!Y$162*'Statistics NZ'!Y$444/('Population Treasury'!X$162*'Statistics NZ'!X$444)</f>
        <v>28289.475684788373</v>
      </c>
      <c r="O115" s="111">
        <f>N$115*'Population Treasury'!Z$162*'Statistics NZ'!Z$444/('Population Treasury'!Y$162*'Statistics NZ'!Y$444)</f>
        <v>27988.341920071951</v>
      </c>
      <c r="P115" s="111">
        <f>O$115*'Population Treasury'!AA$162*'Statistics NZ'!AA$444/('Population Treasury'!Z$162*'Statistics NZ'!Z$444)</f>
        <v>29043.060941245782</v>
      </c>
      <c r="Q115" s="111">
        <f>P$115*'Population Treasury'!AB$162*'Statistics NZ'!AB$444/('Population Treasury'!AA$162*'Statistics NZ'!AA$444)</f>
        <v>29795.42555967615</v>
      </c>
      <c r="R115" s="111">
        <f>Q$115*'Population Treasury'!AC$162*'Statistics NZ'!AC$444/('Population Treasury'!AB$162*'Statistics NZ'!AB$444)</f>
        <v>30461.177781017777</v>
      </c>
      <c r="S115" s="111">
        <f>R$115*'Population Treasury'!AD$162*'Statistics NZ'!AD$444/('Population Treasury'!AC$162*'Statistics NZ'!AC$444)</f>
        <v>31250.213895113702</v>
      </c>
      <c r="T115" s="111">
        <f>S$115*'Population Treasury'!AE$162*'Statistics NZ'!AE$444/('Population Treasury'!AD$162*'Statistics NZ'!AD$444)</f>
        <v>32181.07078191148</v>
      </c>
      <c r="U115" s="111">
        <f>T$115*'Population Treasury'!AF$162*'Statistics NZ'!AF$444/('Population Treasury'!AE$162*'Statistics NZ'!AE$444)</f>
        <v>32700.947522070852</v>
      </c>
      <c r="V115" s="111">
        <f>U$115*'Population Treasury'!AG$162*'Statistics NZ'!AG$444/('Population Treasury'!AF$162*'Statistics NZ'!AF$444)</f>
        <v>33076.77802256569</v>
      </c>
      <c r="W115" s="111">
        <f>V$115*'Population Treasury'!AH$162*'Statistics NZ'!AH$444/('Population Treasury'!AG$162*'Statistics NZ'!AG$444)</f>
        <v>34003.222983210318</v>
      </c>
      <c r="X115" s="111">
        <f>W$115*'Population Treasury'!AI$162*'Statistics NZ'!AI$444/('Population Treasury'!AH$162*'Statistics NZ'!AH$444)</f>
        <v>35687.296291851068</v>
      </c>
      <c r="Y115" s="111">
        <f>X$115*'Population Treasury'!AJ$162*'Statistics NZ'!AJ$444/('Population Treasury'!AI$162*'Statistics NZ'!AI$444)</f>
        <v>36990.644974525472</v>
      </c>
      <c r="Z115" s="111">
        <f>Y$115*'Population Treasury'!AK$162*'Statistics NZ'!AK$444/('Population Treasury'!AJ$162*'Statistics NZ'!AJ$444)</f>
        <v>37943.458392159628</v>
      </c>
      <c r="AA115" s="111">
        <f>Z$115*'Population Treasury'!AL$162*'Statistics NZ'!AL$444/('Population Treasury'!AK$162*'Statistics NZ'!AK$444)</f>
        <v>39772.61321127382</v>
      </c>
      <c r="AB115" s="111">
        <f>AA$115*'Population Treasury'!AM$162*'Statistics NZ'!AM$444/('Population Treasury'!AL$162*'Statistics NZ'!AL$444)</f>
        <v>40548.364398294259</v>
      </c>
      <c r="AC115" s="111">
        <f>AB$115*'Population Treasury'!AN$162*'Statistics NZ'!AN$444/('Population Treasury'!AM$162*'Statistics NZ'!AM$444)</f>
        <v>40693.691750011501</v>
      </c>
      <c r="AD115" s="111">
        <f>AC$115*'Population Treasury'!AO$162*'Statistics NZ'!AO$444/('Population Treasury'!AN$162*'Statistics NZ'!AN$444)</f>
        <v>40352.460919553785</v>
      </c>
      <c r="AE115" s="111">
        <f>AD$115*'Population Treasury'!AP$162*'Statistics NZ'!AP$444/('Population Treasury'!AO$162*'Statistics NZ'!AO$444)</f>
        <v>39178.451479101583</v>
      </c>
      <c r="AF115" s="111">
        <f>AE$115*'Population Treasury'!AQ$162*'Statistics NZ'!AQ$444/('Population Treasury'!AP$162*'Statistics NZ'!AP$444)</f>
        <v>39125.121850870986</v>
      </c>
      <c r="AG115" s="111">
        <f>AF$115*'Population Treasury'!AR$162*'Statistics NZ'!AR$444/('Population Treasury'!AQ$162*'Statistics NZ'!AQ$444)</f>
        <v>38937.559964929525</v>
      </c>
      <c r="AH115" s="111">
        <f>AG$115*'Population Treasury'!AS$162*'Statistics NZ'!AS$444/('Population Treasury'!AR$162*'Statistics NZ'!AR$444)</f>
        <v>37735.837516274085</v>
      </c>
      <c r="AI115" s="111">
        <f>AH$115*'Population Treasury'!AT$162*'Statistics NZ'!AT$444/('Population Treasury'!AS$162*'Statistics NZ'!AS$444)</f>
        <v>37615.670465313211</v>
      </c>
      <c r="AJ115" s="111">
        <f>AI$115*'Population Treasury'!AU$162*'Statistics NZ'!AU$444/('Population Treasury'!AT$162*'Statistics NZ'!AT$444)</f>
        <v>36788.451627409922</v>
      </c>
      <c r="AK115" s="111">
        <f>AJ$115*'Population Treasury'!AV$162*'Statistics NZ'!AV$444/('Population Treasury'!AU$162*'Statistics NZ'!AU$444)</f>
        <v>37488.427216558848</v>
      </c>
      <c r="AL115" s="111">
        <f>AK$115*'Population Treasury'!AW$162*'Statistics NZ'!AW$444/('Population Treasury'!AV$162*'Statistics NZ'!AV$444)</f>
        <v>37060.395458882624</v>
      </c>
      <c r="AM115" s="111">
        <f>AL$115*'Population Treasury'!AX$162*'Statistics NZ'!AX$444/('Population Treasury'!AW$162*'Statistics NZ'!AW$444)</f>
        <v>35830.697769739134</v>
      </c>
      <c r="AN115" s="111">
        <f>AM$115*'Population Treasury'!AY$162*'Statistics NZ'!AY$444/('Population Treasury'!AX$162*'Statistics NZ'!AX$444)</f>
        <v>36369.796659977677</v>
      </c>
      <c r="AO115" s="111">
        <f>AN$115*'Population Treasury'!AZ$162*'Statistics NZ'!AZ$444/('Population Treasury'!AY$162*'Statistics NZ'!AY$444)</f>
        <v>36616.139225461375</v>
      </c>
      <c r="AP115" s="111">
        <f>AO$115*'Population Treasury'!BA$162*'Statistics NZ'!BA$444/('Population Treasury'!AZ$162*'Statistics NZ'!AZ$444)</f>
        <v>37023.858730434367</v>
      </c>
      <c r="AQ115" s="111">
        <f>AP$115*'Population Treasury'!BB$162*'Statistics NZ'!BB$444/('Population Treasury'!BA$162*'Statistics NZ'!BA$444)</f>
        <v>37992.898876867832</v>
      </c>
      <c r="AR115" s="111">
        <f>AQ$115*'Population Treasury'!BC$162*'Statistics NZ'!BC$444/('Population Treasury'!BB$162*'Statistics NZ'!BB$444)</f>
        <v>39866.746227038093</v>
      </c>
      <c r="AS115" s="111">
        <f>AR$115*'Population Treasury'!BD$162*'Statistics NZ'!BD$444/('Population Treasury'!BC$162*'Statistics NZ'!BC$444)</f>
        <v>40880.342265022213</v>
      </c>
      <c r="AT115" s="111">
        <f>AS$115*'Population Treasury'!BE$162*'Statistics NZ'!BE$444/('Population Treasury'!BD$162*'Statistics NZ'!BD$444)</f>
        <v>41425.74044657006</v>
      </c>
      <c r="AU115" s="111">
        <f>AT$115*'Population Treasury'!BF$162*'Statistics NZ'!BF$444/('Population Treasury'!BE$162*'Statistics NZ'!BE$444)</f>
        <v>41900.657984478348</v>
      </c>
      <c r="AV115" s="111">
        <f>AU$115*'Population Treasury'!BG$162*'Statistics NZ'!BG$444/('Population Treasury'!BF$162*'Statistics NZ'!BF$444)</f>
        <v>41642.156154346958</v>
      </c>
      <c r="AW115" s="111">
        <f>AV$115*'Population Treasury'!BH$162*'Statistics NZ'!BH$444/('Population Treasury'!BG$162*'Statistics NZ'!BG$444)</f>
        <v>41514.322619457678</v>
      </c>
      <c r="AX115" s="111">
        <f>AW$115*'Population Treasury'!BI$162*'Statistics NZ'!BI$444/('Population Treasury'!BH$162*'Statistics NZ'!BH$444)</f>
        <v>41253.260405113855</v>
      </c>
      <c r="AY115" s="111">
        <f>AX$115*'Population Treasury'!BJ$162*'Statistics NZ'!BJ$444/('Population Treasury'!BI$162*'Statistics NZ'!BI$444)</f>
        <v>40934.671029685152</v>
      </c>
      <c r="AZ115" s="111">
        <f>AY$115*'Population Treasury'!BK$162*'Statistics NZ'!BK$444/('Population Treasury'!BJ$162*'Statistics NZ'!BJ$444)</f>
        <v>40892.231263964466</v>
      </c>
      <c r="BA115" s="111">
        <f>AZ$115*'Population Treasury'!BL$162*'Statistics NZ'!BL$444/('Population Treasury'!BK$162*'Statistics NZ'!BK$444)</f>
        <v>40611.129026352486</v>
      </c>
      <c r="BB115" s="195">
        <f>BA$115*'Population Treasury'!BM$162*'Statistics NZ'!BM$444/('Population Treasury'!BL$162*'Statistics NZ'!BL$444)</f>
        <v>40406.080192213485</v>
      </c>
      <c r="BC115" s="195">
        <f>BB$115*'Population Treasury'!BN$162*'Statistics NZ'!BN$444/('Population Treasury'!BM$162*'Statistics NZ'!BM$444)</f>
        <v>39762.494085249287</v>
      </c>
      <c r="BD115" s="195">
        <f>BC$115*'Population Treasury'!BO$162*'Statistics NZ'!BO$444/('Population Treasury'!BN$162*'Statistics NZ'!BN$444)</f>
        <v>39745.42094130865</v>
      </c>
      <c r="BE115" s="195">
        <f>BD$115*'Population Treasury'!BP$162*'Statistics NZ'!BP$444/('Population Treasury'!BO$162*'Statistics NZ'!BO$444)</f>
        <v>39159.074401033795</v>
      </c>
      <c r="BF115" s="195">
        <f>BE$115*'Population Treasury'!BQ$162*'Statistics NZ'!BQ$444/('Population Treasury'!BP$162*'Statistics NZ'!BP$444)</f>
        <v>39005.250375986136</v>
      </c>
    </row>
    <row r="116" spans="1:58">
      <c r="A116" s="124">
        <f>$A$48</f>
        <v>53</v>
      </c>
      <c r="B116" s="118">
        <f>'Population Treasury'!M$163*'Statistics NZ'!M$445*'Economic Forecasts'!O$8/B$7</f>
        <v>28758.421260835323</v>
      </c>
      <c r="C116" s="118">
        <f>'Population Treasury'!N$163*'Statistics NZ'!N$445*'Economic Forecasts'!P$8/C$7</f>
        <v>28577.530345467669</v>
      </c>
      <c r="D116" s="118">
        <f>'Population Treasury'!O$163*'Statistics NZ'!O$445*'Economic Forecasts'!Q$8/D$7</f>
        <v>28020.486766891048</v>
      </c>
      <c r="E116" s="203">
        <f>'Population Treasury'!P$163*'Statistics NZ'!P$445*'Economic Forecasts'!R$8/E$7</f>
        <v>28114.617772313461</v>
      </c>
      <c r="F116" s="121">
        <f>'Population Treasury'!Q$163*'Statistics NZ'!Q$445*'Economic Forecasts'!S$8/F$7</f>
        <v>28886.235913529501</v>
      </c>
      <c r="G116" s="121">
        <f>'Population Treasury'!R$163*'Statistics NZ'!R$445*'Economic Forecasts'!T$8/G$7</f>
        <v>29904.761021386028</v>
      </c>
      <c r="H116" s="121">
        <f>'Population Treasury'!S$163*'Statistics NZ'!S$445*'Economic Forecasts'!U$8/H$7</f>
        <v>30269.513865713925</v>
      </c>
      <c r="I116" s="121">
        <f>'Population Treasury'!T$163*'Statistics NZ'!T$445*'Economic Forecasts'!V$8/I$7</f>
        <v>31038.161841631696</v>
      </c>
      <c r="J116" s="205">
        <f>'Population Treasury'!U$163*'Statistics NZ'!U$445*'Economic Forecasts'!W$8/J$7</f>
        <v>31223.538696940315</v>
      </c>
      <c r="K116" s="111">
        <f>J$116*'Population Treasury'!V$163*'Statistics NZ'!V$445/('Population Treasury'!U$163*'Statistics NZ'!U$445)</f>
        <v>30378.110612734297</v>
      </c>
      <c r="L116" s="111">
        <f>K$116*'Population Treasury'!W$163*'Statistics NZ'!W$445/('Population Treasury'!V$163*'Statistics NZ'!V$445)</f>
        <v>29236.151257616344</v>
      </c>
      <c r="M116" s="111">
        <f>L$116*'Population Treasury'!X$163*'Statistics NZ'!X$445/('Population Treasury'!W$163*'Statistics NZ'!W$445)</f>
        <v>28384.03556192328</v>
      </c>
      <c r="N116" s="111">
        <f>M$116*'Population Treasury'!Y$163*'Statistics NZ'!Y$445/('Population Treasury'!X$163*'Statistics NZ'!X$445)</f>
        <v>27905.572254811195</v>
      </c>
      <c r="O116" s="111">
        <f>N$116*'Population Treasury'!Z$163*'Statistics NZ'!Z$445/('Population Treasury'!Y$163*'Statistics NZ'!Y$445)</f>
        <v>28101.454805288009</v>
      </c>
      <c r="P116" s="111">
        <f>O$116*'Population Treasury'!AA$163*'Statistics NZ'!AA$445/('Population Treasury'!Z$163*'Statistics NZ'!Z$445)</f>
        <v>27827.661968616114</v>
      </c>
      <c r="Q116" s="111">
        <f>P$116*'Population Treasury'!AB$163*'Statistics NZ'!AB$445/('Population Treasury'!AA$163*'Statistics NZ'!AA$445)</f>
        <v>28860.336501519414</v>
      </c>
      <c r="R116" s="111">
        <f>Q$116*'Population Treasury'!AC$163*'Statistics NZ'!AC$445/('Population Treasury'!AB$163*'Statistics NZ'!AB$445)</f>
        <v>29599.186296279226</v>
      </c>
      <c r="S116" s="111">
        <f>R$116*'Population Treasury'!AD$163*'Statistics NZ'!AD$445/('Population Treasury'!AC$163*'Statistics NZ'!AC$445)</f>
        <v>30263.881800896932</v>
      </c>
      <c r="T116" s="111">
        <f>S$116*'Population Treasury'!AE$163*'Statistics NZ'!AE$445/('Population Treasury'!AD$163*'Statistics NZ'!AD$445)</f>
        <v>31051.804085120581</v>
      </c>
      <c r="U116" s="111">
        <f>T$116*'Population Treasury'!AF$163*'Statistics NZ'!AF$445/('Population Treasury'!AE$163*'Statistics NZ'!AE$445)</f>
        <v>31983.405047194279</v>
      </c>
      <c r="V116" s="111">
        <f>U$116*'Population Treasury'!AG$163*'Statistics NZ'!AG$445/('Population Treasury'!AF$163*'Statistics NZ'!AF$445)</f>
        <v>32503.389021321233</v>
      </c>
      <c r="W116" s="111">
        <f>V$116*'Population Treasury'!AH$163*'Statistics NZ'!AH$445/('Population Treasury'!AG$163*'Statistics NZ'!AG$445)</f>
        <v>32879.62358776878</v>
      </c>
      <c r="X116" s="111">
        <f>W$116*'Population Treasury'!AI$163*'Statistics NZ'!AI$445/('Population Treasury'!AH$163*'Statistics NZ'!AH$445)</f>
        <v>33807.197004252172</v>
      </c>
      <c r="Y116" s="111">
        <f>X$116*'Population Treasury'!AJ$163*'Statistics NZ'!AJ$445/('Population Treasury'!AI$163*'Statistics NZ'!AI$445)</f>
        <v>35479.827347762337</v>
      </c>
      <c r="Z116" s="111">
        <f>Y$116*'Population Treasury'!AK$163*'Statistics NZ'!AK$445/('Population Treasury'!AJ$163*'Statistics NZ'!AJ$445)</f>
        <v>36763.452807253088</v>
      </c>
      <c r="AA116" s="111">
        <f>Z$116*'Population Treasury'!AL$163*'Statistics NZ'!AL$445/('Population Treasury'!AK$163*'Statistics NZ'!AK$445)</f>
        <v>37738.747694081685</v>
      </c>
      <c r="AB116" s="111">
        <f>AA$116*'Population Treasury'!AM$163*'Statistics NZ'!AM$445/('Population Treasury'!AL$163*'Statistics NZ'!AL$445)</f>
        <v>39548.699380853897</v>
      </c>
      <c r="AC116" s="111">
        <f>AB$116*'Population Treasury'!AN$163*'Statistics NZ'!AN$445/('Population Treasury'!AM$163*'Statistics NZ'!AM$445)</f>
        <v>40317.653219069034</v>
      </c>
      <c r="AD116" s="111">
        <f>AC$116*'Population Treasury'!AO$163*'Statistics NZ'!AO$445/('Population Treasury'!AN$163*'Statistics NZ'!AN$445)</f>
        <v>40462.444011115804</v>
      </c>
      <c r="AE116" s="111">
        <f>AD$116*'Population Treasury'!AP$163*'Statistics NZ'!AP$445/('Population Treasury'!AO$163*'Statistics NZ'!AO$445)</f>
        <v>40122.985790491686</v>
      </c>
      <c r="AF116" s="111">
        <f>AE$116*'Population Treasury'!AQ$163*'Statistics NZ'!AQ$445/('Population Treasury'!AP$163*'Statistics NZ'!AP$445)</f>
        <v>38960.766069123718</v>
      </c>
      <c r="AG116" s="111">
        <f>AF$116*'Population Treasury'!AR$163*'Statistics NZ'!AR$445/('Population Treasury'!AQ$163*'Statistics NZ'!AQ$445)</f>
        <v>38917.112110110829</v>
      </c>
      <c r="AH116" s="111">
        <f>AG$116*'Population Treasury'!AS$163*'Statistics NZ'!AS$445/('Population Treasury'!AR$163*'Statistics NZ'!AR$445)</f>
        <v>38720.396778967217</v>
      </c>
      <c r="AI116" s="111">
        <f>AH$116*'Population Treasury'!AT$163*'Statistics NZ'!AT$445/('Population Treasury'!AS$163*'Statistics NZ'!AS$445)</f>
        <v>37508.709806173109</v>
      </c>
      <c r="AJ116" s="111">
        <f>AI$116*'Population Treasury'!AU$163*'Statistics NZ'!AU$445/('Population Treasury'!AT$163*'Statistics NZ'!AT$445)</f>
        <v>37415.232675745785</v>
      </c>
      <c r="AK116" s="111">
        <f>AJ$116*'Population Treasury'!AV$163*'Statistics NZ'!AV$445/('Population Treasury'!AU$163*'Statistics NZ'!AU$445)</f>
        <v>36577.663690584974</v>
      </c>
      <c r="AL116" s="111">
        <f>AK$116*'Population Treasury'!AW$163*'Statistics NZ'!AW$445/('Population Treasury'!AV$163*'Statistics NZ'!AV$445)</f>
        <v>37276.171170265778</v>
      </c>
      <c r="AM116" s="111">
        <f>AL$116*'Population Treasury'!AX$163*'Statistics NZ'!AX$445/('Population Treasury'!AW$163*'Statistics NZ'!AW$445)</f>
        <v>36856.418796781116</v>
      </c>
      <c r="AN116" s="111">
        <f>AM$116*'Population Treasury'!AY$163*'Statistics NZ'!AY$445/('Population Treasury'!AX$163*'Statistics NZ'!AX$445)</f>
        <v>35635.799338859819</v>
      </c>
      <c r="AO116" s="111">
        <f>AN$116*'Population Treasury'!AZ$163*'Statistics NZ'!AZ$445/('Population Treasury'!AY$163*'Statistics NZ'!AY$445)</f>
        <v>36153.005203063549</v>
      </c>
      <c r="AP116" s="111">
        <f>AO$116*'Population Treasury'!BA$163*'Statistics NZ'!BA$445/('Population Treasury'!AZ$163*'Statistics NZ'!AZ$445)</f>
        <v>36420.613650016749</v>
      </c>
      <c r="AQ116" s="111">
        <f>AP$116*'Population Treasury'!BB$163*'Statistics NZ'!BB$445/('Population Treasury'!BA$163*'Statistics NZ'!BA$445)</f>
        <v>36817.281154106699</v>
      </c>
      <c r="AR116" s="111">
        <f>AQ$116*'Population Treasury'!BC$163*'Statistics NZ'!BC$445/('Population Treasury'!BB$163*'Statistics NZ'!BB$445)</f>
        <v>37794.872219255471</v>
      </c>
      <c r="AS116" s="111">
        <f>AR$116*'Population Treasury'!BD$163*'Statistics NZ'!BD$445/('Population Treasury'!BC$163*'Statistics NZ'!BC$445)</f>
        <v>39647.517238787106</v>
      </c>
      <c r="AT116" s="111">
        <f>AS$116*'Population Treasury'!BE$163*'Statistics NZ'!BE$445/('Population Treasury'!BD$163*'Statistics NZ'!BD$445)</f>
        <v>40662.025329313066</v>
      </c>
      <c r="AU116" s="111">
        <f>AT$116*'Population Treasury'!BF$163*'Statistics NZ'!BF$445/('Population Treasury'!BE$163*'Statistics NZ'!BE$445)</f>
        <v>41216.607053841413</v>
      </c>
      <c r="AV116" s="111">
        <f>AU$116*'Population Treasury'!BG$163*'Statistics NZ'!BG$445/('Population Treasury'!BF$163*'Statistics NZ'!BF$445)</f>
        <v>41690.856448194972</v>
      </c>
      <c r="AW116" s="111">
        <f>AV$116*'Population Treasury'!BH$163*'Statistics NZ'!BH$445/('Population Treasury'!BG$163*'Statistics NZ'!BG$445)</f>
        <v>41431.265953737558</v>
      </c>
      <c r="AX116" s="111">
        <f>AW$116*'Population Treasury'!BI$163*'Statistics NZ'!BI$445/('Population Treasury'!BH$163*'Statistics NZ'!BH$445)</f>
        <v>41291.878070536652</v>
      </c>
      <c r="AY116" s="111">
        <f>AX$116*'Population Treasury'!BJ$163*'Statistics NZ'!BJ$445/('Population Treasury'!BI$163*'Statistics NZ'!BI$445)</f>
        <v>41041.338127231073</v>
      </c>
      <c r="AZ116" s="111">
        <f>AY$116*'Population Treasury'!BK$163*'Statistics NZ'!BK$445/('Population Treasury'!BJ$163*'Statistics NZ'!BJ$445)</f>
        <v>40722.586663275506</v>
      </c>
      <c r="BA116" s="111">
        <f>AZ$116*'Population Treasury'!BL$163*'Statistics NZ'!BL$445/('Population Treasury'!BK$163*'Statistics NZ'!BK$445)</f>
        <v>40680.063799758267</v>
      </c>
      <c r="BB116" s="195">
        <f>BA$116*'Population Treasury'!BM$163*'Statistics NZ'!BM$445/('Population Treasury'!BL$163*'Statistics NZ'!BL$445)</f>
        <v>40399.217467370057</v>
      </c>
      <c r="BC116" s="195">
        <f>BB$116*'Population Treasury'!BN$163*'Statistics NZ'!BN$445/('Population Treasury'!BM$163*'Statistics NZ'!BM$445)</f>
        <v>40195.990042709542</v>
      </c>
      <c r="BD116" s="195">
        <f>BC$116*'Population Treasury'!BO$163*'Statistics NZ'!BO$445/('Population Treasury'!BN$163*'Statistics NZ'!BN$445)</f>
        <v>39565.313370086522</v>
      </c>
      <c r="BE116" s="195">
        <f>BD$116*'Population Treasury'!BP$163*'Statistics NZ'!BP$445/('Population Treasury'!BO$163*'Statistics NZ'!BO$445)</f>
        <v>39550.294754869661</v>
      </c>
      <c r="BF116" s="195">
        <f>BE$116*'Population Treasury'!BQ$163*'Statistics NZ'!BQ$445/('Population Treasury'!BP$163*'Statistics NZ'!BP$445)</f>
        <v>38966.082408524591</v>
      </c>
    </row>
    <row r="117" spans="1:58">
      <c r="A117" s="124">
        <f>$A$49</f>
        <v>54</v>
      </c>
      <c r="B117" s="118">
        <f>'Population Treasury'!M$164*'Statistics NZ'!M$446*'Economic Forecasts'!O$8/B$7</f>
        <v>28855.284603147778</v>
      </c>
      <c r="C117" s="118">
        <f>'Population Treasury'!N$164*'Statistics NZ'!N$446*'Economic Forecasts'!P$8/C$7</f>
        <v>29095.829139178546</v>
      </c>
      <c r="D117" s="118">
        <f>'Population Treasury'!O$164*'Statistics NZ'!O$446*'Economic Forecasts'!Q$8/D$7</f>
        <v>28225.526650295149</v>
      </c>
      <c r="E117" s="203">
        <f>'Population Treasury'!P$164*'Statistics NZ'!P$446*'Economic Forecasts'!R$8/E$7</f>
        <v>27886.250991312012</v>
      </c>
      <c r="F117" s="121">
        <f>'Population Treasury'!Q$164*'Statistics NZ'!Q$446*'Economic Forecasts'!S$8/F$7</f>
        <v>28133.719843027477</v>
      </c>
      <c r="G117" s="121">
        <f>'Population Treasury'!R$164*'Statistics NZ'!R$446*'Economic Forecasts'!T$8/G$7</f>
        <v>29078.472259091373</v>
      </c>
      <c r="H117" s="121">
        <f>'Population Treasury'!S$164*'Statistics NZ'!S$446*'Economic Forecasts'!U$8/H$7</f>
        <v>29985.759859420381</v>
      </c>
      <c r="I117" s="121">
        <f>'Population Treasury'!T$164*'Statistics NZ'!T$446*'Economic Forecasts'!V$8/I$7</f>
        <v>30233.659789307876</v>
      </c>
      <c r="J117" s="205">
        <f>'Population Treasury'!U$164*'Statistics NZ'!U$446*'Economic Forecasts'!W$8/J$7</f>
        <v>31007.640665145635</v>
      </c>
      <c r="K117" s="111">
        <f>J$117*'Population Treasury'!V$164*'Statistics NZ'!V$446/('Population Treasury'!U$164*'Statistics NZ'!U$446)</f>
        <v>31062.782405845126</v>
      </c>
      <c r="L117" s="111">
        <f>K$117*'Population Treasury'!W$164*'Statistics NZ'!W$446/('Population Treasury'!V$164*'Statistics NZ'!V$446)</f>
        <v>30226.708170501246</v>
      </c>
      <c r="M117" s="111">
        <f>L$117*'Population Treasury'!X$164*'Statistics NZ'!X$446/('Population Treasury'!W$164*'Statistics NZ'!W$446)</f>
        <v>29093.091428917054</v>
      </c>
      <c r="N117" s="111">
        <f>M$117*'Population Treasury'!Y$164*'Statistics NZ'!Y$446/('Population Treasury'!X$164*'Statistics NZ'!X$446)</f>
        <v>28240.150464811479</v>
      </c>
      <c r="O117" s="111">
        <f>N$117*'Population Treasury'!Z$164*'Statistics NZ'!Z$446/('Population Treasury'!Y$164*'Statistics NZ'!Y$446)</f>
        <v>27759.920540103245</v>
      </c>
      <c r="P117" s="111">
        <f>O$117*'Population Treasury'!AA$164*'Statistics NZ'!AA$446/('Population Treasury'!Z$164*'Statistics NZ'!Z$446)</f>
        <v>27963.41664357817</v>
      </c>
      <c r="Q117" s="111">
        <f>P$117*'Population Treasury'!AB$164*'Statistics NZ'!AB$446/('Population Treasury'!AA$164*'Statistics NZ'!AA$446)</f>
        <v>27700.118237027735</v>
      </c>
      <c r="R117" s="111">
        <f>Q$117*'Population Treasury'!AC$164*'Statistics NZ'!AC$446/('Population Treasury'!AB$164*'Statistics NZ'!AB$446)</f>
        <v>28730.045847736928</v>
      </c>
      <c r="S117" s="111">
        <f>R$117*'Population Treasury'!AD$164*'Statistics NZ'!AD$446/('Population Treasury'!AC$164*'Statistics NZ'!AC$446)</f>
        <v>29478.781415316022</v>
      </c>
      <c r="T117" s="111">
        <f>S$117*'Population Treasury'!AE$164*'Statistics NZ'!AE$446/('Population Treasury'!AD$164*'Statistics NZ'!AD$446)</f>
        <v>30132.060898953827</v>
      </c>
      <c r="U117" s="111">
        <f>T$117*'Population Treasury'!AF$164*'Statistics NZ'!AF$446/('Population Treasury'!AE$164*'Statistics NZ'!AE$446)</f>
        <v>30920.525009910769</v>
      </c>
      <c r="V117" s="111">
        <f>U$117*'Population Treasury'!AG$164*'Statistics NZ'!AG$446/('Population Treasury'!AF$164*'Statistics NZ'!AF$446)</f>
        <v>31831.341950123868</v>
      </c>
      <c r="W117" s="111">
        <f>V$117*'Population Treasury'!AH$164*'Statistics NZ'!AH$446/('Population Treasury'!AG$164*'Statistics NZ'!AG$446)</f>
        <v>32360.866440521473</v>
      </c>
      <c r="X117" s="111">
        <f>W$117*'Population Treasury'!AI$164*'Statistics NZ'!AI$446/('Population Treasury'!AH$164*'Statistics NZ'!AH$446)</f>
        <v>32737.303107882377</v>
      </c>
      <c r="Y117" s="111">
        <f>X$117*'Population Treasury'!AJ$164*'Statistics NZ'!AJ$446/('Population Treasury'!AI$164*'Statistics NZ'!AI$446)</f>
        <v>33665.457593726904</v>
      </c>
      <c r="Z117" s="111">
        <f>Y$117*'Population Treasury'!AK$164*'Statistics NZ'!AK$446/('Population Treasury'!AJ$164*'Statistics NZ'!AJ$446)</f>
        <v>35338.884679501032</v>
      </c>
      <c r="AA117" s="111">
        <f>Z$117*'Population Treasury'!AL$164*'Statistics NZ'!AL$446/('Population Treasury'!AK$164*'Statistics NZ'!AK$446)</f>
        <v>36611.670053743896</v>
      </c>
      <c r="AB117" s="111">
        <f>AA$117*'Population Treasury'!AM$164*'Statistics NZ'!AM$446/('Population Treasury'!AL$164*'Statistics NZ'!AL$446)</f>
        <v>37588.161464455727</v>
      </c>
      <c r="AC117" s="111">
        <f>AB$117*'Population Treasury'!AN$164*'Statistics NZ'!AN$446/('Population Treasury'!AM$164*'Statistics NZ'!AM$446)</f>
        <v>39398.586431086907</v>
      </c>
      <c r="AD117" s="111">
        <f>AC$117*'Population Treasury'!AO$164*'Statistics NZ'!AO$446/('Population Treasury'!AN$164*'Statistics NZ'!AN$446)</f>
        <v>40167.817765190404</v>
      </c>
      <c r="AE117" s="111">
        <f>AD$117*'Population Treasury'!AP$164*'Statistics NZ'!AP$446/('Population Treasury'!AO$164*'Statistics NZ'!AO$446)</f>
        <v>40323.073823398096</v>
      </c>
      <c r="AF117" s="111">
        <f>AE$117*'Population Treasury'!AQ$164*'Statistics NZ'!AQ$446/('Population Treasury'!AP$164*'Statistics NZ'!AP$446)</f>
        <v>39974.119185720338</v>
      </c>
      <c r="AG117" s="111">
        <f>AF$117*'Population Treasury'!AR$164*'Statistics NZ'!AR$446/('Population Treasury'!AQ$164*'Statistics NZ'!AQ$446)</f>
        <v>38822.565446026674</v>
      </c>
      <c r="AH117" s="111">
        <f>AG$117*'Population Treasury'!AS$164*'Statistics NZ'!AS$446/('Population Treasury'!AR$164*'Statistics NZ'!AR$446)</f>
        <v>38760.034304473753</v>
      </c>
      <c r="AI117" s="111">
        <f>AH$117*'Population Treasury'!AT$164*'Statistics NZ'!AT$446/('Population Treasury'!AS$164*'Statistics NZ'!AS$446)</f>
        <v>38582.383903314592</v>
      </c>
      <c r="AJ117" s="111">
        <f>AI$117*'Population Treasury'!AU$164*'Statistics NZ'!AU$446/('Population Treasury'!AT$164*'Statistics NZ'!AT$446)</f>
        <v>37380.776866750515</v>
      </c>
      <c r="AK117" s="111">
        <f>AJ$117*'Population Treasury'!AV$164*'Statistics NZ'!AV$446/('Population Treasury'!AU$164*'Statistics NZ'!AU$446)</f>
        <v>37286.429364782482</v>
      </c>
      <c r="AL117" s="111">
        <f>AK$117*'Population Treasury'!AW$164*'Statistics NZ'!AW$446/('Population Treasury'!AV$164*'Statistics NZ'!AV$446)</f>
        <v>36439.042045932438</v>
      </c>
      <c r="AM117" s="111">
        <f>AL$117*'Population Treasury'!AX$164*'Statistics NZ'!AX$446/('Population Treasury'!AW$164*'Statistics NZ'!AW$446)</f>
        <v>37136.871328663328</v>
      </c>
      <c r="AN117" s="111">
        <f>AM$117*'Population Treasury'!AY$164*'Statistics NZ'!AY$446/('Population Treasury'!AX$164*'Statistics NZ'!AX$446)</f>
        <v>36715.963990512013</v>
      </c>
      <c r="AO117" s="111">
        <f>AN$117*'Population Treasury'!AZ$164*'Statistics NZ'!AZ$446/('Population Treasury'!AY$164*'Statistics NZ'!AY$446)</f>
        <v>35505.58506843794</v>
      </c>
      <c r="AP117" s="111">
        <f>AO$117*'Population Treasury'!BA$164*'Statistics NZ'!BA$446/('Population Treasury'!AZ$164*'Statistics NZ'!AZ$446)</f>
        <v>36042.910938376699</v>
      </c>
      <c r="AQ117" s="111">
        <f>AP$117*'Population Treasury'!BB$164*'Statistics NZ'!BB$446/('Population Treasury'!BA$164*'Statistics NZ'!BA$446)</f>
        <v>36299.677110435921</v>
      </c>
      <c r="AR117" s="111">
        <f>AQ$117*'Population Treasury'!BC$164*'Statistics NZ'!BC$446/('Population Treasury'!BB$164*'Statistics NZ'!BB$446)</f>
        <v>36685.472799041352</v>
      </c>
      <c r="AS117" s="111">
        <f>AR$117*'Population Treasury'!BD$164*'Statistics NZ'!BD$446/('Population Treasury'!BC$164*'Statistics NZ'!BC$446)</f>
        <v>37653.008251713654</v>
      </c>
      <c r="AT117" s="111">
        <f>AS$117*'Population Treasury'!BE$164*'Statistics NZ'!BE$446/('Population Treasury'!BD$164*'Statistics NZ'!BD$446)</f>
        <v>39525.466466651436</v>
      </c>
      <c r="AU117" s="111">
        <f>AT$117*'Population Treasury'!BF$164*'Statistics NZ'!BF$446/('Population Treasury'!BE$164*'Statistics NZ'!BE$446)</f>
        <v>40540.299170122424</v>
      </c>
      <c r="AV117" s="111">
        <f>AU$117*'Population Treasury'!BG$164*'Statistics NZ'!BG$446/('Population Treasury'!BF$164*'Statistics NZ'!BF$446)</f>
        <v>41085.210891269235</v>
      </c>
      <c r="AW117" s="111">
        <f>AV$117*'Population Treasury'!BH$164*'Statistics NZ'!BH$446/('Population Treasury'!BG$164*'Statistics NZ'!BG$446)</f>
        <v>41559.216462725431</v>
      </c>
      <c r="AX117" s="111">
        <f>AW$117*'Population Treasury'!BI$164*'Statistics NZ'!BI$446/('Population Treasury'!BH$164*'Statistics NZ'!BH$446)</f>
        <v>41298.230522190643</v>
      </c>
      <c r="AY117" s="111">
        <f>AX$117*'Population Treasury'!BJ$164*'Statistics NZ'!BJ$446/('Population Treasury'!BI$164*'Statistics NZ'!BI$446)</f>
        <v>41170.014963975584</v>
      </c>
      <c r="AZ117" s="111">
        <f>AY$117*'Population Treasury'!BK$164*'Statistics NZ'!BK$446/('Population Treasury'!BJ$164*'Statistics NZ'!BJ$446)</f>
        <v>40919.409676977128</v>
      </c>
      <c r="BA117" s="111">
        <f>AZ$117*'Population Treasury'!BL$164*'Statistics NZ'!BL$446/('Population Treasury'!BK$164*'Statistics NZ'!BK$446)</f>
        <v>40600.291483850582</v>
      </c>
      <c r="BB117" s="195">
        <f>BA$117*'Population Treasury'!BM$164*'Statistics NZ'!BM$446/('Population Treasury'!BL$164*'Statistics NZ'!BL$446)</f>
        <v>40546.037982505586</v>
      </c>
      <c r="BC117" s="195">
        <f>BB$117*'Population Treasury'!BN$164*'Statistics NZ'!BN$446/('Population Treasury'!BM$164*'Statistics NZ'!BM$446)</f>
        <v>40275.784089872373</v>
      </c>
      <c r="BD117" s="195">
        <f>BC$117*'Population Treasury'!BO$164*'Statistics NZ'!BO$446/('Population Treasury'!BN$164*'Statistics NZ'!BN$446)</f>
        <v>40072.448070582046</v>
      </c>
      <c r="BE117" s="195">
        <f>BD$117*'Population Treasury'!BP$164*'Statistics NZ'!BP$446/('Population Treasury'!BO$164*'Statistics NZ'!BO$446)</f>
        <v>39433.773159267839</v>
      </c>
      <c r="BF117" s="195">
        <f>BE$117*'Population Treasury'!BQ$164*'Statistics NZ'!BQ$446/('Population Treasury'!BP$164*'Statistics NZ'!BP$446)</f>
        <v>39418.89713835431</v>
      </c>
    </row>
    <row r="118" spans="1:58">
      <c r="A118" s="124">
        <f>$A$50</f>
        <v>55</v>
      </c>
      <c r="B118" s="118">
        <f>'Population Treasury'!M$165*'Statistics NZ'!M$447*'Economic Forecasts'!O$8/B$7</f>
        <v>28517.269434754671</v>
      </c>
      <c r="C118" s="118">
        <f>'Population Treasury'!N$165*'Statistics NZ'!N$447*'Economic Forecasts'!P$8/C$7</f>
        <v>29198.298117245391</v>
      </c>
      <c r="D118" s="118">
        <f>'Population Treasury'!O$165*'Statistics NZ'!O$447*'Economic Forecasts'!Q$8/D$7</f>
        <v>28662.497869176539</v>
      </c>
      <c r="E118" s="203">
        <f>'Population Treasury'!P$165*'Statistics NZ'!P$447*'Economic Forecasts'!R$8/E$7</f>
        <v>28058.269611200561</v>
      </c>
      <c r="F118" s="121">
        <f>'Population Treasury'!Q$165*'Statistics NZ'!Q$447*'Economic Forecasts'!S$8/F$7</f>
        <v>27883.925121886921</v>
      </c>
      <c r="G118" s="121">
        <f>'Population Treasury'!R$165*'Statistics NZ'!R$447*'Economic Forecasts'!T$8/G$7</f>
        <v>28278.550277938259</v>
      </c>
      <c r="H118" s="121">
        <f>'Population Treasury'!S$165*'Statistics NZ'!S$447*'Economic Forecasts'!U$8/H$7</f>
        <v>29135.792479473526</v>
      </c>
      <c r="I118" s="121">
        <f>'Population Treasury'!T$165*'Statistics NZ'!T$447*'Economic Forecasts'!V$8/I$7</f>
        <v>29938.478790950787</v>
      </c>
      <c r="J118" s="205">
        <f>'Population Treasury'!U$165*'Statistics NZ'!U$447*'Economic Forecasts'!W$8/J$7</f>
        <v>30201.440130861163</v>
      </c>
      <c r="K118" s="111">
        <f>J$118*'Population Treasury'!V$165*'Statistics NZ'!V$447/('Population Treasury'!U$165*'Statistics NZ'!U$447)</f>
        <v>30859.163707623142</v>
      </c>
      <c r="L118" s="111">
        <f>K$118*'Population Treasury'!W$165*'Statistics NZ'!W$447/('Population Treasury'!V$165*'Statistics NZ'!V$447)</f>
        <v>30924.457669801566</v>
      </c>
      <c r="M118" s="111">
        <f>L$118*'Population Treasury'!X$165*'Statistics NZ'!X$447/('Population Treasury'!W$165*'Statistics NZ'!W$447)</f>
        <v>30099.300189800062</v>
      </c>
      <c r="N118" s="111">
        <f>M$118*'Population Treasury'!Y$165*'Statistics NZ'!Y$447/('Population Treasury'!X$165*'Statistics NZ'!X$447)</f>
        <v>28977.060733638667</v>
      </c>
      <c r="O118" s="111">
        <f>N$118*'Population Treasury'!Z$165*'Statistics NZ'!Z$447/('Population Treasury'!Y$165*'Statistics NZ'!Y$447)</f>
        <v>28134.929423247766</v>
      </c>
      <c r="P118" s="111">
        <f>O$118*'Population Treasury'!AA$165*'Statistics NZ'!AA$447/('Population Treasury'!Z$165*'Statistics NZ'!Z$447)</f>
        <v>27654.109877081271</v>
      </c>
      <c r="Q118" s="111">
        <f>P$118*'Population Treasury'!AB$165*'Statistics NZ'!AB$447/('Population Treasury'!AA$165*'Statistics NZ'!AA$447)</f>
        <v>27857.550890562143</v>
      </c>
      <c r="R118" s="111">
        <f>Q$118*'Population Treasury'!AC$165*'Statistics NZ'!AC$447/('Population Treasury'!AB$165*'Statistics NZ'!AB$447)</f>
        <v>27581.367152441773</v>
      </c>
      <c r="S118" s="111">
        <f>R$118*'Population Treasury'!AD$165*'Statistics NZ'!AD$447/('Population Treasury'!AC$165*'Statistics NZ'!AC$447)</f>
        <v>28620.841052118918</v>
      </c>
      <c r="T118" s="111">
        <f>S$118*'Population Treasury'!AE$165*'Statistics NZ'!AE$447/('Population Treasury'!AD$165*'Statistics NZ'!AD$447)</f>
        <v>29357.758470570148</v>
      </c>
      <c r="U118" s="111">
        <f>T$118*'Population Treasury'!AF$165*'Statistics NZ'!AF$447/('Population Treasury'!AE$165*'Statistics NZ'!AE$447)</f>
        <v>30022.850806523275</v>
      </c>
      <c r="V118" s="111">
        <f>U$118*'Population Treasury'!AG$165*'Statistics NZ'!AG$447/('Population Treasury'!AF$165*'Statistics NZ'!AF$447)</f>
        <v>30799.087569026116</v>
      </c>
      <c r="W118" s="111">
        <f>V$118*'Population Treasury'!AH$165*'Statistics NZ'!AH$447/('Population Treasury'!AG$165*'Statistics NZ'!AG$447)</f>
        <v>31721.975372100365</v>
      </c>
      <c r="X118" s="111">
        <f>W$118*'Population Treasury'!AI$165*'Statistics NZ'!AI$447/('Population Treasury'!AH$165*'Statistics NZ'!AH$447)</f>
        <v>32251.548616805943</v>
      </c>
      <c r="Y118" s="111">
        <f>X$118*'Population Treasury'!AJ$165*'Statistics NZ'!AJ$447/('Population Treasury'!AI$165*'Statistics NZ'!AI$447)</f>
        <v>32628.202286078737</v>
      </c>
      <c r="Z118" s="111">
        <f>Y$118*'Population Treasury'!AK$165*'Statistics NZ'!AK$447/('Population Treasury'!AJ$165*'Statistics NZ'!AJ$447)</f>
        <v>33545.67578230222</v>
      </c>
      <c r="AA118" s="111">
        <f>Z$118*'Population Treasury'!AL$165*'Statistics NZ'!AL$447/('Population Treasury'!AK$165*'Statistics NZ'!AK$447)</f>
        <v>35219.011920398902</v>
      </c>
      <c r="AB118" s="111">
        <f>AA$118*'Population Treasury'!AM$165*'Statistics NZ'!AM$447/('Population Treasury'!AL$165*'Statistics NZ'!AL$447)</f>
        <v>36503.563170057925</v>
      </c>
      <c r="AC118" s="111">
        <f>AB$118*'Population Treasury'!AN$165*'Statistics NZ'!AN$447/('Population Treasury'!AM$165*'Statistics NZ'!AM$447)</f>
        <v>37459.619838221559</v>
      </c>
      <c r="AD118" s="111">
        <f>AC$118*'Population Treasury'!AO$165*'Statistics NZ'!AO$447/('Population Treasury'!AN$165*'Statistics NZ'!AN$447)</f>
        <v>39261.284880388746</v>
      </c>
      <c r="AE118" s="111">
        <f>AD$118*'Population Treasury'!AP$165*'Statistics NZ'!AP$447/('Population Treasury'!AO$165*'Statistics NZ'!AO$447)</f>
        <v>40041.75918548544</v>
      </c>
      <c r="AF118" s="111">
        <f>AE$118*'Population Treasury'!AQ$165*'Statistics NZ'!AQ$447/('Population Treasury'!AP$165*'Statistics NZ'!AP$447)</f>
        <v>40186.808436038475</v>
      </c>
      <c r="AG118" s="111">
        <f>AF$118*'Population Treasury'!AR$165*'Statistics NZ'!AR$447/('Population Treasury'!AQ$165*'Statistics NZ'!AQ$447)</f>
        <v>39839.720617063555</v>
      </c>
      <c r="AH118" s="111">
        <f>AG$118*'Population Treasury'!AS$165*'Statistics NZ'!AS$447/('Population Treasury'!AR$165*'Statistics NZ'!AR$447)</f>
        <v>38698.498812911224</v>
      </c>
      <c r="AI118" s="111">
        <f>AH$118*'Population Treasury'!AT$165*'Statistics NZ'!AT$447/('Population Treasury'!AS$165*'Statistics NZ'!AS$447)</f>
        <v>38646.198389748606</v>
      </c>
      <c r="AJ118" s="111">
        <f>AI$118*'Population Treasury'!AU$165*'Statistics NZ'!AU$447/('Population Treasury'!AT$165*'Statistics NZ'!AT$447)</f>
        <v>38478.056530404763</v>
      </c>
      <c r="AK118" s="111">
        <f>AJ$118*'Population Treasury'!AV$165*'Statistics NZ'!AV$447/('Population Treasury'!AU$165*'Statistics NZ'!AU$447)</f>
        <v>37276.123354898351</v>
      </c>
      <c r="AL118" s="111">
        <f>AK$118*'Population Treasury'!AW$165*'Statistics NZ'!AW$447/('Population Treasury'!AV$165*'Statistics NZ'!AV$447)</f>
        <v>37171.25417803874</v>
      </c>
      <c r="AM118" s="111">
        <f>AL$118*'Population Treasury'!AX$165*'Statistics NZ'!AX$447/('Population Treasury'!AW$165*'Statistics NZ'!AW$447)</f>
        <v>36343.253791820935</v>
      </c>
      <c r="AN118" s="111">
        <f>AM$118*'Population Treasury'!AY$165*'Statistics NZ'!AY$447/('Population Treasury'!AX$165*'Statistics NZ'!AX$447)</f>
        <v>37040.405711351668</v>
      </c>
      <c r="AO118" s="111">
        <f>AN$118*'Population Treasury'!AZ$165*'Statistics NZ'!AZ$447/('Population Treasury'!AY$165*'Statistics NZ'!AY$447)</f>
        <v>36629.102715332061</v>
      </c>
      <c r="AP118" s="111">
        <f>AO$118*'Population Treasury'!BA$165*'Statistics NZ'!BA$447/('Population Treasury'!AZ$165*'Statistics NZ'!AZ$447)</f>
        <v>35408.172665635313</v>
      </c>
      <c r="AQ118" s="111">
        <f>AP$118*'Population Treasury'!BB$165*'Statistics NZ'!BB$447/('Population Treasury'!BA$165*'Statistics NZ'!BA$447)</f>
        <v>35944.852625455722</v>
      </c>
      <c r="AR118" s="111">
        <f>AQ$118*'Population Treasury'!BC$165*'Statistics NZ'!BC$447/('Population Treasury'!BB$165*'Statistics NZ'!BB$447)</f>
        <v>36201.929469658862</v>
      </c>
      <c r="AS118" s="111">
        <f>AR$118*'Population Treasury'!BD$165*'Statistics NZ'!BD$447/('Population Treasury'!BC$165*'Statistics NZ'!BC$447)</f>
        <v>36586.987412324401</v>
      </c>
      <c r="AT118" s="111">
        <f>AS$118*'Population Treasury'!BE$165*'Statistics NZ'!BE$447/('Population Treasury'!BD$165*'Statistics NZ'!BD$447)</f>
        <v>37554.013503940332</v>
      </c>
      <c r="AU118" s="111">
        <f>AT$118*'Population Treasury'!BF$165*'Statistics NZ'!BF$447/('Population Treasury'!BE$165*'Statistics NZ'!BE$447)</f>
        <v>39415.889846820632</v>
      </c>
      <c r="AV118" s="111">
        <f>AU$118*'Population Treasury'!BG$165*'Statistics NZ'!BG$447/('Population Treasury'!BF$165*'Statistics NZ'!BF$447)</f>
        <v>40432.012823063502</v>
      </c>
      <c r="AW118" s="111">
        <f>AV$118*'Population Treasury'!BH$165*'Statistics NZ'!BH$447/('Population Treasury'!BG$165*'Statistics NZ'!BG$447)</f>
        <v>40986.280705174482</v>
      </c>
      <c r="AX118" s="111">
        <f>AW$118*'Population Treasury'!BI$165*'Statistics NZ'!BI$447/('Population Treasury'!BH$165*'Statistics NZ'!BH$447)</f>
        <v>41438.224206139297</v>
      </c>
      <c r="AY118" s="111">
        <f>AX$118*'Population Treasury'!BJ$165*'Statistics NZ'!BJ$447/('Population Treasury'!BI$165*'Statistics NZ'!BI$447)</f>
        <v>41187.987035652252</v>
      </c>
      <c r="AZ118" s="111">
        <f>AY$118*'Population Treasury'!BK$165*'Statistics NZ'!BK$447/('Population Treasury'!BJ$165*'Statistics NZ'!BJ$447)</f>
        <v>41069.896083883155</v>
      </c>
      <c r="BA118" s="111">
        <f>AZ$118*'Population Treasury'!BL$165*'Statistics NZ'!BL$447/('Population Treasury'!BK$165*'Statistics NZ'!BK$447)</f>
        <v>40818.109180610867</v>
      </c>
      <c r="BB118" s="195">
        <f>BA$118*'Population Treasury'!BM$165*'Statistics NZ'!BM$447/('Population Treasury'!BL$165*'Statistics NZ'!BL$447)</f>
        <v>40498.401180307686</v>
      </c>
      <c r="BC118" s="195">
        <f>BB$118*'Population Treasury'!BN$165*'Statistics NZ'!BN$447/('Population Treasury'!BM$165*'Statistics NZ'!BM$447)</f>
        <v>40455.802340351009</v>
      </c>
      <c r="BD118" s="195">
        <f>BC$118*'Population Treasury'!BO$165*'Statistics NZ'!BO$447/('Population Treasury'!BN$165*'Statistics NZ'!BN$447)</f>
        <v>40185.664592102388</v>
      </c>
      <c r="BE118" s="195">
        <f>BD$118*'Population Treasury'!BP$165*'Statistics NZ'!BP$447/('Population Treasury'!BO$165*'Statistics NZ'!BO$447)</f>
        <v>39972.607839417251</v>
      </c>
      <c r="BF118" s="195">
        <f>BE$118*'Population Treasury'!BQ$165*'Statistics NZ'!BQ$447/('Population Treasury'!BP$165*'Statistics NZ'!BP$447)</f>
        <v>39355.499781645063</v>
      </c>
    </row>
    <row r="119" spans="1:58">
      <c r="A119" s="124">
        <f>$A$51</f>
        <v>56</v>
      </c>
      <c r="B119" s="118">
        <f>'Population Treasury'!M$166*'Statistics NZ'!M$448*'Economic Forecasts'!O$8/B$7</f>
        <v>27387.421961808857</v>
      </c>
      <c r="C119" s="118">
        <f>'Population Treasury'!N$166*'Statistics NZ'!N$448*'Economic Forecasts'!P$8/C$7</f>
        <v>28723.253250693673</v>
      </c>
      <c r="D119" s="118">
        <f>'Population Treasury'!O$166*'Statistics NZ'!O$448*'Economic Forecasts'!Q$8/D$7</f>
        <v>28704.59965415952</v>
      </c>
      <c r="E119" s="203">
        <f>'Population Treasury'!P$166*'Statistics NZ'!P$448*'Economic Forecasts'!R$8/E$7</f>
        <v>28421.285296907223</v>
      </c>
      <c r="F119" s="121">
        <f>'Population Treasury'!Q$166*'Statistics NZ'!Q$448*'Economic Forecasts'!S$8/F$7</f>
        <v>28005.397740685294</v>
      </c>
      <c r="G119" s="121">
        <f>'Population Treasury'!R$166*'Statistics NZ'!R$448*'Economic Forecasts'!T$8/G$7</f>
        <v>27986.497327080633</v>
      </c>
      <c r="H119" s="121">
        <f>'Population Treasury'!S$166*'Statistics NZ'!S$448*'Economic Forecasts'!U$8/H$7</f>
        <v>28289.177890040068</v>
      </c>
      <c r="I119" s="121">
        <f>'Population Treasury'!T$166*'Statistics NZ'!T$448*'Economic Forecasts'!V$8/I$7</f>
        <v>29041.4875497502</v>
      </c>
      <c r="J119" s="205">
        <f>'Population Treasury'!U$166*'Statistics NZ'!U$448*'Economic Forecasts'!W$8/J$7</f>
        <v>29859.882823300541</v>
      </c>
      <c r="K119" s="111">
        <f>J$119*'Population Treasury'!V$166*'Statistics NZ'!V$448/('Population Treasury'!U$166*'Statistics NZ'!U$448)</f>
        <v>29998.921230761585</v>
      </c>
      <c r="L119" s="111">
        <f>K$119*'Population Treasury'!W$166*'Statistics NZ'!W$448/('Population Treasury'!V$166*'Statistics NZ'!V$448)</f>
        <v>30653.457729278532</v>
      </c>
      <c r="M119" s="111">
        <f>L$119*'Population Treasury'!X$166*'Statistics NZ'!X$448/('Population Treasury'!W$166*'Statistics NZ'!W$448)</f>
        <v>30728.129923652912</v>
      </c>
      <c r="N119" s="111">
        <f>M$119*'Population Treasury'!Y$166*'Statistics NZ'!Y$448/('Population Treasury'!X$166*'Statistics NZ'!X$448)</f>
        <v>29900.461488334218</v>
      </c>
      <c r="O119" s="111">
        <f>N$119*'Population Treasury'!Z$166*'Statistics NZ'!Z$448/('Population Treasury'!Y$166*'Statistics NZ'!Y$448)</f>
        <v>28797.893421944162</v>
      </c>
      <c r="P119" s="111">
        <f>O$119*'Population Treasury'!AA$166*'Statistics NZ'!AA$448/('Population Treasury'!Z$166*'Statistics NZ'!Z$448)</f>
        <v>27954.244819608382</v>
      </c>
      <c r="Q119" s="111">
        <f>P$119*'Population Treasury'!AB$166*'Statistics NZ'!AB$448/('Population Treasury'!AA$166*'Statistics NZ'!AA$448)</f>
        <v>27491.569773678173</v>
      </c>
      <c r="R119" s="111">
        <f>Q$119*'Population Treasury'!AC$166*'Statistics NZ'!AC$448/('Population Treasury'!AB$166*'Statistics NZ'!AB$448)</f>
        <v>27681.187944671441</v>
      </c>
      <c r="S119" s="111">
        <f>R$119*'Population Treasury'!AD$166*'Statistics NZ'!AD$448/('Population Treasury'!AC$166*'Statistics NZ'!AC$448)</f>
        <v>27414.656470002436</v>
      </c>
      <c r="T119" s="111">
        <f>S$119*'Population Treasury'!AE$166*'Statistics NZ'!AE$448/('Population Treasury'!AD$166*'Statistics NZ'!AD$448)</f>
        <v>28451.285979707583</v>
      </c>
      <c r="U119" s="111">
        <f>T$119*'Population Treasury'!AF$166*'Statistics NZ'!AF$448/('Population Treasury'!AE$166*'Statistics NZ'!AE$448)</f>
        <v>29178.174139017403</v>
      </c>
      <c r="V119" s="111">
        <f>U$119*'Population Treasury'!AG$166*'Statistics NZ'!AG$448/('Population Treasury'!AF$166*'Statistics NZ'!AF$448)</f>
        <v>29843.844352015531</v>
      </c>
      <c r="W119" s="111">
        <f>V$119*'Population Treasury'!AH$166*'Statistics NZ'!AH$448/('Population Treasury'!AG$166*'Statistics NZ'!AG$448)</f>
        <v>30618.703613538939</v>
      </c>
      <c r="X119" s="111">
        <f>W$119*'Population Treasury'!AI$166*'Statistics NZ'!AI$448/('Population Treasury'!AH$166*'Statistics NZ'!AH$448)</f>
        <v>31541.564877888934</v>
      </c>
      <c r="Y119" s="111">
        <f>X$119*'Population Treasury'!AJ$166*'Statistics NZ'!AJ$448/('Population Treasury'!AI$166*'Statistics NZ'!AI$448)</f>
        <v>32060.76418457539</v>
      </c>
      <c r="Z119" s="111">
        <f>Y$119*'Population Treasury'!AK$166*'Statistics NZ'!AK$448/('Population Treasury'!AJ$166*'Statistics NZ'!AJ$448)</f>
        <v>32438.01132869229</v>
      </c>
      <c r="AA119" s="111">
        <f>Z$119*'Population Treasury'!AL$166*'Statistics NZ'!AL$448/('Population Treasury'!AK$166*'Statistics NZ'!AK$448)</f>
        <v>33357.12288232948</v>
      </c>
      <c r="AB119" s="111">
        <f>AA$119*'Population Treasury'!AM$166*'Statistics NZ'!AM$448/('Population Treasury'!AL$166*'Statistics NZ'!AL$448)</f>
        <v>35030.256578095548</v>
      </c>
      <c r="AC119" s="111">
        <f>AB$119*'Population Treasury'!AN$166*'Statistics NZ'!AN$448/('Population Treasury'!AM$166*'Statistics NZ'!AM$448)</f>
        <v>36293.789931766667</v>
      </c>
      <c r="AD119" s="111">
        <f>AC$119*'Population Treasury'!AO$166*'Statistics NZ'!AO$448/('Population Treasury'!AN$166*'Statistics NZ'!AN$448)</f>
        <v>37254.189054704686</v>
      </c>
      <c r="AE119" s="111">
        <f>AD$119*'Population Treasury'!AP$166*'Statistics NZ'!AP$448/('Population Treasury'!AO$166*'Statistics NZ'!AO$448)</f>
        <v>39056.132005453146</v>
      </c>
      <c r="AF119" s="111">
        <f>AE$119*'Population Treasury'!AQ$166*'Statistics NZ'!AQ$448/('Population Treasury'!AP$166*'Statistics NZ'!AP$448)</f>
        <v>39829.875456788577</v>
      </c>
      <c r="AG119" s="111">
        <f>AF$119*'Population Treasury'!AR$166*'Statistics NZ'!AR$448/('Population Treasury'!AQ$166*'Statistics NZ'!AQ$448)</f>
        <v>39976.137553884902</v>
      </c>
      <c r="AH119" s="111">
        <f>AG$119*'Population Treasury'!AS$166*'Statistics NZ'!AS$448/('Population Treasury'!AR$166*'Statistics NZ'!AR$448)</f>
        <v>39630.585592428462</v>
      </c>
      <c r="AI119" s="111">
        <f>AH$119*'Population Treasury'!AT$166*'Statistics NZ'!AT$448/('Population Treasury'!AS$166*'Statistics NZ'!AS$448)</f>
        <v>38491.227841222368</v>
      </c>
      <c r="AJ119" s="111">
        <f>AI$119*'Population Treasury'!AU$166*'Statistics NZ'!AU$448/('Population Treasury'!AT$166*'Statistics NZ'!AT$448)</f>
        <v>38439.629938202532</v>
      </c>
      <c r="AK119" s="111">
        <f>AJ$119*'Population Treasury'!AV$166*'Statistics NZ'!AV$448/('Population Treasury'!AU$166*'Statistics NZ'!AU$448)</f>
        <v>38272.283722252272</v>
      </c>
      <c r="AL119" s="111">
        <f>AK$119*'Population Treasury'!AW$166*'Statistics NZ'!AW$448/('Population Treasury'!AV$166*'Statistics NZ'!AV$448)</f>
        <v>37088.916874327682</v>
      </c>
      <c r="AM119" s="111">
        <f>AL$119*'Population Treasury'!AX$166*'Statistics NZ'!AX$448/('Population Treasury'!AW$166*'Statistics NZ'!AW$448)</f>
        <v>36982.091513024287</v>
      </c>
      <c r="AN119" s="111">
        <f>AM$119*'Population Treasury'!AY$166*'Statistics NZ'!AY$448/('Population Treasury'!AX$166*'Statistics NZ'!AX$448)</f>
        <v>36153.072921388877</v>
      </c>
      <c r="AO119" s="111">
        <f>AN$119*'Population Treasury'!AZ$166*'Statistics NZ'!AZ$448/('Population Treasury'!AY$166*'Statistics NZ'!AY$448)</f>
        <v>36848.459975944483</v>
      </c>
      <c r="AP119" s="111">
        <f>AO$119*'Population Treasury'!BA$166*'Statistics NZ'!BA$448/('Population Treasury'!AZ$166*'Statistics NZ'!AZ$448)</f>
        <v>36444.540947897731</v>
      </c>
      <c r="AQ119" s="111">
        <f>AP$119*'Population Treasury'!BB$166*'Statistics NZ'!BB$448/('Population Treasury'!BA$166*'Statistics NZ'!BA$448)</f>
        <v>35232.798186465065</v>
      </c>
      <c r="AR119" s="111">
        <f>AQ$119*'Population Treasury'!BC$166*'Statistics NZ'!BC$448/('Population Treasury'!BB$166*'Statistics NZ'!BB$448)</f>
        <v>35756.876771711621</v>
      </c>
      <c r="AS119" s="111">
        <f>AR$119*'Population Treasury'!BD$166*'Statistics NZ'!BD$448/('Population Treasury'!BC$166*'Statistics NZ'!BC$448)</f>
        <v>36025.748808672302</v>
      </c>
      <c r="AT119" s="111">
        <f>AS$119*'Population Treasury'!BE$166*'Statistics NZ'!BE$448/('Population Treasury'!BD$166*'Statistics NZ'!BD$448)</f>
        <v>36418.527340740373</v>
      </c>
      <c r="AU119" s="111">
        <f>AT$119*'Population Treasury'!BF$166*'Statistics NZ'!BF$448/('Population Treasury'!BE$166*'Statistics NZ'!BE$448)</f>
        <v>37384.33179004147</v>
      </c>
      <c r="AV119" s="111">
        <f>AU$119*'Population Treasury'!BG$166*'Statistics NZ'!BG$448/('Population Treasury'!BF$166*'Statistics NZ'!BF$448)</f>
        <v>39225.007953831104</v>
      </c>
      <c r="AW119" s="111">
        <f>AV$119*'Population Treasury'!BH$166*'Statistics NZ'!BH$448/('Population Treasury'!BG$166*'Statistics NZ'!BG$448)</f>
        <v>40242.182857315718</v>
      </c>
      <c r="AX119" s="111">
        <f>AW$119*'Population Treasury'!BI$166*'Statistics NZ'!BI$448/('Population Treasury'!BH$166*'Statistics NZ'!BH$448)</f>
        <v>40774.421918615808</v>
      </c>
      <c r="AY119" s="111">
        <f>AX$119*'Population Treasury'!BJ$166*'Statistics NZ'!BJ$448/('Population Treasury'!BI$166*'Statistics NZ'!BI$448)</f>
        <v>41247.183559018587</v>
      </c>
      <c r="AZ119" s="111">
        <f>AY$119*'Population Treasury'!BK$166*'Statistics NZ'!BK$448/('Population Treasury'!BJ$166*'Statistics NZ'!BJ$448)</f>
        <v>40995.650149952053</v>
      </c>
      <c r="BA119" s="111">
        <f>AZ$119*'Population Treasury'!BL$166*'Statistics NZ'!BL$448/('Population Treasury'!BK$166*'Statistics NZ'!BK$448)</f>
        <v>40875.401782560526</v>
      </c>
      <c r="BB119" s="195">
        <f>BA$119*'Population Treasury'!BM$166*'Statistics NZ'!BM$448/('Population Treasury'!BL$166*'Statistics NZ'!BL$448)</f>
        <v>40634.971817520651</v>
      </c>
      <c r="BC119" s="195">
        <f>BB$119*'Population Treasury'!BN$166*'Statistics NZ'!BN$448/('Population Treasury'!BM$166*'Statistics NZ'!BM$448)</f>
        <v>40314.000757964459</v>
      </c>
      <c r="BD119" s="195">
        <f>BC$119*'Population Treasury'!BO$166*'Statistics NZ'!BO$448/('Population Treasury'!BN$166*'Statistics NZ'!BN$448)</f>
        <v>40271.308581950463</v>
      </c>
      <c r="BE119" s="195">
        <f>BD$119*'Population Treasury'!BP$166*'Statistics NZ'!BP$448/('Population Treasury'!BO$166*'Statistics NZ'!BO$448)</f>
        <v>40001.480277155388</v>
      </c>
      <c r="BF119" s="195">
        <f>BE$119*'Population Treasury'!BQ$166*'Statistics NZ'!BQ$448/('Population Treasury'!BP$166*'Statistics NZ'!BP$448)</f>
        <v>39790.624142262153</v>
      </c>
    </row>
    <row r="120" spans="1:58">
      <c r="A120" s="124">
        <f>$A$52</f>
        <v>57</v>
      </c>
      <c r="B120" s="118">
        <f>'Population Treasury'!M$167*'Statistics NZ'!M$449*'Economic Forecasts'!O$8/B$7</f>
        <v>26357.212479742589</v>
      </c>
      <c r="C120" s="118">
        <f>'Population Treasury'!N$167*'Statistics NZ'!N$449*'Economic Forecasts'!P$8/C$7</f>
        <v>27530.449892204815</v>
      </c>
      <c r="D120" s="118">
        <f>'Population Treasury'!O$167*'Statistics NZ'!O$449*'Economic Forecasts'!Q$8/D$7</f>
        <v>28138.793604371873</v>
      </c>
      <c r="E120" s="203">
        <f>'Population Treasury'!P$167*'Statistics NZ'!P$449*'Economic Forecasts'!R$8/E$7</f>
        <v>28424.287084740063</v>
      </c>
      <c r="F120" s="121">
        <f>'Population Treasury'!Q$167*'Statistics NZ'!Q$449*'Economic Forecasts'!S$8/F$7</f>
        <v>28289.816689029787</v>
      </c>
      <c r="G120" s="121">
        <f>'Population Treasury'!R$167*'Statistics NZ'!R$449*'Economic Forecasts'!T$8/G$7</f>
        <v>28025.247868773698</v>
      </c>
      <c r="H120" s="121">
        <f>'Population Treasury'!S$167*'Statistics NZ'!S$449*'Economic Forecasts'!U$8/H$7</f>
        <v>27912.677209424379</v>
      </c>
      <c r="I120" s="121">
        <f>'Population Treasury'!T$167*'Statistics NZ'!T$449*'Economic Forecasts'!V$8/I$7</f>
        <v>28127.438248610066</v>
      </c>
      <c r="J120" s="205">
        <f>'Population Treasury'!U$167*'Statistics NZ'!U$449*'Economic Forecasts'!W$8/J$7</f>
        <v>28872.699684632051</v>
      </c>
      <c r="K120" s="111">
        <f>J$120*'Population Treasury'!V$167*'Statistics NZ'!V$449/('Population Treasury'!U$167*'Statistics NZ'!U$449)</f>
        <v>29595.317635172283</v>
      </c>
      <c r="L120" s="111">
        <f>K$120*'Population Treasury'!W$167*'Statistics NZ'!W$449/('Population Treasury'!V$167*'Statistics NZ'!V$449)</f>
        <v>29721.073485555477</v>
      </c>
      <c r="M120" s="111">
        <f>L$120*'Population Treasury'!X$167*'Statistics NZ'!X$449/('Population Treasury'!W$167*'Statistics NZ'!W$449)</f>
        <v>30385.418755554834</v>
      </c>
      <c r="N120" s="111">
        <f>M$120*'Population Treasury'!Y$167*'Statistics NZ'!Y$449/('Population Treasury'!X$167*'Statistics NZ'!X$449)</f>
        <v>30455.63574499423</v>
      </c>
      <c r="O120" s="111">
        <f>N$120*'Population Treasury'!Z$167*'Statistics NZ'!Z$449/('Population Treasury'!Y$167*'Statistics NZ'!Y$449)</f>
        <v>29646.594615272752</v>
      </c>
      <c r="P120" s="111">
        <f>O$120*'Population Treasury'!AA$167*'Statistics NZ'!AA$449/('Population Treasury'!Z$167*'Statistics NZ'!Z$449)</f>
        <v>28545.182603876194</v>
      </c>
      <c r="Q120" s="111">
        <f>P$120*'Population Treasury'!AB$167*'Statistics NZ'!AB$449/('Population Treasury'!AA$167*'Statistics NZ'!AA$449)</f>
        <v>27707.7951113995</v>
      </c>
      <c r="R120" s="111">
        <f>Q$120*'Population Treasury'!AC$167*'Statistics NZ'!AC$449/('Population Treasury'!AB$167*'Statistics NZ'!AB$449)</f>
        <v>27243.20830302393</v>
      </c>
      <c r="S120" s="111">
        <f>R$120*'Population Treasury'!AD$167*'Statistics NZ'!AD$449/('Population Treasury'!AC$167*'Statistics NZ'!AC$449)</f>
        <v>27450.169233651497</v>
      </c>
      <c r="T120" s="111">
        <f>S$120*'Population Treasury'!AE$167*'Statistics NZ'!AE$449/('Population Treasury'!AD$167*'Statistics NZ'!AD$449)</f>
        <v>27182.084472054226</v>
      </c>
      <c r="U120" s="111">
        <f>T$120*'Population Treasury'!AF$167*'Statistics NZ'!AF$449/('Population Treasury'!AE$167*'Statistics NZ'!AE$449)</f>
        <v>28207.696385540214</v>
      </c>
      <c r="V120" s="111">
        <f>U$120*'Population Treasury'!AG$167*'Statistics NZ'!AG$449/('Population Treasury'!AF$167*'Statistics NZ'!AF$449)</f>
        <v>28933.565379796404</v>
      </c>
      <c r="W120" s="111">
        <f>V$120*'Population Treasury'!AH$167*'Statistics NZ'!AH$449/('Population Treasury'!AG$167*'Statistics NZ'!AG$449)</f>
        <v>29578.482499752285</v>
      </c>
      <c r="X120" s="111">
        <f>W$120*'Population Treasury'!AI$167*'Statistics NZ'!AI$449/('Population Treasury'!AH$167*'Statistics NZ'!AH$449)</f>
        <v>30361.029275837733</v>
      </c>
      <c r="Y120" s="111">
        <f>X$120*'Population Treasury'!AJ$167*'Statistics NZ'!AJ$449/('Population Treasury'!AI$167*'Statistics NZ'!AI$449)</f>
        <v>31263.8492457467</v>
      </c>
      <c r="Z120" s="111">
        <f>Y$120*'Population Treasury'!AK$167*'Statistics NZ'!AK$449/('Population Treasury'!AJ$167*'Statistics NZ'!AJ$449)</f>
        <v>31793.825923528158</v>
      </c>
      <c r="AA120" s="111">
        <f>Z$120*'Population Treasury'!AL$167*'Statistics NZ'!AL$449/('Population Treasury'!AK$167*'Statistics NZ'!AK$449)</f>
        <v>32159.806724716018</v>
      </c>
      <c r="AB120" s="111">
        <f>AA$120*'Population Treasury'!AM$167*'Statistics NZ'!AM$449/('Population Treasury'!AL$167*'Statistics NZ'!AL$449)</f>
        <v>33083.103533175978</v>
      </c>
      <c r="AC120" s="111">
        <f>AB$120*'Population Treasury'!AN$167*'Statistics NZ'!AN$449/('Population Treasury'!AM$167*'Statistics NZ'!AM$449)</f>
        <v>34733.299436248853</v>
      </c>
      <c r="AD120" s="111">
        <f>AC$120*'Population Treasury'!AO$167*'Statistics NZ'!AO$449/('Population Treasury'!AN$167*'Statistics NZ'!AN$449)</f>
        <v>35979.100033832059</v>
      </c>
      <c r="AE120" s="111">
        <f>AD$120*'Population Treasury'!AP$167*'Statistics NZ'!AP$449/('Population Treasury'!AO$167*'Statistics NZ'!AO$449)</f>
        <v>36945.540328157724</v>
      </c>
      <c r="AF120" s="111">
        <f>AE$120*'Population Treasury'!AQ$167*'Statistics NZ'!AQ$449/('Population Treasury'!AP$167*'Statistics NZ'!AP$449)</f>
        <v>38719.854260701868</v>
      </c>
      <c r="AG120" s="111">
        <f>AF$120*'Population Treasury'!AR$167*'Statistics NZ'!AR$449/('Population Treasury'!AQ$167*'Statistics NZ'!AQ$449)</f>
        <v>39480.692249449807</v>
      </c>
      <c r="AH120" s="111">
        <f>AG$120*'Population Treasury'!AS$167*'Statistics NZ'!AS$449/('Population Treasury'!AR$167*'Statistics NZ'!AR$449)</f>
        <v>39637.198884996898</v>
      </c>
      <c r="AI120" s="111">
        <f>AH$120*'Population Treasury'!AT$167*'Statistics NZ'!AT$449/('Population Treasury'!AS$167*'Statistics NZ'!AS$449)</f>
        <v>39306.719967717065</v>
      </c>
      <c r="AJ120" s="111">
        <f>AI$120*'Population Treasury'!AU$167*'Statistics NZ'!AU$449/('Population Treasury'!AT$167*'Statistics NZ'!AT$449)</f>
        <v>38171.187178266264</v>
      </c>
      <c r="AK120" s="111">
        <f>AJ$120*'Population Treasury'!AV$167*'Statistics NZ'!AV$449/('Population Treasury'!AU$167*'Statistics NZ'!AU$449)</f>
        <v>38121.452256010562</v>
      </c>
      <c r="AL120" s="111">
        <f>AK$120*'Population Treasury'!AW$167*'Statistics NZ'!AW$449/('Population Treasury'!AV$167*'Statistics NZ'!AV$449)</f>
        <v>37954.089003013811</v>
      </c>
      <c r="AM120" s="111">
        <f>AL$120*'Population Treasury'!AX$167*'Statistics NZ'!AX$449/('Population Treasury'!AW$167*'Statistics NZ'!AW$449)</f>
        <v>36778.702193213765</v>
      </c>
      <c r="AN120" s="111">
        <f>AM$120*'Population Treasury'!AY$167*'Statistics NZ'!AY$449/('Population Treasury'!AX$167*'Statistics NZ'!AX$449)</f>
        <v>36685.296499628232</v>
      </c>
      <c r="AO120" s="111">
        <f>AN$120*'Population Treasury'!AZ$167*'Statistics NZ'!AZ$449/('Population Treasury'!AY$167*'Statistics NZ'!AY$449)</f>
        <v>35874.722038192966</v>
      </c>
      <c r="AP120" s="111">
        <f>AO$120*'Population Treasury'!BA$167*'Statistics NZ'!BA$449/('Population Treasury'!AZ$167*'Statistics NZ'!AZ$449)</f>
        <v>36557.095058343482</v>
      </c>
      <c r="AQ120" s="111">
        <f>AP$120*'Population Treasury'!BB$167*'Statistics NZ'!BB$449/('Population Treasury'!BA$167*'Statistics NZ'!BA$449)</f>
        <v>36146.985502852076</v>
      </c>
      <c r="AR120" s="111">
        <f>AQ$120*'Population Treasury'!BC$167*'Statistics NZ'!BC$449/('Population Treasury'!BB$167*'Statistics NZ'!BB$449)</f>
        <v>34962.896198074559</v>
      </c>
      <c r="AS120" s="111">
        <f>AR$120*'Population Treasury'!BD$167*'Statistics NZ'!BD$449/('Population Treasury'!BC$167*'Statistics NZ'!BC$449)</f>
        <v>35474.336214771538</v>
      </c>
      <c r="AT120" s="111">
        <f>AS$120*'Population Treasury'!BE$167*'Statistics NZ'!BE$449/('Population Treasury'!BD$167*'Statistics NZ'!BD$449)</f>
        <v>35733.221381600029</v>
      </c>
      <c r="AU120" s="111">
        <f>AT$120*'Population Treasury'!BF$167*'Statistics NZ'!BF$449/('Population Treasury'!BE$167*'Statistics NZ'!BE$449)</f>
        <v>36123.630365492681</v>
      </c>
      <c r="AV120" s="111">
        <f>AU$120*'Population Treasury'!BG$167*'Statistics NZ'!BG$449/('Population Treasury'!BF$167*'Statistics NZ'!BF$449)</f>
        <v>37075.513497626001</v>
      </c>
      <c r="AW120" s="111">
        <f>AV$120*'Population Treasury'!BH$167*'Statistics NZ'!BH$449/('Population Treasury'!BG$167*'Statistics NZ'!BG$449)</f>
        <v>38925.623777554014</v>
      </c>
      <c r="AX120" s="111">
        <f>AW$120*'Population Treasury'!BI$167*'Statistics NZ'!BI$449/('Population Treasury'!BH$167*'Statistics NZ'!BH$449)</f>
        <v>39921.700723956194</v>
      </c>
      <c r="AY120" s="111">
        <f>AX$120*'Population Treasury'!BJ$167*'Statistics NZ'!BJ$449/('Population Treasury'!BI$167*'Statistics NZ'!BI$449)</f>
        <v>40474.461800598176</v>
      </c>
      <c r="AZ120" s="111">
        <f>AY$120*'Population Treasury'!BK$167*'Statistics NZ'!BK$449/('Population Treasury'!BJ$167*'Statistics NZ'!BJ$449)</f>
        <v>40935.27552723905</v>
      </c>
      <c r="BA120" s="111">
        <f>AZ$120*'Population Treasury'!BL$167*'Statistics NZ'!BL$449/('Population Treasury'!BK$167*'Statistics NZ'!BK$449)</f>
        <v>40692.381963778098</v>
      </c>
      <c r="BB120" s="195">
        <f>BA$120*'Population Treasury'!BM$167*'Statistics NZ'!BM$449/('Population Treasury'!BL$167*'Statistics NZ'!BL$449)</f>
        <v>40560.506588988777</v>
      </c>
      <c r="BC120" s="195">
        <f>BB$120*'Population Treasury'!BN$167*'Statistics NZ'!BN$449/('Population Treasury'!BM$167*'Statistics NZ'!BM$449)</f>
        <v>40308.134802296874</v>
      </c>
      <c r="BD120" s="195">
        <f>BC$120*'Population Treasury'!BO$167*'Statistics NZ'!BO$449/('Population Treasury'!BN$167*'Statistics NZ'!BN$449)</f>
        <v>40017.165268780613</v>
      </c>
      <c r="BE120" s="195">
        <f>BD$120*'Population Treasury'!BP$167*'Statistics NZ'!BP$449/('Population Treasury'!BO$167*'Statistics NZ'!BO$449)</f>
        <v>39963.683209738716</v>
      </c>
      <c r="BF120" s="195">
        <f>BE$120*'Population Treasury'!BQ$167*'Statistics NZ'!BQ$449/('Population Treasury'!BP$167*'Statistics NZ'!BP$449)</f>
        <v>39694.494098153853</v>
      </c>
    </row>
    <row r="121" spans="1:58">
      <c r="A121" s="124">
        <f>$A$53</f>
        <v>58</v>
      </c>
      <c r="B121" s="118">
        <f>'Population Treasury'!M$168*'Statistics NZ'!M$450*'Economic Forecasts'!O$8/B$7</f>
        <v>25653.134827520364</v>
      </c>
      <c r="C121" s="118">
        <f>'Population Treasury'!N$168*'Statistics NZ'!N$450*'Economic Forecasts'!P$8/C$7</f>
        <v>26533.742245408546</v>
      </c>
      <c r="D121" s="118">
        <f>'Population Treasury'!O$168*'Statistics NZ'!O$450*'Economic Forecasts'!Q$8/D$7</f>
        <v>27048.904801835743</v>
      </c>
      <c r="E121" s="203">
        <f>'Population Treasury'!P$168*'Statistics NZ'!P$450*'Economic Forecasts'!R$8/E$7</f>
        <v>27900.832713184333</v>
      </c>
      <c r="F121" s="121">
        <f>'Population Treasury'!Q$168*'Statistics NZ'!Q$450*'Economic Forecasts'!S$8/F$7</f>
        <v>28347.52460652119</v>
      </c>
      <c r="G121" s="121">
        <f>'Population Treasury'!R$168*'Statistics NZ'!R$450*'Economic Forecasts'!T$8/G$7</f>
        <v>28349.910438495481</v>
      </c>
      <c r="H121" s="121">
        <f>'Population Treasury'!S$168*'Statistics NZ'!S$450*'Economic Forecasts'!U$8/H$7</f>
        <v>27998.198154199152</v>
      </c>
      <c r="I121" s="121">
        <f>'Population Treasury'!T$168*'Statistics NZ'!T$450*'Economic Forecasts'!V$8/I$7</f>
        <v>27825.771910045558</v>
      </c>
      <c r="J121" s="205">
        <f>'Population Treasury'!U$168*'Statistics NZ'!U$450*'Economic Forecasts'!W$8/J$7</f>
        <v>28062.00418061364</v>
      </c>
      <c r="K121" s="111">
        <f>J$121*'Population Treasury'!V$168*'Statistics NZ'!V$450/('Population Treasury'!U$168*'Statistics NZ'!U$450)</f>
        <v>28716.088659780427</v>
      </c>
      <c r="L121" s="111">
        <f>K$121*'Population Treasury'!W$168*'Statistics NZ'!W$450/('Population Treasury'!V$168*'Statistics NZ'!V$450)</f>
        <v>29417.065919344277</v>
      </c>
      <c r="M121" s="111">
        <f>L$121*'Population Treasury'!X$168*'Statistics NZ'!X$450/('Population Treasury'!W$168*'Statistics NZ'!W$450)</f>
        <v>29549.41340687338</v>
      </c>
      <c r="N121" s="111">
        <f>M$121*'Population Treasury'!Y$168*'Statistics NZ'!Y$450/('Population Treasury'!X$168*'Statistics NZ'!X$450)</f>
        <v>30202.998365546202</v>
      </c>
      <c r="O121" s="111">
        <f>N$121*'Population Treasury'!Z$168*'Statistics NZ'!Z$450/('Population Treasury'!Y$168*'Statistics NZ'!Y$450)</f>
        <v>30280.973685496963</v>
      </c>
      <c r="P121" s="111">
        <f>O$121*'Population Treasury'!AA$168*'Statistics NZ'!AA$450/('Population Treasury'!Z$168*'Statistics NZ'!Z$450)</f>
        <v>29459.484291450721</v>
      </c>
      <c r="Q121" s="111">
        <f>P$121*'Population Treasury'!AB$168*'Statistics NZ'!AB$450/('Population Treasury'!AA$168*'Statistics NZ'!AA$450)</f>
        <v>28377.773066393413</v>
      </c>
      <c r="R121" s="111">
        <f>Q$121*'Population Treasury'!AC$168*'Statistics NZ'!AC$450/('Population Treasury'!AB$168*'Statistics NZ'!AB$450)</f>
        <v>27569.335275910435</v>
      </c>
      <c r="S121" s="111">
        <f>R$121*'Population Treasury'!AD$168*'Statistics NZ'!AD$450/('Population Treasury'!AC$168*'Statistics NZ'!AC$450)</f>
        <v>27101.681237013498</v>
      </c>
      <c r="T121" s="111">
        <f>S$121*'Population Treasury'!AE$168*'Statistics NZ'!AE$450/('Population Treasury'!AD$168*'Statistics NZ'!AD$450)</f>
        <v>27298.554156430651</v>
      </c>
      <c r="U121" s="111">
        <f>T$121*'Population Treasury'!AF$168*'Statistics NZ'!AF$450/('Population Treasury'!AE$168*'Statistics NZ'!AE$450)</f>
        <v>27038.949546575794</v>
      </c>
      <c r="V121" s="111">
        <f>U$121*'Population Treasury'!AG$168*'Statistics NZ'!AG$450/('Population Treasury'!AF$168*'Statistics NZ'!AF$450)</f>
        <v>28053.364213695808</v>
      </c>
      <c r="W121" s="111">
        <f>V$121*'Population Treasury'!AH$168*'Statistics NZ'!AH$450/('Population Treasury'!AG$168*'Statistics NZ'!AG$450)</f>
        <v>28778.608783376018</v>
      </c>
      <c r="X121" s="111">
        <f>W$121*'Population Treasury'!AI$168*'Statistics NZ'!AI$450/('Population Treasury'!AH$168*'Statistics NZ'!AH$450)</f>
        <v>29434.552065100215</v>
      </c>
      <c r="Y121" s="111">
        <f>X$121*'Population Treasury'!AJ$168*'Statistics NZ'!AJ$450/('Population Treasury'!AI$168*'Statistics NZ'!AI$450)</f>
        <v>30205.199871481451</v>
      </c>
      <c r="Z121" s="111">
        <f>Y$121*'Population Treasury'!AK$168*'Statistics NZ'!AK$450/('Population Treasury'!AJ$168*'Statistics NZ'!AJ$450)</f>
        <v>31119.511186545045</v>
      </c>
      <c r="AA121" s="111">
        <f>Z$121*'Population Treasury'!AL$168*'Statistics NZ'!AL$450/('Population Treasury'!AK$168*'Statistics NZ'!AK$450)</f>
        <v>31618.382190913861</v>
      </c>
      <c r="AB121" s="111">
        <f>AA$121*'Population Treasury'!AM$168*'Statistics NZ'!AM$450/('Population Treasury'!AL$168*'Statistics NZ'!AL$450)</f>
        <v>32006.767340815357</v>
      </c>
      <c r="AC121" s="111">
        <f>AB$121*'Population Treasury'!AN$168*'Statistics NZ'!AN$450/('Population Treasury'!AM$168*'Statistics NZ'!AM$450)</f>
        <v>32908.212953767557</v>
      </c>
      <c r="AD121" s="111">
        <f>AC$121*'Population Treasury'!AO$168*'Statistics NZ'!AO$450/('Population Treasury'!AN$168*'Statistics NZ'!AN$450)</f>
        <v>34558.981164752506</v>
      </c>
      <c r="AE121" s="111">
        <f>AD$121*'Population Treasury'!AP$168*'Statistics NZ'!AP$450/('Population Treasury'!AO$168*'Statistics NZ'!AO$450)</f>
        <v>35806.22712473468</v>
      </c>
      <c r="AF121" s="111">
        <f>AE$121*'Population Treasury'!AQ$168*'Statistics NZ'!AQ$450/('Population Treasury'!AP$168*'Statistics NZ'!AP$450)</f>
        <v>36754.642427875602</v>
      </c>
      <c r="AG121" s="111">
        <f>AF$121*'Population Treasury'!AR$168*'Statistics NZ'!AR$450/('Population Treasury'!AQ$168*'Statistics NZ'!AQ$450)</f>
        <v>38529.667627600866</v>
      </c>
      <c r="AH121" s="111">
        <f>AG$121*'Population Treasury'!AS$168*'Statistics NZ'!AS$450/('Population Treasury'!AR$168*'Statistics NZ'!AR$450)</f>
        <v>39285.104091371701</v>
      </c>
      <c r="AI121" s="111">
        <f>AH$121*'Population Treasury'!AT$168*'Statistics NZ'!AT$450/('Population Treasury'!AS$168*'Statistics NZ'!AS$450)</f>
        <v>39441.992074682974</v>
      </c>
      <c r="AJ121" s="111">
        <f>AI$121*'Population Treasury'!AU$168*'Statistics NZ'!AU$450/('Population Treasury'!AT$168*'Statistics NZ'!AT$450)</f>
        <v>39103.904957637053</v>
      </c>
      <c r="AK121" s="111">
        <f>AJ$121*'Population Treasury'!AV$168*'Statistics NZ'!AV$450/('Population Treasury'!AU$168*'Statistics NZ'!AU$450)</f>
        <v>37980.857405275594</v>
      </c>
      <c r="AL121" s="111">
        <f>AK$121*'Population Treasury'!AW$168*'Statistics NZ'!AW$450/('Population Treasury'!AV$168*'Statistics NZ'!AV$450)</f>
        <v>37931.502723445905</v>
      </c>
      <c r="AM121" s="111">
        <f>AL$121*'Population Treasury'!AX$168*'Statistics NZ'!AX$450/('Population Treasury'!AW$168*'Statistics NZ'!AW$450)</f>
        <v>37764.555522595343</v>
      </c>
      <c r="AN121" s="111">
        <f>AM$121*'Population Treasury'!AY$168*'Statistics NZ'!AY$450/('Population Treasury'!AX$168*'Statistics NZ'!AX$450)</f>
        <v>36598.422010486422</v>
      </c>
      <c r="AO121" s="111">
        <f>AN$121*'Population Treasury'!AZ$168*'Statistics NZ'!AZ$450/('Population Treasury'!AY$168*'Statistics NZ'!AY$450)</f>
        <v>36502.333848751208</v>
      </c>
      <c r="AP121" s="111">
        <f>AO$121*'Population Treasury'!BA$168*'Statistics NZ'!BA$450/('Population Treasury'!AZ$168*'Statistics NZ'!AZ$450)</f>
        <v>35699.960280011175</v>
      </c>
      <c r="AQ121" s="111">
        <f>AP$121*'Population Treasury'!BB$168*'Statistics NZ'!BB$450/('Population Treasury'!BA$168*'Statistics NZ'!BA$450)</f>
        <v>36380.319912922969</v>
      </c>
      <c r="AR121" s="111">
        <f>AQ$121*'Population Treasury'!BC$168*'Statistics NZ'!BC$450/('Population Treasury'!BB$168*'Statistics NZ'!BB$450)</f>
        <v>35988.181672862469</v>
      </c>
      <c r="AS121" s="111">
        <f>AR$121*'Population Treasury'!BD$168*'Statistics NZ'!BD$450/('Population Treasury'!BC$168*'Statistics NZ'!BC$450)</f>
        <v>34801.881000089103</v>
      </c>
      <c r="AT121" s="111">
        <f>AS$121*'Population Treasury'!BE$168*'Statistics NZ'!BE$450/('Population Treasury'!BD$168*'Statistics NZ'!BD$450)</f>
        <v>35322.573150430981</v>
      </c>
      <c r="AU121" s="111">
        <f>AT$121*'Population Treasury'!BF$168*'Statistics NZ'!BF$450/('Population Treasury'!BE$168*'Statistics NZ'!BE$450)</f>
        <v>35582.26530375157</v>
      </c>
      <c r="AV121" s="111">
        <f>AU$121*'Population Treasury'!BG$168*'Statistics NZ'!BG$450/('Population Treasury'!BF$168*'Statistics NZ'!BF$450)</f>
        <v>35970.750573447236</v>
      </c>
      <c r="AW121" s="111">
        <f>AV$121*'Population Treasury'!BH$168*'Statistics NZ'!BH$450/('Population Treasury'!BG$168*'Statistics NZ'!BG$450)</f>
        <v>36921.313249311432</v>
      </c>
      <c r="AX121" s="111">
        <f>AW$121*'Population Treasury'!BI$168*'Statistics NZ'!BI$450/('Population Treasury'!BH$168*'Statistics NZ'!BH$450)</f>
        <v>38738.143736992657</v>
      </c>
      <c r="AY121" s="111">
        <f>AX$121*'Population Treasury'!BJ$168*'Statistics NZ'!BJ$450/('Population Treasury'!BI$168*'Statistics NZ'!BI$450)</f>
        <v>39756.894646734763</v>
      </c>
      <c r="AZ121" s="111">
        <f>AY$121*'Population Treasury'!BK$168*'Statistics NZ'!BK$450/('Population Treasury'!BJ$168*'Statistics NZ'!BJ$450)</f>
        <v>40287.724669427538</v>
      </c>
      <c r="BA121" s="111">
        <f>AZ$121*'Population Treasury'!BL$168*'Statistics NZ'!BL$450/('Population Treasury'!BK$168*'Statistics NZ'!BK$450)</f>
        <v>40757.83449217942</v>
      </c>
      <c r="BB121" s="195">
        <f>BA$121*'Population Treasury'!BM$168*'Statistics NZ'!BM$450/('Population Treasury'!BL$168*'Statistics NZ'!BL$450)</f>
        <v>40513.429532489361</v>
      </c>
      <c r="BC121" s="195">
        <f>BB$121*'Population Treasury'!BN$168*'Statistics NZ'!BN$450/('Population Treasury'!BM$168*'Statistics NZ'!BM$450)</f>
        <v>40379.307134817878</v>
      </c>
      <c r="BD121" s="195">
        <f>BC$121*'Population Treasury'!BO$168*'Statistics NZ'!BO$450/('Population Treasury'!BN$168*'Statistics NZ'!BN$450)</f>
        <v>40149.781850511747</v>
      </c>
      <c r="BE121" s="195">
        <f>BD$121*'Population Treasury'!BP$168*'Statistics NZ'!BP$450/('Population Treasury'!BO$168*'Statistics NZ'!BO$450)</f>
        <v>39845.757310160872</v>
      </c>
      <c r="BF121" s="195">
        <f>BE$121*'Population Treasury'!BQ$168*'Statistics NZ'!BQ$450/('Population Treasury'!BP$168*'Statistics NZ'!BP$450)</f>
        <v>39792.218282600741</v>
      </c>
    </row>
    <row r="122" spans="1:58">
      <c r="A122" s="124">
        <f>$A$54</f>
        <v>59</v>
      </c>
      <c r="B122" s="118">
        <f>'Population Treasury'!M$169*'Statistics NZ'!M$451*'Economic Forecasts'!O$8/B$7</f>
        <v>24182.253316547965</v>
      </c>
      <c r="C122" s="118">
        <f>'Population Treasury'!N$169*'Statistics NZ'!N$451*'Economic Forecasts'!P$8/C$7</f>
        <v>25819.564207115232</v>
      </c>
      <c r="D122" s="118">
        <f>'Population Treasury'!O$169*'Statistics NZ'!O$451*'Economic Forecasts'!Q$8/D$7</f>
        <v>26103.315631903075</v>
      </c>
      <c r="E122" s="203">
        <f>'Population Treasury'!P$169*'Statistics NZ'!P$451*'Economic Forecasts'!R$8/E$7</f>
        <v>26827.98822994209</v>
      </c>
      <c r="F122" s="121">
        <f>'Population Treasury'!Q$169*'Statistics NZ'!Q$451*'Economic Forecasts'!S$8/F$7</f>
        <v>27846.78543190327</v>
      </c>
      <c r="G122" s="121">
        <f>'Population Treasury'!R$169*'Statistics NZ'!R$451*'Economic Forecasts'!T$8/G$7</f>
        <v>28441.175763871655</v>
      </c>
      <c r="H122" s="121">
        <f>'Population Treasury'!S$169*'Statistics NZ'!S$451*'Economic Forecasts'!U$8/H$7</f>
        <v>28378.616740904534</v>
      </c>
      <c r="I122" s="121">
        <f>'Population Treasury'!T$169*'Statistics NZ'!T$451*'Economic Forecasts'!V$8/I$7</f>
        <v>27983.552010191579</v>
      </c>
      <c r="J122" s="205">
        <f>'Population Treasury'!U$169*'Statistics NZ'!U$451*'Economic Forecasts'!W$8/J$7</f>
        <v>27813.835150058701</v>
      </c>
      <c r="K122" s="111">
        <f>J$122*'Population Treasury'!V$169*'Statistics NZ'!V$451/('Population Treasury'!U$169*'Statistics NZ'!U$451)</f>
        <v>27953.839171983811</v>
      </c>
      <c r="L122" s="111">
        <f>K$122*'Population Treasury'!W$169*'Statistics NZ'!W$451/('Population Treasury'!V$169*'Statistics NZ'!V$451)</f>
        <v>28587.044108204696</v>
      </c>
      <c r="M122" s="111">
        <f>L$122*'Population Treasury'!X$169*'Statistics NZ'!X$451/('Population Treasury'!W$169*'Statistics NZ'!W$451)</f>
        <v>29305.846324975104</v>
      </c>
      <c r="N122" s="111">
        <f>M$122*'Population Treasury'!Y$169*'Statistics NZ'!Y$451/('Population Treasury'!X$169*'Statistics NZ'!X$451)</f>
        <v>29446.999885726589</v>
      </c>
      <c r="O122" s="111">
        <f>N$122*'Population Treasury'!Z$169*'Statistics NZ'!Z$451/('Population Treasury'!Y$169*'Statistics NZ'!Y$451)</f>
        <v>30087.868786432915</v>
      </c>
      <c r="P122" s="111">
        <f>O$122*'Population Treasury'!AA$169*'Statistics NZ'!AA$451/('Population Treasury'!Z$169*'Statistics NZ'!Z$451)</f>
        <v>30164.789647584148</v>
      </c>
      <c r="Q122" s="111">
        <f>P$122*'Population Treasury'!AB$169*'Statistics NZ'!AB$451/('Population Treasury'!AA$169*'Statistics NZ'!AA$451)</f>
        <v>29361.593657993686</v>
      </c>
      <c r="R122" s="111">
        <f>Q$122*'Population Treasury'!AC$169*'Statistics NZ'!AC$451/('Population Treasury'!AB$169*'Statistics NZ'!AB$451)</f>
        <v>28288.856260135246</v>
      </c>
      <c r="S122" s="111">
        <f>R$122*'Population Treasury'!AD$169*'Statistics NZ'!AD$451/('Population Treasury'!AC$169*'Statistics NZ'!AC$451)</f>
        <v>27468.329770111566</v>
      </c>
      <c r="T122" s="111">
        <f>S$122*'Population Treasury'!AE$169*'Statistics NZ'!AE$451/('Population Treasury'!AD$169*'Statistics NZ'!AD$451)</f>
        <v>27011.549863652192</v>
      </c>
      <c r="U122" s="111">
        <f>T$122*'Population Treasury'!AF$169*'Statistics NZ'!AF$451/('Population Treasury'!AE$169*'Statistics NZ'!AE$451)</f>
        <v>27217.423270788007</v>
      </c>
      <c r="V122" s="111">
        <f>U$122*'Population Treasury'!AG$169*'Statistics NZ'!AG$451/('Population Treasury'!AF$169*'Statistics NZ'!AF$451)</f>
        <v>26958.61563570955</v>
      </c>
      <c r="W122" s="111">
        <f>V$122*'Population Treasury'!AH$169*'Statistics NZ'!AH$451/('Population Treasury'!AG$169*'Statistics NZ'!AG$451)</f>
        <v>27983.0061501249</v>
      </c>
      <c r="X122" s="111">
        <f>W$122*'Population Treasury'!AI$169*'Statistics NZ'!AI$451/('Population Treasury'!AH$169*'Statistics NZ'!AH$451)</f>
        <v>28696.564857653415</v>
      </c>
      <c r="Y122" s="111">
        <f>X$122*'Population Treasury'!AJ$169*'Statistics NZ'!AJ$451/('Population Treasury'!AI$169*'Statistics NZ'!AI$451)</f>
        <v>29342.411414178496</v>
      </c>
      <c r="Z122" s="111">
        <f>Y$122*'Population Treasury'!AK$169*'Statistics NZ'!AK$451/('Population Treasury'!AJ$169*'Statistics NZ'!AJ$451)</f>
        <v>30134.445486377539</v>
      </c>
      <c r="AA122" s="111">
        <f>Z$122*'Population Treasury'!AL$169*'Statistics NZ'!AL$451/('Population Treasury'!AK$169*'Statistics NZ'!AK$451)</f>
        <v>31027.131848470788</v>
      </c>
      <c r="AB122" s="111">
        <f>AA$122*'Population Treasury'!AM$169*'Statistics NZ'!AM$451/('Population Treasury'!AL$169*'Statistics NZ'!AL$451)</f>
        <v>31536.442112264456</v>
      </c>
      <c r="AC122" s="111">
        <f>AB$122*'Population Treasury'!AN$169*'Statistics NZ'!AN$451/('Population Treasury'!AM$169*'Statistics NZ'!AM$451)</f>
        <v>31914.709061279736</v>
      </c>
      <c r="AD122" s="111">
        <f>AC$122*'Population Treasury'!AO$169*'Statistics NZ'!AO$451/('Population Treasury'!AN$169*'Statistics NZ'!AN$451)</f>
        <v>32817.65091045326</v>
      </c>
      <c r="AE122" s="111">
        <f>AD$122*'Population Treasury'!AP$169*'Statistics NZ'!AP$451/('Population Treasury'!AO$169*'Statistics NZ'!AO$451)</f>
        <v>34458.164492997545</v>
      </c>
      <c r="AF122" s="111">
        <f>AE$122*'Population Treasury'!AQ$169*'Statistics NZ'!AQ$451/('Population Treasury'!AP$169*'Statistics NZ'!AP$451)</f>
        <v>35694.863636637223</v>
      </c>
      <c r="AG122" s="111">
        <f>AF$122*'Population Treasury'!AR$169*'Statistics NZ'!AR$451/('Population Treasury'!AQ$169*'Statistics NZ'!AQ$451)</f>
        <v>36665.527555134962</v>
      </c>
      <c r="AH122" s="111">
        <f>AG$122*'Population Treasury'!AS$169*'Statistics NZ'!AS$451/('Population Treasury'!AR$169*'Statistics NZ'!AR$451)</f>
        <v>38420.977911852598</v>
      </c>
      <c r="AI122" s="111">
        <f>AH$122*'Population Treasury'!AT$169*'Statistics NZ'!AT$451/('Population Treasury'!AS$169*'Statistics NZ'!AS$451)</f>
        <v>39176.817127656417</v>
      </c>
      <c r="AJ122" s="111">
        <f>AI$122*'Population Treasury'!AU$169*'Statistics NZ'!AU$451/('Population Treasury'!AT$169*'Statistics NZ'!AT$451)</f>
        <v>39333.84950837824</v>
      </c>
      <c r="AK122" s="111">
        <f>AJ$122*'Population Treasury'!AV$169*'Statistics NZ'!AV$451/('Population Treasury'!AU$169*'Statistics NZ'!AU$451)</f>
        <v>39006.832339257788</v>
      </c>
      <c r="AL122" s="111">
        <f>AK$122*'Population Treasury'!AW$169*'Statistics NZ'!AW$451/('Population Treasury'!AV$169*'Statistics NZ'!AV$451)</f>
        <v>37893.7919974783</v>
      </c>
      <c r="AM122" s="111">
        <f>AL$122*'Population Treasury'!AX$169*'Statistics NZ'!AX$451/('Population Treasury'!AW$169*'Statistics NZ'!AW$451)</f>
        <v>37845.105673500344</v>
      </c>
      <c r="AN122" s="111">
        <f>AM$122*'Population Treasury'!AY$169*'Statistics NZ'!AY$451/('Population Treasury'!AX$169*'Statistics NZ'!AX$451)</f>
        <v>37687.098830769857</v>
      </c>
      <c r="AO122" s="111">
        <f>AN$122*'Population Treasury'!AZ$169*'Statistics NZ'!AZ$451/('Population Treasury'!AY$169*'Statistics NZ'!AY$451)</f>
        <v>36521.600796955645</v>
      </c>
      <c r="AP122" s="111">
        <f>AO$122*'Population Treasury'!BA$169*'Statistics NZ'!BA$451/('Population Treasury'!AZ$169*'Statistics NZ'!AZ$451)</f>
        <v>36433.877039411338</v>
      </c>
      <c r="AQ122" s="111">
        <f>AP$122*'Population Treasury'!BB$169*'Statistics NZ'!BB$451/('Population Treasury'!BA$169*'Statistics NZ'!BA$451)</f>
        <v>35632.102606663677</v>
      </c>
      <c r="AR122" s="111">
        <f>AQ$122*'Population Treasury'!BC$169*'Statistics NZ'!BC$451/('Population Treasury'!BB$169*'Statistics NZ'!BB$451)</f>
        <v>36311.849229586929</v>
      </c>
      <c r="AS122" s="111">
        <f>AR$122*'Population Treasury'!BD$169*'Statistics NZ'!BD$451/('Population Treasury'!BC$169*'Statistics NZ'!BC$451)</f>
        <v>35908.936476993287</v>
      </c>
      <c r="AT122" s="111">
        <f>AS$122*'Population Treasury'!BE$169*'Statistics NZ'!BE$451/('Population Treasury'!BD$169*'Statistics NZ'!BD$451)</f>
        <v>34732.751330652922</v>
      </c>
      <c r="AU122" s="111">
        <f>AT$122*'Population Treasury'!BF$169*'Statistics NZ'!BF$451/('Population Treasury'!BE$169*'Statistics NZ'!BE$451)</f>
        <v>35251.211995127967</v>
      </c>
      <c r="AV122" s="111">
        <f>AU$122*'Population Treasury'!BG$169*'Statistics NZ'!BG$451/('Population Treasury'!BF$169*'Statistics NZ'!BF$451)</f>
        <v>35501.886336549869</v>
      </c>
      <c r="AW122" s="111">
        <f>AV$122*'Population Treasury'!BH$169*'Statistics NZ'!BH$451/('Population Treasury'!BG$169*'Statistics NZ'!BG$451)</f>
        <v>35898.890672729984</v>
      </c>
      <c r="AX122" s="111">
        <f>AW$122*'Population Treasury'!BI$169*'Statistics NZ'!BI$451/('Population Treasury'!BH$169*'Statistics NZ'!BH$451)</f>
        <v>36849.933936421388</v>
      </c>
      <c r="AY122" s="111">
        <f>AX$122*'Population Treasury'!BJ$169*'Statistics NZ'!BJ$451/('Population Treasury'!BI$169*'Statistics NZ'!BI$451)</f>
        <v>38667.425166199828</v>
      </c>
      <c r="AZ122" s="111">
        <f>AY$122*'Population Treasury'!BK$169*'Statistics NZ'!BK$451/('Population Treasury'!BJ$169*'Statistics NZ'!BJ$451)</f>
        <v>39665.203741944832</v>
      </c>
      <c r="BA122" s="111">
        <f>AZ$122*'Population Treasury'!BL$169*'Statistics NZ'!BL$451/('Population Treasury'!BK$169*'Statistics NZ'!BK$451)</f>
        <v>40217.210687524974</v>
      </c>
      <c r="BB122" s="195">
        <f>BA$122*'Population Treasury'!BM$169*'Statistics NZ'!BM$451/('Population Treasury'!BL$169*'Statistics NZ'!BL$451)</f>
        <v>40665.508672436503</v>
      </c>
      <c r="BC122" s="195">
        <f>BB$122*'Population Treasury'!BN$169*'Statistics NZ'!BN$451/('Population Treasury'!BM$169*'Statistics NZ'!BM$451)</f>
        <v>40431.845551733692</v>
      </c>
      <c r="BD122" s="195">
        <f>BC$122*'Population Treasury'!BO$169*'Statistics NZ'!BO$451/('Population Treasury'!BN$169*'Statistics NZ'!BN$451)</f>
        <v>40319.214747895181</v>
      </c>
      <c r="BE122" s="195">
        <f>BD$122*'Population Treasury'!BP$169*'Statistics NZ'!BP$451/('Population Treasury'!BO$169*'Statistics NZ'!BO$451)</f>
        <v>40077.051497529646</v>
      </c>
      <c r="BF122" s="195">
        <f>BE$122*'Population Treasury'!BQ$169*'Statistics NZ'!BQ$451/('Population Treasury'!BP$169*'Statistics NZ'!BP$451)</f>
        <v>39773.578637845647</v>
      </c>
    </row>
    <row r="123" spans="1:58">
      <c r="A123" s="124">
        <f>$A$55</f>
        <v>60</v>
      </c>
      <c r="B123" s="118">
        <f>'Population Treasury'!M$170*'Statistics NZ'!M$452*'Economic Forecasts'!O$8/B$7</f>
        <v>23282.554859596359</v>
      </c>
      <c r="C123" s="118">
        <f>'Population Treasury'!N$170*'Statistics NZ'!N$452*'Economic Forecasts'!P$8/C$7</f>
        <v>24158.882159857429</v>
      </c>
      <c r="D123" s="118">
        <f>'Population Treasury'!O$170*'Statistics NZ'!O$452*'Economic Forecasts'!Q$8/D$7</f>
        <v>25178.976245718168</v>
      </c>
      <c r="E123" s="203">
        <f>'Population Treasury'!P$170*'Statistics NZ'!P$452*'Economic Forecasts'!R$8/E$7</f>
        <v>25663.673585469322</v>
      </c>
      <c r="F123" s="121">
        <f>'Population Treasury'!Q$170*'Statistics NZ'!Q$452*'Economic Forecasts'!S$8/F$7</f>
        <v>26504.357688481679</v>
      </c>
      <c r="G123" s="121">
        <f>'Population Treasury'!R$170*'Statistics NZ'!R$452*'Economic Forecasts'!T$8/G$7</f>
        <v>27665.430334042667</v>
      </c>
      <c r="H123" s="121">
        <f>'Population Treasury'!S$170*'Statistics NZ'!S$452*'Economic Forecasts'!U$8/H$7</f>
        <v>28169.706030876441</v>
      </c>
      <c r="I123" s="121">
        <f>'Population Treasury'!T$170*'Statistics NZ'!T$452*'Economic Forecasts'!V$8/I$7</f>
        <v>28082.352745506349</v>
      </c>
      <c r="J123" s="205">
        <f>'Population Treasury'!U$170*'Statistics NZ'!U$452*'Economic Forecasts'!W$8/J$7</f>
        <v>27692.480700341082</v>
      </c>
      <c r="K123" s="111">
        <f>J$123*'Population Treasury'!V$170*'Statistics NZ'!V$452/('Population Treasury'!U$170*'Statistics NZ'!U$452)</f>
        <v>27451.513740201983</v>
      </c>
      <c r="L123" s="111">
        <f>K$123*'Population Treasury'!W$170*'Statistics NZ'!W$452/('Population Treasury'!V$170*'Statistics NZ'!V$452)</f>
        <v>27603.975619892353</v>
      </c>
      <c r="M123" s="111">
        <f>L$123*'Population Treasury'!X$170*'Statistics NZ'!X$452/('Population Treasury'!W$170*'Statistics NZ'!W$452)</f>
        <v>28247.303036125766</v>
      </c>
      <c r="N123" s="111">
        <f>M$123*'Population Treasury'!Y$170*'Statistics NZ'!Y$452/('Population Treasury'!X$170*'Statistics NZ'!X$452)</f>
        <v>28961.872182427778</v>
      </c>
      <c r="O123" s="111">
        <f>N$123*'Population Treasury'!Z$170*'Statistics NZ'!Z$452/('Population Treasury'!Y$170*'Statistics NZ'!Y$452)</f>
        <v>29107.552427992363</v>
      </c>
      <c r="P123" s="111">
        <f>O$123*'Population Treasury'!AA$170*'Statistics NZ'!AA$452/('Population Treasury'!Z$170*'Statistics NZ'!Z$452)</f>
        <v>29754.8077731796</v>
      </c>
      <c r="Q123" s="111">
        <f>P$123*'Population Treasury'!AB$170*'Statistics NZ'!AB$452/('Population Treasury'!AA$170*'Statistics NZ'!AA$452)</f>
        <v>29831.914545671196</v>
      </c>
      <c r="R123" s="111">
        <f>Q$123*'Population Treasury'!AC$170*'Statistics NZ'!AC$452/('Population Treasury'!AB$170*'Statistics NZ'!AB$452)</f>
        <v>29048.87473820903</v>
      </c>
      <c r="S123" s="111">
        <f>R$123*'Population Treasury'!AD$170*'Statistics NZ'!AD$452/('Population Treasury'!AC$170*'Statistics NZ'!AC$452)</f>
        <v>27998.324132590944</v>
      </c>
      <c r="T123" s="111">
        <f>S$123*'Population Treasury'!AE$170*'Statistics NZ'!AE$452/('Population Treasury'!AD$170*'Statistics NZ'!AD$452)</f>
        <v>27197.196960214598</v>
      </c>
      <c r="U123" s="111">
        <f>T$123*'Population Treasury'!AF$170*'Statistics NZ'!AF$452/('Population Treasury'!AE$170*'Statistics NZ'!AE$452)</f>
        <v>26749.805744334659</v>
      </c>
      <c r="V123" s="111">
        <f>U$123*'Population Treasury'!AG$170*'Statistics NZ'!AG$452/('Population Treasury'!AF$170*'Statistics NZ'!AF$452)</f>
        <v>26943.212519836892</v>
      </c>
      <c r="W123" s="111">
        <f>V$123*'Population Treasury'!AH$170*'Statistics NZ'!AH$452/('Population Treasury'!AG$170*'Statistics NZ'!AG$452)</f>
        <v>26692.92098289328</v>
      </c>
      <c r="X123" s="111">
        <f>W$123*'Population Treasury'!AI$170*'Statistics NZ'!AI$452/('Population Treasury'!AH$170*'Statistics NZ'!AH$452)</f>
        <v>27692.804464914221</v>
      </c>
      <c r="Y123" s="111">
        <f>X$123*'Population Treasury'!AJ$170*'Statistics NZ'!AJ$452/('Population Treasury'!AI$170*'Statistics NZ'!AI$452)</f>
        <v>28404.429843769391</v>
      </c>
      <c r="Z123" s="111">
        <f>Y$123*'Population Treasury'!AK$170*'Statistics NZ'!AK$452/('Population Treasury'!AJ$170*'Statistics NZ'!AJ$452)</f>
        <v>29051.337485246564</v>
      </c>
      <c r="AA123" s="111">
        <f>Z$123*'Population Treasury'!AL$170*'Statistics NZ'!AL$452/('Population Treasury'!AK$170*'Statistics NZ'!AK$452)</f>
        <v>29816.381739754524</v>
      </c>
      <c r="AB123" s="111">
        <f>AA$123*'Population Treasury'!AM$170*'Statistics NZ'!AM$452/('Population Treasury'!AL$170*'Statistics NZ'!AL$452)</f>
        <v>30711.719436536474</v>
      </c>
      <c r="AC123" s="111">
        <f>AB$123*'Population Treasury'!AN$170*'Statistics NZ'!AN$452/('Population Treasury'!AM$170*'Statistics NZ'!AM$452)</f>
        <v>31211.452764335165</v>
      </c>
      <c r="AD123" s="111">
        <f>AC$123*'Population Treasury'!AO$170*'Statistics NZ'!AO$452/('Population Treasury'!AN$170*'Statistics NZ'!AN$452)</f>
        <v>31580.496609332964</v>
      </c>
      <c r="AE123" s="111">
        <f>AD$123*'Population Treasury'!AP$170*'Statistics NZ'!AP$452/('Population Treasury'!AO$170*'Statistics NZ'!AO$452)</f>
        <v>32478.190544710913</v>
      </c>
      <c r="AF123" s="111">
        <f>AE$123*'Population Treasury'!AQ$170*'Statistics NZ'!AQ$452/('Population Treasury'!AP$170*'Statistics NZ'!AP$452)</f>
        <v>34105.62460604775</v>
      </c>
      <c r="AG123" s="111">
        <f>AF$123*'Population Treasury'!AR$170*'Statistics NZ'!AR$452/('Population Treasury'!AQ$170*'Statistics NZ'!AQ$452)</f>
        <v>35325.166936244648</v>
      </c>
      <c r="AH123" s="111">
        <f>AG$123*'Population Treasury'!AS$170*'Statistics NZ'!AS$452/('Population Treasury'!AR$170*'Statistics NZ'!AR$452)</f>
        <v>36267.306915110632</v>
      </c>
      <c r="AI123" s="111">
        <f>AH$123*'Population Treasury'!AT$170*'Statistics NZ'!AT$452/('Population Treasury'!AS$170*'Statistics NZ'!AS$452)</f>
        <v>38005.879378709076</v>
      </c>
      <c r="AJ123" s="111">
        <f>AI$123*'Population Treasury'!AU$170*'Statistics NZ'!AU$452/('Population Treasury'!AT$170*'Statistics NZ'!AT$452)</f>
        <v>38755.111176930339</v>
      </c>
      <c r="AK123" s="111">
        <f>AJ$123*'Population Treasury'!AV$170*'Statistics NZ'!AV$452/('Population Treasury'!AU$170*'Statistics NZ'!AU$452)</f>
        <v>38904.274788829716</v>
      </c>
      <c r="AL123" s="111">
        <f>AK$123*'Population Treasury'!AW$170*'Statistics NZ'!AW$452/('Population Treasury'!AV$170*'Statistics NZ'!AV$452)</f>
        <v>38585.116826154677</v>
      </c>
      <c r="AM123" s="111">
        <f>AL$123*'Population Treasury'!AX$170*'Statistics NZ'!AX$452/('Population Treasury'!AW$170*'Statistics NZ'!AW$452)</f>
        <v>37489.051248314056</v>
      </c>
      <c r="AN123" s="111">
        <f>AM$123*'Population Treasury'!AY$170*'Statistics NZ'!AY$452/('Population Treasury'!AX$170*'Statistics NZ'!AX$452)</f>
        <v>37452.890633144678</v>
      </c>
      <c r="AO123" s="111">
        <f>AN$123*'Population Treasury'!AZ$170*'Statistics NZ'!AZ$452/('Population Treasury'!AY$170*'Statistics NZ'!AY$452)</f>
        <v>37295.191438738388</v>
      </c>
      <c r="AP123" s="111">
        <f>AO$123*'Population Treasury'!BA$170*'Statistics NZ'!BA$452/('Population Treasury'!AZ$170*'Statistics NZ'!AZ$452)</f>
        <v>36146.249700234534</v>
      </c>
      <c r="AQ123" s="111">
        <f>AP$123*'Population Treasury'!BB$170*'Statistics NZ'!BB$452/('Population Treasury'!BA$170*'Statistics NZ'!BA$452)</f>
        <v>36048.646631547177</v>
      </c>
      <c r="AR123" s="111">
        <f>AQ$123*'Population Treasury'!BC$170*'Statistics NZ'!BC$452/('Population Treasury'!BB$170*'Statistics NZ'!BB$452)</f>
        <v>35272.80885708081</v>
      </c>
      <c r="AS123" s="111">
        <f>AR$123*'Population Treasury'!BD$170*'Statistics NZ'!BD$452/('Population Treasury'!BC$170*'Statistics NZ'!BC$452)</f>
        <v>35946.090023119439</v>
      </c>
      <c r="AT123" s="111">
        <f>AS$123*'Population Treasury'!BE$170*'Statistics NZ'!BE$452/('Population Treasury'!BD$170*'Statistics NZ'!BD$452)</f>
        <v>35562.849014664869</v>
      </c>
      <c r="AU123" s="111">
        <f>AT$123*'Population Treasury'!BF$170*'Statistics NZ'!BF$452/('Population Treasury'!BE$170*'Statistics NZ'!BE$452)</f>
        <v>34392.492050968336</v>
      </c>
      <c r="AV123" s="111">
        <f>AU$123*'Population Treasury'!BG$170*'Statistics NZ'!BG$452/('Population Treasury'!BF$170*'Statistics NZ'!BF$452)</f>
        <v>34916.092931238694</v>
      </c>
      <c r="AW123" s="111">
        <f>AV$123*'Population Treasury'!BH$170*'Statistics NZ'!BH$452/('Population Treasury'!BG$170*'Statistics NZ'!BG$452)</f>
        <v>35158.664790996016</v>
      </c>
      <c r="AX123" s="111">
        <f>AW$123*'Population Treasury'!BI$170*'Statistics NZ'!BI$452/('Population Treasury'!BH$170*'Statistics NZ'!BH$452)</f>
        <v>35538.830422244144</v>
      </c>
      <c r="AY123" s="111">
        <f>AX$123*'Population Treasury'!BJ$170*'Statistics NZ'!BJ$452/('Population Treasury'!BI$170*'Statistics NZ'!BI$452)</f>
        <v>36484.048712639618</v>
      </c>
      <c r="AZ123" s="111">
        <f>AY$123*'Population Treasury'!BK$170*'Statistics NZ'!BK$452/('Population Treasury'!BJ$170*'Statistics NZ'!BJ$452)</f>
        <v>38277.449122591664</v>
      </c>
      <c r="BA123" s="111">
        <f>AZ$123*'Population Treasury'!BL$170*'Statistics NZ'!BL$452/('Population Treasury'!BK$170*'Statistics NZ'!BK$452)</f>
        <v>39267.970195306771</v>
      </c>
      <c r="BB123" s="195">
        <f>BA$123*'Population Treasury'!BM$170*'Statistics NZ'!BM$452/('Population Treasury'!BL$170*'Statistics NZ'!BL$452)</f>
        <v>39806.966268440716</v>
      </c>
      <c r="BC123" s="195">
        <f>BB$123*'Population Treasury'!BN$170*'Statistics NZ'!BN$452/('Population Treasury'!BM$170*'Statistics NZ'!BM$452)</f>
        <v>40263.572642535728</v>
      </c>
      <c r="BD123" s="195">
        <f>BC$123*'Population Treasury'!BO$170*'Statistics NZ'!BO$452/('Population Treasury'!BN$170*'Statistics NZ'!BN$452)</f>
        <v>40024.003420626286</v>
      </c>
      <c r="BE123" s="195">
        <f>BD$123*'Population Treasury'!BP$170*'Statistics NZ'!BP$452/('Population Treasury'!BO$170*'Statistics NZ'!BO$452)</f>
        <v>39918.758545072866</v>
      </c>
      <c r="BF123" s="195">
        <f>BE$123*'Population Treasury'!BQ$170*'Statistics NZ'!BQ$452/('Population Treasury'!BP$170*'Statistics NZ'!BP$452)</f>
        <v>39675.877526108641</v>
      </c>
    </row>
    <row r="124" spans="1:58">
      <c r="A124" s="124">
        <f>$A$56</f>
        <v>61</v>
      </c>
      <c r="B124" s="118">
        <f>'Population Treasury'!M$171*'Statistics NZ'!M$453*'Economic Forecasts'!O$8/B$7</f>
        <v>22065.174799756052</v>
      </c>
      <c r="C124" s="118">
        <f>'Population Treasury'!N$171*'Statistics NZ'!N$453*'Economic Forecasts'!P$8/C$7</f>
        <v>22894.59726185225</v>
      </c>
      <c r="D124" s="118">
        <f>'Population Treasury'!O$171*'Statistics NZ'!O$453*'Economic Forecasts'!Q$8/D$7</f>
        <v>23310.314079298179</v>
      </c>
      <c r="E124" s="203">
        <f>'Population Treasury'!P$171*'Statistics NZ'!P$453*'Economic Forecasts'!R$8/E$7</f>
        <v>24499.59741773225</v>
      </c>
      <c r="F124" s="121">
        <f>'Population Treasury'!Q$171*'Statistics NZ'!Q$453*'Economic Forecasts'!S$8/F$7</f>
        <v>25079.813857456058</v>
      </c>
      <c r="G124" s="121">
        <f>'Population Treasury'!R$171*'Statistics NZ'!R$453*'Economic Forecasts'!T$8/G$7</f>
        <v>26041.500896348753</v>
      </c>
      <c r="H124" s="121">
        <f>'Population Treasury'!S$171*'Statistics NZ'!S$453*'Economic Forecasts'!U$8/H$7</f>
        <v>27108.113907055609</v>
      </c>
      <c r="I124" s="121">
        <f>'Population Treasury'!T$171*'Statistics NZ'!T$453*'Economic Forecasts'!V$8/I$7</f>
        <v>27573.785471597883</v>
      </c>
      <c r="J124" s="205">
        <f>'Population Treasury'!U$171*'Statistics NZ'!U$453*'Economic Forecasts'!W$8/J$7</f>
        <v>27485.849940964035</v>
      </c>
      <c r="K124" s="111">
        <f>J$124*'Population Treasury'!V$171*'Statistics NZ'!V$453/('Population Treasury'!U$171*'Statistics NZ'!U$453)</f>
        <v>27036.16621971787</v>
      </c>
      <c r="L124" s="111">
        <f>K$124*'Population Treasury'!W$171*'Statistics NZ'!W$453/('Population Treasury'!V$171*'Statistics NZ'!V$453)</f>
        <v>26783.418736984924</v>
      </c>
      <c r="M124" s="111">
        <f>L$124*'Population Treasury'!X$171*'Statistics NZ'!X$453/('Population Treasury'!W$171*'Statistics NZ'!W$453)</f>
        <v>26925.392693597852</v>
      </c>
      <c r="N124" s="111">
        <f>M$124*'Population Treasury'!Y$171*'Statistics NZ'!Y$453/('Population Treasury'!X$171*'Statistics NZ'!X$453)</f>
        <v>27571.536552426965</v>
      </c>
      <c r="O124" s="111">
        <f>N$124*'Population Treasury'!Z$171*'Statistics NZ'!Z$453/('Population Treasury'!Y$171*'Statistics NZ'!Y$453)</f>
        <v>28247.450695732859</v>
      </c>
      <c r="P124" s="111">
        <f>O$124*'Population Treasury'!AA$171*'Statistics NZ'!AA$453/('Population Treasury'!Z$171*'Statistics NZ'!Z$453)</f>
        <v>28385.387967582865</v>
      </c>
      <c r="Q124" s="111">
        <f>P$124*'Population Treasury'!AB$171*'Statistics NZ'!AB$453/('Population Treasury'!AA$171*'Statistics NZ'!AA$453)</f>
        <v>29017.800058983539</v>
      </c>
      <c r="R124" s="111">
        <f>Q$124*'Population Treasury'!AC$171*'Statistics NZ'!AC$453/('Population Treasury'!AB$171*'Statistics NZ'!AB$453)</f>
        <v>29096.936812280856</v>
      </c>
      <c r="S124" s="111">
        <f>R$124*'Population Treasury'!AD$171*'Statistics NZ'!AD$453/('Population Treasury'!AC$171*'Statistics NZ'!AC$453)</f>
        <v>28337.412935836677</v>
      </c>
      <c r="T124" s="111">
        <f>S$124*'Population Treasury'!AE$171*'Statistics NZ'!AE$453/('Population Treasury'!AD$171*'Statistics NZ'!AD$453)</f>
        <v>27306.085376781517</v>
      </c>
      <c r="U124" s="111">
        <f>T$124*'Population Treasury'!AF$171*'Statistics NZ'!AF$453/('Population Treasury'!AE$171*'Statistics NZ'!AE$453)</f>
        <v>26522.241504938786</v>
      </c>
      <c r="V124" s="111">
        <f>U$124*'Population Treasury'!AG$171*'Statistics NZ'!AG$453/('Population Treasury'!AF$171*'Statistics NZ'!AF$453)</f>
        <v>26102.555494278786</v>
      </c>
      <c r="W124" s="111">
        <f>V$124*'Population Treasury'!AH$171*'Statistics NZ'!AH$453/('Population Treasury'!AG$171*'Statistics NZ'!AG$453)</f>
        <v>26292.79834417953</v>
      </c>
      <c r="X124" s="111">
        <f>W$124*'Population Treasury'!AI$171*'Statistics NZ'!AI$453/('Population Treasury'!AH$171*'Statistics NZ'!AH$453)</f>
        <v>26046.079959011575</v>
      </c>
      <c r="Y124" s="111">
        <f>X$124*'Population Treasury'!AJ$171*'Statistics NZ'!AJ$453/('Population Treasury'!AI$171*'Statistics NZ'!AI$453)</f>
        <v>27030.098371122414</v>
      </c>
      <c r="Z124" s="111">
        <f>Y$124*'Population Treasury'!AK$171*'Statistics NZ'!AK$453/('Population Treasury'!AJ$171*'Statistics NZ'!AJ$453)</f>
        <v>27716.601775677591</v>
      </c>
      <c r="AA124" s="111">
        <f>Z$124*'Population Treasury'!AL$171*'Statistics NZ'!AL$453/('Population Treasury'!AK$171*'Statistics NZ'!AK$453)</f>
        <v>28344.61893342988</v>
      </c>
      <c r="AB124" s="111">
        <f>AA$124*'Population Treasury'!AM$171*'Statistics NZ'!AM$453/('Population Treasury'!AL$171*'Statistics NZ'!AL$453)</f>
        <v>29100.100737665478</v>
      </c>
      <c r="AC124" s="111">
        <f>AB$124*'Population Treasury'!AN$171*'Statistics NZ'!AN$453/('Population Treasury'!AM$171*'Statistics NZ'!AM$453)</f>
        <v>29967.71792589398</v>
      </c>
      <c r="AD124" s="111">
        <f>AC$124*'Population Treasury'!AO$171*'Statistics NZ'!AO$453/('Population Treasury'!AN$171*'Statistics NZ'!AN$453)</f>
        <v>30457.393344399854</v>
      </c>
      <c r="AE124" s="111">
        <f>AD$124*'Population Treasury'!AP$171*'Statistics NZ'!AP$453/('Population Treasury'!AO$171*'Statistics NZ'!AO$453)</f>
        <v>30819.09366760702</v>
      </c>
      <c r="AF124" s="111">
        <f>AE$124*'Population Treasury'!AQ$171*'Statistics NZ'!AQ$453/('Population Treasury'!AP$171*'Statistics NZ'!AP$453)</f>
        <v>31694.094151651421</v>
      </c>
      <c r="AG124" s="111">
        <f>AF$124*'Population Treasury'!AR$171*'Statistics NZ'!AR$453/('Population Treasury'!AQ$171*'Statistics NZ'!AQ$453)</f>
        <v>33275.044615805797</v>
      </c>
      <c r="AH124" s="111">
        <f>AG$124*'Population Treasury'!AS$171*'Statistics NZ'!AS$453/('Population Treasury'!AR$171*'Statistics NZ'!AR$453)</f>
        <v>34471.087236153879</v>
      </c>
      <c r="AI124" s="111">
        <f>AH$124*'Population Treasury'!AT$171*'Statistics NZ'!AT$453/('Population Treasury'!AS$171*'Statistics NZ'!AS$453)</f>
        <v>35384.504186637256</v>
      </c>
      <c r="AJ124" s="111">
        <f>AI$124*'Population Treasury'!AU$171*'Statistics NZ'!AU$453/('Population Treasury'!AT$171*'Statistics NZ'!AT$453)</f>
        <v>37082.229035893943</v>
      </c>
      <c r="AK124" s="111">
        <f>AJ$124*'Population Treasury'!AV$171*'Statistics NZ'!AV$453/('Population Treasury'!AU$171*'Statistics NZ'!AU$453)</f>
        <v>37815.024124539668</v>
      </c>
      <c r="AL124" s="111">
        <f>AK$124*'Population Treasury'!AW$171*'Statistics NZ'!AW$453/('Population Treasury'!AV$171*'Statistics NZ'!AV$453)</f>
        <v>37966.899414682899</v>
      </c>
      <c r="AM124" s="111">
        <f>AL$124*'Population Treasury'!AX$171*'Statistics NZ'!AX$453/('Population Treasury'!AW$171*'Statistics NZ'!AW$453)</f>
        <v>37662.706773072045</v>
      </c>
      <c r="AN124" s="111">
        <f>AM$124*'Population Treasury'!AY$171*'Statistics NZ'!AY$453/('Population Treasury'!AX$171*'Statistics NZ'!AX$453)</f>
        <v>36599.881409000373</v>
      </c>
      <c r="AO124" s="111">
        <f>AN$124*'Population Treasury'!AZ$171*'Statistics NZ'!AZ$453/('Population Treasury'!AY$171*'Statistics NZ'!AY$453)</f>
        <v>36558.713141744083</v>
      </c>
      <c r="AP124" s="111">
        <f>AO$124*'Population Treasury'!BA$171*'Statistics NZ'!BA$453/('Population Treasury'!AZ$171*'Statistics NZ'!AZ$453)</f>
        <v>36383.085120377735</v>
      </c>
      <c r="AQ124" s="111">
        <f>AP$124*'Population Treasury'!BB$171*'Statistics NZ'!BB$453/('Population Treasury'!BA$171*'Statistics NZ'!BA$453)</f>
        <v>35276.610891312943</v>
      </c>
      <c r="AR124" s="111">
        <f>AQ$124*'Population Treasury'!BC$171*'Statistics NZ'!BC$453/('Population Treasury'!BB$171*'Statistics NZ'!BB$453)</f>
        <v>35198.024242496816</v>
      </c>
      <c r="AS124" s="111">
        <f>AR$124*'Population Treasury'!BD$171*'Statistics NZ'!BD$453/('Population Treasury'!BC$171*'Statistics NZ'!BC$453)</f>
        <v>34426.285605092766</v>
      </c>
      <c r="AT124" s="111">
        <f>AS$124*'Population Treasury'!BE$171*'Statistics NZ'!BE$453/('Population Treasury'!BD$171*'Statistics NZ'!BD$453)</f>
        <v>35097.740376280533</v>
      </c>
      <c r="AU124" s="111">
        <f>AT$124*'Population Treasury'!BF$171*'Statistics NZ'!BF$453/('Population Treasury'!BE$171*'Statistics NZ'!BE$453)</f>
        <v>34705.592875130824</v>
      </c>
      <c r="AV124" s="111">
        <f>AU$124*'Population Treasury'!BG$171*'Statistics NZ'!BG$453/('Population Treasury'!BF$171*'Statistics NZ'!BF$453)</f>
        <v>33575.966688568296</v>
      </c>
      <c r="AW124" s="111">
        <f>AV$124*'Population Treasury'!BH$171*'Statistics NZ'!BH$453/('Population Treasury'!BG$171*'Statistics NZ'!BG$453)</f>
        <v>34088.380760565466</v>
      </c>
      <c r="AX124" s="111">
        <f>AW$124*'Population Treasury'!BI$171*'Statistics NZ'!BI$453/('Population Treasury'!BH$171*'Statistics NZ'!BH$453)</f>
        <v>34336.539913697139</v>
      </c>
      <c r="AY124" s="111">
        <f>AX$124*'Population Treasury'!BJ$171*'Statistics NZ'!BJ$453/('Population Treasury'!BI$171*'Statistics NZ'!BI$453)</f>
        <v>34703.893473870994</v>
      </c>
      <c r="AZ124" s="111">
        <f>AY$124*'Population Treasury'!BK$171*'Statistics NZ'!BK$453/('Population Treasury'!BJ$171*'Statistics NZ'!BJ$453)</f>
        <v>35629.015024197215</v>
      </c>
      <c r="BA124" s="111">
        <f>AZ$124*'Population Treasury'!BL$171*'Statistics NZ'!BL$453/('Population Treasury'!BK$171*'Statistics NZ'!BK$453)</f>
        <v>37385.727664706188</v>
      </c>
      <c r="BB124" s="195">
        <f>BA$124*'Population Treasury'!BM$171*'Statistics NZ'!BM$453/('Population Treasury'!BL$171*'Statistics NZ'!BL$453)</f>
        <v>38349.982228255016</v>
      </c>
      <c r="BC124" s="195">
        <f>BB$124*'Population Treasury'!BN$171*'Statistics NZ'!BN$453/('Population Treasury'!BM$171*'Statistics NZ'!BM$453)</f>
        <v>38874.387526133934</v>
      </c>
      <c r="BD124" s="195">
        <f>BC$124*'Population Treasury'!BO$171*'Statistics NZ'!BO$453/('Population Treasury'!BN$171*'Statistics NZ'!BN$453)</f>
        <v>39325.413580131746</v>
      </c>
      <c r="BE124" s="195">
        <f>BD$124*'Population Treasury'!BP$171*'Statistics NZ'!BP$453/('Population Treasury'!BO$171*'Statistics NZ'!BO$453)</f>
        <v>39099.255840422673</v>
      </c>
      <c r="BF124" s="195">
        <f>BE$124*'Population Treasury'!BQ$171*'Statistics NZ'!BQ$453/('Population Treasury'!BP$171*'Statistics NZ'!BP$453)</f>
        <v>38976.383849384663</v>
      </c>
    </row>
    <row r="125" spans="1:58">
      <c r="A125" s="124">
        <f>$A$57</f>
        <v>62</v>
      </c>
      <c r="B125" s="118">
        <f>'Population Treasury'!M$172*'Statistics NZ'!M$454*'Economic Forecasts'!O$8/B$7</f>
        <v>20581.07476986459</v>
      </c>
      <c r="C125" s="118">
        <f>'Population Treasury'!N$172*'Statistics NZ'!N$454*'Economic Forecasts'!P$8/C$7</f>
        <v>21544.291366662106</v>
      </c>
      <c r="D125" s="118">
        <f>'Population Treasury'!O$172*'Statistics NZ'!O$454*'Economic Forecasts'!Q$8/D$7</f>
        <v>21943.8691481858</v>
      </c>
      <c r="E125" s="203">
        <f>'Population Treasury'!P$172*'Statistics NZ'!P$454*'Economic Forecasts'!R$8/E$7</f>
        <v>22606.361881800487</v>
      </c>
      <c r="F125" s="121">
        <f>'Population Treasury'!Q$172*'Statistics NZ'!Q$454*'Economic Forecasts'!S$8/F$7</f>
        <v>23782.392543514354</v>
      </c>
      <c r="G125" s="121">
        <f>'Population Treasury'!R$172*'Statistics NZ'!R$454*'Economic Forecasts'!T$8/G$7</f>
        <v>24470.113370695606</v>
      </c>
      <c r="H125" s="121">
        <f>'Population Treasury'!S$172*'Statistics NZ'!S$454*'Economic Forecasts'!U$8/H$7</f>
        <v>25346.940567875958</v>
      </c>
      <c r="I125" s="121">
        <f>'Population Treasury'!T$172*'Statistics NZ'!T$454*'Economic Forecasts'!V$8/I$7</f>
        <v>26371.241915760631</v>
      </c>
      <c r="J125" s="205">
        <f>'Population Treasury'!U$172*'Statistics NZ'!U$454*'Economic Forecasts'!W$8/J$7</f>
        <v>26837.288408597939</v>
      </c>
      <c r="K125" s="111">
        <f>J$125*'Population Treasury'!V$172*'Statistics NZ'!V$454/('Population Treasury'!U$172*'Statistics NZ'!U$454)</f>
        <v>26669.582103384746</v>
      </c>
      <c r="L125" s="111">
        <f>K$125*'Population Treasury'!W$172*'Statistics NZ'!W$454/('Population Treasury'!V$172*'Statistics NZ'!V$454)</f>
        <v>26219.031343295639</v>
      </c>
      <c r="M125" s="111">
        <f>L$125*'Population Treasury'!X$172*'Statistics NZ'!X$454/('Population Treasury'!W$172*'Statistics NZ'!W$454)</f>
        <v>25994.522961142531</v>
      </c>
      <c r="N125" s="111">
        <f>M$125*'Population Treasury'!Y$172*'Statistics NZ'!Y$454/('Population Treasury'!X$172*'Statistics NZ'!X$454)</f>
        <v>26136.197177451635</v>
      </c>
      <c r="O125" s="111">
        <f>N$125*'Population Treasury'!Z$172*'Statistics NZ'!Z$454/('Population Treasury'!Y$172*'Statistics NZ'!Y$454)</f>
        <v>26735.913448578212</v>
      </c>
      <c r="P125" s="111">
        <f>O$125*'Population Treasury'!AA$172*'Statistics NZ'!AA$454/('Population Treasury'!Z$172*'Statistics NZ'!Z$454)</f>
        <v>27399.531772895029</v>
      </c>
      <c r="Q125" s="111">
        <f>P$125*'Population Treasury'!AB$172*'Statistics NZ'!AB$454/('Population Treasury'!AA$172*'Statistics NZ'!AA$454)</f>
        <v>27538.557114042374</v>
      </c>
      <c r="R125" s="111">
        <f>Q$125*'Population Treasury'!AC$172*'Statistics NZ'!AC$454/('Population Treasury'!AB$172*'Statistics NZ'!AB$454)</f>
        <v>28158.687566415178</v>
      </c>
      <c r="S125" s="111">
        <f>R$125*'Population Treasury'!AD$172*'Statistics NZ'!AD$454/('Population Treasury'!AC$172*'Statistics NZ'!AC$454)</f>
        <v>28227.464321693416</v>
      </c>
      <c r="T125" s="111">
        <f>S$125*'Population Treasury'!AE$172*'Statistics NZ'!AE$454/('Population Treasury'!AD$172*'Statistics NZ'!AD$454)</f>
        <v>27498.491605917621</v>
      </c>
      <c r="U125" s="111">
        <f>T$125*'Population Treasury'!AF$172*'Statistics NZ'!AF$454/('Population Treasury'!AE$172*'Statistics NZ'!AE$454)</f>
        <v>26506.293127093635</v>
      </c>
      <c r="V125" s="111">
        <f>U$125*'Population Treasury'!AG$172*'Statistics NZ'!AG$454/('Population Treasury'!AF$172*'Statistics NZ'!AF$454)</f>
        <v>25750.087168755479</v>
      </c>
      <c r="W125" s="111">
        <f>V$125*'Population Treasury'!AH$172*'Statistics NZ'!AH$454/('Population Treasury'!AG$172*'Statistics NZ'!AG$454)</f>
        <v>25338.82332555945</v>
      </c>
      <c r="X125" s="111">
        <f>W$125*'Population Treasury'!AI$172*'Statistics NZ'!AI$454/('Population Treasury'!AH$172*'Statistics NZ'!AH$454)</f>
        <v>25533.227620682144</v>
      </c>
      <c r="Y125" s="111">
        <f>X$125*'Population Treasury'!AJ$172*'Statistics NZ'!AJ$454/('Population Treasury'!AI$172*'Statistics NZ'!AI$454)</f>
        <v>25292.984102043898</v>
      </c>
      <c r="Z125" s="111">
        <f>Y$125*'Population Treasury'!AK$172*'Statistics NZ'!AK$454/('Population Treasury'!AJ$172*'Statistics NZ'!AJ$454)</f>
        <v>26256.544342575547</v>
      </c>
      <c r="AA125" s="111">
        <f>Z$125*'Population Treasury'!AL$172*'Statistics NZ'!AL$454/('Population Treasury'!AK$172*'Statistics NZ'!AK$454)</f>
        <v>26927.515455806286</v>
      </c>
      <c r="AB125" s="111">
        <f>AA$125*'Population Treasury'!AM$172*'Statistics NZ'!AM$454/('Population Treasury'!AL$172*'Statistics NZ'!AL$454)</f>
        <v>27537.378854452043</v>
      </c>
      <c r="AC125" s="111">
        <f>AB$125*'Population Treasury'!AN$172*'Statistics NZ'!AN$454/('Population Treasury'!AM$172*'Statistics NZ'!AM$454)</f>
        <v>28261.264808513242</v>
      </c>
      <c r="AD125" s="111">
        <f>AC$125*'Population Treasury'!AO$172*'Statistics NZ'!AO$454/('Population Treasury'!AN$172*'Statistics NZ'!AN$454)</f>
        <v>29092.747082114263</v>
      </c>
      <c r="AE125" s="111">
        <f>AD$125*'Population Treasury'!AP$172*'Statistics NZ'!AP$454/('Population Treasury'!AO$172*'Statistics NZ'!AO$454)</f>
        <v>29591.119800224034</v>
      </c>
      <c r="AF125" s="111">
        <f>AE$125*'Population Treasury'!AQ$172*'Statistics NZ'!AQ$454/('Population Treasury'!AP$172*'Statistics NZ'!AP$454)</f>
        <v>29946.199840154288</v>
      </c>
      <c r="AG125" s="111">
        <f>AF$125*'Population Treasury'!AR$172*'Statistics NZ'!AR$454/('Population Treasury'!AQ$172*'Statistics NZ'!AQ$454)</f>
        <v>30789.2168399457</v>
      </c>
      <c r="AH125" s="111">
        <f>AG$125*'Population Treasury'!AS$172*'Statistics NZ'!AS$454/('Population Treasury'!AR$172*'Statistics NZ'!AR$454)</f>
        <v>32305.122591762083</v>
      </c>
      <c r="AI125" s="111">
        <f>AH$125*'Population Treasury'!AT$172*'Statistics NZ'!AT$454/('Population Treasury'!AS$172*'Statistics NZ'!AS$454)</f>
        <v>33468.971452894293</v>
      </c>
      <c r="AJ125" s="111">
        <f>AI$125*'Population Treasury'!AU$172*'Statistics NZ'!AU$454/('Population Treasury'!AT$172*'Statistics NZ'!AT$454)</f>
        <v>34366.943323853186</v>
      </c>
      <c r="AK125" s="111">
        <f>AJ$125*'Population Treasury'!AV$172*'Statistics NZ'!AV$454/('Population Treasury'!AU$172*'Statistics NZ'!AU$454)</f>
        <v>36013.847394709024</v>
      </c>
      <c r="AL125" s="111">
        <f>AK$125*'Population Treasury'!AW$172*'Statistics NZ'!AW$454/('Population Treasury'!AV$172*'Statistics NZ'!AV$454)</f>
        <v>36716.730556449984</v>
      </c>
      <c r="AM125" s="111">
        <f>AL$125*'Population Treasury'!AX$172*'Statistics NZ'!AX$454/('Population Treasury'!AW$172*'Statistics NZ'!AW$454)</f>
        <v>36870.326641522581</v>
      </c>
      <c r="AN125" s="111">
        <f>AM$125*'Population Treasury'!AY$172*'Statistics NZ'!AY$454/('Population Treasury'!AX$172*'Statistics NZ'!AX$454)</f>
        <v>36574.942196369571</v>
      </c>
      <c r="AO125" s="111">
        <f>AN$125*'Population Treasury'!AZ$172*'Statistics NZ'!AZ$454/('Population Treasury'!AY$172*'Statistics NZ'!AY$454)</f>
        <v>35547.495449272516</v>
      </c>
      <c r="AP125" s="111">
        <f>AO$125*'Population Treasury'!BA$172*'Statistics NZ'!BA$454/('Population Treasury'!AZ$172*'Statistics NZ'!AZ$454)</f>
        <v>35502.650746638377</v>
      </c>
      <c r="AQ125" s="111">
        <f>AP$125*'Population Treasury'!BB$172*'Statistics NZ'!BB$454/('Population Treasury'!BA$172*'Statistics NZ'!BA$454)</f>
        <v>35364.20162354035</v>
      </c>
      <c r="AR125" s="111">
        <f>AQ$125*'Population Treasury'!BC$172*'Statistics NZ'!BC$454/('Population Treasury'!BB$172*'Statistics NZ'!BB$454)</f>
        <v>34281.474861516355</v>
      </c>
      <c r="AS125" s="111">
        <f>AR$125*'Population Treasury'!BD$172*'Statistics NZ'!BD$454/('Population Treasury'!BC$172*'Statistics NZ'!BC$454)</f>
        <v>34200.487656462523</v>
      </c>
      <c r="AT125" s="111">
        <f>AS$125*'Population Treasury'!BE$172*'Statistics NZ'!BE$454/('Population Treasury'!BD$172*'Statistics NZ'!BD$454)</f>
        <v>33459.845422277685</v>
      </c>
      <c r="AU125" s="111">
        <f>AT$125*'Population Treasury'!BF$172*'Statistics NZ'!BF$454/('Population Treasury'!BE$172*'Statistics NZ'!BE$454)</f>
        <v>34106.554901193427</v>
      </c>
      <c r="AV125" s="111">
        <f>AU$125*'Population Treasury'!BG$172*'Statistics NZ'!BG$454/('Population Treasury'!BF$172*'Statistics NZ'!BF$454)</f>
        <v>33732.61932406127</v>
      </c>
      <c r="AW125" s="111">
        <f>AV$125*'Population Treasury'!BH$172*'Statistics NZ'!BH$454/('Population Treasury'!BG$172*'Statistics NZ'!BG$454)</f>
        <v>32643.031202130715</v>
      </c>
      <c r="AX125" s="111">
        <f>AW$125*'Population Treasury'!BI$172*'Statistics NZ'!BI$454/('Population Treasury'!BH$172*'Statistics NZ'!BH$454)</f>
        <v>33133.656848921863</v>
      </c>
      <c r="AY125" s="111">
        <f>AX$125*'Population Treasury'!BJ$172*'Statistics NZ'!BJ$454/('Population Treasury'!BI$172*'Statistics NZ'!BI$454)</f>
        <v>33375.185040422308</v>
      </c>
      <c r="AZ125" s="111">
        <f>AY$125*'Population Treasury'!BK$172*'Statistics NZ'!BK$454/('Population Treasury'!BJ$172*'Statistics NZ'!BJ$454)</f>
        <v>33749.55817584238</v>
      </c>
      <c r="BA125" s="111">
        <f>AZ$125*'Population Treasury'!BL$172*'Statistics NZ'!BL$454/('Population Treasury'!BK$172*'Statistics NZ'!BK$454)</f>
        <v>34632.378284061546</v>
      </c>
      <c r="BB125" s="195">
        <f>BA$125*'Population Treasury'!BM$172*'Statistics NZ'!BM$454/('Population Treasury'!BL$172*'Statistics NZ'!BL$454)</f>
        <v>36340.589641337327</v>
      </c>
      <c r="BC125" s="195">
        <f>BB$125*'Population Treasury'!BN$172*'Statistics NZ'!BN$454/('Population Treasury'!BM$172*'Statistics NZ'!BM$454)</f>
        <v>37269.474402420914</v>
      </c>
      <c r="BD125" s="195">
        <f>BC$125*'Population Treasury'!BO$172*'Statistics NZ'!BO$454/('Population Treasury'!BN$172*'Statistics NZ'!BN$454)</f>
        <v>37780.371655347823</v>
      </c>
      <c r="BE125" s="195">
        <f>BD$125*'Population Treasury'!BP$172*'Statistics NZ'!BP$454/('Population Treasury'!BO$172*'Statistics NZ'!BO$454)</f>
        <v>38222.308825207976</v>
      </c>
      <c r="BF125" s="195">
        <f>BE$125*'Population Treasury'!BQ$172*'Statistics NZ'!BQ$454/('Population Treasury'!BP$172*'Statistics NZ'!BP$454)</f>
        <v>38007.732436352897</v>
      </c>
    </row>
    <row r="126" spans="1:58">
      <c r="A126" s="124">
        <f>$A$58</f>
        <v>63</v>
      </c>
      <c r="B126" s="118">
        <f>'Population Treasury'!M$173*'Statistics NZ'!M$455*'Economic Forecasts'!O$8/B$7</f>
        <v>19091.949903635032</v>
      </c>
      <c r="C126" s="118">
        <f>'Population Treasury'!N$173*'Statistics NZ'!N$455*'Economic Forecasts'!P$8/C$7</f>
        <v>19824.27533798731</v>
      </c>
      <c r="D126" s="118">
        <f>'Population Treasury'!O$173*'Statistics NZ'!O$455*'Economic Forecasts'!Q$8/D$7</f>
        <v>20422.508431463692</v>
      </c>
      <c r="E126" s="203">
        <f>'Population Treasury'!P$173*'Statistics NZ'!P$455*'Economic Forecasts'!R$8/E$7</f>
        <v>21017.136908171156</v>
      </c>
      <c r="F126" s="121">
        <f>'Population Treasury'!Q$173*'Statistics NZ'!Q$455*'Economic Forecasts'!S$8/F$7</f>
        <v>21693.535257982738</v>
      </c>
      <c r="G126" s="121">
        <f>'Population Treasury'!R$173*'Statistics NZ'!R$455*'Economic Forecasts'!T$8/G$7</f>
        <v>22947.916357901631</v>
      </c>
      <c r="H126" s="121">
        <f>'Population Treasury'!S$173*'Statistics NZ'!S$455*'Economic Forecasts'!U$8/H$7</f>
        <v>23559.920687834703</v>
      </c>
      <c r="I126" s="121">
        <f>'Population Treasury'!T$173*'Statistics NZ'!T$455*'Economic Forecasts'!V$8/I$7</f>
        <v>24400.243450042613</v>
      </c>
      <c r="J126" s="205">
        <f>'Population Treasury'!U$173*'Statistics NZ'!U$455*'Economic Forecasts'!W$8/J$7</f>
        <v>25387.891038653386</v>
      </c>
      <c r="K126" s="111">
        <f>J$126*'Population Treasury'!V$173*'Statistics NZ'!V$455/('Population Treasury'!U$173*'Statistics NZ'!U$455)</f>
        <v>25752.136336191073</v>
      </c>
      <c r="L126" s="111">
        <f>K$126*'Population Treasury'!W$173*'Statistics NZ'!W$455/('Population Treasury'!V$173*'Statistics NZ'!V$455)</f>
        <v>25601.757498431161</v>
      </c>
      <c r="M126" s="111">
        <f>L$126*'Population Treasury'!X$173*'Statistics NZ'!X$455/('Population Treasury'!W$173*'Statistics NZ'!W$455)</f>
        <v>25178.661444726924</v>
      </c>
      <c r="N126" s="111">
        <f>M$126*'Population Treasury'!Y$173*'Statistics NZ'!Y$455/('Population Treasury'!X$173*'Statistics NZ'!X$455)</f>
        <v>24963.298803454207</v>
      </c>
      <c r="O126" s="111">
        <f>N$126*'Population Treasury'!Z$173*'Statistics NZ'!Z$455/('Population Treasury'!Y$173*'Statistics NZ'!Y$455)</f>
        <v>25094.030816068102</v>
      </c>
      <c r="P126" s="111">
        <f>O$126*'Population Treasury'!AA$173*'Statistics NZ'!AA$455/('Population Treasury'!Z$173*'Statistics NZ'!Z$455)</f>
        <v>25684.107086630542</v>
      </c>
      <c r="Q126" s="111">
        <f>P$126*'Population Treasury'!AB$173*'Statistics NZ'!AB$455/('Population Treasury'!AA$173*'Statistics NZ'!AA$455)</f>
        <v>26316.698607791717</v>
      </c>
      <c r="R126" s="111">
        <f>Q$126*'Population Treasury'!AC$173*'Statistics NZ'!AC$455/('Population Treasury'!AB$173*'Statistics NZ'!AB$455)</f>
        <v>26463.713399435379</v>
      </c>
      <c r="S126" s="111">
        <f>R$126*'Population Treasury'!AD$173*'Statistics NZ'!AD$455/('Population Treasury'!AC$173*'Statistics NZ'!AC$455)</f>
        <v>27041.727838418166</v>
      </c>
      <c r="T126" s="111">
        <f>S$126*'Population Treasury'!AE$173*'Statistics NZ'!AE$455/('Population Treasury'!AD$173*'Statistics NZ'!AD$455)</f>
        <v>27113.996415987091</v>
      </c>
      <c r="U126" s="111">
        <f>T$126*'Population Treasury'!AF$173*'Statistics NZ'!AF$455/('Population Treasury'!AE$173*'Statistics NZ'!AE$455)</f>
        <v>26432.293067307426</v>
      </c>
      <c r="V126" s="111">
        <f>U$126*'Population Treasury'!AG$173*'Statistics NZ'!AG$455/('Population Treasury'!AF$173*'Statistics NZ'!AF$455)</f>
        <v>25483.152457059226</v>
      </c>
      <c r="W126" s="111">
        <f>V$126*'Population Treasury'!AH$173*'Statistics NZ'!AH$455/('Population Treasury'!AG$173*'Statistics NZ'!AG$455)</f>
        <v>24755.842283838261</v>
      </c>
      <c r="X126" s="111">
        <f>W$126*'Population Treasury'!AI$173*'Statistics NZ'!AI$455/('Population Treasury'!AH$173*'Statistics NZ'!AH$455)</f>
        <v>24378.287653934156</v>
      </c>
      <c r="Y126" s="111">
        <f>X$126*'Population Treasury'!AJ$173*'Statistics NZ'!AJ$455/('Population Treasury'!AI$173*'Statistics NZ'!AI$455)</f>
        <v>24556.406419416126</v>
      </c>
      <c r="Z126" s="111">
        <f>Y$126*'Population Treasury'!AK$173*'Statistics NZ'!AK$455/('Population Treasury'!AJ$173*'Statistics NZ'!AJ$455)</f>
        <v>24330.497489418682</v>
      </c>
      <c r="AA126" s="111">
        <f>Z$126*'Population Treasury'!AL$173*'Statistics NZ'!AL$455/('Population Treasury'!AK$173*'Statistics NZ'!AK$455)</f>
        <v>25244.882267676487</v>
      </c>
      <c r="AB126" s="111">
        <f>AA$126*'Population Treasury'!AM$173*'Statistics NZ'!AM$455/('Population Treasury'!AL$173*'Statistics NZ'!AL$455)</f>
        <v>25905.371603796357</v>
      </c>
      <c r="AC126" s="111">
        <f>AB$126*'Population Treasury'!AN$173*'Statistics NZ'!AN$455/('Population Treasury'!AM$173*'Statistics NZ'!AM$455)</f>
        <v>26490.086161000996</v>
      </c>
      <c r="AD126" s="111">
        <f>AC$126*'Population Treasury'!AO$173*'Statistics NZ'!AO$455/('Population Treasury'!AN$173*'Statistics NZ'!AN$455)</f>
        <v>27187.155782520975</v>
      </c>
      <c r="AE126" s="111">
        <f>AD$126*'Population Treasury'!AP$173*'Statistics NZ'!AP$455/('Population Treasury'!AO$173*'Statistics NZ'!AO$455)</f>
        <v>28004.392447302704</v>
      </c>
      <c r="AF126" s="111">
        <f>AE$126*'Population Treasury'!AQ$173*'Statistics NZ'!AQ$455/('Population Treasury'!AP$173*'Statistics NZ'!AP$455)</f>
        <v>28463.48759487984</v>
      </c>
      <c r="AG126" s="111">
        <f>AF$126*'Population Treasury'!AR$173*'Statistics NZ'!AR$455/('Population Treasury'!AQ$173*'Statistics NZ'!AQ$455)</f>
        <v>28810.449276754396</v>
      </c>
      <c r="AH126" s="111">
        <f>AG$126*'Population Treasury'!AS$173*'Statistics NZ'!AS$455/('Population Treasury'!AR$173*'Statistics NZ'!AR$455)</f>
        <v>29625.506035932514</v>
      </c>
      <c r="AI126" s="111">
        <f>AH$126*'Population Treasury'!AT$173*'Statistics NZ'!AT$455/('Population Treasury'!AS$173*'Statistics NZ'!AS$455)</f>
        <v>31084.321611577037</v>
      </c>
      <c r="AJ126" s="111">
        <f>AI$126*'Population Treasury'!AU$173*'Statistics NZ'!AU$455/('Population Treasury'!AT$173*'Statistics NZ'!AT$455)</f>
        <v>32207.342791184368</v>
      </c>
      <c r="AK126" s="111">
        <f>AJ$126*'Population Treasury'!AV$173*'Statistics NZ'!AV$455/('Population Treasury'!AU$173*'Statistics NZ'!AU$455)</f>
        <v>33067.561062279623</v>
      </c>
      <c r="AL126" s="111">
        <f>AK$126*'Population Treasury'!AW$173*'Statistics NZ'!AW$455/('Population Treasury'!AV$173*'Statistics NZ'!AV$455)</f>
        <v>34645.837339371741</v>
      </c>
      <c r="AM126" s="111">
        <f>AL$126*'Population Treasury'!AX$173*'Statistics NZ'!AX$455/('Population Treasury'!AW$173*'Statistics NZ'!AW$455)</f>
        <v>35335.164893336667</v>
      </c>
      <c r="AN126" s="111">
        <f>AM$126*'Population Treasury'!AY$173*'Statistics NZ'!AY$455/('Population Treasury'!AX$173*'Statistics NZ'!AX$455)</f>
        <v>35482.262042369024</v>
      </c>
      <c r="AO126" s="111">
        <f>AN$126*'Population Treasury'!AZ$173*'Statistics NZ'!AZ$455/('Population Treasury'!AY$173*'Statistics NZ'!AY$455)</f>
        <v>35192.648504894743</v>
      </c>
      <c r="AP126" s="111">
        <f>AO$126*'Population Treasury'!BA$173*'Statistics NZ'!BA$455/('Population Treasury'!AZ$173*'Statistics NZ'!AZ$455)</f>
        <v>34205.28063022998</v>
      </c>
      <c r="AQ126" s="111">
        <f>AP$126*'Population Treasury'!BB$173*'Statistics NZ'!BB$455/('Population Treasury'!BA$173*'Statistics NZ'!BA$455)</f>
        <v>34176.005430768331</v>
      </c>
      <c r="AR126" s="111">
        <f>AQ$126*'Population Treasury'!BC$173*'Statistics NZ'!BC$455/('Population Treasury'!BB$173*'Statistics NZ'!BB$455)</f>
        <v>34029.11603113194</v>
      </c>
      <c r="AS126" s="111">
        <f>AR$126*'Population Treasury'!BD$173*'Statistics NZ'!BD$455/('Population Treasury'!BC$173*'Statistics NZ'!BC$455)</f>
        <v>32995.338808098939</v>
      </c>
      <c r="AT126" s="111">
        <f>AS$126*'Population Treasury'!BE$173*'Statistics NZ'!BE$455/('Population Treasury'!BD$173*'Statistics NZ'!BD$455)</f>
        <v>32923.691446143159</v>
      </c>
      <c r="AU126" s="111">
        <f>AT$126*'Population Treasury'!BF$173*'Statistics NZ'!BF$455/('Population Treasury'!BE$173*'Statistics NZ'!BE$455)</f>
        <v>32212.795491167653</v>
      </c>
      <c r="AV126" s="111">
        <f>AU$126*'Population Treasury'!BG$173*'Statistics NZ'!BG$455/('Population Treasury'!BF$173*'Statistics NZ'!BF$455)</f>
        <v>32832.506683100371</v>
      </c>
      <c r="AW126" s="111">
        <f>AV$126*'Population Treasury'!BH$173*'Statistics NZ'!BH$455/('Population Treasury'!BG$173*'Statistics NZ'!BG$455)</f>
        <v>32488.887149004429</v>
      </c>
      <c r="AX126" s="111">
        <f>AW$126*'Population Treasury'!BI$173*'Statistics NZ'!BI$455/('Population Treasury'!BH$173*'Statistics NZ'!BH$455)</f>
        <v>31435.777672001281</v>
      </c>
      <c r="AY126" s="111">
        <f>AX$126*'Population Treasury'!BJ$173*'Statistics NZ'!BJ$455/('Population Treasury'!BI$173*'Statistics NZ'!BI$455)</f>
        <v>31909.419485815473</v>
      </c>
      <c r="AZ126" s="111">
        <f>AY$126*'Population Treasury'!BK$173*'Statistics NZ'!BK$455/('Population Treasury'!BJ$173*'Statistics NZ'!BJ$455)</f>
        <v>32139.61321264206</v>
      </c>
      <c r="BA126" s="111">
        <f>AZ$126*'Population Treasury'!BL$173*'Statistics NZ'!BL$455/('Population Treasury'!BK$173*'Statistics NZ'!BK$455)</f>
        <v>32502.913011082219</v>
      </c>
      <c r="BB126" s="195">
        <f>BA$126*'Population Treasury'!BM$173*'Statistics NZ'!BM$455/('Population Treasury'!BL$173*'Statistics NZ'!BL$455)</f>
        <v>33352.877195733032</v>
      </c>
      <c r="BC126" s="195">
        <f>BB$126*'Population Treasury'!BN$173*'Statistics NZ'!BN$455/('Population Treasury'!BM$173*'Statistics NZ'!BM$455)</f>
        <v>34989.085854636076</v>
      </c>
      <c r="BD126" s="195">
        <f>BC$126*'Population Treasury'!BO$173*'Statistics NZ'!BO$455/('Population Treasury'!BN$173*'Statistics NZ'!BN$455)</f>
        <v>35895.57796179501</v>
      </c>
      <c r="BE126" s="195">
        <f>BD$126*'Population Treasury'!BP$173*'Statistics NZ'!BP$455/('Population Treasury'!BO$173*'Statistics NZ'!BO$455)</f>
        <v>36390.497737937942</v>
      </c>
      <c r="BF126" s="195">
        <f>BE$126*'Population Treasury'!BQ$173*'Statistics NZ'!BQ$455/('Population Treasury'!BP$173*'Statistics NZ'!BP$455)</f>
        <v>36812.393330960753</v>
      </c>
    </row>
    <row r="127" spans="1:58">
      <c r="A127" s="124">
        <f>$A$59</f>
        <v>64</v>
      </c>
      <c r="B127" s="118">
        <f>'Population Treasury'!M$174*'Statistics NZ'!M$456*'Economic Forecasts'!O$8/B$7</f>
        <v>17206.165032026118</v>
      </c>
      <c r="C127" s="118">
        <f>'Population Treasury'!N$174*'Statistics NZ'!N$456*'Economic Forecasts'!P$8/C$7</f>
        <v>18051.199858766446</v>
      </c>
      <c r="D127" s="118">
        <f>'Population Treasury'!O$174*'Statistics NZ'!O$456*'Economic Forecasts'!Q$8/D$7</f>
        <v>18442.122348026987</v>
      </c>
      <c r="E127" s="203">
        <f>'Population Treasury'!P$174*'Statistics NZ'!P$456*'Economic Forecasts'!R$8/E$7</f>
        <v>19133.66217200676</v>
      </c>
      <c r="F127" s="121">
        <f>'Population Treasury'!Q$174*'Statistics NZ'!Q$456*'Economic Forecasts'!S$8/F$7</f>
        <v>19740.127307172806</v>
      </c>
      <c r="G127" s="121">
        <f>'Population Treasury'!R$174*'Statistics NZ'!R$456*'Economic Forecasts'!T$8/G$7</f>
        <v>20501.764209235283</v>
      </c>
      <c r="H127" s="121">
        <f>'Population Treasury'!S$174*'Statistics NZ'!S$456*'Economic Forecasts'!U$8/H$7</f>
        <v>21637.162954727366</v>
      </c>
      <c r="I127" s="121">
        <f>'Population Treasury'!T$174*'Statistics NZ'!T$456*'Economic Forecasts'!V$8/I$7</f>
        <v>22214.930310670665</v>
      </c>
      <c r="J127" s="205">
        <f>'Population Treasury'!U$174*'Statistics NZ'!U$456*'Economic Forecasts'!W$8/J$7</f>
        <v>23011.116835262605</v>
      </c>
      <c r="K127" s="111">
        <f>J$127*'Population Treasury'!V$174*'Statistics NZ'!V$456/('Population Treasury'!U$174*'Statistics NZ'!U$456)</f>
        <v>23890.222501296477</v>
      </c>
      <c r="L127" s="111">
        <f>K$127*'Population Treasury'!W$174*'Statistics NZ'!W$456/('Population Treasury'!V$174*'Statistics NZ'!V$456)</f>
        <v>24248.305499719445</v>
      </c>
      <c r="M127" s="111">
        <f>L$127*'Population Treasury'!X$174*'Statistics NZ'!X$456/('Population Treasury'!W$174*'Statistics NZ'!W$456)</f>
        <v>24107.943063823805</v>
      </c>
      <c r="N127" s="111">
        <f>M$127*'Population Treasury'!Y$174*'Statistics NZ'!Y$456/('Population Treasury'!X$174*'Statistics NZ'!X$456)</f>
        <v>23710.202441093861</v>
      </c>
      <c r="O127" s="111">
        <f>N$127*'Population Treasury'!Z$174*'Statistics NZ'!Z$456/('Population Treasury'!Y$174*'Statistics NZ'!Y$456)</f>
        <v>23516.484708052449</v>
      </c>
      <c r="P127" s="111">
        <f>O$127*'Population Treasury'!AA$174*'Statistics NZ'!AA$456/('Population Treasury'!Z$174*'Statistics NZ'!Z$456)</f>
        <v>23660.577122202958</v>
      </c>
      <c r="Q127" s="111">
        <f>P$127*'Population Treasury'!AB$174*'Statistics NZ'!AB$456/('Population Treasury'!AA$174*'Statistics NZ'!AA$456)</f>
        <v>24220.495777297576</v>
      </c>
      <c r="R127" s="111">
        <f>Q$127*'Population Treasury'!AC$174*'Statistics NZ'!AC$456/('Population Treasury'!AB$174*'Statistics NZ'!AB$456)</f>
        <v>24817.070591660835</v>
      </c>
      <c r="S127" s="111">
        <f>R$127*'Population Treasury'!AD$174*'Statistics NZ'!AD$456/('Population Treasury'!AC$174*'Statistics NZ'!AC$456)</f>
        <v>24943.799621262799</v>
      </c>
      <c r="T127" s="111">
        <f>S$127*'Population Treasury'!AE$174*'Statistics NZ'!AE$456/('Population Treasury'!AD$174*'Statistics NZ'!AD$456)</f>
        <v>25502.854422594475</v>
      </c>
      <c r="U127" s="111">
        <f>T$127*'Population Treasury'!AF$174*'Statistics NZ'!AF$456/('Population Treasury'!AE$174*'Statistics NZ'!AE$456)</f>
        <v>25586.700485089394</v>
      </c>
      <c r="V127" s="111">
        <f>U$127*'Population Treasury'!AG$174*'Statistics NZ'!AG$456/('Population Treasury'!AF$174*'Statistics NZ'!AF$456)</f>
        <v>24940.101980248321</v>
      </c>
      <c r="W127" s="111">
        <f>V$127*'Population Treasury'!AH$174*'Statistics NZ'!AH$456/('Population Treasury'!AG$174*'Statistics NZ'!AG$456)</f>
        <v>24049.595098709222</v>
      </c>
      <c r="X127" s="111">
        <f>W$127*'Population Treasury'!AI$174*'Statistics NZ'!AI$456/('Population Treasury'!AH$174*'Statistics NZ'!AH$456)</f>
        <v>23376.961122676592</v>
      </c>
      <c r="Y127" s="111">
        <f>X$127*'Population Treasury'!AJ$174*'Statistics NZ'!AJ$456/('Population Treasury'!AI$174*'Statistics NZ'!AI$456)</f>
        <v>23015.752938593876</v>
      </c>
      <c r="Z127" s="111">
        <f>Y$127*'Population Treasury'!AK$174*'Statistics NZ'!AK$456/('Population Treasury'!AJ$174*'Statistics NZ'!AJ$456)</f>
        <v>23195.419099703446</v>
      </c>
      <c r="AA127" s="111">
        <f>Z$127*'Population Treasury'!AL$174*'Statistics NZ'!AL$456/('Population Treasury'!AK$174*'Statistics NZ'!AK$456)</f>
        <v>22991.117819756728</v>
      </c>
      <c r="AB127" s="111">
        <f>AA$127*'Population Treasury'!AM$174*'Statistics NZ'!AM$456/('Population Treasury'!AL$174*'Statistics NZ'!AL$456)</f>
        <v>23857.502104294494</v>
      </c>
      <c r="AC127" s="111">
        <f>AB$127*'Population Treasury'!AN$174*'Statistics NZ'!AN$456/('Population Treasury'!AM$174*'Statistics NZ'!AM$456)</f>
        <v>24469.840217175155</v>
      </c>
      <c r="AD127" s="111">
        <f>AC$127*'Population Treasury'!AO$174*'Statistics NZ'!AO$456/('Population Treasury'!AN$174*'Statistics NZ'!AN$456)</f>
        <v>25037.38710418254</v>
      </c>
      <c r="AE127" s="111">
        <f>AD$127*'Population Treasury'!AP$174*'Statistics NZ'!AP$456/('Population Treasury'!AO$174*'Statistics NZ'!AO$456)</f>
        <v>25683.276217996474</v>
      </c>
      <c r="AF127" s="111">
        <f>AE$127*'Population Treasury'!AQ$174*'Statistics NZ'!AQ$456/('Population Treasury'!AP$174*'Statistics NZ'!AP$456)</f>
        <v>26457.835450096652</v>
      </c>
      <c r="AG127" s="111">
        <f>AF$127*'Population Treasury'!AR$174*'Statistics NZ'!AR$456/('Population Treasury'!AQ$174*'Statistics NZ'!AQ$456)</f>
        <v>26897.042780236108</v>
      </c>
      <c r="AH127" s="111">
        <f>AG$127*'Population Treasury'!AS$174*'Statistics NZ'!AS$456/('Population Treasury'!AR$174*'Statistics NZ'!AR$456)</f>
        <v>27229.491976695015</v>
      </c>
      <c r="AI127" s="111">
        <f>AH$127*'Population Treasury'!AT$174*'Statistics NZ'!AT$456/('Population Treasury'!AS$174*'Statistics NZ'!AS$456)</f>
        <v>28000.862911099666</v>
      </c>
      <c r="AJ127" s="111">
        <f>AI$127*'Population Treasury'!AU$174*'Statistics NZ'!AU$456/('Population Treasury'!AT$174*'Statistics NZ'!AT$456)</f>
        <v>29378.721528274349</v>
      </c>
      <c r="AK127" s="111">
        <f>AJ$127*'Population Treasury'!AV$174*'Statistics NZ'!AV$456/('Population Treasury'!AU$174*'Statistics NZ'!AU$456)</f>
        <v>30433.678559384898</v>
      </c>
      <c r="AL127" s="111">
        <f>AK$127*'Population Treasury'!AW$174*'Statistics NZ'!AW$456/('Population Treasury'!AV$174*'Statistics NZ'!AV$456)</f>
        <v>31250.703224253084</v>
      </c>
      <c r="AM127" s="111">
        <f>AL$127*'Population Treasury'!AX$174*'Statistics NZ'!AX$456/('Population Treasury'!AW$174*'Statistics NZ'!AW$456)</f>
        <v>32735.133879015248</v>
      </c>
      <c r="AN127" s="111">
        <f>AM$127*'Population Treasury'!AY$174*'Statistics NZ'!AY$456/('Population Treasury'!AX$174*'Statistics NZ'!AX$456)</f>
        <v>33387.21713528657</v>
      </c>
      <c r="AO127" s="111">
        <f>AN$127*'Population Treasury'!AZ$174*'Statistics NZ'!AZ$456/('Population Treasury'!AY$174*'Statistics NZ'!AY$456)</f>
        <v>33521.45322532818</v>
      </c>
      <c r="AP127" s="111">
        <f>AO$127*'Population Treasury'!BA$174*'Statistics NZ'!BA$456/('Population Treasury'!AZ$174*'Statistics NZ'!AZ$456)</f>
        <v>33272.224714565091</v>
      </c>
      <c r="AQ127" s="111">
        <f>AP$127*'Population Treasury'!BB$174*'Statistics NZ'!BB$456/('Population Treasury'!BA$174*'Statistics NZ'!BA$456)</f>
        <v>32332.898530779948</v>
      </c>
      <c r="AR127" s="111">
        <f>AQ$127*'Population Treasury'!BC$174*'Statistics NZ'!BC$456/('Population Treasury'!BB$174*'Statistics NZ'!BB$456)</f>
        <v>32303.831002475246</v>
      </c>
      <c r="AS127" s="111">
        <f>AR$127*'Population Treasury'!BD$174*'Statistics NZ'!BD$456/('Population Treasury'!BC$174*'Statistics NZ'!BC$456)</f>
        <v>32168.986615693637</v>
      </c>
      <c r="AT127" s="111">
        <f>AS$127*'Population Treasury'!BE$174*'Statistics NZ'!BE$456/('Population Treasury'!BD$174*'Statistics NZ'!BD$456)</f>
        <v>31200.846708988549</v>
      </c>
      <c r="AU127" s="111">
        <f>AT$127*'Population Treasury'!BF$174*'Statistics NZ'!BF$456/('Population Treasury'!BE$174*'Statistics NZ'!BE$456)</f>
        <v>31134.409053059058</v>
      </c>
      <c r="AV127" s="111">
        <f>AU$127*'Population Treasury'!BG$174*'Statistics NZ'!BG$456/('Population Treasury'!BF$174*'Statistics NZ'!BF$456)</f>
        <v>30461.32650482819</v>
      </c>
      <c r="AW127" s="111">
        <f>AV$127*'Population Treasury'!BH$174*'Statistics NZ'!BH$456/('Population Treasury'!BG$174*'Statistics NZ'!BG$456)</f>
        <v>31045.180667852223</v>
      </c>
      <c r="AX127" s="111">
        <f>AW$127*'Population Treasury'!BI$174*'Statistics NZ'!BI$456/('Population Treasury'!BH$174*'Statistics NZ'!BH$456)</f>
        <v>30720.703710728765</v>
      </c>
      <c r="AY127" s="111">
        <f>AX$127*'Population Treasury'!BJ$174*'Statistics NZ'!BJ$456/('Population Treasury'!BI$174*'Statistics NZ'!BI$456)</f>
        <v>29740.103143740496</v>
      </c>
      <c r="AZ127" s="111">
        <f>AY$127*'Population Treasury'!BK$174*'Statistics NZ'!BK$456/('Population Treasury'!BJ$174*'Statistics NZ'!BJ$456)</f>
        <v>30190.768538431243</v>
      </c>
      <c r="BA127" s="111">
        <f>AZ$127*'Population Treasury'!BL$174*'Statistics NZ'!BL$456/('Population Treasury'!BK$174*'Statistics NZ'!BK$456)</f>
        <v>30407.833044803516</v>
      </c>
      <c r="BB127" s="195">
        <f>BA$127*'Population Treasury'!BM$174*'Statistics NZ'!BM$456/('Population Treasury'!BL$174*'Statistics NZ'!BL$456)</f>
        <v>30745.799177245757</v>
      </c>
      <c r="BC127" s="195">
        <f>BB$127*'Population Treasury'!BN$174*'Statistics NZ'!BN$456/('Population Treasury'!BM$174*'Statistics NZ'!BM$456)</f>
        <v>31555.338909686314</v>
      </c>
      <c r="BD127" s="195">
        <f>BC$127*'Population Treasury'!BO$174*'Statistics NZ'!BO$456/('Population Treasury'!BN$174*'Statistics NZ'!BN$456)</f>
        <v>33107.185661212214</v>
      </c>
      <c r="BE127" s="195">
        <f>BD$127*'Population Treasury'!BP$174*'Statistics NZ'!BP$456/('Population Treasury'!BO$174*'Statistics NZ'!BO$456)</f>
        <v>33961.445511480175</v>
      </c>
      <c r="BF127" s="195">
        <f>BE$127*'Population Treasury'!BQ$174*'Statistics NZ'!BQ$456/('Population Treasury'!BP$174*'Statistics NZ'!BP$456)</f>
        <v>34427.232362138013</v>
      </c>
    </row>
    <row r="128" spans="1:58">
      <c r="A128" s="124">
        <f>$A$60</f>
        <v>65</v>
      </c>
      <c r="B128" s="118">
        <f>'Population Treasury'!M$175*'Statistics NZ'!M$457*'Economic Forecasts'!O$8/B$7</f>
        <v>15467.852198669854</v>
      </c>
      <c r="C128" s="118">
        <f>'Population Treasury'!N$175*'Statistics NZ'!N$457*'Economic Forecasts'!P$8/C$7</f>
        <v>15967.668459352361</v>
      </c>
      <c r="D128" s="118">
        <f>'Population Treasury'!O$175*'Statistics NZ'!O$457*'Economic Forecasts'!Q$8/D$7</f>
        <v>16383.382201543369</v>
      </c>
      <c r="E128" s="203">
        <f>'Population Treasury'!P$175*'Statistics NZ'!P$457*'Economic Forecasts'!R$8/E$7</f>
        <v>16960.070710160471</v>
      </c>
      <c r="F128" s="121">
        <f>'Population Treasury'!Q$175*'Statistics NZ'!Q$457*'Economic Forecasts'!S$8/F$7</f>
        <v>17586.355908373422</v>
      </c>
      <c r="G128" s="121">
        <f>'Population Treasury'!R$175*'Statistics NZ'!R$457*'Economic Forecasts'!T$8/G$7</f>
        <v>18260.926133627065</v>
      </c>
      <c r="H128" s="121">
        <f>'Population Treasury'!S$175*'Statistics NZ'!S$457*'Economic Forecasts'!U$8/H$7</f>
        <v>18919.282487469063</v>
      </c>
      <c r="I128" s="121">
        <f>'Population Treasury'!T$175*'Statistics NZ'!T$457*'Economic Forecasts'!V$8/I$7</f>
        <v>19969.288012325665</v>
      </c>
      <c r="J128" s="205">
        <f>'Population Treasury'!U$175*'Statistics NZ'!U$457*'Economic Forecasts'!W$8/J$7</f>
        <v>20508.111158392741</v>
      </c>
      <c r="K128" s="111">
        <f>J$128*'Population Treasury'!V$175*'Statistics NZ'!V$457/('Population Treasury'!U$175*'Statistics NZ'!U$457)</f>
        <v>21178.620644196468</v>
      </c>
      <c r="L128" s="111">
        <f>K$128*'Population Treasury'!W$175*'Statistics NZ'!W$457/('Population Treasury'!V$175*'Statistics NZ'!V$457)</f>
        <v>21982.134678797272</v>
      </c>
      <c r="M128" s="111">
        <f>L$128*'Population Treasury'!X$175*'Statistics NZ'!X$457/('Population Treasury'!W$175*'Statistics NZ'!W$457)</f>
        <v>22313.272189426403</v>
      </c>
      <c r="N128" s="111">
        <f>M$128*'Population Treasury'!Y$175*'Statistics NZ'!Y$457/('Population Treasury'!X$175*'Statistics NZ'!X$457)</f>
        <v>22196.399552009727</v>
      </c>
      <c r="O128" s="111">
        <f>N$128*'Population Treasury'!Z$175*'Statistics NZ'!Z$457/('Population Treasury'!Y$175*'Statistics NZ'!Y$457)</f>
        <v>21842.024332220179</v>
      </c>
      <c r="P128" s="111">
        <f>O$128*'Population Treasury'!AA$175*'Statistics NZ'!AA$457/('Population Treasury'!Z$175*'Statistics NZ'!Z$457)</f>
        <v>21656.57686299361</v>
      </c>
      <c r="Q128" s="111">
        <f>P$128*'Population Treasury'!AB$175*'Statistics NZ'!AB$457/('Population Treasury'!AA$175*'Statistics NZ'!AA$457)</f>
        <v>21781.844922983248</v>
      </c>
      <c r="R128" s="111">
        <f>Q$128*'Population Treasury'!AC$175*'Statistics NZ'!AC$457/('Population Treasury'!AB$175*'Statistics NZ'!AB$457)</f>
        <v>22309.330942091306</v>
      </c>
      <c r="S128" s="111">
        <f>R$128*'Population Treasury'!AD$175*'Statistics NZ'!AD$457/('Population Treasury'!AC$175*'Statistics NZ'!AC$457)</f>
        <v>22867.344310552227</v>
      </c>
      <c r="T128" s="111">
        <f>S$128*'Population Treasury'!AE$175*'Statistics NZ'!AE$457/('Population Treasury'!AD$175*'Statistics NZ'!AD$457)</f>
        <v>22992.461892063209</v>
      </c>
      <c r="U128" s="111">
        <f>T$128*'Population Treasury'!AF$175*'Statistics NZ'!AF$457/('Population Treasury'!AE$175*'Statistics NZ'!AE$457)</f>
        <v>23513.930765572681</v>
      </c>
      <c r="V128" s="111">
        <f>U$128*'Population Treasury'!AG$175*'Statistics NZ'!AG$457/('Population Treasury'!AF$175*'Statistics NZ'!AF$457)</f>
        <v>23594.895745932725</v>
      </c>
      <c r="W128" s="111">
        <f>V$128*'Population Treasury'!AH$175*'Statistics NZ'!AH$457/('Population Treasury'!AG$175*'Statistics NZ'!AG$457)</f>
        <v>22996.631105060867</v>
      </c>
      <c r="X128" s="111">
        <f>W$128*'Population Treasury'!AI$175*'Statistics NZ'!AI$457/('Population Treasury'!AH$175*'Statistics NZ'!AH$457)</f>
        <v>22179.750668946097</v>
      </c>
      <c r="Y128" s="111">
        <f>X$128*'Population Treasury'!AJ$175*'Statistics NZ'!AJ$457/('Population Treasury'!AI$175*'Statistics NZ'!AI$457)</f>
        <v>21580.406309659662</v>
      </c>
      <c r="Z128" s="111">
        <f>Y$128*'Population Treasury'!AK$175*'Statistics NZ'!AK$457/('Population Treasury'!AJ$175*'Statistics NZ'!AJ$457)</f>
        <v>21253.044775238362</v>
      </c>
      <c r="AA128" s="111">
        <f>Z$128*'Population Treasury'!AL$175*'Statistics NZ'!AL$457/('Population Treasury'!AK$175*'Statistics NZ'!AK$457)</f>
        <v>21412.528179537228</v>
      </c>
      <c r="AB128" s="111">
        <f>AA$128*'Population Treasury'!AM$175*'Statistics NZ'!AM$457/('Population Treasury'!AL$175*'Statistics NZ'!AL$457)</f>
        <v>21234.835299140443</v>
      </c>
      <c r="AC128" s="111">
        <f>AB$128*'Population Treasury'!AN$175*'Statistics NZ'!AN$457/('Population Treasury'!AM$175*'Statistics NZ'!AM$457)</f>
        <v>22033.37315137931</v>
      </c>
      <c r="AD128" s="111">
        <f>AC$128*'Population Treasury'!AO$175*'Statistics NZ'!AO$457/('Population Treasury'!AN$175*'Statistics NZ'!AN$457)</f>
        <v>22601.863216769456</v>
      </c>
      <c r="AE128" s="111">
        <f>AD$128*'Population Treasury'!AP$175*'Statistics NZ'!AP$457/('Population Treasury'!AO$175*'Statistics NZ'!AO$457)</f>
        <v>23123.179767026915</v>
      </c>
      <c r="AF128" s="111">
        <f>AE$128*'Population Treasury'!AQ$175*'Statistics NZ'!AQ$457/('Population Treasury'!AP$175*'Statistics NZ'!AP$457)</f>
        <v>23732.562033620761</v>
      </c>
      <c r="AG128" s="111">
        <f>AF$128*'Population Treasury'!AR$175*'Statistics NZ'!AR$457/('Population Treasury'!AQ$175*'Statistics NZ'!AQ$457)</f>
        <v>24445.303395748157</v>
      </c>
      <c r="AH128" s="111">
        <f>AG$128*'Population Treasury'!AS$175*'Statistics NZ'!AS$457/('Population Treasury'!AR$175*'Statistics NZ'!AR$457)</f>
        <v>24861.3675232883</v>
      </c>
      <c r="AI128" s="111">
        <f>AH$128*'Population Treasury'!AT$175*'Statistics NZ'!AT$457/('Population Treasury'!AS$175*'Statistics NZ'!AS$457)</f>
        <v>25154.551647526598</v>
      </c>
      <c r="AJ128" s="111">
        <f>AI$128*'Population Treasury'!AU$175*'Statistics NZ'!AU$457/('Population Treasury'!AT$175*'Statistics NZ'!AT$457)</f>
        <v>25874.345566502787</v>
      </c>
      <c r="AK128" s="111">
        <f>AJ$128*'Population Treasury'!AV$175*'Statistics NZ'!AV$457/('Population Treasury'!AU$175*'Statistics NZ'!AU$457)</f>
        <v>27159.350800498505</v>
      </c>
      <c r="AL128" s="111">
        <f>AK$128*'Population Treasury'!AW$175*'Statistics NZ'!AW$457/('Population Treasury'!AV$175*'Statistics NZ'!AV$457)</f>
        <v>28129.621388136886</v>
      </c>
      <c r="AM128" s="111">
        <f>AL$128*'Population Treasury'!AX$175*'Statistics NZ'!AX$457/('Population Treasury'!AW$175*'Statistics NZ'!AW$457)</f>
        <v>28877.657337745764</v>
      </c>
      <c r="AN128" s="111">
        <f>AM$128*'Population Treasury'!AY$175*'Statistics NZ'!AY$457/('Population Treasury'!AX$175*'Statistics NZ'!AX$457)</f>
        <v>30271.536981913916</v>
      </c>
      <c r="AO128" s="111">
        <f>AN$128*'Population Treasury'!AZ$175*'Statistics NZ'!AZ$457/('Population Treasury'!AY$175*'Statistics NZ'!AY$457)</f>
        <v>30869.972951876181</v>
      </c>
      <c r="AP128" s="111">
        <f>AO$128*'Population Treasury'!BA$175*'Statistics NZ'!BA$457/('Population Treasury'!AZ$175*'Statistics NZ'!AZ$457)</f>
        <v>30998.461488325436</v>
      </c>
      <c r="AQ128" s="111">
        <f>AP$128*'Population Treasury'!BB$175*'Statistics NZ'!BB$457/('Population Treasury'!BA$175*'Statistics NZ'!BA$457)</f>
        <v>30754.401721551119</v>
      </c>
      <c r="AR128" s="111">
        <f>AQ$128*'Population Treasury'!BC$175*'Statistics NZ'!BC$457/('Population Treasury'!BB$175*'Statistics NZ'!BB$457)</f>
        <v>29890.460886537549</v>
      </c>
      <c r="AS128" s="111">
        <f>AR$128*'Population Treasury'!BD$175*'Statistics NZ'!BD$457/('Population Treasury'!BC$175*'Statistics NZ'!BC$457)</f>
        <v>29874.520474163088</v>
      </c>
      <c r="AT128" s="111">
        <f>AS$128*'Population Treasury'!BE$175*'Statistics NZ'!BE$457/('Population Treasury'!BD$175*'Statistics NZ'!BD$457)</f>
        <v>29754.6740280788</v>
      </c>
      <c r="AU128" s="111">
        <f>AT$128*'Population Treasury'!BF$175*'Statistics NZ'!BF$457/('Population Treasury'!BE$175*'Statistics NZ'!BE$457)</f>
        <v>28868.58525347479</v>
      </c>
      <c r="AV128" s="111">
        <f>AU$128*'Population Treasury'!BG$175*'Statistics NZ'!BG$457/('Population Treasury'!BF$175*'Statistics NZ'!BF$457)</f>
        <v>28792.443748899146</v>
      </c>
      <c r="AW128" s="111">
        <f>AV$128*'Population Treasury'!BH$175*'Statistics NZ'!BH$457/('Population Treasury'!BG$175*'Statistics NZ'!BG$457)</f>
        <v>28189.395406552132</v>
      </c>
      <c r="AX128" s="111">
        <f>AW$128*'Population Treasury'!BI$175*'Statistics NZ'!BI$457/('Population Treasury'!BH$175*'Statistics NZ'!BH$457)</f>
        <v>28730.54670764798</v>
      </c>
      <c r="AY128" s="111">
        <f>AX$128*'Population Treasury'!BJ$175*'Statistics NZ'!BJ$457/('Population Treasury'!BI$175*'Statistics NZ'!BI$457)</f>
        <v>28427.441850799922</v>
      </c>
      <c r="AZ128" s="111">
        <f>AY$128*'Population Treasury'!BK$175*'Statistics NZ'!BK$457/('Population Treasury'!BJ$175*'Statistics NZ'!BJ$457)</f>
        <v>27519.912975031242</v>
      </c>
      <c r="BA128" s="111">
        <f>AZ$128*'Population Treasury'!BL$175*'Statistics NZ'!BL$457/('Population Treasury'!BK$175*'Statistics NZ'!BK$457)</f>
        <v>27930.206305647509</v>
      </c>
      <c r="BB128" s="195">
        <f>BA$128*'Population Treasury'!BM$175*'Statistics NZ'!BM$457/('Population Treasury'!BL$175*'Statistics NZ'!BL$457)</f>
        <v>28139.787123544131</v>
      </c>
      <c r="BC128" s="195">
        <f>BB$128*'Population Treasury'!BN$175*'Statistics NZ'!BN$457/('Population Treasury'!BM$175*'Statistics NZ'!BM$457)</f>
        <v>28457.657671005123</v>
      </c>
      <c r="BD128" s="195">
        <f>BC$128*'Population Treasury'!BO$175*'Statistics NZ'!BO$457/('Population Treasury'!BN$175*'Statistics NZ'!BN$457)</f>
        <v>29207.067078330663</v>
      </c>
      <c r="BE128" s="195">
        <f>BD$128*'Population Treasury'!BP$175*'Statistics NZ'!BP$457/('Population Treasury'!BO$175*'Statistics NZ'!BO$457)</f>
        <v>30649.579528834776</v>
      </c>
      <c r="BF128" s="195">
        <f>BE$128*'Population Treasury'!BQ$175*'Statistics NZ'!BQ$457/('Population Treasury'!BP$175*'Statistics NZ'!BP$457)</f>
        <v>31426.814383336408</v>
      </c>
    </row>
    <row r="129" spans="1:58">
      <c r="A129" s="124">
        <f>$A$61</f>
        <v>66</v>
      </c>
      <c r="B129" s="118">
        <f>'Population Treasury'!M$176*'Statistics NZ'!M$458*'Economic Forecasts'!O$8/B$7</f>
        <v>13641.317334806598</v>
      </c>
      <c r="C129" s="118">
        <f>'Population Treasury'!N$176*'Statistics NZ'!N$458*'Economic Forecasts'!P$8/C$7</f>
        <v>14150.704306423015</v>
      </c>
      <c r="D129" s="118">
        <f>'Population Treasury'!O$176*'Statistics NZ'!O$458*'Economic Forecasts'!Q$8/D$7</f>
        <v>14348.958722475469</v>
      </c>
      <c r="E129" s="203">
        <f>'Population Treasury'!P$176*'Statistics NZ'!P$458*'Economic Forecasts'!R$8/E$7</f>
        <v>14909.830150939213</v>
      </c>
      <c r="F129" s="121">
        <f>'Population Treasury'!Q$176*'Statistics NZ'!Q$458*'Economic Forecasts'!S$8/F$7</f>
        <v>15430.61531633268</v>
      </c>
      <c r="G129" s="121">
        <f>'Population Treasury'!R$176*'Statistics NZ'!R$458*'Economic Forecasts'!T$8/G$7</f>
        <v>16101.227362812895</v>
      </c>
      <c r="H129" s="121">
        <f>'Population Treasury'!S$176*'Statistics NZ'!S$458*'Economic Forecasts'!U$8/H$7</f>
        <v>16666.599594306321</v>
      </c>
      <c r="I129" s="121">
        <f>'Population Treasury'!T$176*'Statistics NZ'!T$458*'Economic Forecasts'!V$8/I$7</f>
        <v>17278.799235033217</v>
      </c>
      <c r="J129" s="205">
        <f>'Population Treasury'!U$176*'Statistics NZ'!U$458*'Economic Forecasts'!W$8/J$7</f>
        <v>18228.019180803665</v>
      </c>
      <c r="K129" s="111">
        <f>J$129*'Population Treasury'!V$176*'Statistics NZ'!V$458/('Population Treasury'!U$176*'Statistics NZ'!U$458)</f>
        <v>18662.720295463638</v>
      </c>
      <c r="L129" s="111">
        <f>K$129*'Population Treasury'!W$176*'Statistics NZ'!W$458/('Population Treasury'!V$176*'Statistics NZ'!V$458)</f>
        <v>19275.788601973345</v>
      </c>
      <c r="M129" s="111">
        <f>L$129*'Population Treasury'!X$176*'Statistics NZ'!X$458/('Population Treasury'!W$176*'Statistics NZ'!W$458)</f>
        <v>20011.117966883696</v>
      </c>
      <c r="N129" s="111">
        <f>M$129*'Population Treasury'!Y$176*'Statistics NZ'!Y$458/('Population Treasury'!X$176*'Statistics NZ'!X$458)</f>
        <v>20310.501526712211</v>
      </c>
      <c r="O129" s="111">
        <f>N$129*'Population Treasury'!Z$176*'Statistics NZ'!Z$458/('Population Treasury'!Y$176*'Statistics NZ'!Y$458)</f>
        <v>20200.01418620941</v>
      </c>
      <c r="P129" s="111">
        <f>O$129*'Population Treasury'!AA$176*'Statistics NZ'!AA$458/('Population Treasury'!Z$176*'Statistics NZ'!Z$458)</f>
        <v>19880.239876730604</v>
      </c>
      <c r="Q129" s="111">
        <f>P$129*'Population Treasury'!AB$176*'Statistics NZ'!AB$458/('Population Treasury'!AA$176*'Statistics NZ'!AA$458)</f>
        <v>19726.756473566165</v>
      </c>
      <c r="R129" s="111">
        <f>Q$129*'Population Treasury'!AC$176*'Statistics NZ'!AC$458/('Population Treasury'!AB$176*'Statistics NZ'!AB$458)</f>
        <v>19837.923603287414</v>
      </c>
      <c r="S129" s="111">
        <f>R$129*'Population Treasury'!AD$176*'Statistics NZ'!AD$458/('Population Treasury'!AC$176*'Statistics NZ'!AC$458)</f>
        <v>20314.041003581475</v>
      </c>
      <c r="T129" s="111">
        <f>S$129*'Population Treasury'!AE$176*'Statistics NZ'!AE$458/('Population Treasury'!AD$176*'Statistics NZ'!AD$458)</f>
        <v>20818.196291232547</v>
      </c>
      <c r="U129" s="111">
        <f>T$129*'Population Treasury'!AF$176*'Statistics NZ'!AF$458/('Population Treasury'!AE$176*'Statistics NZ'!AE$458)</f>
        <v>20947.445421367254</v>
      </c>
      <c r="V129" s="111">
        <f>U$129*'Population Treasury'!AG$176*'Statistics NZ'!AG$458/('Population Treasury'!AF$176*'Statistics NZ'!AF$458)</f>
        <v>21424.883664272977</v>
      </c>
      <c r="W129" s="111">
        <f>V$129*'Population Treasury'!AH$176*'Statistics NZ'!AH$458/('Population Treasury'!AG$176*'Statistics NZ'!AG$458)</f>
        <v>21502.452232418349</v>
      </c>
      <c r="X129" s="111">
        <f>W$129*'Population Treasury'!AI$176*'Statistics NZ'!AI$458/('Population Treasury'!AH$176*'Statistics NZ'!AH$458)</f>
        <v>20959.826594811551</v>
      </c>
      <c r="Y129" s="111">
        <f>X$129*'Population Treasury'!AJ$176*'Statistics NZ'!AJ$458/('Population Treasury'!AI$176*'Statistics NZ'!AI$458)</f>
        <v>20232.187707865916</v>
      </c>
      <c r="Z129" s="111">
        <f>Y$129*'Population Treasury'!AK$176*'Statistics NZ'!AK$458/('Population Treasury'!AJ$176*'Statistics NZ'!AJ$458)</f>
        <v>19671.876866246708</v>
      </c>
      <c r="AA129" s="111">
        <f>Z$129*'Population Treasury'!AL$176*'Statistics NZ'!AL$458/('Population Treasury'!AK$176*'Statistics NZ'!AK$458)</f>
        <v>19373.656664273032</v>
      </c>
      <c r="AB129" s="111">
        <f>AA$129*'Population Treasury'!AM$176*'Statistics NZ'!AM$458/('Population Treasury'!AL$176*'Statistics NZ'!AL$458)</f>
        <v>19538.403646861752</v>
      </c>
      <c r="AC129" s="111">
        <f>AB$129*'Population Treasury'!AN$176*'Statistics NZ'!AN$458/('Population Treasury'!AM$176*'Statistics NZ'!AM$458)</f>
        <v>19370.65603573823</v>
      </c>
      <c r="AD129" s="111">
        <f>AC$129*'Population Treasury'!AO$176*'Statistics NZ'!AO$458/('Population Treasury'!AN$176*'Statistics NZ'!AN$458)</f>
        <v>20096.611051707659</v>
      </c>
      <c r="AE129" s="111">
        <f>AD$129*'Population Treasury'!AP$176*'Statistics NZ'!AP$458/('Population Treasury'!AO$176*'Statistics NZ'!AO$458)</f>
        <v>20620.33611790822</v>
      </c>
      <c r="AF129" s="111">
        <f>AE$129*'Population Treasury'!AQ$176*'Statistics NZ'!AQ$458/('Population Treasury'!AP$176*'Statistics NZ'!AP$458)</f>
        <v>21089.117607841305</v>
      </c>
      <c r="AG129" s="111">
        <f>AF$129*'Population Treasury'!AR$176*'Statistics NZ'!AR$458/('Population Treasury'!AQ$176*'Statistics NZ'!AQ$458)</f>
        <v>21647.958632412388</v>
      </c>
      <c r="AH129" s="111">
        <f>AG$129*'Population Treasury'!AS$176*'Statistics NZ'!AS$458/('Population Treasury'!AR$176*'Statistics NZ'!AR$458)</f>
        <v>22294.059961460545</v>
      </c>
      <c r="AI129" s="111">
        <f>AH$129*'Population Treasury'!AT$176*'Statistics NZ'!AT$458/('Population Treasury'!AS$176*'Statistics NZ'!AS$458)</f>
        <v>22667.921909923101</v>
      </c>
      <c r="AJ129" s="111">
        <f>AI$129*'Population Treasury'!AU$176*'Statistics NZ'!AU$458/('Population Treasury'!AT$176*'Statistics NZ'!AT$458)</f>
        <v>22954.075527770714</v>
      </c>
      <c r="AK129" s="111">
        <f>AJ$129*'Population Treasury'!AV$176*'Statistics NZ'!AV$458/('Population Treasury'!AU$176*'Statistics NZ'!AU$458)</f>
        <v>23602.334030666585</v>
      </c>
      <c r="AL129" s="111">
        <f>AK$129*'Population Treasury'!AW$176*'Statistics NZ'!AW$458/('Population Treasury'!AV$176*'Statistics NZ'!AV$458)</f>
        <v>24779.108464799207</v>
      </c>
      <c r="AM129" s="111">
        <f>AL$129*'Population Treasury'!AX$176*'Statistics NZ'!AX$458/('Population Treasury'!AW$176*'Statistics NZ'!AW$458)</f>
        <v>25660.54539244539</v>
      </c>
      <c r="AN129" s="111">
        <f>AM$129*'Population Treasury'!AY$176*'Statistics NZ'!AY$458/('Population Treasury'!AX$176*'Statistics NZ'!AX$458)</f>
        <v>26350.275854476578</v>
      </c>
      <c r="AO129" s="111">
        <f>AN$129*'Population Treasury'!AZ$176*'Statistics NZ'!AZ$458/('Population Treasury'!AY$176*'Statistics NZ'!AY$458)</f>
        <v>27609.579907778469</v>
      </c>
      <c r="AP129" s="111">
        <f>AO$129*'Population Treasury'!BA$176*'Statistics NZ'!BA$458/('Population Treasury'!AZ$176*'Statistics NZ'!AZ$458)</f>
        <v>28158.388237989202</v>
      </c>
      <c r="AQ129" s="111">
        <f>AP$129*'Population Treasury'!BB$176*'Statistics NZ'!BB$458/('Population Treasury'!BA$176*'Statistics NZ'!BA$458)</f>
        <v>28284.035866116388</v>
      </c>
      <c r="AR129" s="111">
        <f>AQ$129*'Population Treasury'!BC$176*'Statistics NZ'!BC$458/('Population Treasury'!BB$176*'Statistics NZ'!BB$458)</f>
        <v>28067.482427205014</v>
      </c>
      <c r="AS129" s="111">
        <f>AR$129*'Population Treasury'!BD$176*'Statistics NZ'!BD$458/('Population Treasury'!BC$176*'Statistics NZ'!BC$458)</f>
        <v>27279.127244779549</v>
      </c>
      <c r="AT129" s="111">
        <f>AS$129*'Population Treasury'!BE$176*'Statistics NZ'!BE$458/('Population Treasury'!BD$176*'Statistics NZ'!BD$458)</f>
        <v>27267.322490135077</v>
      </c>
      <c r="AU129" s="111">
        <f>AT$129*'Population Treasury'!BF$176*'Statistics NZ'!BF$458/('Population Treasury'!BE$176*'Statistics NZ'!BE$458)</f>
        <v>27160.007691191062</v>
      </c>
      <c r="AV129" s="111">
        <f>AU$129*'Population Treasury'!BG$176*'Statistics NZ'!BG$458/('Population Treasury'!BF$176*'Statistics NZ'!BF$458)</f>
        <v>26344.302490973278</v>
      </c>
      <c r="AW129" s="111">
        <f>AV$129*'Population Treasury'!BH$176*'Statistics NZ'!BH$458/('Population Treasury'!BG$176*'Statistics NZ'!BG$458)</f>
        <v>26295.714276341954</v>
      </c>
      <c r="AX129" s="111">
        <f>AW$129*'Population Treasury'!BI$176*'Statistics NZ'!BI$458/('Population Treasury'!BH$176*'Statistics NZ'!BH$458)</f>
        <v>25732.174368823034</v>
      </c>
      <c r="AY129" s="111">
        <f>AX$129*'Population Treasury'!BJ$176*'Statistics NZ'!BJ$458/('Population Treasury'!BI$176*'Statistics NZ'!BI$458)</f>
        <v>26237.668678169121</v>
      </c>
      <c r="AZ129" s="111">
        <f>AY$129*'Population Treasury'!BK$176*'Statistics NZ'!BK$458/('Population Treasury'!BJ$176*'Statistics NZ'!BJ$458)</f>
        <v>25958.222689253493</v>
      </c>
      <c r="BA129" s="111">
        <f>AZ$129*'Population Treasury'!BL$176*'Statistics NZ'!BL$458/('Population Treasury'!BK$176*'Statistics NZ'!BK$458)</f>
        <v>25127.301603317974</v>
      </c>
      <c r="BB129" s="195">
        <f>BA$129*'Population Treasury'!BM$176*'Statistics NZ'!BM$458/('Population Treasury'!BL$176*'Statistics NZ'!BL$458)</f>
        <v>25516.246333005929</v>
      </c>
      <c r="BC129" s="195">
        <f>BB$129*'Population Treasury'!BN$176*'Statistics NZ'!BN$458/('Population Treasury'!BM$176*'Statistics NZ'!BM$458)</f>
        <v>25708.345701591021</v>
      </c>
      <c r="BD129" s="195">
        <f>BC$129*'Population Treasury'!BO$176*'Statistics NZ'!BO$458/('Population Treasury'!BN$176*'Statistics NZ'!BN$458)</f>
        <v>25988.685309439737</v>
      </c>
      <c r="BE129" s="195">
        <f>BD$129*'Population Treasury'!BP$176*'Statistics NZ'!BP$458/('Population Treasury'!BO$176*'Statistics NZ'!BO$458)</f>
        <v>26678.646484930581</v>
      </c>
      <c r="BF129" s="195">
        <f>BE$129*'Population Treasury'!BQ$176*'Statistics NZ'!BQ$458/('Population Treasury'!BP$176*'Statistics NZ'!BP$458)</f>
        <v>27992.963523554419</v>
      </c>
    </row>
    <row r="130" spans="1:58">
      <c r="A130" s="124">
        <f>$A$62</f>
        <v>67</v>
      </c>
      <c r="B130" s="118">
        <f>'Population Treasury'!M$177*'Statistics NZ'!M$459*'Economic Forecasts'!O$8/B$7</f>
        <v>11985.796156378046</v>
      </c>
      <c r="C130" s="118">
        <f>'Population Treasury'!N$177*'Statistics NZ'!N$459*'Economic Forecasts'!P$8/C$7</f>
        <v>12287.633029995315</v>
      </c>
      <c r="D130" s="118">
        <f>'Population Treasury'!O$177*'Statistics NZ'!O$459*'Economic Forecasts'!Q$8/D$7</f>
        <v>12550.574928737407</v>
      </c>
      <c r="E130" s="203">
        <f>'Population Treasury'!P$177*'Statistics NZ'!P$459*'Economic Forecasts'!R$8/E$7</f>
        <v>12844.349349970746</v>
      </c>
      <c r="F130" s="121">
        <f>'Population Treasury'!Q$177*'Statistics NZ'!Q$459*'Economic Forecasts'!S$8/F$7</f>
        <v>13397.093554659075</v>
      </c>
      <c r="G130" s="121">
        <f>'Population Treasury'!R$177*'Statistics NZ'!R$459*'Economic Forecasts'!T$8/G$7</f>
        <v>13942.004144668443</v>
      </c>
      <c r="H130" s="121">
        <f>'Population Treasury'!S$177*'Statistics NZ'!S$459*'Economic Forecasts'!U$8/H$7</f>
        <v>14513.294136182882</v>
      </c>
      <c r="I130" s="121">
        <f>'Population Treasury'!T$177*'Statistics NZ'!T$459*'Economic Forecasts'!V$8/I$7</f>
        <v>15022.036181259846</v>
      </c>
      <c r="J130" s="205">
        <f>'Population Treasury'!U$177*'Statistics NZ'!U$459*'Economic Forecasts'!W$8/J$7</f>
        <v>15576.234492403501</v>
      </c>
      <c r="K130" s="111">
        <f>J$130*'Population Treasury'!V$177*'Statistics NZ'!V$459/('Population Treasury'!U$177*'Statistics NZ'!U$459)</f>
        <v>16403.660619869221</v>
      </c>
      <c r="L130" s="111">
        <f>K$130*'Population Treasury'!W$177*'Statistics NZ'!W$459/('Population Treasury'!V$177*'Statistics NZ'!V$459)</f>
        <v>16801.896663530006</v>
      </c>
      <c r="M130" s="111">
        <f>L$130*'Population Treasury'!X$177*'Statistics NZ'!X$459/('Population Treasury'!W$177*'Statistics NZ'!W$459)</f>
        <v>17368.30241745957</v>
      </c>
      <c r="N130" s="111">
        <f>M$130*'Population Treasury'!Y$177*'Statistics NZ'!Y$459/('Population Treasury'!X$177*'Statistics NZ'!X$459)</f>
        <v>18025.260083721896</v>
      </c>
      <c r="O130" s="111">
        <f>N$130*'Population Treasury'!Z$177*'Statistics NZ'!Z$459/('Population Treasury'!Y$177*'Statistics NZ'!Y$459)</f>
        <v>18301.461597301852</v>
      </c>
      <c r="P130" s="111">
        <f>O$130*'Population Treasury'!AA$177*'Statistics NZ'!AA$459/('Population Treasury'!Z$177*'Statistics NZ'!Z$459)</f>
        <v>18211.817283478718</v>
      </c>
      <c r="Q130" s="111">
        <f>P$130*'Population Treasury'!AB$177*'Statistics NZ'!AB$459/('Population Treasury'!AA$177*'Statistics NZ'!AA$459)</f>
        <v>17934.35790986746</v>
      </c>
      <c r="R130" s="111">
        <f>Q$130*'Population Treasury'!AC$177*'Statistics NZ'!AC$459/('Population Treasury'!AB$177*'Statistics NZ'!AB$459)</f>
        <v>17789.007416430646</v>
      </c>
      <c r="S130" s="111">
        <f>R$130*'Population Treasury'!AD$177*'Statistics NZ'!AD$459/('Population Treasury'!AC$177*'Statistics NZ'!AC$459)</f>
        <v>17893.667000080615</v>
      </c>
      <c r="T130" s="111">
        <f>S$130*'Population Treasury'!AE$177*'Statistics NZ'!AE$459/('Population Treasury'!AD$177*'Statistics NZ'!AD$459)</f>
        <v>18331.255206588605</v>
      </c>
      <c r="U130" s="111">
        <f>T$130*'Population Treasury'!AF$177*'Statistics NZ'!AF$459/('Population Treasury'!AE$177*'Statistics NZ'!AE$459)</f>
        <v>18800.200233704309</v>
      </c>
      <c r="V130" s="111">
        <f>U$130*'Population Treasury'!AG$177*'Statistics NZ'!AG$459/('Population Treasury'!AF$177*'Statistics NZ'!AF$459)</f>
        <v>18915.127007305149</v>
      </c>
      <c r="W130" s="111">
        <f>V$130*'Population Treasury'!AH$177*'Statistics NZ'!AH$459/('Population Treasury'!AG$177*'Statistics NZ'!AG$459)</f>
        <v>19351.716448835854</v>
      </c>
      <c r="X130" s="111">
        <f>W$130*'Population Treasury'!AI$177*'Statistics NZ'!AI$459/('Population Treasury'!AH$177*'Statistics NZ'!AH$459)</f>
        <v>19413.044624369984</v>
      </c>
      <c r="Y130" s="111">
        <f>X$130*'Population Treasury'!AJ$177*'Statistics NZ'!AJ$459/('Population Treasury'!AI$177*'Statistics NZ'!AI$459)</f>
        <v>18943.749062171155</v>
      </c>
      <c r="Z130" s="111">
        <f>Y$130*'Population Treasury'!AK$177*'Statistics NZ'!AK$459/('Population Treasury'!AJ$177*'Statistics NZ'!AJ$459)</f>
        <v>18290.090234897103</v>
      </c>
      <c r="AA130" s="111">
        <f>Z$130*'Population Treasury'!AL$177*'Statistics NZ'!AL$459/('Population Treasury'!AK$177*'Statistics NZ'!AK$459)</f>
        <v>17790.321570520016</v>
      </c>
      <c r="AB130" s="111">
        <f>AA$130*'Population Treasury'!AM$177*'Statistics NZ'!AM$459/('Population Treasury'!AL$177*'Statistics NZ'!AL$459)</f>
        <v>17518.551772533832</v>
      </c>
      <c r="AC130" s="111">
        <f>AB$130*'Population Treasury'!AN$177*'Statistics NZ'!AN$459/('Population Treasury'!AM$177*'Statistics NZ'!AM$459)</f>
        <v>17670.164932026179</v>
      </c>
      <c r="AD130" s="111">
        <f>AC$130*'Population Treasury'!AO$177*'Statistics NZ'!AO$459/('Population Treasury'!AN$177*'Statistics NZ'!AN$459)</f>
        <v>17513.859148988115</v>
      </c>
      <c r="AE130" s="111">
        <f>AD$130*'Population Treasury'!AP$177*'Statistics NZ'!AP$459/('Population Treasury'!AO$177*'Statistics NZ'!AO$459)</f>
        <v>18178.754975826978</v>
      </c>
      <c r="AF130" s="111">
        <f>AE$130*'Population Treasury'!AQ$177*'Statistics NZ'!AQ$459/('Population Treasury'!AP$177*'Statistics NZ'!AP$459)</f>
        <v>18657.862293492912</v>
      </c>
      <c r="AG130" s="111">
        <f>AF$130*'Population Treasury'!AR$177*'Statistics NZ'!AR$459/('Population Treasury'!AQ$177*'Statistics NZ'!AQ$459)</f>
        <v>19082.067630417576</v>
      </c>
      <c r="AH130" s="111">
        <f>AG$130*'Population Treasury'!AS$177*'Statistics NZ'!AS$459/('Population Treasury'!AR$177*'Statistics NZ'!AR$459)</f>
        <v>19579.347058894429</v>
      </c>
      <c r="AI130" s="111">
        <f>AH$130*'Population Treasury'!AT$177*'Statistics NZ'!AT$459/('Population Treasury'!AS$177*'Statistics NZ'!AS$459)</f>
        <v>20177.382068621067</v>
      </c>
      <c r="AJ130" s="111">
        <f>AI$130*'Population Treasury'!AU$177*'Statistics NZ'!AU$459/('Population Treasury'!AT$177*'Statistics NZ'!AT$459)</f>
        <v>20520.388380263721</v>
      </c>
      <c r="AK130" s="111">
        <f>AJ$130*'Population Treasury'!AV$177*'Statistics NZ'!AV$459/('Population Treasury'!AU$177*'Statistics NZ'!AU$459)</f>
        <v>20765.627174586065</v>
      </c>
      <c r="AL130" s="111">
        <f>AK$130*'Population Treasury'!AW$177*'Statistics NZ'!AW$459/('Population Treasury'!AV$177*'Statistics NZ'!AV$459)</f>
        <v>21359.110804270276</v>
      </c>
      <c r="AM130" s="111">
        <f>AL$130*'Population Treasury'!AX$177*'Statistics NZ'!AX$459/('Population Treasury'!AW$177*'Statistics NZ'!AW$459)</f>
        <v>22418.519181159194</v>
      </c>
      <c r="AN130" s="111">
        <f>AM$130*'Population Treasury'!AY$177*'Statistics NZ'!AY$459/('Population Treasury'!AX$177*'Statistics NZ'!AX$459)</f>
        <v>23224.384581263112</v>
      </c>
      <c r="AO130" s="111">
        <f>AN$130*'Population Treasury'!AZ$177*'Statistics NZ'!AZ$459/('Population Treasury'!AY$177*'Statistics NZ'!AY$459)</f>
        <v>23847.741273589509</v>
      </c>
      <c r="AP130" s="111">
        <f>AO$130*'Population Treasury'!BA$177*'Statistics NZ'!BA$459/('Population Treasury'!AZ$177*'Statistics NZ'!AZ$459)</f>
        <v>24990.066746132186</v>
      </c>
      <c r="AQ130" s="111">
        <f>AP$130*'Population Treasury'!BB$177*'Statistics NZ'!BB$459/('Population Treasury'!BA$177*'Statistics NZ'!BA$459)</f>
        <v>25490.874474037497</v>
      </c>
      <c r="AR130" s="111">
        <f>AQ$130*'Population Treasury'!BC$177*'Statistics NZ'!BC$459/('Population Treasury'!BB$177*'Statistics NZ'!BB$459)</f>
        <v>25597.238147697582</v>
      </c>
      <c r="AS130" s="111">
        <f>AR$130*'Population Treasury'!BD$177*'Statistics NZ'!BD$459/('Population Treasury'!BC$177*'Statistics NZ'!BC$459)</f>
        <v>25403.393201805829</v>
      </c>
      <c r="AT130" s="111">
        <f>AS$130*'Population Treasury'!BE$177*'Statistics NZ'!BE$459/('Population Treasury'!BD$177*'Statistics NZ'!BD$459)</f>
        <v>24699.090425210077</v>
      </c>
      <c r="AU130" s="111">
        <f>AT$130*'Population Treasury'!BF$177*'Statistics NZ'!BF$459/('Population Treasury'!BE$177*'Statistics NZ'!BE$459)</f>
        <v>24691.230088017888</v>
      </c>
      <c r="AV130" s="111">
        <f>AU$130*'Population Treasury'!BG$177*'Statistics NZ'!BG$459/('Population Treasury'!BF$177*'Statistics NZ'!BF$459)</f>
        <v>24593.986979623314</v>
      </c>
      <c r="AW130" s="111">
        <f>AV$130*'Population Treasury'!BH$177*'Statistics NZ'!BH$459/('Population Treasury'!BG$177*'Statistics NZ'!BG$459)</f>
        <v>23858.454751771886</v>
      </c>
      <c r="AX130" s="111">
        <f>AW$130*'Population Treasury'!BI$177*'Statistics NZ'!BI$459/('Population Treasury'!BH$177*'Statistics NZ'!BH$459)</f>
        <v>23820.985983452283</v>
      </c>
      <c r="AY130" s="111">
        <f>AX$130*'Population Treasury'!BJ$177*'Statistics NZ'!BJ$459/('Population Treasury'!BI$177*'Statistics NZ'!BI$459)</f>
        <v>23311.60140037513</v>
      </c>
      <c r="AZ130" s="111">
        <f>AY$130*'Population Treasury'!BK$177*'Statistics NZ'!BK$459/('Population Treasury'!BJ$177*'Statistics NZ'!BJ$459)</f>
        <v>23761.254710522895</v>
      </c>
      <c r="BA130" s="111">
        <f>AZ$130*'Population Treasury'!BL$177*'Statistics NZ'!BL$459/('Population Treasury'!BK$177*'Statistics NZ'!BK$459)</f>
        <v>23516.724005361011</v>
      </c>
      <c r="BB130" s="195">
        <f>BA$130*'Population Treasury'!BM$177*'Statistics NZ'!BM$459/('Population Treasury'!BL$177*'Statistics NZ'!BL$459)</f>
        <v>22776.839053038279</v>
      </c>
      <c r="BC130" s="195">
        <f>BB$130*'Population Treasury'!BN$177*'Statistics NZ'!BN$459/('Population Treasury'!BM$177*'Statistics NZ'!BM$459)</f>
        <v>23116.555449546984</v>
      </c>
      <c r="BD130" s="195">
        <f>BC$130*'Population Treasury'!BO$177*'Statistics NZ'!BO$459/('Population Treasury'!BN$177*'Statistics NZ'!BN$459)</f>
        <v>23297.944771455746</v>
      </c>
      <c r="BE130" s="195">
        <f>BD$130*'Population Treasury'!BP$177*'Statistics NZ'!BP$459/('Population Treasury'!BO$177*'Statistics NZ'!BO$459)</f>
        <v>23563.336173991182</v>
      </c>
      <c r="BF130" s="195">
        <f>BE$130*'Population Treasury'!BQ$177*'Statistics NZ'!BQ$459/('Population Treasury'!BP$177*'Statistics NZ'!BP$459)</f>
        <v>24183.217068842263</v>
      </c>
    </row>
    <row r="131" spans="1:58">
      <c r="A131" s="124">
        <f>$A$63</f>
        <v>68</v>
      </c>
      <c r="B131" s="118">
        <f>'Population Treasury'!M$178*'Statistics NZ'!M$460*'Economic Forecasts'!O$8/B$7</f>
        <v>10418.182304830962</v>
      </c>
      <c r="C131" s="118">
        <f>'Population Treasury'!N$178*'Statistics NZ'!N$460*'Economic Forecasts'!P$8/C$7</f>
        <v>10734.720291293952</v>
      </c>
      <c r="D131" s="118">
        <f>'Population Treasury'!O$178*'Statistics NZ'!O$460*'Economic Forecasts'!Q$8/D$7</f>
        <v>10816.047270362869</v>
      </c>
      <c r="E131" s="203">
        <f>'Population Treasury'!P$178*'Statistics NZ'!P$460*'Economic Forecasts'!R$8/E$7</f>
        <v>11177.683677352303</v>
      </c>
      <c r="F131" s="121">
        <f>'Population Treasury'!Q$178*'Statistics NZ'!Q$460*'Economic Forecasts'!S$8/F$7</f>
        <v>11482.275236449321</v>
      </c>
      <c r="G131" s="121">
        <f>'Population Treasury'!R$178*'Statistics NZ'!R$460*'Economic Forecasts'!T$8/G$7</f>
        <v>12054.255485337069</v>
      </c>
      <c r="H131" s="121">
        <f>'Population Treasury'!S$178*'Statistics NZ'!S$460*'Economic Forecasts'!U$8/H$7</f>
        <v>12523.612984689713</v>
      </c>
      <c r="I131" s="121">
        <f>'Population Treasury'!T$178*'Statistics NZ'!T$460*'Economic Forecasts'!V$8/I$7</f>
        <v>13049.946565674001</v>
      </c>
      <c r="J131" s="205">
        <f>'Population Treasury'!U$178*'Statistics NZ'!U$460*'Economic Forecasts'!W$8/J$7</f>
        <v>13518.655779103467</v>
      </c>
      <c r="K131" s="111">
        <f>J$131*'Population Treasury'!V$178*'Statistics NZ'!V$460/('Population Treasury'!U$178*'Statistics NZ'!U$460)</f>
        <v>13983.23299588981</v>
      </c>
      <c r="L131" s="111">
        <f>K$131*'Population Treasury'!W$178*'Statistics NZ'!W$460/('Population Treasury'!V$178*'Statistics NZ'!V$460)</f>
        <v>14729.118054847057</v>
      </c>
      <c r="M131" s="111">
        <f>L$131*'Population Treasury'!X$178*'Statistics NZ'!X$460/('Population Treasury'!W$178*'Statistics NZ'!W$460)</f>
        <v>15107.178453590575</v>
      </c>
      <c r="N131" s="111">
        <f>M$131*'Population Treasury'!Y$178*'Statistics NZ'!Y$460/('Population Treasury'!X$178*'Statistics NZ'!X$460)</f>
        <v>15621.170074577181</v>
      </c>
      <c r="O131" s="111">
        <f>N$131*'Population Treasury'!Z$178*'Statistics NZ'!Z$460/('Population Treasury'!Y$178*'Statistics NZ'!Y$460)</f>
        <v>16222.244805060514</v>
      </c>
      <c r="P131" s="111">
        <f>O$131*'Population Treasury'!AA$178*'Statistics NZ'!AA$460/('Population Treasury'!Z$178*'Statistics NZ'!Z$460)</f>
        <v>16490.166900980759</v>
      </c>
      <c r="Q131" s="111">
        <f>P$131*'Population Treasury'!AB$178*'Statistics NZ'!AB$460/('Population Treasury'!AA$178*'Statistics NZ'!AA$460)</f>
        <v>16416.118408423514</v>
      </c>
      <c r="R131" s="111">
        <f>Q$131*'Population Treasury'!AC$178*'Statistics NZ'!AC$460/('Population Treasury'!AB$178*'Statistics NZ'!AB$460)</f>
        <v>16172.681651928702</v>
      </c>
      <c r="S131" s="111">
        <f>R$131*'Population Treasury'!AD$178*'Statistics NZ'!AD$460/('Population Treasury'!AC$178*'Statistics NZ'!AC$460)</f>
        <v>16052.306126866199</v>
      </c>
      <c r="T131" s="111">
        <f>S$131*'Population Treasury'!AE$178*'Statistics NZ'!AE$460/('Population Treasury'!AD$178*'Statistics NZ'!AD$460)</f>
        <v>16154.191965976199</v>
      </c>
      <c r="U131" s="111">
        <f>T$131*'Population Treasury'!AF$178*'Statistics NZ'!AF$460/('Population Treasury'!AE$178*'Statistics NZ'!AE$460)</f>
        <v>16553.916428763023</v>
      </c>
      <c r="V131" s="111">
        <f>U$131*'Population Treasury'!AG$178*'Statistics NZ'!AG$460/('Population Treasury'!AF$178*'Statistics NZ'!AF$460)</f>
        <v>16983.31642438221</v>
      </c>
      <c r="W131" s="111">
        <f>V$131*'Population Treasury'!AH$178*'Statistics NZ'!AH$460/('Population Treasury'!AG$178*'Statistics NZ'!AG$460)</f>
        <v>17096.753843023653</v>
      </c>
      <c r="X131" s="111">
        <f>W$131*'Population Treasury'!AI$178*'Statistics NZ'!AI$460/('Population Treasury'!AH$178*'Statistics NZ'!AH$460)</f>
        <v>17489.724816696689</v>
      </c>
      <c r="Y131" s="111">
        <f>X$131*'Population Treasury'!AJ$178*'Statistics NZ'!AJ$460/('Population Treasury'!AI$178*'Statistics NZ'!AI$460)</f>
        <v>17556.041095498564</v>
      </c>
      <c r="Z131" s="111">
        <f>Y$131*'Population Treasury'!AK$178*'Statistics NZ'!AK$460/('Population Treasury'!AJ$178*'Statistics NZ'!AJ$460)</f>
        <v>17132.086678011314</v>
      </c>
      <c r="AA131" s="111">
        <f>Z$131*'Population Treasury'!AL$178*'Statistics NZ'!AL$460/('Population Treasury'!AK$178*'Statistics NZ'!AK$460)</f>
        <v>16550.342804301334</v>
      </c>
      <c r="AB131" s="111">
        <f>AA$131*'Population Treasury'!AM$178*'Statistics NZ'!AM$460/('Population Treasury'!AL$178*'Statistics NZ'!AL$460)</f>
        <v>16105.76981808313</v>
      </c>
      <c r="AC131" s="111">
        <f>AB$131*'Population Treasury'!AN$178*'Statistics NZ'!AN$460/('Population Treasury'!AM$178*'Statistics NZ'!AM$460)</f>
        <v>15868.512791732424</v>
      </c>
      <c r="AD131" s="111">
        <f>AC$131*'Population Treasury'!AO$178*'Statistics NZ'!AO$460/('Population Treasury'!AN$178*'Statistics NZ'!AN$460)</f>
        <v>15991.347755657942</v>
      </c>
      <c r="AE131" s="111">
        <f>AD$131*'Population Treasury'!AP$178*'Statistics NZ'!AP$460/('Population Treasury'!AO$178*'Statistics NZ'!AO$460)</f>
        <v>15861.069829887078</v>
      </c>
      <c r="AF131" s="111">
        <f>AE$131*'Population Treasury'!AQ$178*'Statistics NZ'!AQ$460/('Population Treasury'!AP$178*'Statistics NZ'!AP$460)</f>
        <v>16466.69099620104</v>
      </c>
      <c r="AG131" s="111">
        <f>AF$131*'Population Treasury'!AR$178*'Statistics NZ'!AR$460/('Population Treasury'!AQ$178*'Statistics NZ'!AQ$460)</f>
        <v>16902.333938753691</v>
      </c>
      <c r="AH131" s="111">
        <f>AG$131*'Population Treasury'!AS$178*'Statistics NZ'!AS$460/('Population Treasury'!AR$178*'Statistics NZ'!AR$460)</f>
        <v>17286.367768951612</v>
      </c>
      <c r="AI131" s="111">
        <f>AH$131*'Population Treasury'!AT$178*'Statistics NZ'!AT$460/('Population Treasury'!AS$178*'Statistics NZ'!AS$460)</f>
        <v>17748.177292326032</v>
      </c>
      <c r="AJ131" s="111">
        <f>AI$131*'Population Treasury'!AU$178*'Statistics NZ'!AU$460/('Population Treasury'!AT$178*'Statistics NZ'!AT$460)</f>
        <v>18284.238274288498</v>
      </c>
      <c r="AK131" s="111">
        <f>AJ$131*'Population Treasury'!AV$178*'Statistics NZ'!AV$460/('Population Treasury'!AU$178*'Statistics NZ'!AU$460)</f>
        <v>18596.010290354345</v>
      </c>
      <c r="AL131" s="111">
        <f>AK$131*'Population Treasury'!AW$178*'Statistics NZ'!AW$460/('Population Treasury'!AV$178*'Statistics NZ'!AV$460)</f>
        <v>18829.092342712338</v>
      </c>
      <c r="AM131" s="111">
        <f>AL$131*'Population Treasury'!AX$178*'Statistics NZ'!AX$460/('Population Treasury'!AW$178*'Statistics NZ'!AW$460)</f>
        <v>19372.135426325789</v>
      </c>
      <c r="AN131" s="111">
        <f>AM$131*'Population Treasury'!AY$178*'Statistics NZ'!AY$460/('Population Treasury'!AX$178*'Statistics NZ'!AX$460)</f>
        <v>20328.183456448616</v>
      </c>
      <c r="AO131" s="111">
        <f>AN$131*'Population Treasury'!AZ$178*'Statistics NZ'!AZ$460/('Population Treasury'!AY$178*'Statistics NZ'!AY$460)</f>
        <v>21059.750906169858</v>
      </c>
      <c r="AP131" s="111">
        <f>AO$131*'Population Treasury'!BA$178*'Statistics NZ'!BA$460/('Population Treasury'!AZ$178*'Statistics NZ'!AZ$460)</f>
        <v>21612.711515382121</v>
      </c>
      <c r="AQ131" s="111">
        <f>AP$131*'Population Treasury'!BB$178*'Statistics NZ'!BB$460/('Population Treasury'!BA$178*'Statistics NZ'!BA$460)</f>
        <v>22655.785789985846</v>
      </c>
      <c r="AR131" s="111">
        <f>AQ$131*'Population Treasury'!BC$178*'Statistics NZ'!BC$460/('Population Treasury'!BB$178*'Statistics NZ'!BB$460)</f>
        <v>23115.700240533413</v>
      </c>
      <c r="AS131" s="111">
        <f>AR$131*'Population Treasury'!BD$178*'Statistics NZ'!BD$460/('Population Treasury'!BC$178*'Statistics NZ'!BC$460)</f>
        <v>23208.592541107239</v>
      </c>
      <c r="AT131" s="111">
        <f>AS$131*'Population Treasury'!BE$178*'Statistics NZ'!BE$460/('Population Treasury'!BD$178*'Statistics NZ'!BD$460)</f>
        <v>23041.127960932703</v>
      </c>
      <c r="AU131" s="111">
        <f>AT$131*'Population Treasury'!BF$178*'Statistics NZ'!BF$460/('Population Treasury'!BE$178*'Statistics NZ'!BE$460)</f>
        <v>22404.022055492445</v>
      </c>
      <c r="AV131" s="111">
        <f>AU$131*'Population Treasury'!BG$178*'Statistics NZ'!BG$460/('Population Treasury'!BF$178*'Statistics NZ'!BF$460)</f>
        <v>22398.754469990763</v>
      </c>
      <c r="AW131" s="111">
        <f>AV$131*'Population Treasury'!BH$178*'Statistics NZ'!BH$460/('Population Treasury'!BG$178*'Statistics NZ'!BG$460)</f>
        <v>22316.580008851965</v>
      </c>
      <c r="AX131" s="111">
        <f>AW$131*'Population Treasury'!BI$178*'Statistics NZ'!BI$460/('Population Treasury'!BH$178*'Statistics NZ'!BH$460)</f>
        <v>21659.473940646247</v>
      </c>
      <c r="AY131" s="111">
        <f>AX$131*'Population Treasury'!BJ$178*'Statistics NZ'!BJ$460/('Population Treasury'!BI$178*'Statistics NZ'!BI$460)</f>
        <v>21614.378616720969</v>
      </c>
      <c r="AZ131" s="111">
        <f>AY$131*'Population Treasury'!BK$178*'Statistics NZ'!BK$460/('Population Treasury'!BJ$178*'Statistics NZ'!BJ$460)</f>
        <v>21158.119119705992</v>
      </c>
      <c r="BA131" s="111">
        <f>AZ$131*'Population Treasury'!BL$178*'Statistics NZ'!BL$460/('Population Treasury'!BK$178*'Statistics NZ'!BK$460)</f>
        <v>21576.74686578503</v>
      </c>
      <c r="BB131" s="195">
        <f>BA$131*'Population Treasury'!BM$178*'Statistics NZ'!BM$460/('Population Treasury'!BL$178*'Statistics NZ'!BL$460)</f>
        <v>21353.457778782522</v>
      </c>
      <c r="BC131" s="195">
        <f>BB$131*'Population Treasury'!BN$178*'Statistics NZ'!BN$460/('Population Treasury'!BM$178*'Statistics NZ'!BM$460)</f>
        <v>20680.141029453356</v>
      </c>
      <c r="BD131" s="195">
        <f>BC$131*'Population Treasury'!BO$178*'Statistics NZ'!BO$460/('Population Treasury'!BN$178*'Statistics NZ'!BN$460)</f>
        <v>20992.372766150915</v>
      </c>
      <c r="BE131" s="195">
        <f>BD$131*'Population Treasury'!BP$178*'Statistics NZ'!BP$460/('Population Treasury'!BO$178*'Statistics NZ'!BO$460)</f>
        <v>21148.19376624802</v>
      </c>
      <c r="BF131" s="195">
        <f>BE$131*'Population Treasury'!BQ$178*'Statistics NZ'!BQ$460/('Population Treasury'!BP$178*'Statistics NZ'!BP$460)</f>
        <v>21397.469668830348</v>
      </c>
    </row>
    <row r="132" spans="1:58">
      <c r="A132" s="124">
        <f>$A$64</f>
        <v>69</v>
      </c>
      <c r="B132" s="118">
        <f>'Population Treasury'!M$179*'Statistics NZ'!M$461*'Economic Forecasts'!O$8/B$7</f>
        <v>9130.2510722720235</v>
      </c>
      <c r="C132" s="118">
        <f>'Population Treasury'!N$179*'Statistics NZ'!N$461*'Economic Forecasts'!P$8/C$7</f>
        <v>9384.4913329183219</v>
      </c>
      <c r="D132" s="118">
        <f>'Population Treasury'!O$179*'Statistics NZ'!O$461*'Economic Forecasts'!Q$8/D$7</f>
        <v>9477.3334741342951</v>
      </c>
      <c r="E132" s="203">
        <f>'Population Treasury'!P$179*'Statistics NZ'!P$461*'Economic Forecasts'!R$8/E$7</f>
        <v>9681.1067104683661</v>
      </c>
      <c r="F132" s="121">
        <f>'Population Treasury'!Q$179*'Statistics NZ'!Q$461*'Economic Forecasts'!S$8/F$7</f>
        <v>10013.210910584005</v>
      </c>
      <c r="G132" s="121">
        <f>'Population Treasury'!R$179*'Statistics NZ'!R$461*'Economic Forecasts'!T$8/G$7</f>
        <v>10333.415995147003</v>
      </c>
      <c r="H132" s="121">
        <f>'Population Treasury'!S$179*'Statistics NZ'!S$461*'Economic Forecasts'!U$8/H$7</f>
        <v>10826.293630479968</v>
      </c>
      <c r="I132" s="121">
        <f>'Population Treasury'!T$179*'Statistics NZ'!T$461*'Economic Forecasts'!V$8/I$7</f>
        <v>11239.175004708584</v>
      </c>
      <c r="J132" s="205">
        <f>'Population Treasury'!U$179*'Statistics NZ'!U$461*'Economic Forecasts'!W$8/J$7</f>
        <v>11710.027348661753</v>
      </c>
      <c r="K132" s="111">
        <f>J$132*'Population Treasury'!V$179*'Statistics NZ'!V$461/('Population Treasury'!U$179*'Statistics NZ'!U$461)</f>
        <v>12101.13034770179</v>
      </c>
      <c r="L132" s="111">
        <f>K$132*'Population Treasury'!W$179*'Statistics NZ'!W$461/('Population Treasury'!V$179*'Statistics NZ'!V$461)</f>
        <v>12514.432139202816</v>
      </c>
      <c r="M132" s="111">
        <f>L$132*'Population Treasury'!X$179*'Statistics NZ'!X$461/('Population Treasury'!W$179*'Statistics NZ'!W$461)</f>
        <v>13184.164928077491</v>
      </c>
      <c r="N132" s="111">
        <f>M$132*'Population Treasury'!Y$179*'Statistics NZ'!Y$461/('Population Treasury'!X$179*'Statistics NZ'!X$461)</f>
        <v>13521.500630912038</v>
      </c>
      <c r="O132" s="111">
        <f>N$132*'Population Treasury'!Z$179*'Statistics NZ'!Z$461/('Population Treasury'!Y$179*'Statistics NZ'!Y$461)</f>
        <v>13978.334475054817</v>
      </c>
      <c r="P132" s="111">
        <f>O$132*'Population Treasury'!AA$179*'Statistics NZ'!AA$461/('Population Treasury'!Z$179*'Statistics NZ'!Z$461)</f>
        <v>14519.703642407901</v>
      </c>
      <c r="Q132" s="111">
        <f>P$132*'Population Treasury'!AB$179*'Statistics NZ'!AB$461/('Population Treasury'!AA$179*'Statistics NZ'!AA$461)</f>
        <v>14759.393913588057</v>
      </c>
      <c r="R132" s="111">
        <f>Q$132*'Population Treasury'!AC$179*'Statistics NZ'!AC$461/('Population Treasury'!AB$179*'Statistics NZ'!AB$461)</f>
        <v>14701.322134283037</v>
      </c>
      <c r="S132" s="111">
        <f>R$132*'Population Treasury'!AD$179*'Statistics NZ'!AD$461/('Population Treasury'!AC$179*'Statistics NZ'!AC$461)</f>
        <v>14477.195692298781</v>
      </c>
      <c r="T132" s="111">
        <f>S$132*'Population Treasury'!AE$179*'Statistics NZ'!AE$461/('Population Treasury'!AD$179*'Statistics NZ'!AD$461)</f>
        <v>14372.899941351609</v>
      </c>
      <c r="U132" s="111">
        <f>T$132*'Population Treasury'!AF$179*'Statistics NZ'!AF$461/('Population Treasury'!AE$179*'Statistics NZ'!AE$461)</f>
        <v>14472.286233245595</v>
      </c>
      <c r="V132" s="111">
        <f>U$132*'Population Treasury'!AG$179*'Statistics NZ'!AG$461/('Population Treasury'!AF$179*'Statistics NZ'!AF$461)</f>
        <v>14829.135715222272</v>
      </c>
      <c r="W132" s="111">
        <f>V$132*'Population Treasury'!AH$179*'Statistics NZ'!AH$461/('Population Treasury'!AG$179*'Statistics NZ'!AG$461)</f>
        <v>15219.994906895152</v>
      </c>
      <c r="X132" s="111">
        <f>W$132*'Population Treasury'!AI$179*'Statistics NZ'!AI$461/('Population Treasury'!AH$179*'Statistics NZ'!AH$461)</f>
        <v>15321.053268508127</v>
      </c>
      <c r="Y132" s="111">
        <f>X$132*'Population Treasury'!AJ$179*'Statistics NZ'!AJ$461/('Population Treasury'!AI$179*'Statistics NZ'!AI$461)</f>
        <v>15671.68596158784</v>
      </c>
      <c r="Z132" s="111">
        <f>Y$132*'Population Treasury'!AK$179*'Statistics NZ'!AK$461/('Population Treasury'!AJ$179*'Statistics NZ'!AJ$461)</f>
        <v>15742.181546188713</v>
      </c>
      <c r="AA132" s="111">
        <f>Z$132*'Population Treasury'!AL$179*'Statistics NZ'!AL$461/('Population Treasury'!AK$179*'Statistics NZ'!AK$461)</f>
        <v>15358.52698622754</v>
      </c>
      <c r="AB132" s="111">
        <f>AA$132*'Population Treasury'!AM$179*'Statistics NZ'!AM$461/('Population Treasury'!AL$179*'Statistics NZ'!AL$461)</f>
        <v>14842.415306166238</v>
      </c>
      <c r="AC132" s="111">
        <f>AB$132*'Population Treasury'!AN$179*'Statistics NZ'!AN$461/('Population Treasury'!AM$179*'Statistics NZ'!AM$461)</f>
        <v>14442.264828659703</v>
      </c>
      <c r="AD132" s="111">
        <f>AC$132*'Population Treasury'!AO$179*'Statistics NZ'!AO$461/('Population Treasury'!AN$179*'Statistics NZ'!AN$461)</f>
        <v>14228.61850751814</v>
      </c>
      <c r="AE132" s="111">
        <f>AD$132*'Population Treasury'!AP$179*'Statistics NZ'!AP$461/('Population Treasury'!AO$179*'Statistics NZ'!AO$461)</f>
        <v>14351.688822865508</v>
      </c>
      <c r="AF132" s="111">
        <f>AE$132*'Population Treasury'!AQ$179*'Statistics NZ'!AQ$461/('Population Treasury'!AP$179*'Statistics NZ'!AP$461)</f>
        <v>14229.932242435041</v>
      </c>
      <c r="AG132" s="111">
        <f>AF$132*'Population Treasury'!AR$179*'Statistics NZ'!AR$461/('Population Treasury'!AQ$179*'Statistics NZ'!AQ$461)</f>
        <v>14771.413684727577</v>
      </c>
      <c r="AH132" s="111">
        <f>AG$132*'Population Treasury'!AS$179*'Statistics NZ'!AS$461/('Population Treasury'!AR$179*'Statistics NZ'!AR$461)</f>
        <v>15158.146416869664</v>
      </c>
      <c r="AI132" s="111">
        <f>AH$132*'Population Treasury'!AT$179*'Statistics NZ'!AT$461/('Population Treasury'!AS$179*'Statistics NZ'!AS$461)</f>
        <v>15518.632570300675</v>
      </c>
      <c r="AJ132" s="111">
        <f>AI$132*'Population Treasury'!AU$179*'Statistics NZ'!AU$461/('Population Treasury'!AT$179*'Statistics NZ'!AT$461)</f>
        <v>15928.147503797827</v>
      </c>
      <c r="AK132" s="111">
        <f>AJ$132*'Population Treasury'!AV$179*'Statistics NZ'!AV$461/('Population Treasury'!AU$179*'Statistics NZ'!AU$461)</f>
        <v>16402.702263050476</v>
      </c>
      <c r="AL132" s="111">
        <f>AK$132*'Population Treasury'!AW$179*'Statistics NZ'!AW$461/('Population Treasury'!AV$179*'Statistics NZ'!AV$461)</f>
        <v>16694.097856583739</v>
      </c>
      <c r="AM132" s="111">
        <f>AL$132*'Population Treasury'!AX$179*'Statistics NZ'!AX$461/('Population Treasury'!AW$179*'Statistics NZ'!AW$461)</f>
        <v>16892.317944149403</v>
      </c>
      <c r="AN132" s="111">
        <f>AM$132*'Population Treasury'!AY$179*'Statistics NZ'!AY$461/('Population Treasury'!AX$179*'Statistics NZ'!AX$461)</f>
        <v>17379.939473704624</v>
      </c>
      <c r="AO132" s="111">
        <f>AN$132*'Population Treasury'!AZ$179*'Statistics NZ'!AZ$461/('Population Treasury'!AY$179*'Statistics NZ'!AY$461)</f>
        <v>18238.712567982013</v>
      </c>
      <c r="AP132" s="111">
        <f>AO$132*'Population Treasury'!BA$179*'Statistics NZ'!BA$461/('Population Treasury'!AZ$179*'Statistics NZ'!AZ$461)</f>
        <v>18900.916403564857</v>
      </c>
      <c r="AQ132" s="111">
        <f>AP$132*'Population Treasury'!BB$179*'Statistics NZ'!BB$461/('Population Treasury'!BA$179*'Statistics NZ'!BA$461)</f>
        <v>19410.717989180583</v>
      </c>
      <c r="AR132" s="111">
        <f>AQ$132*'Population Treasury'!BC$179*'Statistics NZ'!BC$461/('Population Treasury'!BB$179*'Statistics NZ'!BB$461)</f>
        <v>20338.496036608169</v>
      </c>
      <c r="AS132" s="111">
        <f>AR$132*'Population Treasury'!BD$179*'Statistics NZ'!BD$461/('Population Treasury'!BC$179*'Statistics NZ'!BC$461)</f>
        <v>20746.024388775997</v>
      </c>
      <c r="AT132" s="111">
        <f>AS$132*'Population Treasury'!BE$179*'Statistics NZ'!BE$461/('Population Treasury'!BD$179*'Statistics NZ'!BD$461)</f>
        <v>20840.690680897169</v>
      </c>
      <c r="AU132" s="111">
        <f>AT$132*'Population Treasury'!BF$179*'Statistics NZ'!BF$461/('Population Treasury'!BE$179*'Statistics NZ'!BE$461)</f>
        <v>20688.197913076499</v>
      </c>
      <c r="AV132" s="111">
        <f>AU$132*'Population Treasury'!BG$179*'Statistics NZ'!BG$461/('Population Treasury'!BF$179*'Statistics NZ'!BF$461)</f>
        <v>20124.242331987716</v>
      </c>
      <c r="AW132" s="111">
        <f>AV$132*'Population Treasury'!BH$179*'Statistics NZ'!BH$461/('Population Treasury'!BG$179*'Statistics NZ'!BG$461)</f>
        <v>20111.390715189573</v>
      </c>
      <c r="AX132" s="111">
        <f>AW$132*'Population Treasury'!BI$179*'Statistics NZ'!BI$461/('Population Treasury'!BH$179*'Statistics NZ'!BH$461)</f>
        <v>20048.504050139611</v>
      </c>
      <c r="AY132" s="111">
        <f>AX$132*'Population Treasury'!BJ$179*'Statistics NZ'!BJ$461/('Population Treasury'!BI$179*'Statistics NZ'!BI$461)</f>
        <v>19448.665968849178</v>
      </c>
      <c r="AZ132" s="111">
        <f>AY$132*'Population Treasury'!BK$179*'Statistics NZ'!BK$461/('Population Treasury'!BJ$179*'Statistics NZ'!BJ$461)</f>
        <v>19422.268642236741</v>
      </c>
      <c r="BA132" s="111">
        <f>AZ$132*'Population Treasury'!BL$179*'Statistics NZ'!BL$461/('Population Treasury'!BK$179*'Statistics NZ'!BK$461)</f>
        <v>19014.040693518476</v>
      </c>
      <c r="BB132" s="195">
        <f>BA$132*'Population Treasury'!BM$179*'Statistics NZ'!BM$461/('Population Treasury'!BL$179*'Statistics NZ'!BL$461)</f>
        <v>19386.361354477609</v>
      </c>
      <c r="BC132" s="195">
        <f>BB$132*'Population Treasury'!BN$179*'Statistics NZ'!BN$461/('Population Treasury'!BM$179*'Statistics NZ'!BM$461)</f>
        <v>19199.953485165075</v>
      </c>
      <c r="BD132" s="195">
        <f>BC$132*'Population Treasury'!BO$179*'Statistics NZ'!BO$461/('Population Treasury'!BN$179*'Statistics NZ'!BN$461)</f>
        <v>18588.302416332674</v>
      </c>
      <c r="BE132" s="195">
        <f>BD$132*'Population Treasury'!BP$179*'Statistics NZ'!BP$461/('Population Treasury'!BO$179*'Statistics NZ'!BO$461)</f>
        <v>18872.89155731336</v>
      </c>
      <c r="BF132" s="195">
        <f>BE$132*'Population Treasury'!BQ$179*'Statistics NZ'!BQ$461/('Population Treasury'!BP$179*'Statistics NZ'!BP$461)</f>
        <v>19025.787057843569</v>
      </c>
    </row>
    <row r="133" spans="1:58">
      <c r="A133" s="124">
        <f>$A$65</f>
        <v>70</v>
      </c>
      <c r="B133" s="118">
        <f>'Population Treasury'!M$180*'Statistics NZ'!M$462*'Economic Forecasts'!O$8/B$7</f>
        <v>7945.5414484955081</v>
      </c>
      <c r="C133" s="118">
        <f>'Population Treasury'!N$180*'Statistics NZ'!N$462*'Economic Forecasts'!P$8/C$7</f>
        <v>8119.8879107468811</v>
      </c>
      <c r="D133" s="118">
        <f>'Population Treasury'!O$180*'Statistics NZ'!O$462*'Economic Forecasts'!Q$8/D$7</f>
        <v>8192.4745497746644</v>
      </c>
      <c r="E133" s="203">
        <f>'Population Treasury'!P$180*'Statistics NZ'!P$462*'Economic Forecasts'!R$8/E$7</f>
        <v>8355.0097843463063</v>
      </c>
      <c r="F133" s="121">
        <f>'Population Treasury'!Q$180*'Statistics NZ'!Q$462*'Economic Forecasts'!S$8/F$7</f>
        <v>8562.150921337925</v>
      </c>
      <c r="G133" s="121">
        <f>'Population Treasury'!R$180*'Statistics NZ'!R$462*'Economic Forecasts'!T$8/G$7</f>
        <v>8894.2900347704763</v>
      </c>
      <c r="H133" s="121">
        <f>'Population Treasury'!S$180*'Statistics NZ'!S$462*'Economic Forecasts'!U$8/H$7</f>
        <v>9149.9345191349439</v>
      </c>
      <c r="I133" s="121">
        <f>'Population Treasury'!T$180*'Statistics NZ'!T$462*'Economic Forecasts'!V$8/I$7</f>
        <v>9564.0150233379063</v>
      </c>
      <c r="J133" s="205">
        <f>'Population Treasury'!U$180*'Statistics NZ'!U$462*'Economic Forecasts'!W$8/J$7</f>
        <v>9921.5523662135092</v>
      </c>
      <c r="K133" s="111">
        <f>J$133*'Population Treasury'!V$180*'Statistics NZ'!V$462/('Population Treasury'!U$180*'Statistics NZ'!U$462)</f>
        <v>10307.272780319003</v>
      </c>
      <c r="L133" s="111">
        <f>K$133*'Population Treasury'!W$180*'Statistics NZ'!W$462/('Population Treasury'!V$180*'Statistics NZ'!V$462)</f>
        <v>10639.902746069953</v>
      </c>
      <c r="M133" s="111">
        <f>L$133*'Population Treasury'!X$180*'Statistics NZ'!X$462/('Population Treasury'!W$180*'Statistics NZ'!W$462)</f>
        <v>11002.944977692083</v>
      </c>
      <c r="N133" s="111">
        <f>M$133*'Population Treasury'!Y$180*'Statistics NZ'!Y$462/('Population Treasury'!X$180*'Statistics NZ'!X$462)</f>
        <v>11583.660585341311</v>
      </c>
      <c r="O133" s="111">
        <f>N$133*'Population Treasury'!Z$180*'Statistics NZ'!Z$462/('Population Treasury'!Y$180*'Statistics NZ'!Y$462)</f>
        <v>11872.954161330612</v>
      </c>
      <c r="P133" s="111">
        <f>O$133*'Population Treasury'!AA$180*'Statistics NZ'!AA$462/('Population Treasury'!Z$180*'Statistics NZ'!Z$462)</f>
        <v>12271.358998860562</v>
      </c>
      <c r="Q133" s="111">
        <f>P$133*'Population Treasury'!AB$180*'Statistics NZ'!AB$462/('Population Treasury'!AA$180*'Statistics NZ'!AA$462)</f>
        <v>12742.246680809852</v>
      </c>
      <c r="R133" s="111">
        <f>Q$133*'Population Treasury'!AC$180*'Statistics NZ'!AC$462/('Population Treasury'!AB$180*'Statistics NZ'!AB$462)</f>
        <v>12947.247954330955</v>
      </c>
      <c r="S133" s="111">
        <f>R$133*'Population Treasury'!AD$180*'Statistics NZ'!AD$462/('Population Treasury'!AC$180*'Statistics NZ'!AC$462)</f>
        <v>12885.140199868594</v>
      </c>
      <c r="T133" s="111">
        <f>S$133*'Population Treasury'!AE$180*'Statistics NZ'!AE$462/('Population Treasury'!AD$180*'Statistics NZ'!AD$462)</f>
        <v>12701.567261933102</v>
      </c>
      <c r="U133" s="111">
        <f>T$133*'Population Treasury'!AF$180*'Statistics NZ'!AF$462/('Population Treasury'!AE$180*'Statistics NZ'!AE$462)</f>
        <v>12602.748773898282</v>
      </c>
      <c r="V133" s="111">
        <f>U$133*'Population Treasury'!AG$180*'Statistics NZ'!AG$462/('Population Treasury'!AF$180*'Statistics NZ'!AF$462)</f>
        <v>12688.16626510682</v>
      </c>
      <c r="W133" s="111">
        <f>V$133*'Population Treasury'!AH$180*'Statistics NZ'!AH$462/('Population Treasury'!AG$180*'Statistics NZ'!AG$462)</f>
        <v>13003.127999752696</v>
      </c>
      <c r="X133" s="111">
        <f>W$133*'Population Treasury'!AI$180*'Statistics NZ'!AI$462/('Population Treasury'!AH$180*'Statistics NZ'!AH$462)</f>
        <v>13333.51412608958</v>
      </c>
      <c r="Y133" s="111">
        <f>X$133*'Population Treasury'!AJ$180*'Statistics NZ'!AJ$462/('Population Treasury'!AI$180*'Statistics NZ'!AI$462)</f>
        <v>13427.913034114259</v>
      </c>
      <c r="Z133" s="111">
        <f>Y$133*'Population Treasury'!AK$180*'Statistics NZ'!AK$462/('Population Treasury'!AJ$180*'Statistics NZ'!AJ$462)</f>
        <v>13735.634751573014</v>
      </c>
      <c r="AA133" s="111">
        <f>Z$133*'Population Treasury'!AL$180*'Statistics NZ'!AL$462/('Population Treasury'!AK$180*'Statistics NZ'!AK$462)</f>
        <v>13799.198150513323</v>
      </c>
      <c r="AB133" s="111">
        <f>AA$133*'Population Treasury'!AM$180*'Statistics NZ'!AM$462/('Population Treasury'!AL$180*'Statistics NZ'!AL$462)</f>
        <v>13465.655828830735</v>
      </c>
      <c r="AC133" s="111">
        <f>AB$133*'Population Treasury'!AN$180*'Statistics NZ'!AN$462/('Population Treasury'!AM$180*'Statistics NZ'!AM$462)</f>
        <v>13010.738405748163</v>
      </c>
      <c r="AD133" s="111">
        <f>AC$133*'Population Treasury'!AO$180*'Statistics NZ'!AO$462/('Population Treasury'!AN$180*'Statistics NZ'!AN$462)</f>
        <v>12654.39533421695</v>
      </c>
      <c r="AE133" s="111">
        <f>AD$133*'Population Treasury'!AP$180*'Statistics NZ'!AP$462/('Population Treasury'!AO$180*'Statistics NZ'!AO$462)</f>
        <v>12474.845334783271</v>
      </c>
      <c r="AF133" s="111">
        <f>AE$133*'Population Treasury'!AQ$180*'Statistics NZ'!AQ$462/('Population Treasury'!AP$180*'Statistics NZ'!AP$462)</f>
        <v>12574.832169801697</v>
      </c>
      <c r="AG133" s="111">
        <f>AF$133*'Population Treasury'!AR$180*'Statistics NZ'!AR$462/('Population Treasury'!AQ$180*'Statistics NZ'!AQ$462)</f>
        <v>12483.4415331534</v>
      </c>
      <c r="AH133" s="111">
        <f>AG$133*'Population Treasury'!AS$180*'Statistics NZ'!AS$462/('Population Treasury'!AR$180*'Statistics NZ'!AR$462)</f>
        <v>12949.354071669168</v>
      </c>
      <c r="AI133" s="111">
        <f>AH$133*'Population Treasury'!AT$180*'Statistics NZ'!AT$462/('Population Treasury'!AS$180*'Statistics NZ'!AS$462)</f>
        <v>13297.641311333613</v>
      </c>
      <c r="AJ133" s="111">
        <f>AI$133*'Population Treasury'!AU$180*'Statistics NZ'!AU$462/('Population Treasury'!AT$180*'Statistics NZ'!AT$462)</f>
        <v>13607.632719884248</v>
      </c>
      <c r="AK133" s="111">
        <f>AJ$133*'Population Treasury'!AV$180*'Statistics NZ'!AV$462/('Population Treasury'!AU$180*'Statistics NZ'!AU$462)</f>
        <v>13969.442009406705</v>
      </c>
      <c r="AL133" s="111">
        <f>AK$133*'Population Treasury'!AW$180*'Statistics NZ'!AW$462/('Population Treasury'!AV$180*'Statistics NZ'!AV$462)</f>
        <v>14394.045231051061</v>
      </c>
      <c r="AM133" s="111">
        <f>AL$133*'Population Treasury'!AX$180*'Statistics NZ'!AX$462/('Population Treasury'!AW$180*'Statistics NZ'!AW$462)</f>
        <v>14638.59243328276</v>
      </c>
      <c r="AN133" s="111">
        <f>AM$133*'Population Treasury'!AY$180*'Statistics NZ'!AY$462/('Population Treasury'!AX$180*'Statistics NZ'!AX$462)</f>
        <v>14825.253648679989</v>
      </c>
      <c r="AO133" s="111">
        <f>AN$133*'Population Treasury'!AZ$180*'Statistics NZ'!AZ$462/('Population Treasury'!AY$180*'Statistics NZ'!AY$462)</f>
        <v>15247.263168755757</v>
      </c>
      <c r="AP133" s="111">
        <f>AO$133*'Population Treasury'!BA$180*'Statistics NZ'!BA$462/('Population Treasury'!AZ$180*'Statistics NZ'!AZ$462)</f>
        <v>16003.089626964062</v>
      </c>
      <c r="AQ133" s="111">
        <f>AP$133*'Population Treasury'!BB$180*'Statistics NZ'!BB$462/('Population Treasury'!BA$180*'Statistics NZ'!BA$462)</f>
        <v>16587.047468108518</v>
      </c>
      <c r="AR133" s="111">
        <f>AQ$133*'Population Treasury'!BC$180*'Statistics NZ'!BC$462/('Population Treasury'!BB$180*'Statistics NZ'!BB$462)</f>
        <v>17035.803495039945</v>
      </c>
      <c r="AS133" s="111">
        <f>AR$133*'Population Treasury'!BD$180*'Statistics NZ'!BD$462/('Population Treasury'!BC$180*'Statistics NZ'!BC$462)</f>
        <v>17855.906432051768</v>
      </c>
      <c r="AT133" s="111">
        <f>AS$133*'Population Treasury'!BE$180*'Statistics NZ'!BE$462/('Population Treasury'!BD$180*'Statistics NZ'!BD$462)</f>
        <v>18210.716649437203</v>
      </c>
      <c r="AU133" s="111">
        <f>AT$133*'Population Treasury'!BF$180*'Statistics NZ'!BF$462/('Population Treasury'!BE$180*'Statistics NZ'!BE$462)</f>
        <v>18306.401709445814</v>
      </c>
      <c r="AV133" s="111">
        <f>AU$133*'Population Treasury'!BG$180*'Statistics NZ'!BG$462/('Population Treasury'!BF$180*'Statistics NZ'!BF$462)</f>
        <v>18171.45264467032</v>
      </c>
      <c r="AW133" s="111">
        <f>AV$133*'Population Treasury'!BH$180*'Statistics NZ'!BH$462/('Population Treasury'!BG$180*'Statistics NZ'!BG$462)</f>
        <v>17671.799244714904</v>
      </c>
      <c r="AX133" s="111">
        <f>AW$133*'Population Treasury'!BI$180*'Statistics NZ'!BI$462/('Population Treasury'!BH$180*'Statistics NZ'!BH$462)</f>
        <v>17667.565689349831</v>
      </c>
      <c r="AY133" s="111">
        <f>AX$133*'Population Treasury'!BJ$180*'Statistics NZ'!BJ$462/('Population Treasury'!BI$180*'Statistics NZ'!BI$462)</f>
        <v>17608.498506008655</v>
      </c>
      <c r="AZ133" s="111">
        <f>AY$133*'Population Treasury'!BK$180*'Statistics NZ'!BK$462/('Population Treasury'!BJ$180*'Statistics NZ'!BJ$462)</f>
        <v>17090.125783493215</v>
      </c>
      <c r="BA133" s="111">
        <f>AZ$133*'Population Treasury'!BL$180*'Statistics NZ'!BL$462/('Population Treasury'!BK$180*'Statistics NZ'!BK$462)</f>
        <v>17064.546917243631</v>
      </c>
      <c r="BB133" s="195">
        <f>BA$133*'Population Treasury'!BM$180*'Statistics NZ'!BM$462/('Population Treasury'!BL$180*'Statistics NZ'!BL$462)</f>
        <v>16712.139550344433</v>
      </c>
      <c r="BC133" s="195">
        <f>BB$133*'Population Treasury'!BN$180*'Statistics NZ'!BN$462/('Population Treasury'!BM$180*'Statistics NZ'!BM$462)</f>
        <v>17037.343999152668</v>
      </c>
      <c r="BD133" s="195">
        <f>BC$133*'Population Treasury'!BO$180*'Statistics NZ'!BO$462/('Population Treasury'!BN$180*'Statistics NZ'!BN$462)</f>
        <v>16868.014017346839</v>
      </c>
      <c r="BE133" s="195">
        <f>BD$133*'Population Treasury'!BP$180*'Statistics NZ'!BP$462/('Population Treasury'!BO$180*'Statistics NZ'!BO$462)</f>
        <v>16332.311358609293</v>
      </c>
      <c r="BF133" s="195">
        <f>BE$133*'Population Treasury'!BQ$180*'Statistics NZ'!BQ$462/('Population Treasury'!BP$180*'Statistics NZ'!BP$462)</f>
        <v>16592.323420913566</v>
      </c>
    </row>
    <row r="134" spans="1:58">
      <c r="A134" s="124">
        <f>$A$66</f>
        <v>71</v>
      </c>
      <c r="B134" s="118">
        <f>'Population Treasury'!M$181*'Statistics NZ'!M$463*'Economic Forecasts'!O$8/B$7</f>
        <v>5838.9371787400487</v>
      </c>
      <c r="C134" s="118">
        <f>'Population Treasury'!N$181*'Statistics NZ'!N$463*'Economic Forecasts'!P$8/C$7</f>
        <v>7042.0069436054528</v>
      </c>
      <c r="D134" s="118">
        <f>'Population Treasury'!O$181*'Statistics NZ'!O$463*'Economic Forecasts'!Q$8/D$7</f>
        <v>7090.7464734688729</v>
      </c>
      <c r="E134" s="203">
        <f>'Population Treasury'!P$181*'Statistics NZ'!P$463*'Economic Forecasts'!R$8/E$7</f>
        <v>7195.85449603906</v>
      </c>
      <c r="F134" s="121">
        <f>'Population Treasury'!Q$181*'Statistics NZ'!Q$463*'Economic Forecasts'!S$8/F$7</f>
        <v>7371.0227603161593</v>
      </c>
      <c r="G134" s="121">
        <f>'Population Treasury'!R$181*'Statistics NZ'!R$463*'Economic Forecasts'!T$8/G$7</f>
        <v>7589.2848470267518</v>
      </c>
      <c r="H134" s="121">
        <f>'Population Treasury'!S$181*'Statistics NZ'!S$463*'Economic Forecasts'!U$8/H$7</f>
        <v>7852.3913304620028</v>
      </c>
      <c r="I134" s="121">
        <f>'Population Treasury'!T$181*'Statistics NZ'!T$463*'Economic Forecasts'!V$8/I$7</f>
        <v>8074.3280668719499</v>
      </c>
      <c r="J134" s="205">
        <f>'Population Treasury'!U$181*'Statistics NZ'!U$463*'Economic Forecasts'!W$8/J$7</f>
        <v>8435.8836168554117</v>
      </c>
      <c r="K134" s="111">
        <f>J$134*'Population Treasury'!V$181*'Statistics NZ'!V$463/('Population Treasury'!U$181*'Statistics NZ'!U$463)</f>
        <v>8732.9142661533351</v>
      </c>
      <c r="L134" s="111">
        <f>K$134*'Population Treasury'!W$181*'Statistics NZ'!W$463/('Population Treasury'!V$181*'Statistics NZ'!V$463)</f>
        <v>9059.9713325299927</v>
      </c>
      <c r="M134" s="111">
        <f>L$134*'Population Treasury'!X$181*'Statistics NZ'!X$463/('Population Treasury'!W$181*'Statistics NZ'!W$463)</f>
        <v>9350.2089249536057</v>
      </c>
      <c r="N134" s="111">
        <f>M$134*'Population Treasury'!Y$181*'Statistics NZ'!Y$463/('Population Treasury'!X$181*'Statistics NZ'!X$463)</f>
        <v>9660.9872982053857</v>
      </c>
      <c r="O134" s="111">
        <f>N$134*'Population Treasury'!Z$181*'Statistics NZ'!Z$463/('Population Treasury'!Y$181*'Statistics NZ'!Y$463)</f>
        <v>10172.789826146211</v>
      </c>
      <c r="P134" s="111">
        <f>O$134*'Population Treasury'!AA$181*'Statistics NZ'!AA$463/('Population Treasury'!Z$181*'Statistics NZ'!Z$463)</f>
        <v>10428.144563420716</v>
      </c>
      <c r="Q134" s="111">
        <f>P$134*'Population Treasury'!AB$181*'Statistics NZ'!AB$463/('Population Treasury'!AA$181*'Statistics NZ'!AA$463)</f>
        <v>10780.485129509399</v>
      </c>
      <c r="R134" s="111">
        <f>Q$134*'Population Treasury'!AC$181*'Statistics NZ'!AC$463/('Population Treasury'!AB$181*'Statistics NZ'!AB$463)</f>
        <v>11189.153368819905</v>
      </c>
      <c r="S134" s="111">
        <f>R$134*'Population Treasury'!AD$181*'Statistics NZ'!AD$463/('Population Treasury'!AC$181*'Statistics NZ'!AC$463)</f>
        <v>11366.414737288436</v>
      </c>
      <c r="T134" s="111">
        <f>S$134*'Population Treasury'!AE$181*'Statistics NZ'!AE$463/('Population Treasury'!AD$181*'Statistics NZ'!AD$463)</f>
        <v>11320.768833769565</v>
      </c>
      <c r="U134" s="111">
        <f>T$134*'Population Treasury'!AF$181*'Statistics NZ'!AF$463/('Population Treasury'!AE$181*'Statistics NZ'!AE$463)</f>
        <v>11149.804352876685</v>
      </c>
      <c r="V134" s="111">
        <f>U$134*'Population Treasury'!AG$181*'Statistics NZ'!AG$463/('Population Treasury'!AF$181*'Statistics NZ'!AF$463)</f>
        <v>11066.579791256159</v>
      </c>
      <c r="W134" s="111">
        <f>V$134*'Population Treasury'!AH$181*'Statistics NZ'!AH$463/('Population Treasury'!AG$181*'Statistics NZ'!AG$463)</f>
        <v>11150.634284825754</v>
      </c>
      <c r="X134" s="111">
        <f>W$134*'Population Treasury'!AI$181*'Statistics NZ'!AI$463/('Population Treasury'!AH$181*'Statistics NZ'!AH$463)</f>
        <v>11418.424351795804</v>
      </c>
      <c r="Y134" s="111">
        <f>X$134*'Population Treasury'!AJ$181*'Statistics NZ'!AJ$463/('Population Treasury'!AI$181*'Statistics NZ'!AI$463)</f>
        <v>11716.699381630659</v>
      </c>
      <c r="Z134" s="111">
        <f>Y$134*'Population Treasury'!AK$181*'Statistics NZ'!AK$463/('Population Treasury'!AJ$181*'Statistics NZ'!AJ$463)</f>
        <v>11800.419093944609</v>
      </c>
      <c r="AA134" s="111">
        <f>Z$134*'Population Treasury'!AL$181*'Statistics NZ'!AL$463/('Population Treasury'!AK$181*'Statistics NZ'!AK$463)</f>
        <v>12070.363533966007</v>
      </c>
      <c r="AB134" s="111">
        <f>AA$134*'Population Treasury'!AM$181*'Statistics NZ'!AM$463/('Population Treasury'!AL$181*'Statistics NZ'!AL$463)</f>
        <v>12118.870365098554</v>
      </c>
      <c r="AC134" s="111">
        <f>AB$134*'Population Treasury'!AN$181*'Statistics NZ'!AN$463/('Population Treasury'!AM$181*'Statistics NZ'!AM$463)</f>
        <v>11831.487825069516</v>
      </c>
      <c r="AD134" s="111">
        <f>AC$134*'Population Treasury'!AO$181*'Statistics NZ'!AO$463/('Population Treasury'!AN$181*'Statistics NZ'!AN$463)</f>
        <v>11428.687942342453</v>
      </c>
      <c r="AE134" s="111">
        <f>AD$134*'Population Treasury'!AP$181*'Statistics NZ'!AP$463/('Population Treasury'!AO$181*'Statistics NZ'!AO$463)</f>
        <v>11128.513537638932</v>
      </c>
      <c r="AF134" s="111">
        <f>AE$134*'Population Treasury'!AQ$181*'Statistics NZ'!AQ$463/('Population Treasury'!AP$181*'Statistics NZ'!AP$463)</f>
        <v>10962.401816773459</v>
      </c>
      <c r="AG134" s="111">
        <f>AF$134*'Population Treasury'!AR$181*'Statistics NZ'!AR$463/('Population Treasury'!AQ$181*'Statistics NZ'!AQ$463)</f>
        <v>11052.275028367085</v>
      </c>
      <c r="AH134" s="111">
        <f>AG$134*'Population Treasury'!AS$181*'Statistics NZ'!AS$463/('Population Treasury'!AR$181*'Statistics NZ'!AR$463)</f>
        <v>10974.385439045967</v>
      </c>
      <c r="AI134" s="111">
        <f>AH$134*'Population Treasury'!AT$181*'Statistics NZ'!AT$463/('Population Treasury'!AS$181*'Statistics NZ'!AS$463)</f>
        <v>11390.539983758777</v>
      </c>
      <c r="AJ134" s="111">
        <f>AI$134*'Population Treasury'!AU$181*'Statistics NZ'!AU$463/('Population Treasury'!AT$181*'Statistics NZ'!AT$463)</f>
        <v>11687.853726710648</v>
      </c>
      <c r="AK134" s="111">
        <f>AJ$134*'Population Treasury'!AV$181*'Statistics NZ'!AV$463/('Population Treasury'!AU$181*'Statistics NZ'!AU$463)</f>
        <v>11966.329565460499</v>
      </c>
      <c r="AL134" s="111">
        <f>AK$134*'Population Treasury'!AW$181*'Statistics NZ'!AW$463/('Population Treasury'!AV$181*'Statistics NZ'!AV$463)</f>
        <v>12283.589708116044</v>
      </c>
      <c r="AM134" s="111">
        <f>AL$134*'Population Treasury'!AX$181*'Statistics NZ'!AX$463/('Population Treasury'!AW$181*'Statistics NZ'!AW$463)</f>
        <v>12656.770355967177</v>
      </c>
      <c r="AN134" s="111">
        <f>AM$134*'Population Treasury'!AY$181*'Statistics NZ'!AY$463/('Population Treasury'!AX$181*'Statistics NZ'!AX$463)</f>
        <v>12881.745781629317</v>
      </c>
      <c r="AO134" s="111">
        <f>AN$134*'Population Treasury'!AZ$181*'Statistics NZ'!AZ$463/('Population Treasury'!AY$181*'Statistics NZ'!AY$463)</f>
        <v>13043.780451125233</v>
      </c>
      <c r="AP134" s="111">
        <f>AO$134*'Population Treasury'!BA$181*'Statistics NZ'!BA$463/('Population Treasury'!AZ$181*'Statistics NZ'!AZ$463)</f>
        <v>13413.389431261256</v>
      </c>
      <c r="AQ134" s="111">
        <f>AP$134*'Population Treasury'!BB$181*'Statistics NZ'!BB$463/('Population Treasury'!BA$181*'Statistics NZ'!BA$463)</f>
        <v>14080.907831530792</v>
      </c>
      <c r="AR134" s="111">
        <f>AQ$134*'Population Treasury'!BC$181*'Statistics NZ'!BC$463/('Population Treasury'!BB$181*'Statistics NZ'!BB$463)</f>
        <v>14588.356049347922</v>
      </c>
      <c r="AS134" s="111">
        <f>AR$134*'Population Treasury'!BD$181*'Statistics NZ'!BD$463/('Population Treasury'!BC$181*'Statistics NZ'!BC$463)</f>
        <v>14993.11997739558</v>
      </c>
      <c r="AT134" s="111">
        <f>AS$134*'Population Treasury'!BE$181*'Statistics NZ'!BE$463/('Population Treasury'!BD$181*'Statistics NZ'!BD$463)</f>
        <v>15712.214475878129</v>
      </c>
      <c r="AU134" s="111">
        <f>AT$134*'Population Treasury'!BF$181*'Statistics NZ'!BF$463/('Population Treasury'!BE$181*'Statistics NZ'!BE$463)</f>
        <v>16029.785532079894</v>
      </c>
      <c r="AV134" s="111">
        <f>AU$134*'Population Treasury'!BG$181*'Statistics NZ'!BG$463/('Population Treasury'!BF$181*'Statistics NZ'!BF$463)</f>
        <v>16106.580054650864</v>
      </c>
      <c r="AW134" s="111">
        <f>AV$134*'Population Treasury'!BH$181*'Statistics NZ'!BH$463/('Population Treasury'!BG$181*'Statistics NZ'!BG$463)</f>
        <v>15998.946872713452</v>
      </c>
      <c r="AX134" s="111">
        <f>AW$134*'Population Treasury'!BI$181*'Statistics NZ'!BI$463/('Population Treasury'!BH$181*'Statistics NZ'!BH$463)</f>
        <v>15562.852167035942</v>
      </c>
      <c r="AY134" s="111">
        <f>AX$134*'Population Treasury'!BJ$181*'Statistics NZ'!BJ$463/('Population Treasury'!BI$181*'Statistics NZ'!BI$463)</f>
        <v>15564.425215495958</v>
      </c>
      <c r="AZ134" s="111">
        <f>AY$134*'Population Treasury'!BK$181*'Statistics NZ'!BK$463/('Population Treasury'!BJ$181*'Statistics NZ'!BJ$463)</f>
        <v>15510.325149528433</v>
      </c>
      <c r="BA134" s="111">
        <f>AZ$134*'Population Treasury'!BL$181*'Statistics NZ'!BL$463/('Population Treasury'!BK$181*'Statistics NZ'!BK$463)</f>
        <v>15059.906887292886</v>
      </c>
      <c r="BB134" s="195">
        <f>BA$134*'Population Treasury'!BM$181*'Statistics NZ'!BM$463/('Population Treasury'!BL$181*'Statistics NZ'!BL$463)</f>
        <v>15037.23158327394</v>
      </c>
      <c r="BC134" s="195">
        <f>BB$134*'Population Treasury'!BN$181*'Statistics NZ'!BN$463/('Population Treasury'!BM$181*'Statistics NZ'!BM$463)</f>
        <v>14728.099835372008</v>
      </c>
      <c r="BD134" s="195">
        <f>BC$134*'Population Treasury'!BO$181*'Statistics NZ'!BO$463/('Population Treasury'!BN$181*'Statistics NZ'!BN$463)</f>
        <v>15015.279032390941</v>
      </c>
      <c r="BE134" s="195">
        <f>BD$134*'Population Treasury'!BP$181*'Statistics NZ'!BP$463/('Population Treasury'!BO$181*'Statistics NZ'!BO$463)</f>
        <v>14866.405308932524</v>
      </c>
      <c r="BF134" s="195">
        <f>BE$134*'Population Treasury'!BQ$181*'Statistics NZ'!BQ$463/('Population Treasury'!BP$181*'Statistics NZ'!BP$463)</f>
        <v>14400.088350893389</v>
      </c>
    </row>
    <row r="135" spans="1:58">
      <c r="A135" s="124">
        <f>$A$67</f>
        <v>72</v>
      </c>
      <c r="B135" s="118">
        <f>'Population Treasury'!M$182*'Statistics NZ'!M$464*'Economic Forecasts'!O$8/B$7</f>
        <v>4772.0814841914125</v>
      </c>
      <c r="C135" s="118">
        <f>'Population Treasury'!N$182*'Statistics NZ'!N$464*'Economic Forecasts'!P$8/C$7</f>
        <v>5205.2829529933251</v>
      </c>
      <c r="D135" s="118">
        <f>'Population Treasury'!O$182*'Statistics NZ'!O$464*'Economic Forecasts'!Q$8/D$7</f>
        <v>6147.8161840963094</v>
      </c>
      <c r="E135" s="203">
        <f>'Population Treasury'!P$182*'Statistics NZ'!P$464*'Economic Forecasts'!R$8/E$7</f>
        <v>6274.0719893822907</v>
      </c>
      <c r="F135" s="121">
        <f>'Population Treasury'!Q$182*'Statistics NZ'!Q$464*'Economic Forecasts'!S$8/F$7</f>
        <v>6382.2967252315357</v>
      </c>
      <c r="G135" s="121">
        <f>'Population Treasury'!R$182*'Statistics NZ'!R$464*'Economic Forecasts'!T$8/G$7</f>
        <v>6576.3621944251336</v>
      </c>
      <c r="H135" s="121">
        <f>'Population Treasury'!S$182*'Statistics NZ'!S$464*'Economic Forecasts'!U$8/H$7</f>
        <v>6747.0500536657628</v>
      </c>
      <c r="I135" s="121">
        <f>'Population Treasury'!T$182*'Statistics NZ'!T$464*'Economic Forecasts'!V$8/I$7</f>
        <v>6982.3074684721932</v>
      </c>
      <c r="J135" s="205">
        <f>'Population Treasury'!U$182*'Statistics NZ'!U$464*'Economic Forecasts'!W$8/J$7</f>
        <v>7175.6023628260746</v>
      </c>
      <c r="K135" s="111">
        <f>J$135*'Population Treasury'!V$182*'Statistics NZ'!V$464/('Population Treasury'!U$182*'Statistics NZ'!U$464)</f>
        <v>7482.062125786194</v>
      </c>
      <c r="L135" s="111">
        <f>K$135*'Population Treasury'!W$182*'Statistics NZ'!W$464/('Population Treasury'!V$182*'Statistics NZ'!V$464)</f>
        <v>7744.5568763107822</v>
      </c>
      <c r="M135" s="111">
        <f>L$135*'Population Treasury'!X$182*'Statistics NZ'!X$464/('Population Treasury'!W$182*'Statistics NZ'!W$464)</f>
        <v>8036.3044073965939</v>
      </c>
      <c r="N135" s="111">
        <f>M$135*'Population Treasury'!Y$182*'Statistics NZ'!Y$464/('Population Treasury'!X$182*'Statistics NZ'!X$464)</f>
        <v>8301.2641681102414</v>
      </c>
      <c r="O135" s="111">
        <f>N$135*'Population Treasury'!Z$182*'Statistics NZ'!Z$464/('Population Treasury'!Y$182*'Statistics NZ'!Y$464)</f>
        <v>8580.0510383208421</v>
      </c>
      <c r="P135" s="111">
        <f>O$135*'Population Treasury'!AA$182*'Statistics NZ'!AA$464/('Population Treasury'!Z$182*'Statistics NZ'!Z$464)</f>
        <v>9035.8928593473702</v>
      </c>
      <c r="Q135" s="111">
        <f>P$135*'Population Treasury'!AB$182*'Statistics NZ'!AB$464/('Population Treasury'!AA$182*'Statistics NZ'!AA$464)</f>
        <v>9254.4614079974435</v>
      </c>
      <c r="R135" s="111">
        <f>Q$135*'Population Treasury'!AC$182*'Statistics NZ'!AC$464/('Population Treasury'!AB$182*'Statistics NZ'!AB$464)</f>
        <v>9569.9564054135499</v>
      </c>
      <c r="S135" s="111">
        <f>R$135*'Population Treasury'!AD$182*'Statistics NZ'!AD$464/('Population Treasury'!AC$182*'Statistics NZ'!AC$464)</f>
        <v>9946.2064254375764</v>
      </c>
      <c r="T135" s="111">
        <f>S$135*'Population Treasury'!AE$182*'Statistics NZ'!AE$464/('Population Treasury'!AD$182*'Statistics NZ'!AD$464)</f>
        <v>10101.786932278032</v>
      </c>
      <c r="U135" s="111">
        <f>T$135*'Population Treasury'!AF$182*'Statistics NZ'!AF$464/('Population Treasury'!AE$182*'Statistics NZ'!AE$464)</f>
        <v>10064.477200732455</v>
      </c>
      <c r="V135" s="111">
        <f>U$135*'Population Treasury'!AG$182*'Statistics NZ'!AG$464/('Population Treasury'!AF$182*'Statistics NZ'!AF$464)</f>
        <v>9913.5856756068079</v>
      </c>
      <c r="W135" s="111">
        <f>V$135*'Population Treasury'!AH$182*'Statistics NZ'!AH$464/('Population Treasury'!AG$182*'Statistics NZ'!AG$464)</f>
        <v>9848.4709624812913</v>
      </c>
      <c r="X135" s="111">
        <f>W$135*'Population Treasury'!AI$182*'Statistics NZ'!AI$464/('Population Treasury'!AH$182*'Statistics NZ'!AH$464)</f>
        <v>9919.320154916637</v>
      </c>
      <c r="Y135" s="111">
        <f>X$135*'Population Treasury'!AJ$182*'Statistics NZ'!AJ$464/('Population Treasury'!AI$182*'Statistics NZ'!AI$464)</f>
        <v>10158.919319392802</v>
      </c>
      <c r="Z135" s="111">
        <f>Y$135*'Population Treasury'!AK$182*'Statistics NZ'!AK$464/('Population Treasury'!AJ$182*'Statistics NZ'!AJ$464)</f>
        <v>10427.315911387217</v>
      </c>
      <c r="AA135" s="111">
        <f>Z$135*'Population Treasury'!AL$182*'Statistics NZ'!AL$464/('Population Treasury'!AK$182*'Statistics NZ'!AK$464)</f>
        <v>10498.737606782954</v>
      </c>
      <c r="AB135" s="111">
        <f>AA$135*'Population Treasury'!AM$182*'Statistics NZ'!AM$464/('Population Treasury'!AL$182*'Statistics NZ'!AL$464)</f>
        <v>10740.592388039338</v>
      </c>
      <c r="AC135" s="111">
        <f>AB$135*'Population Treasury'!AN$182*'Statistics NZ'!AN$464/('Population Treasury'!AM$182*'Statistics NZ'!AM$464)</f>
        <v>10791.604624451325</v>
      </c>
      <c r="AD135" s="111">
        <f>AC$135*'Population Treasury'!AO$182*'Statistics NZ'!AO$464/('Population Treasury'!AN$182*'Statistics NZ'!AN$464)</f>
        <v>10534.254954438526</v>
      </c>
      <c r="AE135" s="111">
        <f>AD$135*'Population Treasury'!AP$182*'Statistics NZ'!AP$464/('Population Treasury'!AO$182*'Statistics NZ'!AO$464)</f>
        <v>10172.214991975825</v>
      </c>
      <c r="AF135" s="111">
        <f>AE$135*'Population Treasury'!AQ$182*'Statistics NZ'!AQ$464/('Population Treasury'!AP$182*'Statistics NZ'!AP$464)</f>
        <v>9911.6891106146686</v>
      </c>
      <c r="AG135" s="111">
        <f>AF$135*'Population Treasury'!AR$182*'Statistics NZ'!AR$464/('Population Treasury'!AQ$182*'Statistics NZ'!AQ$464)</f>
        <v>9772.0121685250797</v>
      </c>
      <c r="AH135" s="111">
        <f>AG$135*'Population Treasury'!AS$182*'Statistics NZ'!AS$464/('Population Treasury'!AR$182*'Statistics NZ'!AR$464)</f>
        <v>9853.7613161759564</v>
      </c>
      <c r="AI135" s="111">
        <f>AH$135*'Population Treasury'!AT$182*'Statistics NZ'!AT$464/('Population Treasury'!AS$182*'Statistics NZ'!AS$464)</f>
        <v>9773.092053248236</v>
      </c>
      <c r="AJ135" s="111">
        <f>AI$135*'Population Treasury'!AU$182*'Statistics NZ'!AU$464/('Population Treasury'!AT$182*'Statistics NZ'!AT$464)</f>
        <v>10146.389813859401</v>
      </c>
      <c r="AK135" s="111">
        <f>AJ$135*'Population Treasury'!AV$182*'Statistics NZ'!AV$464/('Population Treasury'!AU$182*'Statistics NZ'!AU$464)</f>
        <v>10415.025401975008</v>
      </c>
      <c r="AL135" s="111">
        <f>AK$135*'Population Treasury'!AW$182*'Statistics NZ'!AW$464/('Population Treasury'!AV$182*'Statistics NZ'!AV$464)</f>
        <v>10666.829688331001</v>
      </c>
      <c r="AM135" s="111">
        <f>AL$135*'Population Treasury'!AX$182*'Statistics NZ'!AX$464/('Population Treasury'!AW$182*'Statistics NZ'!AW$464)</f>
        <v>10952.0645962168</v>
      </c>
      <c r="AN135" s="111">
        <f>AM$135*'Population Treasury'!AY$182*'Statistics NZ'!AY$464/('Population Treasury'!AX$182*'Statistics NZ'!AX$464)</f>
        <v>11292.504100046821</v>
      </c>
      <c r="AO135" s="111">
        <f>AN$135*'Population Treasury'!AZ$182*'Statistics NZ'!AZ$464/('Population Treasury'!AY$182*'Statistics NZ'!AY$464)</f>
        <v>11485.645801491708</v>
      </c>
      <c r="AP135" s="111">
        <f>AO$135*'Population Treasury'!BA$182*'Statistics NZ'!BA$464/('Population Treasury'!AZ$182*'Statistics NZ'!AZ$464)</f>
        <v>11632.973195084334</v>
      </c>
      <c r="AQ135" s="111">
        <f>AP$135*'Population Treasury'!BB$182*'Statistics NZ'!BB$464/('Population Treasury'!BA$182*'Statistics NZ'!BA$464)</f>
        <v>11966.889549407702</v>
      </c>
      <c r="AR135" s="111">
        <f>AQ$135*'Population Treasury'!BC$182*'Statistics NZ'!BC$464/('Population Treasury'!BB$182*'Statistics NZ'!BB$464)</f>
        <v>12559.290667165396</v>
      </c>
      <c r="AS135" s="111">
        <f>AR$135*'Population Treasury'!BD$182*'Statistics NZ'!BD$464/('Population Treasury'!BC$182*'Statistics NZ'!BC$464)</f>
        <v>13025.739012547052</v>
      </c>
      <c r="AT135" s="111">
        <f>AS$135*'Population Treasury'!BE$182*'Statistics NZ'!BE$464/('Population Treasury'!BD$182*'Statistics NZ'!BD$464)</f>
        <v>13379.554938932233</v>
      </c>
      <c r="AU135" s="111">
        <f>AT$135*'Population Treasury'!BF$182*'Statistics NZ'!BF$464/('Population Treasury'!BE$182*'Statistics NZ'!BE$464)</f>
        <v>14023.829469419723</v>
      </c>
      <c r="AV135" s="111">
        <f>AU$135*'Population Treasury'!BG$182*'Statistics NZ'!BG$464/('Population Treasury'!BF$182*'Statistics NZ'!BF$464)</f>
        <v>14307.021495933181</v>
      </c>
      <c r="AW135" s="111">
        <f>AV$135*'Population Treasury'!BH$182*'Statistics NZ'!BH$464/('Population Treasury'!BG$182*'Statistics NZ'!BG$464)</f>
        <v>14381.781177815403</v>
      </c>
      <c r="AX135" s="111">
        <f>AW$135*'Population Treasury'!BI$182*'Statistics NZ'!BI$464/('Population Treasury'!BH$182*'Statistics NZ'!BH$464)</f>
        <v>14283.171903952076</v>
      </c>
      <c r="AY135" s="111">
        <f>AX$135*'Population Treasury'!BJ$182*'Statistics NZ'!BJ$464/('Population Treasury'!BI$182*'Statistics NZ'!BI$464)</f>
        <v>13903.508678536171</v>
      </c>
      <c r="AZ135" s="111">
        <f>AY$135*'Population Treasury'!BK$182*'Statistics NZ'!BK$464/('Population Treasury'!BJ$182*'Statistics NZ'!BJ$464)</f>
        <v>13894.488986294995</v>
      </c>
      <c r="BA135" s="111">
        <f>AZ$135*'Population Treasury'!BL$182*'Statistics NZ'!BL$464/('Population Treasury'!BK$182*'Statistics NZ'!BK$464)</f>
        <v>13856.068714211449</v>
      </c>
      <c r="BB135" s="195">
        <f>BA$135*'Population Treasury'!BM$182*'Statistics NZ'!BM$464/('Population Treasury'!BL$182*'Statistics NZ'!BL$464)</f>
        <v>13456.303241295167</v>
      </c>
      <c r="BC135" s="195">
        <f>BB$135*'Population Treasury'!BN$182*'Statistics NZ'!BN$464/('Population Treasury'!BM$182*'Statistics NZ'!BM$464)</f>
        <v>13432.940656998488</v>
      </c>
      <c r="BD135" s="195">
        <f>BC$135*'Population Treasury'!BO$182*'Statistics NZ'!BO$464/('Population Treasury'!BN$182*'Statistics NZ'!BN$464)</f>
        <v>13157.248072122507</v>
      </c>
      <c r="BE135" s="195">
        <f>BD$135*'Population Treasury'!BP$182*'Statistics NZ'!BP$464/('Population Treasury'!BO$182*'Statistics NZ'!BO$464)</f>
        <v>13412.389923782048</v>
      </c>
      <c r="BF135" s="195">
        <f>BE$135*'Population Treasury'!BQ$182*'Statistics NZ'!BQ$464/('Population Treasury'!BP$182*'Statistics NZ'!BP$464)</f>
        <v>13288.392747664177</v>
      </c>
    </row>
    <row r="136" spans="1:58">
      <c r="A136" s="124">
        <f>$A$68</f>
        <v>73</v>
      </c>
      <c r="B136" s="118">
        <f>'Population Treasury'!M$183*'Statistics NZ'!M$465*'Economic Forecasts'!O$8/B$7</f>
        <v>3984.579331671308</v>
      </c>
      <c r="C136" s="118">
        <f>'Population Treasury'!N$183*'Statistics NZ'!N$465*'Economic Forecasts'!P$8/C$7</f>
        <v>4248.0295405313282</v>
      </c>
      <c r="D136" s="118">
        <f>'Population Treasury'!O$183*'Statistics NZ'!O$465*'Economic Forecasts'!Q$8/D$7</f>
        <v>4548.5888722525142</v>
      </c>
      <c r="E136" s="203">
        <f>'Population Treasury'!P$183*'Statistics NZ'!P$465*'Economic Forecasts'!R$8/E$7</f>
        <v>5435.9498091559017</v>
      </c>
      <c r="F136" s="121">
        <f>'Population Treasury'!Q$183*'Statistics NZ'!Q$465*'Economic Forecasts'!S$8/F$7</f>
        <v>5571.3806600183188</v>
      </c>
      <c r="G136" s="121">
        <f>'Population Treasury'!R$183*'Statistics NZ'!R$465*'Economic Forecasts'!T$8/G$7</f>
        <v>5698.3150736476919</v>
      </c>
      <c r="H136" s="121">
        <f>'Population Treasury'!S$183*'Statistics NZ'!S$465*'Economic Forecasts'!U$8/H$7</f>
        <v>5857.4169306579588</v>
      </c>
      <c r="I136" s="121">
        <f>'Population Treasury'!T$183*'Statistics NZ'!T$465*'Economic Forecasts'!V$8/I$7</f>
        <v>6010.0867680579049</v>
      </c>
      <c r="J136" s="205">
        <f>'Population Treasury'!U$183*'Statistics NZ'!U$465*'Economic Forecasts'!W$8/J$7</f>
        <v>6214.9528889970206</v>
      </c>
      <c r="K136" s="111">
        <f>J$136*'Population Treasury'!V$183*'Statistics NZ'!V$465/('Population Treasury'!U$183*'Statistics NZ'!U$465)</f>
        <v>6370.155689457828</v>
      </c>
      <c r="L136" s="111">
        <f>K$136*'Population Treasury'!W$183*'Statistics NZ'!W$465/('Population Treasury'!V$183*'Statistics NZ'!V$465)</f>
        <v>6645.4849011045262</v>
      </c>
      <c r="M136" s="111">
        <f>L$136*'Population Treasury'!X$183*'Statistics NZ'!X$465/('Population Treasury'!W$183*'Statistics NZ'!W$465)</f>
        <v>6880.013043957304</v>
      </c>
      <c r="N136" s="111">
        <f>M$136*'Population Treasury'!Y$183*'Statistics NZ'!Y$465/('Population Treasury'!X$183*'Statistics NZ'!X$465)</f>
        <v>7135.775915152677</v>
      </c>
      <c r="O136" s="111">
        <f>N$136*'Population Treasury'!Z$183*'Statistics NZ'!Z$465/('Population Treasury'!Y$183*'Statistics NZ'!Y$465)</f>
        <v>7381.7974443231324</v>
      </c>
      <c r="P136" s="111">
        <f>O$136*'Population Treasury'!AA$183*'Statistics NZ'!AA$465/('Population Treasury'!Z$183*'Statistics NZ'!Z$465)</f>
        <v>7633.0761152887935</v>
      </c>
      <c r="Q136" s="111">
        <f>P$136*'Population Treasury'!AB$183*'Statistics NZ'!AB$465/('Population Treasury'!AA$183*'Statistics NZ'!AA$465)</f>
        <v>8032.1998043227341</v>
      </c>
      <c r="R136" s="111">
        <f>Q$136*'Population Treasury'!AC$183*'Statistics NZ'!AC$465/('Population Treasury'!AB$183*'Statistics NZ'!AB$465)</f>
        <v>8235.6921767038111</v>
      </c>
      <c r="S136" s="111">
        <f>R$136*'Population Treasury'!AD$183*'Statistics NZ'!AD$465/('Population Treasury'!AC$183*'Statistics NZ'!AC$465)</f>
        <v>8516.8354506781579</v>
      </c>
      <c r="T136" s="111">
        <f>S$136*'Population Treasury'!AE$183*'Statistics NZ'!AE$465/('Population Treasury'!AD$183*'Statistics NZ'!AD$465)</f>
        <v>8852.4584731868381</v>
      </c>
      <c r="U136" s="111">
        <f>T$136*'Population Treasury'!AF$183*'Statistics NZ'!AF$465/('Population Treasury'!AE$183*'Statistics NZ'!AE$465)</f>
        <v>8991.7818952992875</v>
      </c>
      <c r="V136" s="111">
        <f>U$136*'Population Treasury'!AG$183*'Statistics NZ'!AG$465/('Population Treasury'!AF$183*'Statistics NZ'!AF$465)</f>
        <v>8955.8607409339602</v>
      </c>
      <c r="W136" s="111">
        <f>V$136*'Population Treasury'!AH$183*'Statistics NZ'!AH$465/('Population Treasury'!AG$183*'Statistics NZ'!AG$465)</f>
        <v>8826.5259752010443</v>
      </c>
      <c r="X136" s="111">
        <f>W$136*'Population Treasury'!AI$183*'Statistics NZ'!AI$465/('Population Treasury'!AH$183*'Statistics NZ'!AH$465)</f>
        <v>8775.0178391051759</v>
      </c>
      <c r="Y136" s="111">
        <f>X$136*'Population Treasury'!AJ$183*'Statistics NZ'!AJ$465/('Population Treasury'!AI$183*'Statistics NZ'!AI$465)</f>
        <v>8837.8864830745697</v>
      </c>
      <c r="Z136" s="111">
        <f>Y$136*'Population Treasury'!AK$183*'Statistics NZ'!AK$465/('Population Treasury'!AJ$183*'Statistics NZ'!AJ$465)</f>
        <v>9053.548118313518</v>
      </c>
      <c r="AA136" s="111">
        <f>Z$136*'Population Treasury'!AL$183*'Statistics NZ'!AL$465/('Population Treasury'!AK$183*'Statistics NZ'!AK$465)</f>
        <v>9300.5701019298431</v>
      </c>
      <c r="AB136" s="111">
        <f>AA$136*'Population Treasury'!AM$183*'Statistics NZ'!AM$465/('Population Treasury'!AL$183*'Statistics NZ'!AL$465)</f>
        <v>9365.0317700348023</v>
      </c>
      <c r="AC136" s="111">
        <f>AB$136*'Population Treasury'!AN$183*'Statistics NZ'!AN$465/('Population Treasury'!AM$183*'Statistics NZ'!AM$465)</f>
        <v>9585.6970992282168</v>
      </c>
      <c r="AD136" s="111">
        <f>AC$136*'Population Treasury'!AO$183*'Statistics NZ'!AO$465/('Population Treasury'!AN$183*'Statistics NZ'!AN$465)</f>
        <v>9632.8285944588424</v>
      </c>
      <c r="AE136" s="111">
        <f>AD$136*'Population Treasury'!AP$183*'Statistics NZ'!AP$465/('Population Treasury'!AO$183*'Statistics NZ'!AO$465)</f>
        <v>9398.7489296424446</v>
      </c>
      <c r="AF136" s="111">
        <f>AE$136*'Population Treasury'!AQ$183*'Statistics NZ'!AQ$465/('Population Treasury'!AP$183*'Statistics NZ'!AP$465)</f>
        <v>9083.2217858586228</v>
      </c>
      <c r="AG136" s="111">
        <f>AF$136*'Population Treasury'!AR$183*'Statistics NZ'!AR$465/('Population Treasury'!AQ$183*'Statistics NZ'!AQ$465)</f>
        <v>8837.8664951252376</v>
      </c>
      <c r="AH136" s="111">
        <f>AG$136*'Population Treasury'!AS$183*'Statistics NZ'!AS$465/('Population Treasury'!AR$183*'Statistics NZ'!AR$465)</f>
        <v>8714.0540196971888</v>
      </c>
      <c r="AI136" s="111">
        <f>AH$136*'Population Treasury'!AT$183*'Statistics NZ'!AT$465/('Population Treasury'!AS$183*'Statistics NZ'!AS$465)</f>
        <v>8799.8437125694381</v>
      </c>
      <c r="AJ136" s="111">
        <f>AI$136*'Population Treasury'!AU$183*'Statistics NZ'!AU$465/('Population Treasury'!AT$183*'Statistics NZ'!AT$465)</f>
        <v>8732.7880909556079</v>
      </c>
      <c r="AK136" s="111">
        <f>AJ$136*'Population Treasury'!AV$183*'Statistics NZ'!AV$465/('Population Treasury'!AU$183*'Statistics NZ'!AU$465)</f>
        <v>9061.2703253693162</v>
      </c>
      <c r="AL136" s="111">
        <f>AK$136*'Population Treasury'!AW$183*'Statistics NZ'!AW$465/('Population Treasury'!AV$183*'Statistics NZ'!AV$465)</f>
        <v>9302.0276436793392</v>
      </c>
      <c r="AM136" s="111">
        <f>AL$136*'Population Treasury'!AX$183*'Statistics NZ'!AX$465/('Population Treasury'!AW$183*'Statistics NZ'!AW$465)</f>
        <v>9526.2510472966096</v>
      </c>
      <c r="AN136" s="111">
        <f>AM$136*'Population Treasury'!AY$183*'Statistics NZ'!AY$465/('Population Treasury'!AX$183*'Statistics NZ'!AX$465)</f>
        <v>9781.9812128435933</v>
      </c>
      <c r="AO136" s="111">
        <f>AN$136*'Population Treasury'!AZ$183*'Statistics NZ'!AZ$465/('Population Treasury'!AY$183*'Statistics NZ'!AY$465)</f>
        <v>10084.940967576315</v>
      </c>
      <c r="AP136" s="111">
        <f>AO$136*'Population Treasury'!BA$183*'Statistics NZ'!BA$465/('Population Treasury'!AZ$183*'Statistics NZ'!AZ$465)</f>
        <v>10261.107554679271</v>
      </c>
      <c r="AQ136" s="111">
        <f>AP$136*'Population Treasury'!BB$183*'Statistics NZ'!BB$465/('Population Treasury'!BA$183*'Statistics NZ'!BA$465)</f>
        <v>10395.673406216263</v>
      </c>
      <c r="AR136" s="111">
        <f>AQ$136*'Population Treasury'!BC$183*'Statistics NZ'!BC$465/('Population Treasury'!BB$183*'Statistics NZ'!BB$465)</f>
        <v>10695.865967951902</v>
      </c>
      <c r="AS136" s="111">
        <f>AR$136*'Population Treasury'!BD$183*'Statistics NZ'!BD$465/('Population Treasury'!BC$183*'Statistics NZ'!BC$465)</f>
        <v>11231.47874027672</v>
      </c>
      <c r="AT136" s="111">
        <f>AS$136*'Population Treasury'!BE$183*'Statistics NZ'!BE$465/('Population Treasury'!BD$183*'Statistics NZ'!BD$465)</f>
        <v>11651.0226400875</v>
      </c>
      <c r="AU136" s="111">
        <f>AT$136*'Population Treasury'!BF$183*'Statistics NZ'!BF$465/('Population Treasury'!BE$183*'Statistics NZ'!BE$465)</f>
        <v>11969.645285945691</v>
      </c>
      <c r="AV136" s="111">
        <f>AU$136*'Population Treasury'!BG$183*'Statistics NZ'!BG$465/('Population Treasury'!BF$183*'Statistics NZ'!BF$465)</f>
        <v>12547.069302250431</v>
      </c>
      <c r="AW136" s="111">
        <f>AV$136*'Population Treasury'!BH$183*'Statistics NZ'!BH$465/('Population Treasury'!BG$183*'Statistics NZ'!BG$465)</f>
        <v>12800.06740195476</v>
      </c>
      <c r="AX136" s="111">
        <f>AW$136*'Population Treasury'!BI$183*'Statistics NZ'!BI$465/('Population Treasury'!BH$183*'Statistics NZ'!BH$465)</f>
        <v>12868.289801714149</v>
      </c>
      <c r="AY136" s="111">
        <f>AX$136*'Population Treasury'!BJ$183*'Statistics NZ'!BJ$465/('Population Treasury'!BI$183*'Statistics NZ'!BI$465)</f>
        <v>12785.101624879797</v>
      </c>
      <c r="AZ136" s="111">
        <f>AY$136*'Population Treasury'!BK$183*'Statistics NZ'!BK$465/('Population Treasury'!BJ$183*'Statistics NZ'!BJ$465)</f>
        <v>12435.343374712584</v>
      </c>
      <c r="BA136" s="111">
        <f>AZ$136*'Population Treasury'!BL$183*'Statistics NZ'!BL$465/('Population Treasury'!BK$183*'Statistics NZ'!BK$465)</f>
        <v>12446.854223839919</v>
      </c>
      <c r="BB136" s="195">
        <f>BA$136*'Population Treasury'!BM$183*'Statistics NZ'!BM$465/('Population Treasury'!BL$183*'Statistics NZ'!BL$465)</f>
        <v>12401.894602845243</v>
      </c>
      <c r="BC136" s="195">
        <f>BB$136*'Population Treasury'!BN$183*'Statistics NZ'!BN$465/('Population Treasury'!BM$183*'Statistics NZ'!BM$465)</f>
        <v>12047.247807242709</v>
      </c>
      <c r="BD136" s="195">
        <f>BC$136*'Population Treasury'!BO$183*'Statistics NZ'!BO$465/('Population Treasury'!BN$183*'Statistics NZ'!BN$465)</f>
        <v>12031.936382399505</v>
      </c>
      <c r="BE136" s="195">
        <f>BD$136*'Population Treasury'!BP$183*'Statistics NZ'!BP$465/('Population Treasury'!BO$183*'Statistics NZ'!BO$465)</f>
        <v>11788.284872665286</v>
      </c>
      <c r="BF136" s="195">
        <f>BE$136*'Population Treasury'!BQ$183*'Statistics NZ'!BQ$465/('Population Treasury'!BP$183*'Statistics NZ'!BP$465)</f>
        <v>12021.306114675808</v>
      </c>
    </row>
    <row r="137" spans="1:58">
      <c r="A137" s="124">
        <f>$A$69</f>
        <v>74</v>
      </c>
      <c r="B137" s="118">
        <f>'Population Treasury'!M$184*'Statistics NZ'!M$466*'Economic Forecasts'!O$8/B$7</f>
        <v>3038.937653915701</v>
      </c>
      <c r="C137" s="118">
        <f>'Population Treasury'!N$184*'Statistics NZ'!N$466*'Economic Forecasts'!P$8/C$7</f>
        <v>3532.0387662556845</v>
      </c>
      <c r="D137" s="118">
        <f>'Population Treasury'!O$184*'Statistics NZ'!O$466*'Economic Forecasts'!Q$8/D$7</f>
        <v>3704.7395964504481</v>
      </c>
      <c r="E137" s="203">
        <f>'Population Treasury'!P$184*'Statistics NZ'!P$466*'Economic Forecasts'!R$8/E$7</f>
        <v>3996.1697900115569</v>
      </c>
      <c r="F137" s="121">
        <f>'Population Treasury'!Q$184*'Statistics NZ'!Q$466*'Economic Forecasts'!S$8/F$7</f>
        <v>4803.6248021838528</v>
      </c>
      <c r="G137" s="121">
        <f>'Population Treasury'!R$184*'Statistics NZ'!R$466*'Economic Forecasts'!T$8/G$7</f>
        <v>4945.2443283790499</v>
      </c>
      <c r="H137" s="121">
        <f>'Population Treasury'!S$184*'Statistics NZ'!S$466*'Economic Forecasts'!U$8/H$7</f>
        <v>5049.7133891194326</v>
      </c>
      <c r="I137" s="121">
        <f>'Population Treasury'!T$184*'Statistics NZ'!T$466*'Economic Forecasts'!V$8/I$7</f>
        <v>5183.3501539631434</v>
      </c>
      <c r="J137" s="205">
        <f>'Population Treasury'!U$184*'Statistics NZ'!U$466*'Economic Forecasts'!W$8/J$7</f>
        <v>5320.768424522892</v>
      </c>
      <c r="K137" s="111">
        <f>J$137*'Population Treasury'!V$184*'Statistics NZ'!V$466/('Population Treasury'!U$184*'Statistics NZ'!U$466)</f>
        <v>5496.5477877677567</v>
      </c>
      <c r="L137" s="111">
        <f>K$137*'Population Treasury'!W$184*'Statistics NZ'!W$466/('Population Treasury'!V$184*'Statistics NZ'!V$466)</f>
        <v>5636.2765063105426</v>
      </c>
      <c r="M137" s="111">
        <f>L$137*'Population Treasury'!X$184*'Statistics NZ'!X$466/('Population Treasury'!W$184*'Statistics NZ'!W$466)</f>
        <v>5875.8890654550078</v>
      </c>
      <c r="N137" s="111">
        <f>M$137*'Population Treasury'!Y$184*'Statistics NZ'!Y$466/('Population Treasury'!X$184*'Statistics NZ'!X$466)</f>
        <v>6084.2369929562137</v>
      </c>
      <c r="O137" s="111">
        <f>N$137*'Population Treasury'!Z$184*'Statistics NZ'!Z$466/('Population Treasury'!Y$184*'Statistics NZ'!Y$466)</f>
        <v>6313.8302845251555</v>
      </c>
      <c r="P137" s="111">
        <f>O$137*'Population Treasury'!AA$184*'Statistics NZ'!AA$466/('Population Treasury'!Z$184*'Statistics NZ'!Z$466)</f>
        <v>6530.6277984210456</v>
      </c>
      <c r="Q137" s="111">
        <f>P$137*'Population Treasury'!AB$184*'Statistics NZ'!AB$466/('Population Treasury'!AA$184*'Statistics NZ'!AA$466)</f>
        <v>6752.2649471628847</v>
      </c>
      <c r="R137" s="111">
        <f>Q$137*'Population Treasury'!AC$184*'Statistics NZ'!AC$466/('Population Treasury'!AB$184*'Statistics NZ'!AB$466)</f>
        <v>7112.3669119698125</v>
      </c>
      <c r="S137" s="111">
        <f>R$137*'Population Treasury'!AD$184*'Statistics NZ'!AD$466/('Population Treasury'!AC$184*'Statistics NZ'!AC$466)</f>
        <v>7293.9653991112173</v>
      </c>
      <c r="T137" s="111">
        <f>S$137*'Population Treasury'!AE$184*'Statistics NZ'!AE$466/('Population Treasury'!AD$184*'Statistics NZ'!AD$466)</f>
        <v>7545.1055699636527</v>
      </c>
      <c r="U137" s="111">
        <f>T$137*'Population Treasury'!AF$184*'Statistics NZ'!AF$466/('Population Treasury'!AE$184*'Statistics NZ'!AE$466)</f>
        <v>7841.1986663072148</v>
      </c>
      <c r="V137" s="111">
        <f>U$137*'Population Treasury'!AG$184*'Statistics NZ'!AG$466/('Population Treasury'!AF$184*'Statistics NZ'!AF$466)</f>
        <v>7965.8037053366725</v>
      </c>
      <c r="W137" s="111">
        <f>V$137*'Population Treasury'!AH$184*'Statistics NZ'!AH$466/('Population Treasury'!AG$184*'Statistics NZ'!AG$466)</f>
        <v>7944.5627211779301</v>
      </c>
      <c r="X137" s="111">
        <f>W$137*'Population Treasury'!AI$184*'Statistics NZ'!AI$466/('Population Treasury'!AH$184*'Statistics NZ'!AH$466)</f>
        <v>7824.1410669676088</v>
      </c>
      <c r="Y137" s="111">
        <f>X$137*'Population Treasury'!AJ$184*'Statistics NZ'!AJ$466/('Population Treasury'!AI$184*'Statistics NZ'!AI$466)</f>
        <v>7775.5197223914611</v>
      </c>
      <c r="Z137" s="111">
        <f>Y$137*'Population Treasury'!AK$184*'Statistics NZ'!AK$466/('Population Treasury'!AJ$184*'Statistics NZ'!AJ$466)</f>
        <v>7841.4971902076295</v>
      </c>
      <c r="AA137" s="111">
        <f>Z$137*'Population Treasury'!AL$184*'Statistics NZ'!AL$466/('Population Treasury'!AK$184*'Statistics NZ'!AK$466)</f>
        <v>8033.4168935652215</v>
      </c>
      <c r="AB137" s="111">
        <f>AA$137*'Population Treasury'!AM$184*'Statistics NZ'!AM$466/('Population Treasury'!AL$184*'Statistics NZ'!AL$466)</f>
        <v>8249.4956154779011</v>
      </c>
      <c r="AC137" s="111">
        <f>AB$137*'Population Treasury'!AN$184*'Statistics NZ'!AN$466/('Population Treasury'!AM$184*'Statistics NZ'!AM$466)</f>
        <v>8307.3065289989026</v>
      </c>
      <c r="AD137" s="111">
        <f>AC$137*'Population Treasury'!AO$184*'Statistics NZ'!AO$466/('Population Treasury'!AN$184*'Statistics NZ'!AN$466)</f>
        <v>8499.5433074582033</v>
      </c>
      <c r="AE137" s="111">
        <f>AD$137*'Population Treasury'!AP$184*'Statistics NZ'!AP$466/('Population Treasury'!AO$184*'Statistics NZ'!AO$466)</f>
        <v>8547.3724005039312</v>
      </c>
      <c r="AF137" s="111">
        <f>AE$137*'Population Treasury'!AQ$184*'Statistics NZ'!AQ$466/('Population Treasury'!AP$184*'Statistics NZ'!AP$466)</f>
        <v>8340.8576454340309</v>
      </c>
      <c r="AG137" s="111">
        <f>AF$137*'Population Treasury'!AR$184*'Statistics NZ'!AR$466/('Population Treasury'!AQ$184*'Statistics NZ'!AQ$466)</f>
        <v>8062.5420190488067</v>
      </c>
      <c r="AH137" s="111">
        <f>AG$137*'Population Treasury'!AS$184*'Statistics NZ'!AS$466/('Population Treasury'!AR$184*'Statistics NZ'!AR$466)</f>
        <v>7854.4150572346716</v>
      </c>
      <c r="AI137" s="111">
        <f>AH$137*'Population Treasury'!AT$184*'Statistics NZ'!AT$466/('Population Treasury'!AS$184*'Statistics NZ'!AS$466)</f>
        <v>7747.1668987510084</v>
      </c>
      <c r="AJ137" s="111">
        <f>AI$137*'Population Treasury'!AU$184*'Statistics NZ'!AU$466/('Population Treasury'!AT$184*'Statistics NZ'!AT$466)</f>
        <v>7812.4791888682212</v>
      </c>
      <c r="AK137" s="111">
        <f>AJ$137*'Population Treasury'!AV$184*'Statistics NZ'!AV$466/('Population Treasury'!AU$184*'Statistics NZ'!AU$466)</f>
        <v>7759.5735250221596</v>
      </c>
      <c r="AL137" s="111">
        <f>AK$137*'Population Treasury'!AW$184*'Statistics NZ'!AW$466/('Population Treasury'!AV$184*'Statistics NZ'!AV$466)</f>
        <v>8058.4998899030297</v>
      </c>
      <c r="AM137" s="111">
        <f>AL$137*'Population Treasury'!AX$184*'Statistics NZ'!AX$466/('Population Treasury'!AW$184*'Statistics NZ'!AW$466)</f>
        <v>8271.7803379428642</v>
      </c>
      <c r="AN137" s="111">
        <f>AM$137*'Population Treasury'!AY$184*'Statistics NZ'!AY$466/('Population Treasury'!AX$184*'Statistics NZ'!AX$466)</f>
        <v>8476.29909818544</v>
      </c>
      <c r="AO137" s="111">
        <f>AN$137*'Population Treasury'!AZ$184*'Statistics NZ'!AZ$466/('Population Treasury'!AY$184*'Statistics NZ'!AY$466)</f>
        <v>8707.562892738395</v>
      </c>
      <c r="AP137" s="111">
        <f>AO$137*'Population Treasury'!BA$184*'Statistics NZ'!BA$466/('Population Treasury'!AZ$184*'Statistics NZ'!AZ$466)</f>
        <v>8975.7276808714068</v>
      </c>
      <c r="AQ137" s="111">
        <f>AP$137*'Population Treasury'!BB$184*'Statistics NZ'!BB$466/('Population Treasury'!BA$184*'Statistics NZ'!BA$466)</f>
        <v>9130.9301696844377</v>
      </c>
      <c r="AR137" s="111">
        <f>AQ$137*'Population Treasury'!BC$184*'Statistics NZ'!BC$466/('Population Treasury'!BB$184*'Statistics NZ'!BB$466)</f>
        <v>9256.7561635969105</v>
      </c>
      <c r="AS137" s="111">
        <f>AR$137*'Population Treasury'!BD$184*'Statistics NZ'!BD$466/('Population Treasury'!BC$184*'Statistics NZ'!BC$466)</f>
        <v>9521.2776068746625</v>
      </c>
      <c r="AT137" s="111">
        <f>AS$137*'Population Treasury'!BE$184*'Statistics NZ'!BE$466/('Population Treasury'!BD$184*'Statistics NZ'!BD$466)</f>
        <v>9997.1211247464234</v>
      </c>
      <c r="AU137" s="111">
        <f>AT$137*'Population Treasury'!BF$184*'Statistics NZ'!BF$466/('Population Treasury'!BE$184*'Statistics NZ'!BE$466)</f>
        <v>10373.023867479935</v>
      </c>
      <c r="AV137" s="111">
        <f>AU$137*'Population Treasury'!BG$184*'Statistics NZ'!BG$466/('Population Treasury'!BF$184*'Statistics NZ'!BF$466)</f>
        <v>10656.757896963652</v>
      </c>
      <c r="AW137" s="111">
        <f>AV$137*'Population Treasury'!BH$184*'Statistics NZ'!BH$466/('Population Treasury'!BG$184*'Statistics NZ'!BG$466)</f>
        <v>11173.731138234349</v>
      </c>
      <c r="AX137" s="111">
        <f>AW$137*'Population Treasury'!BI$184*'Statistics NZ'!BI$466/('Population Treasury'!BH$184*'Statistics NZ'!BH$466)</f>
        <v>11409.498967277443</v>
      </c>
      <c r="AY137" s="111">
        <f>AX$137*'Population Treasury'!BJ$184*'Statistics NZ'!BJ$466/('Population Treasury'!BI$184*'Statistics NZ'!BI$466)</f>
        <v>11468.105828530957</v>
      </c>
      <c r="AZ137" s="111">
        <f>AY$137*'Population Treasury'!BK$184*'Statistics NZ'!BK$466/('Population Treasury'!BJ$184*'Statistics NZ'!BJ$466)</f>
        <v>11391.338992553294</v>
      </c>
      <c r="BA137" s="111">
        <f>AZ$137*'Population Treasury'!BL$184*'Statistics NZ'!BL$466/('Population Treasury'!BK$184*'Statistics NZ'!BK$466)</f>
        <v>11082.770106251031</v>
      </c>
      <c r="BB137" s="195">
        <f>BA$137*'Population Treasury'!BM$184*'Statistics NZ'!BM$466/('Population Treasury'!BL$184*'Statistics NZ'!BL$466)</f>
        <v>11091.241680286585</v>
      </c>
      <c r="BC137" s="195">
        <f>BB$137*'Population Treasury'!BN$184*'Statistics NZ'!BN$466/('Population Treasury'!BM$184*'Statistics NZ'!BM$466)</f>
        <v>11053.121402546769</v>
      </c>
      <c r="BD137" s="195">
        <f>BC$137*'Population Treasury'!BO$184*'Statistics NZ'!BO$466/('Population Treasury'!BN$184*'Statistics NZ'!BN$466)</f>
        <v>10743.502570462961</v>
      </c>
      <c r="BE137" s="195">
        <f>BD$137*'Population Treasury'!BP$184*'Statistics NZ'!BP$466/('Population Treasury'!BO$184*'Statistics NZ'!BO$466)</f>
        <v>10725.747732645617</v>
      </c>
      <c r="BF137" s="195">
        <f>BE$137*'Population Treasury'!BQ$184*'Statistics NZ'!BQ$466/('Population Treasury'!BP$184*'Statistics NZ'!BP$466)</f>
        <v>10511.407393964888</v>
      </c>
    </row>
    <row r="138" spans="1:58">
      <c r="A138" s="124">
        <f>$A$70</f>
        <v>75</v>
      </c>
      <c r="B138" s="118">
        <f>'Population Treasury'!M$185*'Statistics NZ'!M$467*'Economic Forecasts'!O$8/B$7</f>
        <v>2878.1442644515319</v>
      </c>
      <c r="C138" s="118">
        <f>'Population Treasury'!N$185*'Statistics NZ'!N$467*'Economic Forecasts'!P$8/C$7</f>
        <v>2680.5532910443621</v>
      </c>
      <c r="D138" s="118">
        <f>'Population Treasury'!O$185*'Statistics NZ'!O$467*'Economic Forecasts'!Q$8/D$7</f>
        <v>3077.3018604738827</v>
      </c>
      <c r="E138" s="203">
        <f>'Population Treasury'!P$185*'Statistics NZ'!P$467*'Economic Forecasts'!R$8/E$7</f>
        <v>3246.1393412517159</v>
      </c>
      <c r="F138" s="121">
        <f>'Population Treasury'!Q$185*'Statistics NZ'!Q$467*'Economic Forecasts'!S$8/F$7</f>
        <v>3526.8031904373634</v>
      </c>
      <c r="G138" s="121">
        <f>'Population Treasury'!R$185*'Statistics NZ'!R$467*'Economic Forecasts'!T$8/G$7</f>
        <v>4267.6428989721335</v>
      </c>
      <c r="H138" s="121">
        <f>'Population Treasury'!S$185*'Statistics NZ'!S$467*'Economic Forecasts'!U$8/H$7</f>
        <v>4375.0311710455244</v>
      </c>
      <c r="I138" s="121">
        <f>'Population Treasury'!T$185*'Statistics NZ'!T$467*'Economic Forecasts'!V$8/I$7</f>
        <v>4468.8190072144262</v>
      </c>
      <c r="J138" s="205">
        <f>'Population Treasury'!U$185*'Statistics NZ'!U$467*'Economic Forecasts'!W$8/J$7</f>
        <v>4590.4658266573151</v>
      </c>
      <c r="K138" s="111">
        <f>J$138*'Population Treasury'!V$185*'Statistics NZ'!V$467/('Population Treasury'!U$185*'Statistics NZ'!U$467)</f>
        <v>4693.6126589760734</v>
      </c>
      <c r="L138" s="111">
        <f>K$138*'Population Treasury'!W$185*'Statistics NZ'!W$467/('Population Treasury'!V$185*'Statistics NZ'!V$467)</f>
        <v>4840.0708201956895</v>
      </c>
      <c r="M138" s="111">
        <f>L$138*'Population Treasury'!X$185*'Statistics NZ'!X$467/('Population Treasury'!W$185*'Statistics NZ'!W$467)</f>
        <v>4965.7637016126855</v>
      </c>
      <c r="N138" s="111">
        <f>M$138*'Population Treasury'!Y$185*'Statistics NZ'!Y$467/('Population Treasury'!X$185*'Statistics NZ'!X$467)</f>
        <v>5173.0078993185016</v>
      </c>
      <c r="O138" s="111">
        <f>N$138*'Population Treasury'!Z$185*'Statistics NZ'!Z$467/('Population Treasury'!Y$185*'Statistics NZ'!Y$467)</f>
        <v>5364.6703042386662</v>
      </c>
      <c r="P138" s="111">
        <f>O$138*'Population Treasury'!AA$185*'Statistics NZ'!AA$467/('Population Treasury'!Z$185*'Statistics NZ'!Z$467)</f>
        <v>5564.418347586472</v>
      </c>
      <c r="Q138" s="111">
        <f>P$138*'Population Treasury'!AB$185*'Statistics NZ'!AB$467/('Population Treasury'!AA$185*'Statistics NZ'!AA$467)</f>
        <v>5751.31934957256</v>
      </c>
      <c r="R138" s="111">
        <f>Q$138*'Population Treasury'!AC$185*'Statistics NZ'!AC$467/('Population Treasury'!AB$185*'Statistics NZ'!AB$467)</f>
        <v>5947.8193909909396</v>
      </c>
      <c r="S138" s="111">
        <f>R$138*'Population Treasury'!AD$185*'Statistics NZ'!AD$467/('Population Treasury'!AC$185*'Statistics NZ'!AC$467)</f>
        <v>6271.2788495619507</v>
      </c>
      <c r="T138" s="111">
        <f>S$138*'Population Treasury'!AE$185*'Statistics NZ'!AE$467/('Population Treasury'!AD$185*'Statistics NZ'!AD$467)</f>
        <v>6433.9196565120683</v>
      </c>
      <c r="U138" s="111">
        <f>T$138*'Population Treasury'!AF$185*'Statistics NZ'!AF$467/('Population Treasury'!AE$185*'Statistics NZ'!AE$467)</f>
        <v>6655.1944193428162</v>
      </c>
      <c r="V138" s="111">
        <f>U$138*'Population Treasury'!AG$185*'Statistics NZ'!AG$467/('Population Treasury'!AF$185*'Statistics NZ'!AF$467)</f>
        <v>6915.3519451340981</v>
      </c>
      <c r="W138" s="111">
        <f>V$138*'Population Treasury'!AH$185*'Statistics NZ'!AH$467/('Population Treasury'!AG$185*'Statistics NZ'!AG$467)</f>
        <v>7037.3144080066049</v>
      </c>
      <c r="X138" s="111">
        <f>W$138*'Population Treasury'!AI$185*'Statistics NZ'!AI$467/('Population Treasury'!AH$185*'Statistics NZ'!AH$467)</f>
        <v>7014.4004582348753</v>
      </c>
      <c r="Y138" s="111">
        <f>X$138*'Population Treasury'!AJ$185*'Statistics NZ'!AJ$467/('Population Treasury'!AI$185*'Statistics NZ'!AI$467)</f>
        <v>6920.0300356191174</v>
      </c>
      <c r="Z138" s="111">
        <f>Y$138*'Population Treasury'!AK$185*'Statistics NZ'!AK$467/('Population Treasury'!AJ$185*'Statistics NZ'!AJ$467)</f>
        <v>6871.4010103182936</v>
      </c>
      <c r="AA138" s="111">
        <f>Z$138*'Population Treasury'!AL$185*'Statistics NZ'!AL$467/('Population Treasury'!AK$185*'Statistics NZ'!AK$467)</f>
        <v>6920.056419925425</v>
      </c>
      <c r="AB138" s="111">
        <f>AA$138*'Population Treasury'!AM$185*'Statistics NZ'!AM$467/('Population Treasury'!AL$185*'Statistics NZ'!AL$467)</f>
        <v>7096.4176918673138</v>
      </c>
      <c r="AC138" s="111">
        <f>AB$138*'Population Treasury'!AN$185*'Statistics NZ'!AN$467/('Population Treasury'!AM$185*'Statistics NZ'!AM$467)</f>
        <v>7285.4999842586221</v>
      </c>
      <c r="AD138" s="111">
        <f>AC$138*'Population Treasury'!AO$185*'Statistics NZ'!AO$467/('Population Treasury'!AN$185*'Statistics NZ'!AN$467)</f>
        <v>7348.0549626084376</v>
      </c>
      <c r="AE138" s="111">
        <f>AD$138*'Population Treasury'!AP$185*'Statistics NZ'!AP$467/('Population Treasury'!AO$185*'Statistics NZ'!AO$467)</f>
        <v>7519.4252344202559</v>
      </c>
      <c r="AF138" s="111">
        <f>AE$138*'Population Treasury'!AQ$185*'Statistics NZ'!AQ$467/('Population Treasury'!AP$185*'Statistics NZ'!AP$467)</f>
        <v>7563.8803678818567</v>
      </c>
      <c r="AG138" s="111">
        <f>AF$138*'Population Treasury'!AR$185*'Statistics NZ'!AR$467/('Population Treasury'!AQ$185*'Statistics NZ'!AQ$467)</f>
        <v>7385.3296958400124</v>
      </c>
      <c r="AH138" s="111">
        <f>AG$138*'Population Treasury'!AS$185*'Statistics NZ'!AS$467/('Population Treasury'!AR$185*'Statistics NZ'!AR$467)</f>
        <v>7136.7544905710174</v>
      </c>
      <c r="AI138" s="111">
        <f>AH$138*'Population Treasury'!AT$185*'Statistics NZ'!AT$467/('Population Treasury'!AS$185*'Statistics NZ'!AS$467)</f>
        <v>6955.6460643819828</v>
      </c>
      <c r="AJ138" s="111">
        <f>AI$138*'Population Treasury'!AU$185*'Statistics NZ'!AU$467/('Population Treasury'!AT$185*'Statistics NZ'!AT$467)</f>
        <v>6854.6150145397096</v>
      </c>
      <c r="AK138" s="111">
        <f>AJ$138*'Population Treasury'!AV$185*'Statistics NZ'!AV$467/('Population Treasury'!AU$185*'Statistics NZ'!AU$467)</f>
        <v>6925.2057181090913</v>
      </c>
      <c r="AL138" s="111">
        <f>AK$138*'Population Treasury'!AW$185*'Statistics NZ'!AW$467/('Population Treasury'!AV$185*'Statistics NZ'!AV$467)</f>
        <v>6876.2951837803457</v>
      </c>
      <c r="AM138" s="111">
        <f>AL$138*'Population Treasury'!AX$185*'Statistics NZ'!AX$467/('Population Treasury'!AW$185*'Statistics NZ'!AW$467)</f>
        <v>7135.4709111458169</v>
      </c>
      <c r="AN138" s="111">
        <f>AM$138*'Population Treasury'!AY$185*'Statistics NZ'!AY$467/('Population Treasury'!AX$185*'Statistics NZ'!AX$467)</f>
        <v>7330.1567970400083</v>
      </c>
      <c r="AO138" s="111">
        <f>AN$138*'Population Treasury'!AZ$185*'Statistics NZ'!AZ$467/('Population Treasury'!AY$185*'Statistics NZ'!AY$467)</f>
        <v>7506.4392068260468</v>
      </c>
      <c r="AP138" s="111">
        <f>AO$138*'Population Treasury'!BA$185*'Statistics NZ'!BA$467/('Population Treasury'!AZ$185*'Statistics NZ'!AZ$467)</f>
        <v>7708.9311067125091</v>
      </c>
      <c r="AQ138" s="111">
        <f>AP$138*'Population Treasury'!BB$185*'Statistics NZ'!BB$467/('Population Treasury'!BA$185*'Statistics NZ'!BA$467)</f>
        <v>7955.4754494975341</v>
      </c>
      <c r="AR138" s="111">
        <f>AQ$138*'Population Treasury'!BC$185*'Statistics NZ'!BC$467/('Population Treasury'!BB$185*'Statistics NZ'!BB$467)</f>
        <v>8100.7584049628504</v>
      </c>
      <c r="AS138" s="111">
        <f>AR$138*'Population Treasury'!BD$185*'Statistics NZ'!BD$467/('Population Treasury'!BC$185*'Statistics NZ'!BC$467)</f>
        <v>8206.8015223510229</v>
      </c>
      <c r="AT138" s="111">
        <f>AS$138*'Population Treasury'!BE$185*'Statistics NZ'!BE$467/('Population Treasury'!BD$185*'Statistics NZ'!BD$467)</f>
        <v>8444.5749798393754</v>
      </c>
      <c r="AU138" s="111">
        <f>AT$138*'Population Treasury'!BF$185*'Statistics NZ'!BF$467/('Population Treasury'!BE$185*'Statistics NZ'!BE$467)</f>
        <v>8875.1380913689354</v>
      </c>
      <c r="AV138" s="111">
        <f>AU$138*'Population Treasury'!BG$185*'Statistics NZ'!BG$467/('Population Treasury'!BF$185*'Statistics NZ'!BF$467)</f>
        <v>9206.6106850546585</v>
      </c>
      <c r="AW138" s="111">
        <f>AV$138*'Population Treasury'!BH$185*'Statistics NZ'!BH$467/('Population Treasury'!BG$185*'Statistics NZ'!BG$467)</f>
        <v>9459.2870602003895</v>
      </c>
      <c r="AX138" s="111">
        <f>AW$138*'Population Treasury'!BI$185*'Statistics NZ'!BI$467/('Population Treasury'!BH$185*'Statistics NZ'!BH$467)</f>
        <v>9917.5061785453017</v>
      </c>
      <c r="AY138" s="111">
        <f>AX$138*'Population Treasury'!BJ$185*'Statistics NZ'!BJ$467/('Population Treasury'!BI$185*'Statistics NZ'!BI$467)</f>
        <v>10126.208868527207</v>
      </c>
      <c r="AZ138" s="111">
        <f>AY$138*'Population Treasury'!BK$185*'Statistics NZ'!BK$467/('Population Treasury'!BJ$185*'Statistics NZ'!BJ$467)</f>
        <v>10190.619142267897</v>
      </c>
      <c r="BA138" s="111">
        <f>AZ$138*'Population Treasury'!BL$185*'Statistics NZ'!BL$467/('Population Treasury'!BK$185*'Statistics NZ'!BK$467)</f>
        <v>10124.832232916478</v>
      </c>
      <c r="BB138" s="195">
        <f>BA$138*'Population Treasury'!BM$185*'Statistics NZ'!BM$467/('Population Treasury'!BL$185*'Statistics NZ'!BL$467)</f>
        <v>9854.9415684280684</v>
      </c>
      <c r="BC138" s="195">
        <f>BB$138*'Population Treasury'!BN$185*'Statistics NZ'!BN$467/('Population Treasury'!BM$185*'Statistics NZ'!BM$467)</f>
        <v>9859.8920114598768</v>
      </c>
      <c r="BD138" s="195">
        <f>BC$138*'Population Treasury'!BO$185*'Statistics NZ'!BO$467/('Population Treasury'!BN$185*'Statistics NZ'!BN$467)</f>
        <v>9833.9877046788297</v>
      </c>
      <c r="BE138" s="195">
        <f>BD$138*'Population Treasury'!BP$185*'Statistics NZ'!BP$467/('Population Treasury'!BO$185*'Statistics NZ'!BO$467)</f>
        <v>9551.9945741081319</v>
      </c>
      <c r="BF138" s="195">
        <f>BE$138*'Population Treasury'!BQ$185*'Statistics NZ'!BQ$467/('Population Treasury'!BP$185*'Statistics NZ'!BP$467)</f>
        <v>9550.2096605727638</v>
      </c>
    </row>
    <row r="139" spans="1:58">
      <c r="A139" s="124">
        <f>$A$71</f>
        <v>76</v>
      </c>
      <c r="B139" s="118">
        <f>'Population Treasury'!M$186*'Statistics NZ'!M$468*'Economic Forecasts'!O$8/B$7</f>
        <v>2424.9414582283844</v>
      </c>
      <c r="C139" s="118">
        <f>'Population Treasury'!N$186*'Statistics NZ'!N$468*'Economic Forecasts'!P$8/C$7</f>
        <v>2554.8796159810217</v>
      </c>
      <c r="D139" s="118">
        <f>'Population Treasury'!O$186*'Statistics NZ'!O$468*'Economic Forecasts'!Q$8/D$7</f>
        <v>2347.4722813741928</v>
      </c>
      <c r="E139" s="203">
        <f>'Population Treasury'!P$186*'Statistics NZ'!P$468*'Economic Forecasts'!R$8/E$7</f>
        <v>2718.4258645655154</v>
      </c>
      <c r="F139" s="121">
        <f>'Population Treasury'!Q$186*'Statistics NZ'!Q$468*'Economic Forecasts'!S$8/F$7</f>
        <v>2883.5423403886189</v>
      </c>
      <c r="G139" s="121">
        <f>'Population Treasury'!R$186*'Statistics NZ'!R$468*'Economic Forecasts'!T$8/G$7</f>
        <v>3149.2687397917007</v>
      </c>
      <c r="H139" s="121">
        <f>'Population Treasury'!S$186*'Statistics NZ'!S$468*'Economic Forecasts'!U$8/H$7</f>
        <v>3789.6623069682691</v>
      </c>
      <c r="I139" s="121">
        <f>'Population Treasury'!T$186*'Statistics NZ'!T$468*'Economic Forecasts'!V$8/I$7</f>
        <v>3884.7882829387468</v>
      </c>
      <c r="J139" s="205">
        <f>'Population Treasury'!U$186*'Statistics NZ'!U$468*'Economic Forecasts'!W$8/J$7</f>
        <v>3975.6660422748187</v>
      </c>
      <c r="K139" s="111">
        <f>J$139*'Population Treasury'!V$186*'Statistics NZ'!V$468/('Population Treasury'!U$186*'Statistics NZ'!U$468)</f>
        <v>4058.1330514165988</v>
      </c>
      <c r="L139" s="111">
        <f>K$139*'Population Treasury'!W$186*'Statistics NZ'!W$468/('Population Treasury'!V$186*'Statistics NZ'!V$468)</f>
        <v>4160.9133383303197</v>
      </c>
      <c r="M139" s="111">
        <f>L$139*'Population Treasury'!X$186*'Statistics NZ'!X$468/('Population Treasury'!W$186*'Statistics NZ'!W$468)</f>
        <v>4293.8370019656113</v>
      </c>
      <c r="N139" s="111">
        <f>M$139*'Population Treasury'!Y$186*'Statistics NZ'!Y$468/('Population Treasury'!X$186*'Statistics NZ'!X$468)</f>
        <v>4397.687121928745</v>
      </c>
      <c r="O139" s="111">
        <f>N$139*'Population Treasury'!Z$186*'Statistics NZ'!Z$468/('Population Treasury'!Y$186*'Statistics NZ'!Y$468)</f>
        <v>4586.8393906105512</v>
      </c>
      <c r="P139" s="111">
        <f>O$139*'Population Treasury'!AA$186*'Statistics NZ'!AA$468/('Population Treasury'!Z$186*'Statistics NZ'!Z$468)</f>
        <v>4753.7504250779693</v>
      </c>
      <c r="Q139" s="111">
        <f>P$139*'Population Treasury'!AB$186*'Statistics NZ'!AB$468/('Population Treasury'!AA$186*'Statistics NZ'!AA$468)</f>
        <v>4941.3473649414909</v>
      </c>
      <c r="R139" s="111">
        <f>Q$139*'Population Treasury'!AC$186*'Statistics NZ'!AC$468/('Population Treasury'!AB$186*'Statistics NZ'!AB$468)</f>
        <v>5104.8644190175346</v>
      </c>
      <c r="S139" s="111">
        <f>R$139*'Population Treasury'!AD$186*'Statistics NZ'!AD$468/('Population Treasury'!AC$186*'Statistics NZ'!AC$468)</f>
        <v>5285.5766402199342</v>
      </c>
      <c r="T139" s="111">
        <f>S$139*'Population Treasury'!AE$186*'Statistics NZ'!AE$468/('Population Treasury'!AD$186*'Statistics NZ'!AD$468)</f>
        <v>5572.0309033631884</v>
      </c>
      <c r="U139" s="111">
        <f>T$139*'Population Treasury'!AF$186*'Statistics NZ'!AF$468/('Population Treasury'!AE$186*'Statistics NZ'!AE$468)</f>
        <v>5721.2351360664998</v>
      </c>
      <c r="V139" s="111">
        <f>U$139*'Population Treasury'!AG$186*'Statistics NZ'!AG$468/('Population Treasury'!AF$186*'Statistics NZ'!AF$468)</f>
        <v>5914.8956983354119</v>
      </c>
      <c r="W139" s="111">
        <f>V$139*'Population Treasury'!AH$186*'Statistics NZ'!AH$468/('Population Treasury'!AG$186*'Statistics NZ'!AG$468)</f>
        <v>6158.2307550766309</v>
      </c>
      <c r="X139" s="111">
        <f>W$139*'Population Treasury'!AI$186*'Statistics NZ'!AI$468/('Population Treasury'!AH$186*'Statistics NZ'!AH$468)</f>
        <v>6259.1305344976836</v>
      </c>
      <c r="Y139" s="111">
        <f>X$139*'Population Treasury'!AJ$186*'Statistics NZ'!AJ$468/('Population Treasury'!AI$186*'Statistics NZ'!AI$468)</f>
        <v>6237.2681336953356</v>
      </c>
      <c r="Z139" s="111">
        <f>Y$139*'Population Treasury'!AK$186*'Statistics NZ'!AK$468/('Population Treasury'!AJ$186*'Statistics NZ'!AJ$468)</f>
        <v>6154.5563061182247</v>
      </c>
      <c r="AA139" s="111">
        <f>Z$139*'Population Treasury'!AL$186*'Statistics NZ'!AL$468/('Population Treasury'!AK$186*'Statistics NZ'!AK$468)</f>
        <v>6113.0828892547979</v>
      </c>
      <c r="AB139" s="111">
        <f>AA$139*'Population Treasury'!AM$186*'Statistics NZ'!AM$468/('Population Treasury'!AL$186*'Statistics NZ'!AL$468)</f>
        <v>6161.9707804164764</v>
      </c>
      <c r="AC139" s="111">
        <f>AB$139*'Population Treasury'!AN$186*'Statistics NZ'!AN$468/('Population Treasury'!AM$186*'Statistics NZ'!AM$468)</f>
        <v>6326.0279715645602</v>
      </c>
      <c r="AD139" s="111">
        <f>AC$139*'Population Treasury'!AO$186*'Statistics NZ'!AO$468/('Population Treasury'!AN$186*'Statistics NZ'!AN$468)</f>
        <v>6497.3433906963119</v>
      </c>
      <c r="AE139" s="111">
        <f>AD$139*'Population Treasury'!AP$186*'Statistics NZ'!AP$468/('Population Treasury'!AO$186*'Statistics NZ'!AO$468)</f>
        <v>6541.9288596395118</v>
      </c>
      <c r="AF139" s="111">
        <f>AE$139*'Population Treasury'!AQ$186*'Statistics NZ'!AQ$468/('Population Treasury'!AP$186*'Statistics NZ'!AP$468)</f>
        <v>6710.269238192589</v>
      </c>
      <c r="AG139" s="111">
        <f>AF$139*'Population Treasury'!AR$186*'Statistics NZ'!AR$468/('Population Treasury'!AQ$186*'Statistics NZ'!AQ$468)</f>
        <v>6733.9925084167626</v>
      </c>
      <c r="AH139" s="111">
        <f>AG$139*'Population Treasury'!AS$186*'Statistics NZ'!AS$468/('Population Treasury'!AR$186*'Statistics NZ'!AR$468)</f>
        <v>6584.0581802792867</v>
      </c>
      <c r="AI139" s="111">
        <f>AH$139*'Population Treasury'!AT$186*'Statistics NZ'!AT$468/('Population Treasury'!AS$186*'Statistics NZ'!AS$468)</f>
        <v>6366.287980563452</v>
      </c>
      <c r="AJ139" s="111">
        <f>AI$139*'Population Treasury'!AU$186*'Statistics NZ'!AU$468/('Population Treasury'!AT$186*'Statistics NZ'!AT$468)</f>
        <v>6204.7426128181096</v>
      </c>
      <c r="AK139" s="111">
        <f>AJ$139*'Population Treasury'!AV$186*'Statistics NZ'!AV$468/('Population Treasury'!AU$186*'Statistics NZ'!AU$468)</f>
        <v>6119.0720826518746</v>
      </c>
      <c r="AL139" s="111">
        <f>AK$139*'Population Treasury'!AW$186*'Statistics NZ'!AW$468/('Population Treasury'!AV$186*'Statistics NZ'!AV$468)</f>
        <v>6176.5477377163334</v>
      </c>
      <c r="AM139" s="111">
        <f>AL$139*'Population Treasury'!AX$186*'Statistics NZ'!AX$468/('Population Treasury'!AW$186*'Statistics NZ'!AW$468)</f>
        <v>6132.7173053632096</v>
      </c>
      <c r="AN139" s="111">
        <f>AM$139*'Population Treasury'!AY$186*'Statistics NZ'!AY$468/('Population Treasury'!AX$186*'Statistics NZ'!AX$468)</f>
        <v>6370.2917070604281</v>
      </c>
      <c r="AO139" s="111">
        <f>AN$139*'Population Treasury'!AZ$186*'Statistics NZ'!AZ$468/('Population Treasury'!AY$186*'Statistics NZ'!AY$468)</f>
        <v>6550.3541236271431</v>
      </c>
      <c r="AP139" s="111">
        <f>AO$139*'Population Treasury'!BA$186*'Statistics NZ'!BA$468/('Population Treasury'!AZ$186*'Statistics NZ'!AZ$468)</f>
        <v>6708.6914285717385</v>
      </c>
      <c r="AQ139" s="111">
        <f>AP$139*'Population Treasury'!BB$186*'Statistics NZ'!BB$468/('Population Treasury'!BA$186*'Statistics NZ'!BA$468)</f>
        <v>6890.4937582152415</v>
      </c>
      <c r="AR139" s="111">
        <f>AQ$139*'Population Treasury'!BC$186*'Statistics NZ'!BC$468/('Population Treasury'!BB$186*'Statistics NZ'!BB$468)</f>
        <v>7110.7612190523232</v>
      </c>
      <c r="AS139" s="111">
        <f>AR$139*'Population Treasury'!BD$186*'Statistics NZ'!BD$468/('Population Treasury'!BC$186*'Statistics NZ'!BC$468)</f>
        <v>7240.9996110324992</v>
      </c>
      <c r="AT139" s="111">
        <f>AS$139*'Population Treasury'!BE$186*'Statistics NZ'!BE$468/('Population Treasury'!BD$186*'Statistics NZ'!BD$468)</f>
        <v>7334.401840732743</v>
      </c>
      <c r="AU139" s="111">
        <f>AT$139*'Population Treasury'!BF$186*'Statistics NZ'!BF$468/('Population Treasury'!BE$186*'Statistics NZ'!BE$468)</f>
        <v>7559.4925450771107</v>
      </c>
      <c r="AV139" s="111">
        <f>AU$139*'Population Treasury'!BG$186*'Statistics NZ'!BG$468/('Population Treasury'!BF$186*'Statistics NZ'!BF$468)</f>
        <v>7942.5736240797014</v>
      </c>
      <c r="AW139" s="111">
        <f>AV$139*'Population Treasury'!BH$186*'Statistics NZ'!BH$468/('Population Treasury'!BG$186*'Statistics NZ'!BG$468)</f>
        <v>8230.6131140574253</v>
      </c>
      <c r="AX139" s="111">
        <f>AW$139*'Population Treasury'!BI$186*'Statistics NZ'!BI$468/('Population Treasury'!BH$186*'Statistics NZ'!BH$468)</f>
        <v>8470.3667100667026</v>
      </c>
      <c r="AY139" s="111">
        <f>AX$139*'Population Treasury'!BJ$186*'Statistics NZ'!BJ$468/('Population Treasury'!BI$186*'Statistics NZ'!BI$468)</f>
        <v>8885.8080105777153</v>
      </c>
      <c r="AZ139" s="111">
        <f>AY$139*'Population Treasury'!BK$186*'Statistics NZ'!BK$468/('Population Treasury'!BJ$186*'Statistics NZ'!BJ$468)</f>
        <v>9071.6176502458511</v>
      </c>
      <c r="BA139" s="111">
        <f>AZ$139*'Population Treasury'!BL$186*'Statistics NZ'!BL$468/('Population Treasury'!BK$186*'Statistics NZ'!BK$468)</f>
        <v>9118.5481577229148</v>
      </c>
      <c r="BB139" s="195">
        <f>BA$139*'Population Treasury'!BM$186*'Statistics NZ'!BM$468/('Population Treasury'!BL$186*'Statistics NZ'!BL$468)</f>
        <v>9062.6796311080925</v>
      </c>
      <c r="BC139" s="195">
        <f>BB$139*'Population Treasury'!BN$186*'Statistics NZ'!BN$468/('Population Treasury'!BM$186*'Statistics NZ'!BM$468)</f>
        <v>8828.2798083747984</v>
      </c>
      <c r="BD139" s="195">
        <f>BC$139*'Population Treasury'!BO$186*'Statistics NZ'!BO$468/('Population Treasury'!BN$186*'Statistics NZ'!BN$468)</f>
        <v>8840.529964754558</v>
      </c>
      <c r="BE139" s="195">
        <f>BD$139*'Population Treasury'!BP$186*'Statistics NZ'!BP$468/('Population Treasury'!BO$186*'Statistics NZ'!BO$468)</f>
        <v>8814.5385810049229</v>
      </c>
      <c r="BF139" s="195">
        <f>BE$139*'Population Treasury'!BQ$186*'Statistics NZ'!BQ$468/('Population Treasury'!BP$186*'Statistics NZ'!BP$468)</f>
        <v>8564.4187390896841</v>
      </c>
    </row>
    <row r="140" spans="1:58">
      <c r="A140" s="124">
        <f>$A$72</f>
        <v>77</v>
      </c>
      <c r="B140" s="118">
        <f>'Population Treasury'!M$187*'Statistics NZ'!M$469*'Economic Forecasts'!O$8/B$7</f>
        <v>1928.7535231142856</v>
      </c>
      <c r="C140" s="118">
        <f>'Population Treasury'!N$187*'Statistics NZ'!N$469*'Economic Forecasts'!P$8/C$7</f>
        <v>2146.3614984991173</v>
      </c>
      <c r="D140" s="118">
        <f>'Population Treasury'!O$187*'Statistics NZ'!O$469*'Economic Forecasts'!Q$8/D$7</f>
        <v>2230.7425052373096</v>
      </c>
      <c r="E140" s="203">
        <f>'Population Treasury'!P$187*'Statistics NZ'!P$469*'Economic Forecasts'!R$8/E$7</f>
        <v>2059.3844398360111</v>
      </c>
      <c r="F140" s="121">
        <f>'Population Treasury'!Q$187*'Statistics NZ'!Q$469*'Economic Forecasts'!S$8/F$7</f>
        <v>2403.64803588515</v>
      </c>
      <c r="G140" s="121">
        <f>'Population Treasury'!R$187*'Statistics NZ'!R$469*'Economic Forecasts'!T$8/G$7</f>
        <v>2572.733526848333</v>
      </c>
      <c r="H140" s="121">
        <f>'Population Treasury'!S$187*'Statistics NZ'!S$469*'Economic Forecasts'!U$8/H$7</f>
        <v>2794.3692447636381</v>
      </c>
      <c r="I140" s="121">
        <f>'Population Treasury'!T$187*'Statistics NZ'!T$469*'Economic Forecasts'!V$8/I$7</f>
        <v>3364.449100387139</v>
      </c>
      <c r="J140" s="205">
        <f>'Population Treasury'!U$187*'Statistics NZ'!U$469*'Economic Forecasts'!W$8/J$7</f>
        <v>3453.9014790614365</v>
      </c>
      <c r="K140" s="111">
        <f>J$140*'Population Treasury'!V$187*'Statistics NZ'!V$469/('Population Treasury'!U$187*'Statistics NZ'!U$469)</f>
        <v>3516.003339630925</v>
      </c>
      <c r="L140" s="111">
        <f>K$140*'Population Treasury'!W$187*'Statistics NZ'!W$469/('Population Treasury'!V$187*'Statistics NZ'!V$469)</f>
        <v>3599.0016763994058</v>
      </c>
      <c r="M140" s="111">
        <f>L$140*'Population Treasury'!X$187*'Statistics NZ'!X$469/('Population Treasury'!W$187*'Statistics NZ'!W$469)</f>
        <v>3691.3245663524253</v>
      </c>
      <c r="N140" s="111">
        <f>M$140*'Population Treasury'!Y$187*'Statistics NZ'!Y$469/('Population Treasury'!X$187*'Statistics NZ'!X$469)</f>
        <v>3811.1293681877137</v>
      </c>
      <c r="O140" s="111">
        <f>N$140*'Population Treasury'!Z$187*'Statistics NZ'!Z$469/('Population Treasury'!Y$187*'Statistics NZ'!Y$469)</f>
        <v>3909.8383240720318</v>
      </c>
      <c r="P140" s="111">
        <f>O$140*'Population Treasury'!AA$187*'Statistics NZ'!AA$469/('Population Treasury'!Z$187*'Statistics NZ'!Z$469)</f>
        <v>4082.4715261978899</v>
      </c>
      <c r="Q140" s="111">
        <f>P$140*'Population Treasury'!AB$187*'Statistics NZ'!AB$469/('Population Treasury'!AA$187*'Statistics NZ'!AA$469)</f>
        <v>4227.3748586478814</v>
      </c>
      <c r="R140" s="111">
        <f>Q$140*'Population Treasury'!AC$187*'Statistics NZ'!AC$469/('Population Treasury'!AB$187*'Statistics NZ'!AB$469)</f>
        <v>4395.5430460426296</v>
      </c>
      <c r="S140" s="111">
        <f>R$140*'Population Treasury'!AD$187*'Statistics NZ'!AD$469/('Population Treasury'!AC$187*'Statistics NZ'!AC$469)</f>
        <v>4540.2854678570748</v>
      </c>
      <c r="T140" s="111">
        <f>S$140*'Population Treasury'!AE$187*'Statistics NZ'!AE$469/('Population Treasury'!AD$187*'Statistics NZ'!AD$469)</f>
        <v>4707.4747284734758</v>
      </c>
      <c r="U140" s="111">
        <f>T$140*'Population Treasury'!AF$187*'Statistics NZ'!AF$469/('Population Treasury'!AE$187*'Statistics NZ'!AE$469)</f>
        <v>4954.4099731550632</v>
      </c>
      <c r="V140" s="111">
        <f>U$140*'Population Treasury'!AG$187*'Statistics NZ'!AG$469/('Population Treasury'!AF$187*'Statistics NZ'!AF$469)</f>
        <v>5092.6903797484938</v>
      </c>
      <c r="W140" s="111">
        <f>V$140*'Population Treasury'!AH$187*'Statistics NZ'!AH$469/('Population Treasury'!AG$187*'Statistics NZ'!AG$469)</f>
        <v>5268.532868702051</v>
      </c>
      <c r="X140" s="111">
        <f>W$140*'Population Treasury'!AI$187*'Statistics NZ'!AI$469/('Population Treasury'!AH$187*'Statistics NZ'!AH$469)</f>
        <v>5485.7661767830205</v>
      </c>
      <c r="Y140" s="111">
        <f>X$140*'Population Treasury'!AJ$187*'Statistics NZ'!AJ$469/('Population Treasury'!AI$187*'Statistics NZ'!AI$469)</f>
        <v>5577.4086898570285</v>
      </c>
      <c r="Z140" s="111">
        <f>Y$140*'Population Treasury'!AK$187*'Statistics NZ'!AK$469/('Population Treasury'!AJ$187*'Statistics NZ'!AJ$469)</f>
        <v>5556.4914344862418</v>
      </c>
      <c r="AA140" s="111">
        <f>Z$140*'Population Treasury'!AL$187*'Statistics NZ'!AL$469/('Population Treasury'!AK$187*'Statistics NZ'!AK$469)</f>
        <v>5488.868880610532</v>
      </c>
      <c r="AB140" s="111">
        <f>AA$140*'Population Treasury'!AM$187*'Statistics NZ'!AM$469/('Population Treasury'!AL$187*'Statistics NZ'!AL$469)</f>
        <v>5457.4362763321569</v>
      </c>
      <c r="AC140" s="111">
        <f>AB$140*'Population Treasury'!AN$187*'Statistics NZ'!AN$469/('Population Treasury'!AM$187*'Statistics NZ'!AM$469)</f>
        <v>5501.9349780713674</v>
      </c>
      <c r="AD140" s="111">
        <f>AC$140*'Population Treasury'!AO$187*'Statistics NZ'!AO$469/('Population Treasury'!AN$187*'Statistics NZ'!AN$469)</f>
        <v>5643.4044157234766</v>
      </c>
      <c r="AE140" s="111">
        <f>AD$140*'Population Treasury'!AP$187*'Statistics NZ'!AP$469/('Population Treasury'!AO$187*'Statistics NZ'!AO$469)</f>
        <v>5797.9920605348307</v>
      </c>
      <c r="AF140" s="111">
        <f>AE$140*'Population Treasury'!AQ$187*'Statistics NZ'!AQ$469/('Population Treasury'!AP$187*'Statistics NZ'!AP$469)</f>
        <v>5836.3294459133303</v>
      </c>
      <c r="AG140" s="111">
        <f>AF$140*'Population Treasury'!AR$187*'Statistics NZ'!AR$469/('Population Treasury'!AQ$187*'Statistics NZ'!AQ$469)</f>
        <v>5983.2784225051091</v>
      </c>
      <c r="AH140" s="111">
        <f>AG$140*'Population Treasury'!AS$187*'Statistics NZ'!AS$469/('Population Treasury'!AR$187*'Statistics NZ'!AR$469)</f>
        <v>6013.5393956981361</v>
      </c>
      <c r="AI140" s="111">
        <f>AH$140*'Population Treasury'!AT$187*'Statistics NZ'!AT$469/('Population Treasury'!AS$187*'Statistics NZ'!AS$469)</f>
        <v>5884.0737211594842</v>
      </c>
      <c r="AJ140" s="111">
        <f>AI$140*'Population Treasury'!AU$187*'Statistics NZ'!AU$469/('Population Treasury'!AT$187*'Statistics NZ'!AT$469)</f>
        <v>5682.9744117982664</v>
      </c>
      <c r="AK140" s="111">
        <f>AJ$140*'Population Treasury'!AV$187*'Statistics NZ'!AV$469/('Population Treasury'!AU$187*'Statistics NZ'!AU$469)</f>
        <v>5538.8911649681968</v>
      </c>
      <c r="AL140" s="111">
        <f>AK$140*'Population Treasury'!AW$187*'Statistics NZ'!AW$469/('Population Treasury'!AV$187*'Statistics NZ'!AV$469)</f>
        <v>5475.9377433143009</v>
      </c>
      <c r="AM140" s="111">
        <f>AL$140*'Population Treasury'!AX$187*'Statistics NZ'!AX$469/('Population Treasury'!AW$187*'Statistics NZ'!AW$469)</f>
        <v>5524.8662591025668</v>
      </c>
      <c r="AN140" s="111">
        <f>AM$140*'Population Treasury'!AY$187*'Statistics NZ'!AY$469/('Population Treasury'!AX$187*'Statistics NZ'!AX$469)</f>
        <v>5486.8554833486814</v>
      </c>
      <c r="AO140" s="111">
        <f>AN$140*'Population Treasury'!AZ$187*'Statistics NZ'!AZ$469/('Population Treasury'!AY$187*'Statistics NZ'!AY$469)</f>
        <v>5709.0070072664457</v>
      </c>
      <c r="AP140" s="111">
        <f>AO$140*'Population Treasury'!BA$187*'Statistics NZ'!BA$469/('Population Treasury'!AZ$187*'Statistics NZ'!AZ$469)</f>
        <v>5861.4068225654619</v>
      </c>
      <c r="AQ140" s="111">
        <f>AP$140*'Population Treasury'!BB$187*'Statistics NZ'!BB$469/('Population Treasury'!BA$187*'Statistics NZ'!BA$469)</f>
        <v>5999.1851230039119</v>
      </c>
      <c r="AR140" s="111">
        <f>AQ$140*'Population Treasury'!BC$187*'Statistics NZ'!BC$469/('Population Treasury'!BB$187*'Statistics NZ'!BB$469)</f>
        <v>6172.5692109248757</v>
      </c>
      <c r="AS140" s="111">
        <f>AR$140*'Population Treasury'!BD$187*'Statistics NZ'!BD$469/('Population Treasury'!BC$187*'Statistics NZ'!BC$469)</f>
        <v>6363.5544899880242</v>
      </c>
      <c r="AT140" s="111">
        <f>AS$140*'Population Treasury'!BE$187*'Statistics NZ'!BE$469/('Population Treasury'!BD$187*'Statistics NZ'!BD$469)</f>
        <v>6483.938164178996</v>
      </c>
      <c r="AU140" s="111">
        <f>AT$140*'Population Treasury'!BF$187*'Statistics NZ'!BF$469/('Population Treasury'!BE$187*'Statistics NZ'!BE$469)</f>
        <v>6582.9571856151624</v>
      </c>
      <c r="AV140" s="111">
        <f>AU$140*'Population Treasury'!BG$187*'Statistics NZ'!BG$469/('Population Treasury'!BF$187*'Statistics NZ'!BF$469)</f>
        <v>6772.429164332867</v>
      </c>
      <c r="AW140" s="111">
        <f>AV$140*'Population Treasury'!BH$187*'Statistics NZ'!BH$469/('Population Treasury'!BG$187*'Statistics NZ'!BG$469)</f>
        <v>7119.6231180409677</v>
      </c>
      <c r="AX140" s="111">
        <f>AW$140*'Population Treasury'!BI$187*'Statistics NZ'!BI$469/('Population Treasury'!BH$187*'Statistics NZ'!BH$469)</f>
        <v>7386.570998390117</v>
      </c>
      <c r="AY140" s="111">
        <f>AX$140*'Population Treasury'!BJ$187*'Statistics NZ'!BJ$469/('Population Treasury'!BI$187*'Statistics NZ'!BI$469)</f>
        <v>7596.6538536891776</v>
      </c>
      <c r="AZ140" s="111">
        <f>AY$140*'Population Treasury'!BK$187*'Statistics NZ'!BK$469/('Population Treasury'!BJ$187*'Statistics NZ'!BJ$469)</f>
        <v>7968.3802621232426</v>
      </c>
      <c r="BA140" s="111">
        <f>AZ$140*'Population Treasury'!BL$187*'Statistics NZ'!BL$469/('Population Treasury'!BK$187*'Statistics NZ'!BK$469)</f>
        <v>8142.2411437986148</v>
      </c>
      <c r="BB140" s="195">
        <f>BA$140*'Population Treasury'!BM$187*'Statistics NZ'!BM$469/('Population Treasury'!BL$187*'Statistics NZ'!BL$469)</f>
        <v>8189.1682955180877</v>
      </c>
      <c r="BC140" s="195">
        <f>BB$140*'Population Treasury'!BN$187*'Statistics NZ'!BN$469/('Population Treasury'!BM$187*'Statistics NZ'!BM$469)</f>
        <v>8140.4330678825299</v>
      </c>
      <c r="BD140" s="195">
        <f>BC$140*'Population Treasury'!BO$187*'Statistics NZ'!BO$469/('Population Treasury'!BN$187*'Statistics NZ'!BN$469)</f>
        <v>7929.5079175234814</v>
      </c>
      <c r="BE140" s="195">
        <f>BD$140*'Population Treasury'!BP$187*'Statistics NZ'!BP$469/('Population Treasury'!BO$187*'Statistics NZ'!BO$469)</f>
        <v>7936.4244156183622</v>
      </c>
      <c r="BF140" s="195">
        <f>BE$140*'Population Treasury'!BQ$187*'Statistics NZ'!BQ$469/('Population Treasury'!BP$187*'Statistics NZ'!BP$469)</f>
        <v>7919.9233910330722</v>
      </c>
    </row>
    <row r="141" spans="1:58">
      <c r="A141" s="124">
        <f>$A$73</f>
        <v>78</v>
      </c>
      <c r="B141" s="118">
        <f>'Population Treasury'!M$188*'Statistics NZ'!M$470*'Economic Forecasts'!O$8/B$7</f>
        <v>1489.3607641983212</v>
      </c>
      <c r="C141" s="118">
        <f>'Population Treasury'!N$188*'Statistics NZ'!N$470*'Economic Forecasts'!P$8/C$7</f>
        <v>1713.1654922781979</v>
      </c>
      <c r="D141" s="118">
        <f>'Population Treasury'!O$188*'Statistics NZ'!O$470*'Economic Forecasts'!Q$8/D$7</f>
        <v>1871.5427992210905</v>
      </c>
      <c r="E141" s="203">
        <f>'Population Treasury'!P$188*'Statistics NZ'!P$470*'Economic Forecasts'!R$8/E$7</f>
        <v>1962.0229977037443</v>
      </c>
      <c r="F141" s="121">
        <f>'Population Treasury'!Q$188*'Statistics NZ'!Q$470*'Economic Forecasts'!S$8/F$7</f>
        <v>1823.4916389399095</v>
      </c>
      <c r="G141" s="121">
        <f>'Population Treasury'!R$188*'Statistics NZ'!R$470*'Economic Forecasts'!T$8/G$7</f>
        <v>2137.2460642157407</v>
      </c>
      <c r="H141" s="121">
        <f>'Population Treasury'!S$188*'Statistics NZ'!S$470*'Economic Forecasts'!U$8/H$7</f>
        <v>2277.5507338486159</v>
      </c>
      <c r="I141" s="121">
        <f>'Population Treasury'!T$188*'Statistics NZ'!T$470*'Economic Forecasts'!V$8/I$7</f>
        <v>2483.0099518425573</v>
      </c>
      <c r="J141" s="205">
        <f>'Population Treasury'!U$188*'Statistics NZ'!U$470*'Economic Forecasts'!W$8/J$7</f>
        <v>2986.224064585027</v>
      </c>
      <c r="K141" s="111">
        <f>J$141*'Population Treasury'!V$188*'Statistics NZ'!V$470/('Population Treasury'!U$188*'Statistics NZ'!U$470)</f>
        <v>3058.5346854839263</v>
      </c>
      <c r="L141" s="111">
        <f>K$141*'Population Treasury'!W$188*'Statistics NZ'!W$470/('Population Treasury'!V$188*'Statistics NZ'!V$470)</f>
        <v>3109.3862525122227</v>
      </c>
      <c r="M141" s="111">
        <f>L$141*'Population Treasury'!X$188*'Statistics NZ'!X$470/('Population Treasury'!W$188*'Statistics NZ'!W$470)</f>
        <v>3181.1239280788195</v>
      </c>
      <c r="N141" s="111">
        <f>M$141*'Population Treasury'!Y$188*'Statistics NZ'!Y$470/('Population Treasury'!X$188*'Statistics NZ'!X$470)</f>
        <v>3261.2210967572059</v>
      </c>
      <c r="O141" s="111">
        <f>N$141*'Population Treasury'!Z$188*'Statistics NZ'!Z$470/('Population Treasury'!Y$188*'Statistics NZ'!Y$470)</f>
        <v>3366.4165587951015</v>
      </c>
      <c r="P141" s="111">
        <f>O$141*'Population Treasury'!AA$188*'Statistics NZ'!AA$470/('Population Treasury'!Z$188*'Statistics NZ'!Z$470)</f>
        <v>3455.8850189545292</v>
      </c>
      <c r="Q141" s="111">
        <f>P$141*'Population Treasury'!AB$188*'Statistics NZ'!AB$470/('Population Treasury'!AA$188*'Statistics NZ'!AA$470)</f>
        <v>3606.1991813903469</v>
      </c>
      <c r="R141" s="111">
        <f>Q$141*'Population Treasury'!AC$188*'Statistics NZ'!AC$470/('Population Treasury'!AB$188*'Statistics NZ'!AB$470)</f>
        <v>3743.1340666964957</v>
      </c>
      <c r="S141" s="111">
        <f>R$141*'Population Treasury'!AD$188*'Statistics NZ'!AD$470/('Population Treasury'!AC$188*'Statistics NZ'!AC$470)</f>
        <v>3892.045906958539</v>
      </c>
      <c r="T141" s="111">
        <f>S$141*'Population Treasury'!AE$188*'Statistics NZ'!AE$470/('Population Treasury'!AD$188*'Statistics NZ'!AD$470)</f>
        <v>4027.9124997916438</v>
      </c>
      <c r="U141" s="111">
        <f>T$141*'Population Treasury'!AF$188*'Statistics NZ'!AF$470/('Population Treasury'!AE$188*'Statistics NZ'!AE$470)</f>
        <v>4172.7934984934927</v>
      </c>
      <c r="V141" s="111">
        <f>U$141*'Population Treasury'!AG$188*'Statistics NZ'!AG$470/('Population Treasury'!AF$188*'Statistics NZ'!AF$470)</f>
        <v>4402.5326939684237</v>
      </c>
      <c r="W141" s="111">
        <f>V$141*'Population Treasury'!AH$188*'Statistics NZ'!AH$470/('Population Treasury'!AG$188*'Statistics NZ'!AG$470)</f>
        <v>4516.0980176157373</v>
      </c>
      <c r="X141" s="111">
        <f>W$141*'Population Treasury'!AI$188*'Statistics NZ'!AI$470/('Population Treasury'!AH$188*'Statistics NZ'!AH$470)</f>
        <v>4672.0673153014459</v>
      </c>
      <c r="Y141" s="111">
        <f>X$141*'Population Treasury'!AJ$188*'Statistics NZ'!AJ$470/('Population Treasury'!AI$188*'Statistics NZ'!AI$470)</f>
        <v>4865.7668960240399</v>
      </c>
      <c r="Z141" s="111">
        <f>Y$141*'Population Treasury'!AK$188*'Statistics NZ'!AK$470/('Population Treasury'!AJ$188*'Statistics NZ'!AJ$470)</f>
        <v>4949.0572348395262</v>
      </c>
      <c r="AA141" s="111">
        <f>Z$141*'Population Treasury'!AL$188*'Statistics NZ'!AL$470/('Population Treasury'!AK$188*'Statistics NZ'!AK$470)</f>
        <v>4941.2007659244155</v>
      </c>
      <c r="AB141" s="111">
        <f>AA$141*'Population Treasury'!AM$188*'Statistics NZ'!AM$470/('Population Treasury'!AL$188*'Statistics NZ'!AL$470)</f>
        <v>4876.9054633337291</v>
      </c>
      <c r="AC141" s="111">
        <f>AB$141*'Population Treasury'!AN$188*'Statistics NZ'!AN$470/('Population Treasury'!AM$188*'Statistics NZ'!AM$470)</f>
        <v>4849.2131459844113</v>
      </c>
      <c r="AD141" s="111">
        <f>AC$141*'Population Treasury'!AO$188*'Statistics NZ'!AO$470/('Population Treasury'!AN$188*'Statistics NZ'!AN$470)</f>
        <v>4885.782412868748</v>
      </c>
      <c r="AE141" s="111">
        <f>AD$141*'Population Treasury'!AP$188*'Statistics NZ'!AP$470/('Population Treasury'!AO$188*'Statistics NZ'!AO$470)</f>
        <v>5015.2893963923352</v>
      </c>
      <c r="AF141" s="111">
        <f>AE$141*'Population Treasury'!AQ$188*'Statistics NZ'!AQ$470/('Population Treasury'!AP$188*'Statistics NZ'!AP$470)</f>
        <v>5153.8454050876944</v>
      </c>
      <c r="AG141" s="111">
        <f>AF$141*'Population Treasury'!AR$188*'Statistics NZ'!AR$470/('Population Treasury'!AQ$188*'Statistics NZ'!AQ$470)</f>
        <v>5188.6697630517165</v>
      </c>
      <c r="AH141" s="111">
        <f>AG$141*'Population Treasury'!AS$188*'Statistics NZ'!AS$470/('Population Treasury'!AR$188*'Statistics NZ'!AR$470)</f>
        <v>5326.982705002868</v>
      </c>
      <c r="AI141" s="111">
        <f>AH$141*'Population Treasury'!AT$188*'Statistics NZ'!AT$470/('Population Treasury'!AS$188*'Statistics NZ'!AS$470)</f>
        <v>5351.5634098740229</v>
      </c>
      <c r="AJ141" s="111">
        <f>AI$141*'Population Treasury'!AU$188*'Statistics NZ'!AU$470/('Population Treasury'!AT$188*'Statistics NZ'!AT$470)</f>
        <v>5229.7757705789327</v>
      </c>
      <c r="AK141" s="111">
        <f>AJ$141*'Population Treasury'!AV$188*'Statistics NZ'!AV$470/('Population Treasury'!AU$188*'Statistics NZ'!AU$470)</f>
        <v>5059.5145798061294</v>
      </c>
      <c r="AL141" s="111">
        <f>AK$141*'Population Treasury'!AW$188*'Statistics NZ'!AW$470/('Population Treasury'!AV$188*'Statistics NZ'!AV$470)</f>
        <v>4933.2002520986453</v>
      </c>
      <c r="AM141" s="111">
        <f>AL$141*'Population Treasury'!AX$188*'Statistics NZ'!AX$470/('Population Treasury'!AW$188*'Statistics NZ'!AW$470)</f>
        <v>4873.832488397622</v>
      </c>
      <c r="AN141" s="111">
        <f>AM$141*'Population Treasury'!AY$188*'Statistics NZ'!AY$470/('Population Treasury'!AX$188*'Statistics NZ'!AX$470)</f>
        <v>4921.1493636399964</v>
      </c>
      <c r="AO141" s="111">
        <f>AN$141*'Population Treasury'!AZ$188*'Statistics NZ'!AZ$470/('Population Treasury'!AY$188*'Statistics NZ'!AY$470)</f>
        <v>4887.4908230643205</v>
      </c>
      <c r="AP141" s="111">
        <f>AO$141*'Population Treasury'!BA$188*'Statistics NZ'!BA$470/('Population Treasury'!AZ$188*'Statistics NZ'!AZ$470)</f>
        <v>5081.4548137338988</v>
      </c>
      <c r="AQ141" s="111">
        <f>AP$141*'Population Treasury'!BB$188*'Statistics NZ'!BB$470/('Population Treasury'!BA$188*'Statistics NZ'!BA$470)</f>
        <v>5230.9650465504747</v>
      </c>
      <c r="AR141" s="111">
        <f>AQ$141*'Population Treasury'!BC$188*'Statistics NZ'!BC$470/('Population Treasury'!BB$188*'Statistics NZ'!BB$470)</f>
        <v>5352.3210399579839</v>
      </c>
      <c r="AS141" s="111">
        <f>AR$141*'Population Treasury'!BD$188*'Statistics NZ'!BD$470/('Population Treasury'!BC$188*'Statistics NZ'!BC$470)</f>
        <v>5502.8345278365014</v>
      </c>
      <c r="AT141" s="111">
        <f>AS$141*'Population Treasury'!BE$188*'Statistics NZ'!BE$470/('Population Treasury'!BD$188*'Statistics NZ'!BD$470)</f>
        <v>5677.658059718271</v>
      </c>
      <c r="AU141" s="111">
        <f>AT$141*'Population Treasury'!BF$188*'Statistics NZ'!BF$470/('Population Treasury'!BE$188*'Statistics NZ'!BE$470)</f>
        <v>5790.0231127845609</v>
      </c>
      <c r="AV141" s="111">
        <f>AU$141*'Population Treasury'!BG$188*'Statistics NZ'!BG$470/('Population Treasury'!BF$188*'Statistics NZ'!BF$470)</f>
        <v>5877.0076423452047</v>
      </c>
      <c r="AW141" s="111">
        <f>AV$141*'Population Treasury'!BH$188*'Statistics NZ'!BH$470/('Population Treasury'!BG$188*'Statistics NZ'!BG$470)</f>
        <v>6045.5150864647821</v>
      </c>
      <c r="AX141" s="111">
        <f>AW$141*'Population Treasury'!BI$188*'Statistics NZ'!BI$470/('Population Treasury'!BH$188*'Statistics NZ'!BH$470)</f>
        <v>6357.28952525758</v>
      </c>
      <c r="AY141" s="111">
        <f>AX$141*'Population Treasury'!BJ$188*'Statistics NZ'!BJ$470/('Population Treasury'!BI$188*'Statistics NZ'!BI$470)</f>
        <v>6598.1162246745353</v>
      </c>
      <c r="AZ141" s="111">
        <f>AY$141*'Population Treasury'!BK$188*'Statistics NZ'!BK$470/('Population Treasury'!BJ$188*'Statistics NZ'!BJ$470)</f>
        <v>6787.428497560185</v>
      </c>
      <c r="BA141" s="111">
        <f>AZ$141*'Population Treasury'!BL$188*'Statistics NZ'!BL$470/('Population Treasury'!BK$188*'Statistics NZ'!BK$470)</f>
        <v>7129.1772573626295</v>
      </c>
      <c r="BB141" s="195">
        <f>BA$141*'Population Treasury'!BM$188*'Statistics NZ'!BM$470/('Population Treasury'!BL$188*'Statistics NZ'!BL$470)</f>
        <v>7284.5703860614112</v>
      </c>
      <c r="BC141" s="195">
        <f>BB$141*'Population Treasury'!BN$188*'Statistics NZ'!BN$470/('Population Treasury'!BM$188*'Statistics NZ'!BM$470)</f>
        <v>7323.680900086255</v>
      </c>
      <c r="BD141" s="195">
        <f>BC$141*'Population Treasury'!BO$188*'Statistics NZ'!BO$470/('Population Treasury'!BN$188*'Statistics NZ'!BN$470)</f>
        <v>7282.5280388270503</v>
      </c>
      <c r="BE141" s="195">
        <f>BD$141*'Population Treasury'!BP$188*'Statistics NZ'!BP$470/('Population Treasury'!BO$188*'Statistics NZ'!BO$470)</f>
        <v>7101.6039049681794</v>
      </c>
      <c r="BF141" s="195">
        <f>BE$141*'Population Treasury'!BQ$188*'Statistics NZ'!BQ$470/('Population Treasury'!BP$188*'Statistics NZ'!BP$470)</f>
        <v>7110.4302998130897</v>
      </c>
    </row>
    <row r="142" spans="1:58">
      <c r="A142" s="124">
        <f>$A$74</f>
        <v>79</v>
      </c>
      <c r="B142" s="118">
        <f>'Population Treasury'!M$189*'Statistics NZ'!M$471*'Economic Forecasts'!O$8/B$7</f>
        <v>1216.4951025444054</v>
      </c>
      <c r="C142" s="118">
        <f>'Population Treasury'!N$189*'Statistics NZ'!N$471*'Economic Forecasts'!P$8/C$7</f>
        <v>1318.4986153739078</v>
      </c>
      <c r="D142" s="118">
        <f>'Population Treasury'!O$189*'Statistics NZ'!O$471*'Economic Forecasts'!Q$8/D$7</f>
        <v>1484.1140142062227</v>
      </c>
      <c r="E142" s="203">
        <f>'Population Treasury'!P$189*'Statistics NZ'!P$471*'Economic Forecasts'!R$8/E$7</f>
        <v>1632.5183613256984</v>
      </c>
      <c r="F142" s="121">
        <f>'Population Treasury'!Q$189*'Statistics NZ'!Q$471*'Economic Forecasts'!S$8/F$7</f>
        <v>1727.6805942813028</v>
      </c>
      <c r="G142" s="121">
        <f>'Population Treasury'!R$189*'Statistics NZ'!R$471*'Economic Forecasts'!T$8/G$7</f>
        <v>1616.8088914733762</v>
      </c>
      <c r="H142" s="121">
        <f>'Population Treasury'!S$189*'Statistics NZ'!S$471*'Economic Forecasts'!U$8/H$7</f>
        <v>1881.8649364813184</v>
      </c>
      <c r="I142" s="121">
        <f>'Population Treasury'!T$189*'Statistics NZ'!T$471*'Economic Forecasts'!V$8/I$7</f>
        <v>1998.316971298236</v>
      </c>
      <c r="J142" s="205">
        <f>'Population Treasury'!U$189*'Statistics NZ'!U$471*'Economic Forecasts'!W$8/J$7</f>
        <v>2171.2852836499474</v>
      </c>
      <c r="K142" s="111">
        <f>J$142*'Population Treasury'!V$189*'Statistics NZ'!V$471/('Population Treasury'!U$189*'Statistics NZ'!U$471)</f>
        <v>2619.5020404628112</v>
      </c>
      <c r="L142" s="111">
        <f>K$142*'Population Treasury'!W$189*'Statistics NZ'!W$471/('Population Treasury'!V$189*'Statistics NZ'!V$471)</f>
        <v>2678.127555991724</v>
      </c>
      <c r="M142" s="111">
        <f>L$142*'Population Treasury'!X$189*'Statistics NZ'!X$471/('Population Treasury'!W$189*'Statistics NZ'!W$471)</f>
        <v>2727.8683125260068</v>
      </c>
      <c r="N142" s="111">
        <f>M$142*'Population Treasury'!Y$189*'Statistics NZ'!Y$471/('Population Treasury'!X$189*'Statistics NZ'!X$471)</f>
        <v>2790.1966667691599</v>
      </c>
      <c r="O142" s="111">
        <f>N$142*'Population Treasury'!Z$189*'Statistics NZ'!Z$471/('Population Treasury'!Y$189*'Statistics NZ'!Y$471)</f>
        <v>2860.1623304144596</v>
      </c>
      <c r="P142" s="111">
        <f>O$142*'Population Treasury'!AA$189*'Statistics NZ'!AA$471/('Population Treasury'!Z$189*'Statistics NZ'!Z$471)</f>
        <v>2949.6767243727609</v>
      </c>
      <c r="Q142" s="111">
        <f>P$142*'Population Treasury'!AB$189*'Statistics NZ'!AB$471/('Population Treasury'!AA$189*'Statistics NZ'!AA$471)</f>
        <v>3028.0615682411762</v>
      </c>
      <c r="R142" s="111">
        <f>Q$142*'Population Treasury'!AC$189*'Statistics NZ'!AC$471/('Population Treasury'!AB$189*'Statistics NZ'!AB$471)</f>
        <v>3160.0008735319539</v>
      </c>
      <c r="S142" s="111">
        <f>R$142*'Population Treasury'!AD$189*'Statistics NZ'!AD$471/('Population Treasury'!AC$189*'Statistics NZ'!AC$471)</f>
        <v>3275.3871354370381</v>
      </c>
      <c r="T142" s="111">
        <f>S$142*'Population Treasury'!AE$189*'Statistics NZ'!AE$471/('Population Treasury'!AD$189*'Statistics NZ'!AD$471)</f>
        <v>3408.7858073075608</v>
      </c>
      <c r="U142" s="111">
        <f>T$142*'Population Treasury'!AF$189*'Statistics NZ'!AF$471/('Population Treasury'!AE$189*'Statistics NZ'!AE$471)</f>
        <v>3524.2902836610092</v>
      </c>
      <c r="V142" s="111">
        <f>U$142*'Population Treasury'!AG$189*'Statistics NZ'!AG$471/('Population Treasury'!AF$189*'Statistics NZ'!AF$471)</f>
        <v>3652.2204694004427</v>
      </c>
      <c r="W142" s="111">
        <f>V$142*'Population Treasury'!AH$189*'Statistics NZ'!AH$471/('Population Treasury'!AG$189*'Statistics NZ'!AG$471)</f>
        <v>3856.3437467503154</v>
      </c>
      <c r="X142" s="111">
        <f>W$142*'Population Treasury'!AI$189*'Statistics NZ'!AI$471/('Population Treasury'!AH$189*'Statistics NZ'!AH$471)</f>
        <v>3957.7762733093982</v>
      </c>
      <c r="Y142" s="111">
        <f>X$142*'Population Treasury'!AJ$189*'Statistics NZ'!AJ$471/('Population Treasury'!AI$189*'Statistics NZ'!AI$471)</f>
        <v>4099.3022569114064</v>
      </c>
      <c r="Z142" s="111">
        <f>Y$142*'Population Treasury'!AK$189*'Statistics NZ'!AK$471/('Population Treasury'!AJ$189*'Statistics NZ'!AJ$471)</f>
        <v>4264.45133495965</v>
      </c>
      <c r="AA142" s="111">
        <f>Z$142*'Population Treasury'!AL$189*'Statistics NZ'!AL$471/('Population Treasury'!AK$189*'Statistics NZ'!AK$471)</f>
        <v>4339.839197826499</v>
      </c>
      <c r="AB142" s="111">
        <f>AA$142*'Population Treasury'!AM$189*'Statistics NZ'!AM$471/('Population Treasury'!AL$189*'Statistics NZ'!AL$471)</f>
        <v>4330.9841478242015</v>
      </c>
      <c r="AC142" s="111">
        <f>AB$142*'Population Treasury'!AN$189*'Statistics NZ'!AN$471/('Population Treasury'!AM$189*'Statistics NZ'!AM$471)</f>
        <v>4273.8190800361899</v>
      </c>
      <c r="AD142" s="111">
        <f>AC$142*'Population Treasury'!AO$189*'Statistics NZ'!AO$471/('Population Treasury'!AN$189*'Statistics NZ'!AN$471)</f>
        <v>4256.3749710995071</v>
      </c>
      <c r="AE142" s="111">
        <f>AD$142*'Population Treasury'!AP$189*'Statistics NZ'!AP$471/('Population Treasury'!AO$189*'Statistics NZ'!AO$471)</f>
        <v>4291.0431643627635</v>
      </c>
      <c r="AF142" s="111">
        <f>AE$142*'Population Treasury'!AQ$189*'Statistics NZ'!AQ$471/('Population Treasury'!AP$189*'Statistics NZ'!AP$471)</f>
        <v>4405.1277104039109</v>
      </c>
      <c r="AG142" s="111">
        <f>AF$142*'Population Treasury'!AR$189*'Statistics NZ'!AR$471/('Population Treasury'!AQ$189*'Statistics NZ'!AQ$471)</f>
        <v>4529.8065021120356</v>
      </c>
      <c r="AH142" s="111">
        <f>AG$142*'Population Treasury'!AS$189*'Statistics NZ'!AS$471/('Population Treasury'!AR$189*'Statistics NZ'!AR$471)</f>
        <v>4559.4178940342681</v>
      </c>
      <c r="AI142" s="111">
        <f>AH$142*'Population Treasury'!AT$189*'Statistics NZ'!AT$471/('Population Treasury'!AS$189*'Statistics NZ'!AS$471)</f>
        <v>4676.8323872511874</v>
      </c>
      <c r="AJ142" s="111">
        <f>AI$142*'Population Treasury'!AU$189*'Statistics NZ'!AU$471/('Population Treasury'!AT$189*'Statistics NZ'!AT$471)</f>
        <v>4708.3614510300567</v>
      </c>
      <c r="AK142" s="111">
        <f>AJ$142*'Population Treasury'!AV$189*'Statistics NZ'!AV$471/('Population Treasury'!AU$189*'Statistics NZ'!AU$471)</f>
        <v>4606.8270864823608</v>
      </c>
      <c r="AL142" s="111">
        <f>AK$142*'Population Treasury'!AW$189*'Statistics NZ'!AW$471/('Population Treasury'!AV$189*'Statistics NZ'!AV$471)</f>
        <v>4454.1169850194628</v>
      </c>
      <c r="AM142" s="111">
        <f>AL$142*'Population Treasury'!AX$189*'Statistics NZ'!AX$471/('Population Treasury'!AW$189*'Statistics NZ'!AW$471)</f>
        <v>4343.9028201784704</v>
      </c>
      <c r="AN142" s="111">
        <f>AM$142*'Population Treasury'!AY$189*'Statistics NZ'!AY$471/('Population Treasury'!AX$189*'Statistics NZ'!AX$471)</f>
        <v>4283.6388907583523</v>
      </c>
      <c r="AO142" s="111">
        <f>AN$142*'Population Treasury'!AZ$189*'Statistics NZ'!AZ$471/('Population Treasury'!AY$189*'Statistics NZ'!AY$471)</f>
        <v>4337.9263662367293</v>
      </c>
      <c r="AP142" s="111">
        <f>AO$142*'Population Treasury'!BA$189*'Statistics NZ'!BA$471/('Population Treasury'!AZ$189*'Statistics NZ'!AZ$471)</f>
        <v>4309.0137294568449</v>
      </c>
      <c r="AQ142" s="111">
        <f>AP$142*'Population Treasury'!BB$189*'Statistics NZ'!BB$471/('Population Treasury'!BA$189*'Statistics NZ'!BA$471)</f>
        <v>4475.3264138508566</v>
      </c>
      <c r="AR142" s="111">
        <f>AQ$142*'Population Treasury'!BC$189*'Statistics NZ'!BC$471/('Population Treasury'!BB$189*'Statistics NZ'!BB$471)</f>
        <v>4609.1699998337826</v>
      </c>
      <c r="AS142" s="111">
        <f>AR$142*'Population Treasury'!BD$189*'Statistics NZ'!BD$471/('Population Treasury'!BC$189*'Statistics NZ'!BC$471)</f>
        <v>4722.7821616569008</v>
      </c>
      <c r="AT142" s="111">
        <f>AS$142*'Population Treasury'!BE$189*'Statistics NZ'!BE$471/('Population Treasury'!BD$189*'Statistics NZ'!BD$471)</f>
        <v>4853.116997610291</v>
      </c>
      <c r="AU142" s="111">
        <f>AT$142*'Population Treasury'!BF$189*'Statistics NZ'!BF$471/('Population Treasury'!BE$189*'Statistics NZ'!BE$471)</f>
        <v>5011.6629160179473</v>
      </c>
      <c r="AV142" s="111">
        <f>AU$142*'Population Treasury'!BG$189*'Statistics NZ'!BG$471/('Population Treasury'!BF$189*'Statistics NZ'!BF$471)</f>
        <v>5112.0956422537511</v>
      </c>
      <c r="AW142" s="111">
        <f>AV$142*'Population Treasury'!BH$189*'Statistics NZ'!BH$471/('Population Treasury'!BG$189*'Statistics NZ'!BG$471)</f>
        <v>5180.6092013663001</v>
      </c>
      <c r="AX142" s="111">
        <f>AW$142*'Population Treasury'!BI$189*'Statistics NZ'!BI$471/('Population Treasury'!BH$189*'Statistics NZ'!BH$471)</f>
        <v>5336.7454749065082</v>
      </c>
      <c r="AY142" s="111">
        <f>AX$142*'Population Treasury'!BJ$189*'Statistics NZ'!BJ$471/('Population Treasury'!BI$189*'Statistics NZ'!BI$471)</f>
        <v>5613.4400484296766</v>
      </c>
      <c r="AZ142" s="111">
        <f>AY$142*'Population Treasury'!BK$189*'Statistics NZ'!BK$471/('Population Treasury'!BJ$189*'Statistics NZ'!BJ$471)</f>
        <v>5830.2960705473979</v>
      </c>
      <c r="BA142" s="111">
        <f>AZ$142*'Population Treasury'!BL$189*'Statistics NZ'!BL$471/('Population Treasury'!BK$189*'Statistics NZ'!BK$471)</f>
        <v>6000.3604895074604</v>
      </c>
      <c r="BB142" s="195">
        <f>BA$142*'Population Treasury'!BM$189*'Statistics NZ'!BM$471/('Population Treasury'!BL$189*'Statistics NZ'!BL$471)</f>
        <v>6296.2885620252473</v>
      </c>
      <c r="BC142" s="195">
        <f>BB$142*'Population Treasury'!BN$189*'Statistics NZ'!BN$471/('Population Treasury'!BM$189*'Statistics NZ'!BM$471)</f>
        <v>6436.72644449775</v>
      </c>
      <c r="BD142" s="195">
        <f>BC$142*'Population Treasury'!BO$189*'Statistics NZ'!BO$471/('Population Treasury'!BN$189*'Statistics NZ'!BN$471)</f>
        <v>6477.937951580062</v>
      </c>
      <c r="BE142" s="195">
        <f>BD$142*'Population Treasury'!BP$189*'Statistics NZ'!BP$471/('Population Treasury'!BO$189*'Statistics NZ'!BO$471)</f>
        <v>6440.1108780144059</v>
      </c>
      <c r="BF142" s="195">
        <f>BE$142*'Population Treasury'!BQ$189*'Statistics NZ'!BQ$471/('Population Treasury'!BP$189*'Statistics NZ'!BP$471)</f>
        <v>6282.8660961619598</v>
      </c>
    </row>
    <row r="143" spans="1:58">
      <c r="A143" s="124" t="str">
        <f>$A$75</f>
        <v>80 &amp; over</v>
      </c>
      <c r="B143" s="118">
        <f>SUM('Population Treasury'!M$190:M$200)*'Statistics NZ'!M$472*'Economic Forecasts'!O$8/B$7</f>
        <v>4734.8440612241957</v>
      </c>
      <c r="C143" s="118">
        <f>SUM('Population Treasury'!N$190:N$200)*'Statistics NZ'!N$472*'Economic Forecasts'!P$8/C$7</f>
        <v>5035.3354726195466</v>
      </c>
      <c r="D143" s="118">
        <f>SUM('Population Treasury'!O$190:O$200)*'Statistics NZ'!O$472*'Economic Forecasts'!Q$8/D$7</f>
        <v>5376.8852220854942</v>
      </c>
      <c r="E143" s="203">
        <f>SUM('Population Treasury'!P$190:P$200)*'Statistics NZ'!P$472*'Economic Forecasts'!R$8/E$7</f>
        <v>5828.6316049751285</v>
      </c>
      <c r="F143" s="121">
        <f>SUM('Population Treasury'!Q$190:Q$200)*'Statistics NZ'!Q$472*'Economic Forecasts'!S$8/F$7</f>
        <v>6335.7212995916589</v>
      </c>
      <c r="G143" s="121">
        <f>SUM('Population Treasury'!R$190:R$200)*'Statistics NZ'!R$472*'Economic Forecasts'!T$8/G$7</f>
        <v>6971.221735185607</v>
      </c>
      <c r="H143" s="121">
        <f>SUM('Population Treasury'!S$190:S$200)*'Statistics NZ'!S$472*'Economic Forecasts'!U$8/H$7</f>
        <v>7284.4510776438146</v>
      </c>
      <c r="I143" s="121">
        <f>SUM('Population Treasury'!T$190:T$200)*'Statistics NZ'!T$472*'Economic Forecasts'!V$8/I$7</f>
        <v>7795.7588078715007</v>
      </c>
      <c r="J143" s="205">
        <f>SUM('Population Treasury'!U$190:U$200)*'Statistics NZ'!U$472*'Economic Forecasts'!W$8/J$7</f>
        <v>8399.6105330769915</v>
      </c>
      <c r="K143" s="111">
        <f>J$143*SUM('Population Treasury'!V$190:V$200)*'Statistics NZ'!V$472/(SUM('Population Treasury'!U$190:U$200)*'Statistics NZ'!U$472)</f>
        <v>8879.6123492185252</v>
      </c>
      <c r="L143" s="111">
        <f>K$143*SUM('Population Treasury'!W$190:W$200)*'Statistics NZ'!W$472/(SUM('Population Treasury'!V$190:V$200)*'Statistics NZ'!V$472)</f>
        <v>9840.59875139838</v>
      </c>
      <c r="M143" s="111">
        <f>L$143*SUM('Population Treasury'!X$190:X$200)*'Statistics NZ'!X$472/(SUM('Population Treasury'!W$190:W$200)*'Statistics NZ'!W$472)</f>
        <v>10604.765848100229</v>
      </c>
      <c r="N143" s="111">
        <f>M$143*SUM('Population Treasury'!Y$190:Y$200)*'Statistics NZ'!Y$472/(SUM('Population Treasury'!X$190:X$200)*'Statistics NZ'!X$472)</f>
        <v>11277.587582711718</v>
      </c>
      <c r="O143" s="111">
        <f>N$143*SUM('Population Treasury'!Z$190:Z$200)*'Statistics NZ'!Z$472/(SUM('Population Treasury'!Y$190:Y$200)*'Statistics NZ'!Y$472)</f>
        <v>11940.939429433063</v>
      </c>
      <c r="P143" s="111">
        <f>O$143*SUM('Population Treasury'!AA$190:AA$200)*'Statistics NZ'!AA$472/(SUM('Population Treasury'!Z$190:Z$200)*'Statistics NZ'!Z$472)</f>
        <v>12503.872924244708</v>
      </c>
      <c r="Q143" s="111">
        <f>P$143*SUM('Population Treasury'!AB$190:AB$200)*'Statistics NZ'!AB$472/(SUM('Population Treasury'!AA$190:AA$200)*'Statistics NZ'!AA$472)</f>
        <v>13074.981137255216</v>
      </c>
      <c r="R143" s="111">
        <f>Q$143*SUM('Population Treasury'!AC$190:AC$200)*'Statistics NZ'!AC$472/(SUM('Population Treasury'!AB$190:AB$200)*'Statistics NZ'!AB$472)</f>
        <v>13647.782927238855</v>
      </c>
      <c r="S143" s="111">
        <f>R$143*SUM('Population Treasury'!AD$190:AD$200)*'Statistics NZ'!AD$472/(SUM('Population Treasury'!AC$190:AC$200)*'Statistics NZ'!AC$472)</f>
        <v>14211.088953208457</v>
      </c>
      <c r="T143" s="111">
        <f>S$143*SUM('Population Treasury'!AE$190:AE$200)*'Statistics NZ'!AE$472/(SUM('Population Treasury'!AD$190:AD$200)*'Statistics NZ'!AD$472)</f>
        <v>14865.351631550318</v>
      </c>
      <c r="U143" s="111">
        <f>T$143*SUM('Population Treasury'!AF$190:AF$200)*'Statistics NZ'!AF$472/(SUM('Population Treasury'!AE$190:AE$200)*'Statistics NZ'!AE$472)</f>
        <v>15410.325006857487</v>
      </c>
      <c r="V143" s="111">
        <f>U$143*SUM('Population Treasury'!AG$190:AG$200)*'Statistics NZ'!AG$472/(SUM('Population Treasury'!AF$190:AF$200)*'Statistics NZ'!AF$472)</f>
        <v>16039.989977286941</v>
      </c>
      <c r="W143" s="111">
        <f>V$143*SUM('Population Treasury'!AH$190:AH$200)*'Statistics NZ'!AH$472/(SUM('Population Treasury'!AG$190:AG$200)*'Statistics NZ'!AG$472)</f>
        <v>16717.981328841572</v>
      </c>
      <c r="X143" s="111">
        <f>W$143*SUM('Population Treasury'!AI$190:AI$200)*'Statistics NZ'!AI$472/(SUM('Population Treasury'!AH$190:AH$200)*'Statistics NZ'!AH$472)</f>
        <v>17382.530997138256</v>
      </c>
      <c r="Y143" s="111">
        <f>X$143*SUM('Population Treasury'!AJ$190:AJ$200)*'Statistics NZ'!AJ$472/(SUM('Population Treasury'!AI$190:AI$200)*'Statistics NZ'!AI$472)</f>
        <v>18047.409615578803</v>
      </c>
      <c r="Z143" s="111">
        <f>Y$143*SUM('Population Treasury'!AK$190:AK$200)*'Statistics NZ'!AK$472/(SUM('Population Treasury'!AJ$190:AJ$200)*'Statistics NZ'!AJ$472)</f>
        <v>18795.667947125177</v>
      </c>
      <c r="AA143" s="111">
        <f>Z$143*SUM('Population Treasury'!AL$190:AL$200)*'Statistics NZ'!AL$472/(SUM('Population Treasury'!AK$190:AK$200)*'Statistics NZ'!AK$472)</f>
        <v>19555.229680036133</v>
      </c>
      <c r="AB143" s="111">
        <f>AA$143*SUM('Population Treasury'!AM$190:AM$200)*'Statistics NZ'!AM$472/(SUM('Population Treasury'!AL$190:AL$200)*'Statistics NZ'!AL$472)</f>
        <v>20246.578761273904</v>
      </c>
      <c r="AC143" s="111">
        <f>AB$143*SUM('Population Treasury'!AN$190:AN$200)*'Statistics NZ'!AN$472/(SUM('Population Treasury'!AM$190:AM$200)*'Statistics NZ'!AM$472)</f>
        <v>20739.571378122502</v>
      </c>
      <c r="AD143" s="111">
        <f>AC$143*SUM('Population Treasury'!AO$190:AO$200)*'Statistics NZ'!AO$472/(SUM('Population Treasury'!AN$190:AN$200)*'Statistics NZ'!AN$472)</f>
        <v>21243.356251377667</v>
      </c>
      <c r="AE143" s="111">
        <f>AD$143*SUM('Population Treasury'!AP$190:AP$200)*'Statistics NZ'!AP$472/(SUM('Population Treasury'!AO$190:AO$200)*'Statistics NZ'!AO$472)</f>
        <v>21640.046106368478</v>
      </c>
      <c r="AF143" s="111">
        <f>AE$143*SUM('Population Treasury'!AQ$190:AQ$200)*'Statistics NZ'!AQ$472/(SUM('Population Treasury'!AP$190:AP$200)*'Statistics NZ'!AP$472)</f>
        <v>21956.500569664866</v>
      </c>
      <c r="AG143" s="111">
        <f>AF$143*SUM('Population Treasury'!AR$190:AR$200)*'Statistics NZ'!AR$472/(SUM('Population Treasury'!AQ$190:AQ$200)*'Statistics NZ'!AQ$472)</f>
        <v>22368.948369195812</v>
      </c>
      <c r="AH143" s="111">
        <f>AG$143*SUM('Population Treasury'!AS$190:AS$200)*'Statistics NZ'!AS$472/(SUM('Population Treasury'!AR$190:AR$200)*'Statistics NZ'!AR$472)</f>
        <v>22804.311404450476</v>
      </c>
      <c r="AI143" s="111">
        <f>AH$143*SUM('Population Treasury'!AT$190:AT$200)*'Statistics NZ'!AT$472/(SUM('Population Treasury'!AS$190:AS$200)*'Statistics NZ'!AS$472)</f>
        <v>23153.250599231902</v>
      </c>
      <c r="AJ143" s="111">
        <f>AI$143*SUM('Population Treasury'!AU$190:AU$200)*'Statistics NZ'!AU$472/(SUM('Population Treasury'!AT$190:AT$200)*'Statistics NZ'!AT$472)</f>
        <v>23681.726372204175</v>
      </c>
      <c r="AK143" s="111">
        <f>AJ$143*SUM('Population Treasury'!AV$190:AV$200)*'Statistics NZ'!AV$472/(SUM('Population Treasury'!AU$190:AU$200)*'Statistics NZ'!AU$472)</f>
        <v>24034.26459561603</v>
      </c>
      <c r="AL143" s="111">
        <f>AK$143*SUM('Population Treasury'!AW$190:AW$200)*'Statistics NZ'!AW$472/(SUM('Population Treasury'!AV$190:AV$200)*'Statistics NZ'!AV$472)</f>
        <v>24284.757813363725</v>
      </c>
      <c r="AM143" s="111">
        <f>AL$143*SUM('Population Treasury'!AX$190:AX$200)*'Statistics NZ'!AX$472/(SUM('Population Treasury'!AW$190:AW$200)*'Statistics NZ'!AW$472)</f>
        <v>24406.901644028891</v>
      </c>
      <c r="AN143" s="111">
        <f>AM$143*SUM('Population Treasury'!AY$190:AY$200)*'Statistics NZ'!AY$472/(SUM('Population Treasury'!AX$190:AX$200)*'Statistics NZ'!AX$472)</f>
        <v>24434.240896463696</v>
      </c>
      <c r="AO143" s="111">
        <f>AN$143*SUM('Population Treasury'!AZ$190:AZ$200)*'Statistics NZ'!AZ$472/(SUM('Population Treasury'!AY$190:AY$200)*'Statistics NZ'!AY$472)</f>
        <v>24471.253744911199</v>
      </c>
      <c r="AP143" s="111">
        <f>AO$143*SUM('Population Treasury'!BA$190:BA$200)*'Statistics NZ'!BA$472/(SUM('Population Treasury'!AZ$190:AZ$200)*'Statistics NZ'!AZ$472)</f>
        <v>24418.685352546177</v>
      </c>
      <c r="AQ143" s="111">
        <f>AP$143*SUM('Population Treasury'!BB$190:BB$200)*'Statistics NZ'!BB$472/(SUM('Population Treasury'!BA$190:BA$200)*'Statistics NZ'!BA$472)</f>
        <v>24480.606611503583</v>
      </c>
      <c r="AR143" s="111">
        <f>AQ$143*SUM('Population Treasury'!BC$190:BC$200)*'Statistics NZ'!BC$472/(SUM('Population Treasury'!BB$190:BB$200)*'Statistics NZ'!BB$472)</f>
        <v>24562.444926286775</v>
      </c>
      <c r="AS143" s="111">
        <f>AR$143*SUM('Population Treasury'!BD$190:BD$200)*'Statistics NZ'!BD$472/(SUM('Population Treasury'!BC$190:BC$200)*'Statistics NZ'!BC$472)</f>
        <v>24854.655452951953</v>
      </c>
      <c r="AT143" s="111">
        <f>AS$143*SUM('Population Treasury'!BE$190:BE$200)*'Statistics NZ'!BE$472/(SUM('Population Treasury'!BD$190:BD$200)*'Statistics NZ'!BD$472)</f>
        <v>25130.176867275</v>
      </c>
      <c r="AU143" s="111">
        <f>AT$143*SUM('Population Treasury'!BF$190:BF$200)*'Statistics NZ'!BF$472/(SUM('Population Treasury'!BE$190:BE$200)*'Statistics NZ'!BE$472)</f>
        <v>25537.836205005562</v>
      </c>
      <c r="AV143" s="111">
        <f>AU$143*SUM('Population Treasury'!BG$190:BG$200)*'Statistics NZ'!BG$472/(SUM('Population Treasury'!BF$190:BF$200)*'Statistics NZ'!BF$472)</f>
        <v>26015.759191062374</v>
      </c>
      <c r="AW143" s="111">
        <f>AV$143*SUM('Population Treasury'!BH$190:BH$200)*'Statistics NZ'!BH$472/(SUM('Population Treasury'!BG$190:BG$200)*'Statistics NZ'!BG$472)</f>
        <v>26491.609509110185</v>
      </c>
      <c r="AX143" s="111">
        <f>AW$143*SUM('Population Treasury'!BI$190:BI$200)*'Statistics NZ'!BI$472/(SUM('Population Treasury'!BH$190:BH$200)*'Statistics NZ'!BH$472)</f>
        <v>27040.655105803799</v>
      </c>
      <c r="AY143" s="111">
        <f>AX$143*SUM('Population Treasury'!BJ$190:BJ$200)*'Statistics NZ'!BJ$472/(SUM('Population Treasury'!BI$190:BI$200)*'Statistics NZ'!BI$472)</f>
        <v>27648.181929518865</v>
      </c>
      <c r="AZ143" s="111">
        <f>AY$143*SUM('Population Treasury'!BK$190:BK$200)*'Statistics NZ'!BK$472/(SUM('Population Treasury'!BJ$190:BJ$200)*'Statistics NZ'!BJ$472)</f>
        <v>28455.065969777799</v>
      </c>
      <c r="BA143" s="111">
        <f>AZ$143*SUM('Population Treasury'!BL$190:BL$200)*'Statistics NZ'!BL$472/(SUM('Population Treasury'!BK$190:BK$200)*'Statistics NZ'!BK$472)</f>
        <v>29321.763999591429</v>
      </c>
      <c r="BB143" s="195">
        <f>BA$143*SUM('Population Treasury'!BM$190:BM$200)*'Statistics NZ'!BM$472/(SUM('Population Treasury'!BL$190:BL$200)*'Statistics NZ'!BL$472)</f>
        <v>30385.223009776033</v>
      </c>
      <c r="BC143" s="195">
        <f>BB$143*SUM('Population Treasury'!BN$190:BN$200)*'Statistics NZ'!BN$472/(SUM('Population Treasury'!BM$190:BM$200)*'Statistics NZ'!BM$472)</f>
        <v>31493.560511163079</v>
      </c>
      <c r="BD143" s="195">
        <f>BC$143*SUM('Population Treasury'!BO$190:BO$200)*'Statistics NZ'!BO$472/(SUM('Population Treasury'!BN$190:BN$200)*'Statistics NZ'!BN$472)</f>
        <v>32580.753453153888</v>
      </c>
      <c r="BE143" s="195">
        <f>BD$143*SUM('Population Treasury'!BP$190:BP$200)*'Statistics NZ'!BP$472/(SUM('Population Treasury'!BO$190:BO$200)*'Statistics NZ'!BO$472)</f>
        <v>33654.21714847791</v>
      </c>
      <c r="BF143" s="195">
        <f>BE$143*SUM('Population Treasury'!BQ$190:BQ$200)*'Statistics NZ'!BQ$472/(SUM('Population Treasury'!BP$190:BP$200)*'Statistics NZ'!BP$472)</f>
        <v>34459.070348761874</v>
      </c>
    </row>
    <row r="144" spans="1:58">
      <c r="A144" s="108" t="s">
        <v>3</v>
      </c>
      <c r="B144" s="119">
        <f>SUM(B$78:B$143)</f>
        <v>1424881.6018529916</v>
      </c>
      <c r="C144" s="119">
        <f t="shared" ref="C144:J144" si="10">SUM(C$78:C$143)</f>
        <v>1476506.6760629772</v>
      </c>
      <c r="D144" s="119">
        <f t="shared" si="10"/>
        <v>1490385.3083602523</v>
      </c>
      <c r="E144" s="156">
        <f t="shared" si="10"/>
        <v>1517679.1960979723</v>
      </c>
      <c r="F144" s="122">
        <f t="shared" si="10"/>
        <v>1535486.3564834157</v>
      </c>
      <c r="G144" s="122">
        <f t="shared" si="10"/>
        <v>1564454.4555128645</v>
      </c>
      <c r="H144" s="122">
        <f t="shared" si="10"/>
        <v>1591004.5672581438</v>
      </c>
      <c r="I144" s="122">
        <f t="shared" si="10"/>
        <v>1617296.7541904459</v>
      </c>
      <c r="J144" s="157">
        <f t="shared" si="10"/>
        <v>1643859.9912562375</v>
      </c>
      <c r="K144" s="114">
        <f t="shared" ref="K144:BF144" si="11">SUM(K$78:K$143)</f>
        <v>1666507.8083414827</v>
      </c>
      <c r="L144" s="114">
        <f t="shared" si="11"/>
        <v>1688232.3957896291</v>
      </c>
      <c r="M144" s="114">
        <f t="shared" si="11"/>
        <v>1708899.234717285</v>
      </c>
      <c r="N144" s="114">
        <f t="shared" si="11"/>
        <v>1728493.6391459438</v>
      </c>
      <c r="O144" s="114">
        <f t="shared" si="11"/>
        <v>1747040.3084402455</v>
      </c>
      <c r="P144" s="114">
        <f t="shared" si="11"/>
        <v>1764382.2443529749</v>
      </c>
      <c r="Q144" s="114">
        <f t="shared" si="11"/>
        <v>1780624.4902531244</v>
      </c>
      <c r="R144" s="114">
        <f t="shared" si="11"/>
        <v>1795578.8264384416</v>
      </c>
      <c r="S144" s="114">
        <f t="shared" si="11"/>
        <v>1809260.3131994763</v>
      </c>
      <c r="T144" s="114">
        <f t="shared" si="11"/>
        <v>1822469.8645186673</v>
      </c>
      <c r="U144" s="114">
        <f t="shared" si="11"/>
        <v>1834866.2394270964</v>
      </c>
      <c r="V144" s="114">
        <f t="shared" si="11"/>
        <v>1846819.1004235353</v>
      </c>
      <c r="W144" s="114">
        <f t="shared" si="11"/>
        <v>1858499.4700031015</v>
      </c>
      <c r="X144" s="114">
        <f t="shared" si="11"/>
        <v>1869649.6788713105</v>
      </c>
      <c r="Y144" s="114">
        <f t="shared" si="11"/>
        <v>1880560.5328182578</v>
      </c>
      <c r="Z144" s="114">
        <f t="shared" si="11"/>
        <v>1891395.3210120229</v>
      </c>
      <c r="AA144" s="114">
        <f t="shared" si="11"/>
        <v>1901988.2652129068</v>
      </c>
      <c r="AB144" s="114">
        <f t="shared" si="11"/>
        <v>1912490.5087004446</v>
      </c>
      <c r="AC144" s="114">
        <f t="shared" si="11"/>
        <v>1922557.1927096171</v>
      </c>
      <c r="AD144" s="114">
        <f t="shared" si="11"/>
        <v>1932505.3544114085</v>
      </c>
      <c r="AE144" s="114">
        <f t="shared" si="11"/>
        <v>1942369.5490066502</v>
      </c>
      <c r="AF144" s="114">
        <f t="shared" si="11"/>
        <v>1951811.4066281887</v>
      </c>
      <c r="AG144" s="114">
        <f t="shared" si="11"/>
        <v>1960936.5392742532</v>
      </c>
      <c r="AH144" s="114">
        <f t="shared" si="11"/>
        <v>1969518.9158411147</v>
      </c>
      <c r="AI144" s="114">
        <f t="shared" si="11"/>
        <v>1977893.3361852136</v>
      </c>
      <c r="AJ144" s="114">
        <f t="shared" si="11"/>
        <v>1985817.6560986266</v>
      </c>
      <c r="AK144" s="114">
        <f t="shared" si="11"/>
        <v>1993116.1844842278</v>
      </c>
      <c r="AL144" s="114">
        <f t="shared" si="11"/>
        <v>1999989.8947715384</v>
      </c>
      <c r="AM144" s="114">
        <f t="shared" si="11"/>
        <v>2006352.7009510796</v>
      </c>
      <c r="AN144" s="114">
        <f t="shared" si="11"/>
        <v>2012395.4517099813</v>
      </c>
      <c r="AO144" s="114">
        <f t="shared" si="11"/>
        <v>2017952.8166855853</v>
      </c>
      <c r="AP144" s="114">
        <f t="shared" si="11"/>
        <v>2023002.1619289839</v>
      </c>
      <c r="AQ144" s="114">
        <f t="shared" si="11"/>
        <v>2027952.3548427946</v>
      </c>
      <c r="AR144" s="114">
        <f t="shared" si="11"/>
        <v>2032480.3356013116</v>
      </c>
      <c r="AS144" s="114">
        <f t="shared" si="11"/>
        <v>2036853.5242744633</v>
      </c>
      <c r="AT144" s="114">
        <f t="shared" si="11"/>
        <v>2041069.1071966209</v>
      </c>
      <c r="AU144" s="114">
        <f t="shared" si="11"/>
        <v>2045363.266302811</v>
      </c>
      <c r="AV144" s="114">
        <f t="shared" si="11"/>
        <v>2049382.8914524573</v>
      </c>
      <c r="AW144" s="114">
        <f t="shared" si="11"/>
        <v>2053469.6786296014</v>
      </c>
      <c r="AX144" s="114">
        <f t="shared" si="11"/>
        <v>2057463.4579497967</v>
      </c>
      <c r="AY144" s="114">
        <f t="shared" si="11"/>
        <v>2061530.6883210163</v>
      </c>
      <c r="AZ144" s="114">
        <f t="shared" si="11"/>
        <v>2065452.3858174707</v>
      </c>
      <c r="BA144" s="114">
        <f t="shared" si="11"/>
        <v>2069310.4148704563</v>
      </c>
      <c r="BB144" s="200">
        <f t="shared" si="11"/>
        <v>2073006.130844536</v>
      </c>
      <c r="BC144" s="200">
        <f t="shared" si="11"/>
        <v>2076368.9166087743</v>
      </c>
      <c r="BD144" s="200">
        <f t="shared" si="11"/>
        <v>2079497.2987470205</v>
      </c>
      <c r="BE144" s="200">
        <f t="shared" si="11"/>
        <v>2082326.6701132238</v>
      </c>
      <c r="BF144" s="200">
        <f t="shared" si="11"/>
        <v>2084767.4817271377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60"/>
  <sheetViews>
    <sheetView zoomScaleNormal="100" workbookViewId="0">
      <pane xSplit="1" ySplit="5" topLeftCell="B6" activePane="bottomRight" state="frozen"/>
      <selection pane="topRight" activeCell="B1" sqref="B1"/>
      <selection pane="bottomLeft" activeCell="A6" sqref="A6"/>
      <selection pane="bottomRight" activeCell="L25" sqref="L25"/>
    </sheetView>
  </sheetViews>
  <sheetFormatPr defaultRowHeight="12.75"/>
  <cols>
    <col min="1" max="1" width="60.7109375" style="28" customWidth="1"/>
    <col min="2" max="28" width="10.7109375" style="28" customWidth="1"/>
    <col min="29" max="30" width="10.7109375" style="124" customWidth="1"/>
    <col min="31" max="31" width="10.7109375" style="184" customWidth="1"/>
    <col min="32" max="16384" width="9.140625" style="28"/>
  </cols>
  <sheetData>
    <row r="1" spans="1:31">
      <c r="A1" s="71" t="s">
        <v>70</v>
      </c>
    </row>
    <row r="2" spans="1:31">
      <c r="A2" s="67" t="s">
        <v>734</v>
      </c>
    </row>
    <row r="4" spans="1:31">
      <c r="A4" s="71" t="s">
        <v>4</v>
      </c>
      <c r="B4" s="73" t="s">
        <v>5</v>
      </c>
      <c r="C4" s="73" t="s">
        <v>6</v>
      </c>
      <c r="D4" s="73" t="s">
        <v>7</v>
      </c>
      <c r="E4" s="73" t="s">
        <v>8</v>
      </c>
      <c r="F4" s="73" t="s">
        <v>10</v>
      </c>
      <c r="G4" s="73" t="s">
        <v>9</v>
      </c>
      <c r="H4" s="73" t="s">
        <v>11</v>
      </c>
      <c r="I4" s="73" t="s">
        <v>12</v>
      </c>
      <c r="J4" s="73" t="s">
        <v>13</v>
      </c>
      <c r="K4" s="73" t="s">
        <v>14</v>
      </c>
      <c r="L4" s="73" t="s">
        <v>15</v>
      </c>
      <c r="M4" s="73" t="s">
        <v>16</v>
      </c>
      <c r="N4" s="73" t="s">
        <v>17</v>
      </c>
      <c r="O4" s="73" t="s">
        <v>18</v>
      </c>
      <c r="P4" s="73" t="s">
        <v>19</v>
      </c>
      <c r="Q4" s="73" t="s">
        <v>20</v>
      </c>
      <c r="R4" s="73" t="s">
        <v>21</v>
      </c>
      <c r="S4" s="73" t="s">
        <v>22</v>
      </c>
      <c r="T4" s="73" t="s">
        <v>23</v>
      </c>
      <c r="U4" s="73" t="s">
        <v>24</v>
      </c>
      <c r="V4" s="73" t="s">
        <v>25</v>
      </c>
      <c r="W4" s="73" t="s">
        <v>26</v>
      </c>
      <c r="X4" s="73" t="s">
        <v>27</v>
      </c>
      <c r="Y4" s="73" t="s">
        <v>28</v>
      </c>
      <c r="Z4" s="73" t="s">
        <v>29</v>
      </c>
      <c r="AA4" s="73" t="s">
        <v>30</v>
      </c>
      <c r="AB4" s="73" t="s">
        <v>31</v>
      </c>
      <c r="AC4" s="109" t="s">
        <v>32</v>
      </c>
      <c r="AD4" s="109" t="s">
        <v>33</v>
      </c>
      <c r="AE4" s="192" t="s">
        <v>34</v>
      </c>
    </row>
    <row r="5" spans="1:31">
      <c r="B5" s="71">
        <v>2006</v>
      </c>
      <c r="C5" s="71">
        <v>2007</v>
      </c>
      <c r="D5" s="71">
        <v>2008</v>
      </c>
      <c r="E5" s="71">
        <v>2009</v>
      </c>
      <c r="F5" s="71">
        <v>2010</v>
      </c>
      <c r="G5" s="71">
        <v>2011</v>
      </c>
      <c r="H5" s="71">
        <v>2012</v>
      </c>
      <c r="I5" s="71">
        <v>2013</v>
      </c>
      <c r="J5" s="71">
        <v>2014</v>
      </c>
      <c r="K5" s="71">
        <v>2015</v>
      </c>
      <c r="L5" s="71">
        <v>2016</v>
      </c>
      <c r="M5" s="71">
        <v>2017</v>
      </c>
      <c r="N5" s="71">
        <v>2018</v>
      </c>
      <c r="O5" s="71">
        <v>2019</v>
      </c>
      <c r="P5" s="71">
        <v>2020</v>
      </c>
      <c r="Q5" s="71">
        <v>2021</v>
      </c>
      <c r="R5" s="71">
        <v>2022</v>
      </c>
      <c r="S5" s="71">
        <v>2023</v>
      </c>
      <c r="T5" s="71">
        <v>2024</v>
      </c>
      <c r="U5" s="71">
        <v>2025</v>
      </c>
      <c r="V5" s="71">
        <v>2026</v>
      </c>
      <c r="W5" s="71">
        <v>2027</v>
      </c>
      <c r="X5" s="71">
        <v>2028</v>
      </c>
      <c r="Y5" s="71">
        <v>2029</v>
      </c>
      <c r="Z5" s="71">
        <v>2030</v>
      </c>
      <c r="AA5" s="71">
        <v>2031</v>
      </c>
      <c r="AB5" s="71">
        <v>2032</v>
      </c>
      <c r="AC5" s="108">
        <v>2033</v>
      </c>
      <c r="AD5" s="108">
        <v>2034</v>
      </c>
      <c r="AE5" s="191">
        <v>2035</v>
      </c>
    </row>
    <row r="6" spans="1:31">
      <c r="A6" s="71" t="s">
        <v>71</v>
      </c>
      <c r="B6" s="71" t="s">
        <v>72</v>
      </c>
      <c r="C6" s="71"/>
      <c r="D6" s="71"/>
      <c r="F6" s="71"/>
      <c r="G6" s="71"/>
      <c r="H6" s="71"/>
      <c r="I6" s="71"/>
      <c r="J6" s="71"/>
      <c r="K6" s="71"/>
      <c r="L6" s="71"/>
      <c r="M6" s="71"/>
      <c r="N6" s="71"/>
      <c r="O6" s="71"/>
      <c r="P6" s="71"/>
      <c r="Q6" s="71"/>
      <c r="R6" s="71"/>
      <c r="S6" s="71"/>
      <c r="T6" s="71"/>
      <c r="U6" s="71"/>
      <c r="V6" s="71"/>
      <c r="W6" s="71"/>
      <c r="X6" s="71"/>
      <c r="Y6" s="71"/>
      <c r="Z6" s="71"/>
      <c r="AA6" s="71"/>
      <c r="AB6" s="71"/>
      <c r="AC6" s="108"/>
      <c r="AD6" s="108"/>
      <c r="AE6" s="191"/>
    </row>
    <row r="7" spans="1:31">
      <c r="A7" s="28" t="s">
        <v>73</v>
      </c>
      <c r="B7" s="77"/>
      <c r="C7" s="76">
        <f>0.436+1.313--0.052</f>
        <v>1.8009999999999999</v>
      </c>
      <c r="D7" s="76">
        <f>0.385+-0.995-0.034</f>
        <v>-0.64400000000000002</v>
      </c>
      <c r="E7" s="76">
        <f>0.383+-3.495--0.323</f>
        <v>-2.7890000000000001</v>
      </c>
      <c r="F7" s="76">
        <f>0.433+1.75-0.502</f>
        <v>1.6809999999999998</v>
      </c>
      <c r="G7" s="76">
        <f>0.518+3.518-0.169</f>
        <v>3.8669999999999995</v>
      </c>
      <c r="H7" s="76">
        <f>0.539+-0.204-0.132</f>
        <v>0.20300000000000007</v>
      </c>
      <c r="I7" s="76">
        <f>0.595+4.374-0.165</f>
        <v>4.8039999999999994</v>
      </c>
      <c r="J7" s="76">
        <f>0.767+3.735-0.164</f>
        <v>4.3380000000000001</v>
      </c>
      <c r="K7" s="76">
        <f>0.76+3.156-0.198</f>
        <v>3.7180000000000004</v>
      </c>
      <c r="L7" s="76">
        <v>0.53800000000000003</v>
      </c>
      <c r="M7" s="76">
        <v>6.1180000000000003</v>
      </c>
      <c r="N7" s="76">
        <v>4.1580000000000004</v>
      </c>
      <c r="O7" s="76">
        <v>2.8070000000000004</v>
      </c>
      <c r="P7" s="76">
        <v>0.67</v>
      </c>
      <c r="Q7" s="76">
        <v>9.6229999999999993</v>
      </c>
      <c r="R7" s="76">
        <v>4.1610000000000005</v>
      </c>
      <c r="S7" s="76">
        <v>4.6340000000000003</v>
      </c>
      <c r="T7" s="76">
        <v>5.0169999999999995</v>
      </c>
      <c r="U7" s="76">
        <v>5.4660000000000002</v>
      </c>
      <c r="V7" s="76">
        <v>5.9452857819473213</v>
      </c>
      <c r="W7" s="76">
        <v>6.4203551842745403</v>
      </c>
      <c r="X7" s="76">
        <v>6.9032277709300258</v>
      </c>
      <c r="Y7" s="76">
        <v>7.3951395059493858</v>
      </c>
      <c r="Z7" s="76">
        <v>7.8992121190784301</v>
      </c>
      <c r="AA7" s="76">
        <v>8.418017067827213</v>
      </c>
      <c r="AB7" s="76">
        <v>8.9528820796380444</v>
      </c>
      <c r="AC7" s="76">
        <v>9.5031787816208748</v>
      </c>
      <c r="AD7" s="76">
        <v>10.067233359938395</v>
      </c>
      <c r="AE7" s="196">
        <v>10.645026259537792</v>
      </c>
    </row>
    <row r="8" spans="1:31">
      <c r="A8" s="67" t="s">
        <v>919</v>
      </c>
      <c r="B8" s="76"/>
      <c r="C8" s="76">
        <v>0.70699999999999996</v>
      </c>
      <c r="D8" s="76">
        <v>0.23699999999999999</v>
      </c>
      <c r="E8" s="76">
        <v>4.0000000000000001E-3</v>
      </c>
      <c r="F8" s="76">
        <v>-2.7E-2</v>
      </c>
      <c r="G8" s="76">
        <v>0.872</v>
      </c>
      <c r="H8" s="76">
        <v>0.16</v>
      </c>
      <c r="I8" s="76">
        <v>0.98299999999999998</v>
      </c>
      <c r="J8" s="76">
        <v>1.0740000000000001</v>
      </c>
      <c r="K8" s="76">
        <v>4.5999999999999999E-2</v>
      </c>
      <c r="L8" s="76">
        <v>0.51200000000000001</v>
      </c>
      <c r="M8" s="76">
        <v>1.139</v>
      </c>
      <c r="N8" s="76">
        <v>0.24099999999999999</v>
      </c>
      <c r="O8" s="76">
        <v>0.504</v>
      </c>
      <c r="P8" s="76">
        <v>0.44800000000000001</v>
      </c>
      <c r="Q8" s="76">
        <v>2.2599999999999998</v>
      </c>
      <c r="R8" s="76">
        <v>0.99299999999999999</v>
      </c>
      <c r="S8" s="76">
        <v>1.1060000000000001</v>
      </c>
      <c r="T8" s="76">
        <v>1.1970000000000001</v>
      </c>
      <c r="U8" s="76">
        <v>1.3049999999999999</v>
      </c>
      <c r="V8" s="76">
        <v>1.426868587667357</v>
      </c>
      <c r="W8" s="76">
        <v>1.5408852442258896</v>
      </c>
      <c r="X8" s="76">
        <v>1.656774665023206</v>
      </c>
      <c r="Y8" s="76">
        <v>1.7748334814278526</v>
      </c>
      <c r="Z8" s="76">
        <v>1.8958109085788231</v>
      </c>
      <c r="AA8" s="76">
        <v>2.0203240962785309</v>
      </c>
      <c r="AB8" s="76">
        <v>2.1486916991131304</v>
      </c>
      <c r="AC8" s="76">
        <v>2.2807629075890099</v>
      </c>
      <c r="AD8" s="76">
        <v>2.4161360063852149</v>
      </c>
      <c r="AE8" s="196">
        <v>2.5548063022890699</v>
      </c>
    </row>
    <row r="9" spans="1:31">
      <c r="A9" s="28" t="s">
        <v>74</v>
      </c>
      <c r="B9" s="76"/>
      <c r="C9" s="76">
        <v>2.048</v>
      </c>
      <c r="D9" s="76">
        <v>2.1040000000000001</v>
      </c>
      <c r="E9" s="76">
        <v>2.2429999999999999</v>
      </c>
      <c r="F9" s="76">
        <v>0.25</v>
      </c>
      <c r="G9" s="76">
        <v>0</v>
      </c>
      <c r="H9" s="76">
        <v>0</v>
      </c>
      <c r="I9" s="76">
        <v>0</v>
      </c>
      <c r="J9" s="76">
        <v>0</v>
      </c>
      <c r="K9" s="76">
        <v>0</v>
      </c>
      <c r="L9" s="76">
        <v>0</v>
      </c>
      <c r="M9" s="76">
        <v>0</v>
      </c>
      <c r="N9" s="76">
        <v>0.5</v>
      </c>
      <c r="O9" s="76">
        <v>1</v>
      </c>
      <c r="P9" s="76">
        <v>1.4600000000000009</v>
      </c>
      <c r="Q9" s="76">
        <v>2.1199999999999992</v>
      </c>
      <c r="R9" s="76">
        <v>2.4199999999999982</v>
      </c>
      <c r="S9" s="76">
        <v>1.3510000000000009</v>
      </c>
      <c r="T9" s="76">
        <v>1.629999999999999</v>
      </c>
      <c r="U9" s="76">
        <v>1.8979999999999997</v>
      </c>
      <c r="V9" s="76">
        <v>1.6879782431057286</v>
      </c>
      <c r="W9" s="76">
        <v>1.4327527342206707</v>
      </c>
      <c r="X9" s="76">
        <v>1.1647696793195053</v>
      </c>
      <c r="Y9" s="76">
        <v>0.9340167943912725</v>
      </c>
      <c r="Z9" s="76">
        <v>0.7315037003943381</v>
      </c>
      <c r="AA9" s="76">
        <v>0.54727674926238734</v>
      </c>
      <c r="AB9" s="76">
        <v>0.35386359603993611</v>
      </c>
      <c r="AC9" s="76">
        <v>0.12684560172290915</v>
      </c>
      <c r="AD9" s="76">
        <v>-0.13285652283220983</v>
      </c>
      <c r="AE9" s="196">
        <v>-0.37678819574019329</v>
      </c>
    </row>
    <row r="10" spans="1:31">
      <c r="A10" s="28" t="s">
        <v>75</v>
      </c>
      <c r="B10" s="76"/>
      <c r="C10" s="76">
        <v>-2.4E-2</v>
      </c>
      <c r="D10" s="76">
        <v>1.6E-2</v>
      </c>
      <c r="E10" s="76">
        <v>2.5999999999999999E-2</v>
      </c>
      <c r="F10" s="76">
        <v>0.01</v>
      </c>
      <c r="G10" s="76">
        <v>1E-3</v>
      </c>
      <c r="H10" s="76">
        <v>8.0000000000000002E-3</v>
      </c>
      <c r="I10" s="76">
        <v>2.5000000000000001E-2</v>
      </c>
      <c r="J10" s="76">
        <v>-4.0000000000000001E-3</v>
      </c>
      <c r="K10" s="76">
        <v>4.1000000000000002E-2</v>
      </c>
      <c r="L10" s="76">
        <v>-2.1000000000000001E-2</v>
      </c>
      <c r="M10" s="76">
        <v>0</v>
      </c>
      <c r="N10" s="76">
        <v>0.13</v>
      </c>
      <c r="O10" s="76">
        <v>-0.04</v>
      </c>
      <c r="P10" s="76">
        <v>-1E-3</v>
      </c>
      <c r="Q10" s="76">
        <v>0</v>
      </c>
      <c r="R10" s="76">
        <v>0</v>
      </c>
      <c r="S10" s="76">
        <v>0</v>
      </c>
      <c r="T10" s="76">
        <v>0</v>
      </c>
      <c r="U10" s="76">
        <v>0</v>
      </c>
      <c r="V10" s="76">
        <v>0</v>
      </c>
      <c r="W10" s="76">
        <v>0</v>
      </c>
      <c r="X10" s="76">
        <v>0</v>
      </c>
      <c r="Y10" s="76">
        <v>0</v>
      </c>
      <c r="Z10" s="76">
        <v>0</v>
      </c>
      <c r="AA10" s="76">
        <v>0</v>
      </c>
      <c r="AB10" s="76">
        <v>0</v>
      </c>
      <c r="AC10" s="76">
        <v>0</v>
      </c>
      <c r="AD10" s="76">
        <v>0</v>
      </c>
      <c r="AE10" s="196">
        <v>0</v>
      </c>
    </row>
    <row r="11" spans="1:31">
      <c r="A11" s="71" t="s">
        <v>76</v>
      </c>
      <c r="B11" s="77">
        <v>9.8549999999999986</v>
      </c>
      <c r="C11" s="77">
        <v>12.972999999999999</v>
      </c>
      <c r="D11" s="77">
        <v>14.211999999999998</v>
      </c>
      <c r="E11" s="77">
        <v>13.687999999999997</v>
      </c>
      <c r="F11" s="77">
        <v>15.655999999999997</v>
      </c>
      <c r="G11" s="77">
        <v>18.651999999999997</v>
      </c>
      <c r="H11" s="77">
        <v>18.702999999999996</v>
      </c>
      <c r="I11" s="77">
        <v>22.548999999999992</v>
      </c>
      <c r="J11" s="77">
        <v>25.80899999999999</v>
      </c>
      <c r="K11" s="77">
        <v>29.521999999999991</v>
      </c>
      <c r="L11" s="77">
        <v>29.52699999999999</v>
      </c>
      <c r="M11" s="77">
        <v>34.506</v>
      </c>
      <c r="N11" s="77">
        <v>39.052999999999997</v>
      </c>
      <c r="O11" s="112">
        <v>42.315999999999988</v>
      </c>
      <c r="P11" s="112">
        <v>43.997</v>
      </c>
      <c r="Q11" s="112">
        <v>53.48</v>
      </c>
      <c r="R11" s="112">
        <v>59.067999999999991</v>
      </c>
      <c r="S11" s="112">
        <v>63.946999999999989</v>
      </c>
      <c r="T11" s="112">
        <v>69.396999999999977</v>
      </c>
      <c r="U11" s="112">
        <v>75.455999999999975</v>
      </c>
      <c r="V11" s="112">
        <v>81.662395437385669</v>
      </c>
      <c r="W11" s="112">
        <v>87.974618111654991</v>
      </c>
      <c r="X11" s="112">
        <v>94.385840896881319</v>
      </c>
      <c r="Y11" s="112">
        <v>100.94016371579413</v>
      </c>
      <c r="Z11" s="112">
        <v>107.67506862668807</v>
      </c>
      <c r="AA11" s="112">
        <v>114.62003834749913</v>
      </c>
      <c r="AB11" s="112">
        <v>121.77809232406398</v>
      </c>
      <c r="AC11" s="112">
        <v>129.12735379981874</v>
      </c>
      <c r="AD11" s="112">
        <v>136.6455946305397</v>
      </c>
      <c r="AE11" s="197">
        <v>144.35902639204824</v>
      </c>
    </row>
    <row r="12" spans="1:31">
      <c r="B12" s="75"/>
      <c r="C12" s="165"/>
      <c r="D12" s="165"/>
      <c r="E12" s="165"/>
      <c r="F12" s="165"/>
      <c r="G12" s="165"/>
      <c r="H12" s="165"/>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row>
    <row r="13" spans="1:31">
      <c r="A13" s="71" t="s">
        <v>77</v>
      </c>
      <c r="B13" s="71" t="s">
        <v>72</v>
      </c>
    </row>
    <row r="14" spans="1:31" ht="14.25">
      <c r="A14" s="28" t="s">
        <v>1316</v>
      </c>
      <c r="B14" s="131"/>
      <c r="C14" s="76">
        <v>1.1759999999999999</v>
      </c>
      <c r="D14" s="76">
        <v>1.2010000000000001</v>
      </c>
      <c r="E14" s="76">
        <v>1.35</v>
      </c>
      <c r="F14" s="76">
        <v>1.5249999999999999</v>
      </c>
      <c r="G14" s="76">
        <v>1.5640000000000001</v>
      </c>
      <c r="H14" s="76">
        <v>1.5860000000000001</v>
      </c>
      <c r="I14" s="76">
        <v>1.4810000000000001</v>
      </c>
      <c r="J14" s="76">
        <v>1.512</v>
      </c>
      <c r="K14" s="76">
        <v>1.518</v>
      </c>
      <c r="L14" s="76">
        <v>1.512</v>
      </c>
      <c r="M14" s="76">
        <v>1.4750000000000001</v>
      </c>
      <c r="N14" s="76">
        <v>1.3</v>
      </c>
      <c r="O14" s="76">
        <v>1.361</v>
      </c>
      <c r="P14" s="76">
        <v>1.413</v>
      </c>
      <c r="Q14" s="196">
        <v>1.4530000000000001</v>
      </c>
      <c r="R14" s="196">
        <v>1.5760000000000001</v>
      </c>
      <c r="S14" s="196">
        <v>1.6</v>
      </c>
      <c r="T14" s="196">
        <v>1.5940000000000001</v>
      </c>
      <c r="U14" s="196">
        <v>1.619</v>
      </c>
      <c r="V14" s="196">
        <v>1.665</v>
      </c>
      <c r="W14" s="196">
        <v>1.7190000000000001</v>
      </c>
      <c r="X14" s="196">
        <v>1.7769999999999999</v>
      </c>
      <c r="Y14" s="196">
        <v>1.833</v>
      </c>
      <c r="Z14" s="196">
        <v>1.889</v>
      </c>
      <c r="AA14" s="196">
        <v>1.944</v>
      </c>
      <c r="AB14" s="196">
        <v>1.9930000000000001</v>
      </c>
      <c r="AC14" s="196">
        <v>2.0379999999999998</v>
      </c>
      <c r="AD14" s="196">
        <v>2.08</v>
      </c>
      <c r="AE14" s="196">
        <v>2.12</v>
      </c>
    </row>
    <row r="15" spans="1:31" ht="14.25">
      <c r="A15" s="28" t="s">
        <v>1317</v>
      </c>
      <c r="B15" s="131"/>
      <c r="C15" s="76">
        <v>0.1</v>
      </c>
      <c r="D15" s="76">
        <v>7.0000000000000001E-3</v>
      </c>
      <c r="E15" s="76">
        <v>1.7999999999999999E-2</v>
      </c>
      <c r="F15" s="76">
        <v>1.0999999999999999E-2</v>
      </c>
      <c r="G15" s="76">
        <v>1.2E-2</v>
      </c>
      <c r="H15" s="76">
        <v>1.0999999999999999E-2</v>
      </c>
      <c r="I15" s="76">
        <v>0</v>
      </c>
      <c r="J15" s="76">
        <v>1.0999999999999999E-2</v>
      </c>
      <c r="K15" s="76">
        <v>1.0999999999999999E-2</v>
      </c>
      <c r="L15" s="76">
        <v>0.01</v>
      </c>
      <c r="M15" s="76">
        <v>0.01</v>
      </c>
      <c r="N15" s="76">
        <v>3.5999999999999997E-2</v>
      </c>
      <c r="O15" s="76">
        <v>3.5999999999999997E-2</v>
      </c>
      <c r="P15" s="76">
        <v>3.5999999999999997E-2</v>
      </c>
      <c r="Q15" s="196">
        <v>3.6999999999999998E-2</v>
      </c>
      <c r="R15" s="196">
        <v>3.5000000000000003E-2</v>
      </c>
      <c r="S15" s="196">
        <v>3.5000000000000003E-2</v>
      </c>
      <c r="T15" s="196">
        <v>3.5000000000000003E-2</v>
      </c>
      <c r="U15" s="196">
        <v>3.5000000000000003E-2</v>
      </c>
      <c r="V15" s="196">
        <v>4.3999999999999997E-2</v>
      </c>
      <c r="W15" s="196">
        <v>4.4999999999999998E-2</v>
      </c>
      <c r="X15" s="196">
        <v>4.4999999999999998E-2</v>
      </c>
      <c r="Y15" s="196">
        <v>4.3999999999999997E-2</v>
      </c>
      <c r="Z15" s="196">
        <v>4.7E-2</v>
      </c>
      <c r="AA15" s="196">
        <v>4.4999999999999998E-2</v>
      </c>
      <c r="AB15" s="196">
        <v>4.5999999999999999E-2</v>
      </c>
      <c r="AC15" s="196">
        <v>4.8000000000000001E-2</v>
      </c>
      <c r="AD15" s="196">
        <v>4.8000000000000001E-2</v>
      </c>
      <c r="AE15" s="196">
        <v>4.8000000000000001E-2</v>
      </c>
    </row>
    <row r="16" spans="1:31" ht="14.25">
      <c r="A16" s="67" t="s">
        <v>920</v>
      </c>
      <c r="B16" s="131"/>
      <c r="C16" s="76">
        <v>0.48799999999999999</v>
      </c>
      <c r="D16" s="76">
        <v>0.48699999999999999</v>
      </c>
      <c r="E16" s="76">
        <v>0.53200000000000003</v>
      </c>
      <c r="F16" s="76">
        <v>0.72799999999999998</v>
      </c>
      <c r="G16" s="76">
        <v>0.71299999999999997</v>
      </c>
      <c r="H16" s="76">
        <v>0.70099999999999996</v>
      </c>
      <c r="I16" s="76">
        <v>0.53600000000000003</v>
      </c>
      <c r="J16" s="76">
        <v>0.63</v>
      </c>
      <c r="K16" s="76">
        <v>0.60199999999999998</v>
      </c>
      <c r="L16" s="76">
        <v>0.65900000000000003</v>
      </c>
      <c r="M16" s="76">
        <v>0.66200000000000003</v>
      </c>
      <c r="N16" s="76">
        <v>0.59399999999999997</v>
      </c>
      <c r="O16" s="76">
        <v>0.56299999999999994</v>
      </c>
      <c r="P16" s="76">
        <v>0.50600000000000001</v>
      </c>
      <c r="Q16" s="196">
        <v>0.47599999999999998</v>
      </c>
      <c r="R16" s="196">
        <v>0.51500000000000001</v>
      </c>
      <c r="S16" s="196">
        <v>0.53900000000000003</v>
      </c>
      <c r="T16" s="196">
        <v>0.55300000000000005</v>
      </c>
      <c r="U16" s="196">
        <v>0.58799999999999997</v>
      </c>
      <c r="V16" s="196">
        <v>0.61699999999999999</v>
      </c>
      <c r="W16" s="196">
        <v>0.65100000000000002</v>
      </c>
      <c r="X16" s="196">
        <v>0.68600000000000005</v>
      </c>
      <c r="Y16" s="196">
        <v>0.72</v>
      </c>
      <c r="Z16" s="196">
        <v>0.753</v>
      </c>
      <c r="AA16" s="196">
        <v>0.78400000000000003</v>
      </c>
      <c r="AB16" s="196">
        <v>0.81299999999999994</v>
      </c>
      <c r="AC16" s="196">
        <v>0.84</v>
      </c>
      <c r="AD16" s="196">
        <v>0.86499999999999999</v>
      </c>
      <c r="AE16" s="196">
        <v>0.88800000000000001</v>
      </c>
    </row>
    <row r="17" spans="1:49" ht="14.25">
      <c r="A17" s="67" t="s">
        <v>921</v>
      </c>
      <c r="B17" s="131"/>
      <c r="C17" s="76">
        <v>0.55500000000000005</v>
      </c>
      <c r="D17" s="76">
        <v>0.629</v>
      </c>
      <c r="E17" s="76">
        <v>0.71</v>
      </c>
      <c r="F17" s="76">
        <v>0.754</v>
      </c>
      <c r="G17" s="76">
        <v>0.80200000000000005</v>
      </c>
      <c r="H17" s="76">
        <v>0.877</v>
      </c>
      <c r="I17" s="76">
        <v>1.054</v>
      </c>
      <c r="J17" s="76">
        <v>1.032</v>
      </c>
      <c r="K17" s="76">
        <v>1.1140000000000001</v>
      </c>
      <c r="L17" s="76">
        <v>1.208</v>
      </c>
      <c r="M17" s="76">
        <v>1.272</v>
      </c>
      <c r="N17" s="76">
        <v>1.3480000000000001</v>
      </c>
      <c r="O17" s="76">
        <v>1.371</v>
      </c>
      <c r="P17" s="76">
        <v>1.4770000000000001</v>
      </c>
      <c r="Q17" s="196">
        <v>1.4530000000000001</v>
      </c>
      <c r="R17" s="196">
        <v>1.508</v>
      </c>
      <c r="S17" s="196">
        <v>1.54</v>
      </c>
      <c r="T17" s="196">
        <v>1.577</v>
      </c>
      <c r="U17" s="196">
        <v>1.6339999999999999</v>
      </c>
      <c r="V17" s="196">
        <v>1.47</v>
      </c>
      <c r="W17" s="196">
        <v>1.488</v>
      </c>
      <c r="X17" s="196">
        <v>1.4990000000000001</v>
      </c>
      <c r="Y17" s="196">
        <v>1.508</v>
      </c>
      <c r="Z17" s="196">
        <v>1.518</v>
      </c>
      <c r="AA17" s="196">
        <v>1.5309999999999999</v>
      </c>
      <c r="AB17" s="196">
        <v>1.55</v>
      </c>
      <c r="AC17" s="196">
        <v>1.573</v>
      </c>
      <c r="AD17" s="196">
        <v>1.597</v>
      </c>
      <c r="AE17" s="196">
        <v>1.6240000000000001</v>
      </c>
      <c r="AF17" s="184"/>
      <c r="AG17" s="184"/>
      <c r="AH17" s="184"/>
      <c r="AI17" s="184"/>
      <c r="AJ17" s="184"/>
      <c r="AK17" s="184"/>
      <c r="AL17" s="184"/>
      <c r="AM17" s="184"/>
      <c r="AN17" s="184"/>
      <c r="AO17" s="184"/>
      <c r="AP17" s="184"/>
      <c r="AQ17" s="184"/>
      <c r="AR17" s="184"/>
      <c r="AS17" s="184"/>
      <c r="AT17" s="184"/>
      <c r="AU17" s="184"/>
      <c r="AV17" s="184"/>
      <c r="AW17" s="184"/>
    </row>
    <row r="18" spans="1:49" ht="14.25">
      <c r="A18" s="28" t="s">
        <v>78</v>
      </c>
      <c r="B18" s="131"/>
      <c r="C18" s="76">
        <v>0.36</v>
      </c>
      <c r="D18" s="76">
        <v>0.40699999999999997</v>
      </c>
      <c r="E18" s="76">
        <v>0.46500000000000002</v>
      </c>
      <c r="F18" s="76">
        <v>0.46300000000000002</v>
      </c>
      <c r="G18" s="76">
        <v>0.48399999999999999</v>
      </c>
      <c r="H18" s="76">
        <v>0.52600000000000002</v>
      </c>
      <c r="I18" s="76">
        <v>0.59</v>
      </c>
      <c r="J18" s="76">
        <v>0.57899999999999996</v>
      </c>
      <c r="K18" s="76">
        <v>0.60399999999999998</v>
      </c>
      <c r="L18" s="76">
        <v>0.60299999999999998</v>
      </c>
      <c r="M18" s="76">
        <v>0.60199999999999998</v>
      </c>
      <c r="N18" s="76">
        <v>0.60399999999999998</v>
      </c>
      <c r="O18" s="76">
        <v>0.39400000000000002</v>
      </c>
      <c r="P18" s="76">
        <v>0.33100000000000002</v>
      </c>
      <c r="Q18" s="196">
        <v>0.23400000000000001</v>
      </c>
      <c r="R18" s="196">
        <v>0.19400000000000001</v>
      </c>
      <c r="S18" s="196">
        <v>0.19800000000000001</v>
      </c>
      <c r="T18" s="196">
        <v>0.21299999999999999</v>
      </c>
      <c r="U18" s="196">
        <v>0.23599999999999999</v>
      </c>
      <c r="V18" s="196">
        <v>0.25900000000000001</v>
      </c>
      <c r="W18" s="196">
        <v>0.28199999999999997</v>
      </c>
      <c r="X18" s="196">
        <v>0.30399999999999999</v>
      </c>
      <c r="Y18" s="196">
        <v>0.32500000000000001</v>
      </c>
      <c r="Z18" s="196">
        <v>0.34399999999999997</v>
      </c>
      <c r="AA18" s="196">
        <v>0.36199999999999999</v>
      </c>
      <c r="AB18" s="196">
        <v>0.38</v>
      </c>
      <c r="AC18" s="196">
        <v>0.39700000000000002</v>
      </c>
      <c r="AD18" s="196">
        <v>0.41399999999999998</v>
      </c>
      <c r="AE18" s="196">
        <v>0.43</v>
      </c>
      <c r="AF18" s="184"/>
      <c r="AG18" s="184"/>
      <c r="AH18" s="184"/>
      <c r="AI18" s="184"/>
      <c r="AJ18" s="184"/>
      <c r="AK18" s="184"/>
      <c r="AL18" s="184"/>
      <c r="AM18" s="184"/>
      <c r="AN18" s="184"/>
      <c r="AO18" s="184"/>
      <c r="AP18" s="184"/>
      <c r="AQ18" s="184"/>
      <c r="AR18" s="184"/>
      <c r="AS18" s="184"/>
      <c r="AT18" s="184"/>
      <c r="AU18" s="184"/>
      <c r="AV18" s="184"/>
      <c r="AW18" s="184"/>
    </row>
    <row r="19" spans="1:49" ht="14.25">
      <c r="A19" s="124" t="s">
        <v>1051</v>
      </c>
      <c r="B19" s="131"/>
      <c r="C19" s="76">
        <v>-0.151</v>
      </c>
      <c r="D19" s="76">
        <v>0.23100000000000001</v>
      </c>
      <c r="E19" s="76">
        <v>-0.77900000000000003</v>
      </c>
      <c r="F19" s="76">
        <v>-0.28000000000000003</v>
      </c>
      <c r="G19" s="76">
        <v>0.125</v>
      </c>
      <c r="H19" s="76">
        <v>0.28599999999999998</v>
      </c>
      <c r="I19" s="76">
        <v>-0.48399999999999999</v>
      </c>
      <c r="J19" s="76">
        <v>-1.2E-2</v>
      </c>
      <c r="K19" s="76">
        <v>-0.26900000000000002</v>
      </c>
      <c r="L19" s="76">
        <v>-0.14000000000000001</v>
      </c>
      <c r="M19" s="76">
        <v>6.2E-2</v>
      </c>
      <c r="N19" s="76">
        <v>0.73399999999999999</v>
      </c>
      <c r="O19" s="76">
        <v>0.94499999999999995</v>
      </c>
      <c r="P19" s="76">
        <v>-0.13300000000000001</v>
      </c>
      <c r="Q19" s="196">
        <v>0.64300000000000002</v>
      </c>
      <c r="R19" s="196">
        <v>0</v>
      </c>
      <c r="S19" s="196">
        <v>0</v>
      </c>
      <c r="T19" s="196">
        <v>0</v>
      </c>
      <c r="U19" s="196">
        <v>0</v>
      </c>
      <c r="V19" s="196">
        <v>-0.06</v>
      </c>
      <c r="W19" s="196">
        <v>0</v>
      </c>
      <c r="X19" s="196">
        <v>0</v>
      </c>
      <c r="Y19" s="196">
        <v>0</v>
      </c>
      <c r="Z19" s="196">
        <v>0</v>
      </c>
      <c r="AA19" s="196">
        <v>0</v>
      </c>
      <c r="AB19" s="196">
        <v>0</v>
      </c>
      <c r="AC19" s="196">
        <v>0</v>
      </c>
      <c r="AD19" s="196">
        <v>0</v>
      </c>
      <c r="AE19" s="196">
        <v>0</v>
      </c>
      <c r="AF19" s="184"/>
      <c r="AG19" s="184"/>
      <c r="AH19" s="184"/>
      <c r="AI19" s="184"/>
      <c r="AJ19" s="184"/>
      <c r="AK19" s="184"/>
      <c r="AL19" s="184"/>
      <c r="AM19" s="184"/>
      <c r="AN19" s="184"/>
      <c r="AO19" s="184"/>
      <c r="AP19" s="184"/>
      <c r="AQ19" s="184"/>
      <c r="AR19" s="184"/>
      <c r="AS19" s="184"/>
      <c r="AT19" s="184"/>
      <c r="AU19" s="184"/>
      <c r="AV19" s="184"/>
      <c r="AW19" s="184"/>
    </row>
    <row r="20" spans="1:49">
      <c r="A20" s="71" t="s">
        <v>76</v>
      </c>
      <c r="B20" s="112">
        <v>5.569</v>
      </c>
      <c r="C20" s="112">
        <v>6.0110000000000001</v>
      </c>
      <c r="D20" s="112">
        <v>6.7409999999999997</v>
      </c>
      <c r="E20" s="112">
        <v>6.552999999999999</v>
      </c>
      <c r="F20" s="112">
        <v>6.79</v>
      </c>
      <c r="G20" s="112">
        <v>7.4599999999999982</v>
      </c>
      <c r="H20" s="112">
        <v>8.2909999999999968</v>
      </c>
      <c r="I20" s="112">
        <v>8.2879999999999967</v>
      </c>
      <c r="J20" s="112">
        <v>8.7159999999999958</v>
      </c>
      <c r="K20" s="112">
        <v>8.8639999999999937</v>
      </c>
      <c r="L20" s="112">
        <v>8.9819999999999993</v>
      </c>
      <c r="M20" s="112">
        <v>9.1969999999999992</v>
      </c>
      <c r="N20" s="112">
        <v>9.9290000000000003</v>
      </c>
      <c r="O20" s="112">
        <v>10.731</v>
      </c>
      <c r="P20" s="112">
        <v>10.395</v>
      </c>
      <c r="Q20" s="197">
        <v>10.833</v>
      </c>
      <c r="R20" s="197">
        <v>10.615</v>
      </c>
      <c r="S20" s="197">
        <v>10.369</v>
      </c>
      <c r="T20" s="197">
        <v>10.081</v>
      </c>
      <c r="U20" s="197">
        <v>9.7490000000000006</v>
      </c>
      <c r="V20" s="197">
        <v>9.57</v>
      </c>
      <c r="W20" s="197">
        <v>9.4770000000000003</v>
      </c>
      <c r="X20" s="197">
        <v>9.4179999999999993</v>
      </c>
      <c r="Y20" s="197">
        <v>9.3919999999999995</v>
      </c>
      <c r="Z20" s="197">
        <v>9.4009999999999998</v>
      </c>
      <c r="AA20" s="197">
        <v>9.4369999999999994</v>
      </c>
      <c r="AB20" s="197">
        <v>9.4930000000000003</v>
      </c>
      <c r="AC20" s="197">
        <v>9.5630000000000006</v>
      </c>
      <c r="AD20" s="197">
        <v>9.6430000000000007</v>
      </c>
      <c r="AE20" s="197">
        <v>9.7289999999999992</v>
      </c>
      <c r="AF20" s="184"/>
      <c r="AG20" s="184"/>
      <c r="AH20" s="184"/>
      <c r="AI20" s="184"/>
      <c r="AJ20" s="184"/>
      <c r="AK20" s="184"/>
      <c r="AL20" s="184"/>
      <c r="AM20" s="184"/>
      <c r="AN20" s="184"/>
      <c r="AO20" s="184"/>
      <c r="AP20" s="184"/>
      <c r="AQ20" s="184"/>
      <c r="AR20" s="184"/>
      <c r="AS20" s="184"/>
      <c r="AT20" s="184"/>
      <c r="AU20" s="184"/>
      <c r="AV20" s="184"/>
      <c r="AW20" s="184"/>
    </row>
    <row r="21" spans="1:49">
      <c r="C21" s="165"/>
      <c r="D21" s="165"/>
      <c r="E21" s="165"/>
      <c r="F21" s="165"/>
      <c r="G21" s="165"/>
      <c r="H21" s="165"/>
      <c r="I21" s="165"/>
      <c r="J21" s="165"/>
      <c r="K21" s="165"/>
      <c r="L21" s="165"/>
      <c r="M21" s="165"/>
      <c r="N21" s="165"/>
      <c r="O21" s="165"/>
      <c r="P21" s="165"/>
      <c r="Q21" s="165"/>
      <c r="R21" s="165"/>
      <c r="S21" s="165"/>
      <c r="T21" s="165"/>
      <c r="U21" s="165"/>
      <c r="V21" s="165"/>
      <c r="W21" s="165"/>
      <c r="X21" s="165"/>
      <c r="Y21" s="165"/>
      <c r="Z21" s="165"/>
      <c r="AA21" s="165"/>
      <c r="AB21" s="165"/>
      <c r="AC21" s="165"/>
      <c r="AD21" s="165"/>
      <c r="AE21" s="165"/>
      <c r="AF21" s="184"/>
      <c r="AG21" s="184"/>
      <c r="AH21" s="184"/>
      <c r="AI21" s="184"/>
      <c r="AJ21" s="184"/>
      <c r="AK21" s="184"/>
      <c r="AL21" s="184"/>
      <c r="AM21" s="184"/>
      <c r="AN21" s="184"/>
      <c r="AO21" s="184"/>
      <c r="AP21" s="184"/>
      <c r="AQ21" s="184"/>
      <c r="AR21" s="184"/>
      <c r="AS21" s="184"/>
      <c r="AT21" s="184"/>
      <c r="AU21" s="184"/>
      <c r="AV21" s="184"/>
      <c r="AW21" s="184"/>
    </row>
    <row r="22" spans="1:49">
      <c r="A22" s="71" t="s">
        <v>79</v>
      </c>
      <c r="B22" s="71" t="s">
        <v>72</v>
      </c>
      <c r="AF22" s="184"/>
      <c r="AG22" s="184"/>
      <c r="AH22" s="184"/>
      <c r="AI22" s="184"/>
      <c r="AJ22" s="184"/>
      <c r="AK22" s="184"/>
      <c r="AL22" s="184"/>
      <c r="AM22" s="184"/>
      <c r="AN22" s="184"/>
      <c r="AO22" s="184"/>
      <c r="AP22" s="184"/>
      <c r="AQ22" s="184"/>
      <c r="AR22" s="184"/>
      <c r="AS22" s="184"/>
      <c r="AT22" s="184"/>
      <c r="AU22" s="184"/>
      <c r="AV22" s="184"/>
      <c r="AW22" s="184"/>
    </row>
    <row r="23" spans="1:49">
      <c r="A23" s="28" t="s">
        <v>80</v>
      </c>
      <c r="N23" s="184"/>
      <c r="O23" s="184"/>
      <c r="P23" s="184"/>
      <c r="Q23" s="184"/>
      <c r="R23" s="196">
        <v>5.1200287639787287</v>
      </c>
      <c r="S23" s="196">
        <v>5.801498693916515</v>
      </c>
      <c r="T23" s="196">
        <v>6.4412521759356096</v>
      </c>
      <c r="U23" s="196">
        <v>6.9003119754116558</v>
      </c>
      <c r="V23" s="196">
        <v>7.2242125317441523</v>
      </c>
      <c r="W23" s="196">
        <v>7.5407475643575319</v>
      </c>
      <c r="X23" s="196">
        <v>7.8643978346263541</v>
      </c>
      <c r="Y23" s="196">
        <v>8.1926024393282297</v>
      </c>
      <c r="Z23" s="196">
        <v>8.5355321172752738</v>
      </c>
      <c r="AA23" s="196">
        <v>8.8888403237545059</v>
      </c>
      <c r="AB23" s="196">
        <v>9.2292298029164623</v>
      </c>
      <c r="AC23" s="196">
        <v>9.5799108283332988</v>
      </c>
      <c r="AD23" s="196">
        <v>9.9425889666106251</v>
      </c>
      <c r="AE23" s="196">
        <v>10.319739223171624</v>
      </c>
      <c r="AF23" s="184"/>
      <c r="AG23" s="184"/>
      <c r="AH23" s="184"/>
      <c r="AI23" s="184"/>
      <c r="AJ23" s="184"/>
      <c r="AK23" s="184"/>
      <c r="AL23" s="184"/>
      <c r="AM23" s="184"/>
      <c r="AN23" s="184"/>
      <c r="AO23" s="184"/>
      <c r="AP23" s="184"/>
      <c r="AQ23" s="184"/>
      <c r="AR23" s="184"/>
      <c r="AS23" s="184"/>
      <c r="AT23" s="184"/>
      <c r="AU23" s="184"/>
      <c r="AV23" s="184"/>
      <c r="AW23" s="184"/>
    </row>
    <row r="24" spans="1:49">
      <c r="A24" s="28" t="s">
        <v>82</v>
      </c>
      <c r="N24" s="184"/>
      <c r="O24" s="184"/>
      <c r="P24" s="184"/>
      <c r="Q24" s="184"/>
      <c r="R24" s="196">
        <v>1.9204279999999998</v>
      </c>
      <c r="S24" s="196">
        <v>2.0637492499999999</v>
      </c>
      <c r="T24" s="196">
        <v>2.2178378937499996</v>
      </c>
      <c r="U24" s="196">
        <v>2.365005307949672</v>
      </c>
      <c r="V24" s="196">
        <v>2.4614244575098185</v>
      </c>
      <c r="W24" s="196">
        <v>2.5456675072926083</v>
      </c>
      <c r="X24" s="196">
        <v>2.6340564895809475</v>
      </c>
      <c r="Y24" s="196">
        <v>2.7288983058654424</v>
      </c>
      <c r="Z24" s="196">
        <v>2.825989017281298</v>
      </c>
      <c r="AA24" s="196">
        <v>2.9234554045752383</v>
      </c>
      <c r="AB24" s="196">
        <v>3.0041572086899393</v>
      </c>
      <c r="AC24" s="196">
        <v>3.0861800595445468</v>
      </c>
      <c r="AD24" s="196">
        <v>3.173370102161134</v>
      </c>
      <c r="AE24" s="196">
        <v>3.261717691098541</v>
      </c>
      <c r="AF24" s="184"/>
      <c r="AG24" s="184"/>
      <c r="AH24" s="184"/>
      <c r="AI24" s="184"/>
      <c r="AJ24" s="184"/>
      <c r="AK24" s="184"/>
      <c r="AL24" s="184"/>
      <c r="AM24" s="184"/>
      <c r="AN24" s="184"/>
      <c r="AO24" s="184"/>
      <c r="AP24" s="184"/>
      <c r="AQ24" s="184"/>
      <c r="AR24" s="184"/>
      <c r="AS24" s="184"/>
      <c r="AT24" s="184"/>
      <c r="AU24" s="184"/>
      <c r="AV24" s="184"/>
      <c r="AW24" s="184"/>
    </row>
    <row r="25" spans="1:49">
      <c r="A25" s="28" t="s">
        <v>81</v>
      </c>
      <c r="N25" s="184"/>
      <c r="O25" s="184"/>
      <c r="P25" s="184"/>
      <c r="Q25" s="184"/>
      <c r="R25" s="196">
        <v>5.6003822798947258</v>
      </c>
      <c r="S25" s="196">
        <v>5.8938976669506813</v>
      </c>
      <c r="T25" s="196">
        <v>6.2316729199434642</v>
      </c>
      <c r="U25" s="196">
        <v>6.566502792147908</v>
      </c>
      <c r="V25" s="196">
        <v>6.8949503192698689</v>
      </c>
      <c r="W25" s="196">
        <v>7.2319346244078044</v>
      </c>
      <c r="X25" s="196">
        <v>7.5831163813924825</v>
      </c>
      <c r="Y25" s="196">
        <v>7.9424832377461598</v>
      </c>
      <c r="Z25" s="196">
        <v>8.3015389551125978</v>
      </c>
      <c r="AA25" s="196">
        <v>8.6815963683571624</v>
      </c>
      <c r="AB25" s="196">
        <v>9.0738024148465133</v>
      </c>
      <c r="AC25" s="196">
        <v>9.4837807054875967</v>
      </c>
      <c r="AD25" s="196">
        <v>9.905224011517717</v>
      </c>
      <c r="AE25" s="196">
        <v>10.328580087554641</v>
      </c>
      <c r="AF25" s="184"/>
      <c r="AG25" s="184"/>
      <c r="AH25" s="184"/>
      <c r="AI25" s="184"/>
      <c r="AJ25" s="184"/>
      <c r="AK25" s="184"/>
      <c r="AL25" s="184"/>
      <c r="AM25" s="184"/>
      <c r="AN25" s="184"/>
      <c r="AO25" s="184"/>
      <c r="AP25" s="184"/>
      <c r="AQ25" s="184"/>
      <c r="AR25" s="184"/>
      <c r="AS25" s="184"/>
      <c r="AT25" s="184"/>
      <c r="AU25" s="184"/>
      <c r="AV25" s="184"/>
      <c r="AW25" s="184"/>
    </row>
    <row r="26" spans="1:49">
      <c r="A26" s="28" t="s">
        <v>83</v>
      </c>
      <c r="N26" s="184"/>
      <c r="O26" s="184"/>
      <c r="P26" s="184"/>
      <c r="Q26" s="184"/>
      <c r="R26" s="196">
        <v>1.6429420982384761</v>
      </c>
      <c r="S26" s="196">
        <v>1.7336648184268939</v>
      </c>
      <c r="T26" s="196">
        <v>1.8325274063327388</v>
      </c>
      <c r="U26" s="196">
        <v>1.9279418754458932</v>
      </c>
      <c r="V26" s="196">
        <v>2.0210793711482378</v>
      </c>
      <c r="W26" s="196">
        <v>2.1159184287191457</v>
      </c>
      <c r="X26" s="196">
        <v>2.2147471577557694</v>
      </c>
      <c r="Y26" s="196">
        <v>2.3172640755580174</v>
      </c>
      <c r="Z26" s="196">
        <v>2.4199009636732098</v>
      </c>
      <c r="AA26" s="196">
        <v>2.5276810508974754</v>
      </c>
      <c r="AB26" s="196">
        <v>2.6394448416251155</v>
      </c>
      <c r="AC26" s="196">
        <v>2.7560755569500639</v>
      </c>
      <c r="AD26" s="196">
        <v>2.8763883496866249</v>
      </c>
      <c r="AE26" s="196">
        <v>2.9973943021849601</v>
      </c>
      <c r="AF26" s="184"/>
      <c r="AG26" s="184"/>
      <c r="AH26" s="184"/>
      <c r="AI26" s="184"/>
      <c r="AJ26" s="184"/>
      <c r="AK26" s="184"/>
      <c r="AL26" s="184"/>
      <c r="AM26" s="184"/>
      <c r="AN26" s="184"/>
      <c r="AO26" s="184"/>
      <c r="AP26" s="184"/>
      <c r="AQ26" s="184"/>
      <c r="AR26" s="184"/>
      <c r="AS26" s="184"/>
      <c r="AT26" s="184"/>
      <c r="AU26" s="184"/>
      <c r="AV26" s="184"/>
      <c r="AW26" s="184"/>
    </row>
    <row r="27" spans="1:49">
      <c r="A27" s="28" t="s">
        <v>84</v>
      </c>
      <c r="N27" s="184"/>
      <c r="O27" s="184"/>
      <c r="P27" s="184"/>
      <c r="Q27" s="184"/>
      <c r="R27" s="196">
        <v>1.527006802689177</v>
      </c>
      <c r="S27" s="196">
        <v>1.6699005531838838</v>
      </c>
      <c r="T27" s="196">
        <v>1.853606639073254</v>
      </c>
      <c r="U27" s="196">
        <v>2.0513566404680379</v>
      </c>
      <c r="V27" s="196">
        <v>2.200887916086268</v>
      </c>
      <c r="W27" s="196">
        <v>2.3678718956623643</v>
      </c>
      <c r="X27" s="196">
        <v>2.5470997934944659</v>
      </c>
      <c r="Y27" s="196">
        <v>2.7311517605038045</v>
      </c>
      <c r="Z27" s="196">
        <v>2.9148263632503486</v>
      </c>
      <c r="AA27" s="196">
        <v>3.0779023719011449</v>
      </c>
      <c r="AB27" s="196">
        <v>3.2389207240256042</v>
      </c>
      <c r="AC27" s="196">
        <v>3.4439563144277323</v>
      </c>
      <c r="AD27" s="196">
        <v>3.674399259145412</v>
      </c>
      <c r="AE27" s="196">
        <v>3.8778329179062498</v>
      </c>
      <c r="AF27" s="184"/>
      <c r="AG27" s="184"/>
      <c r="AH27" s="184"/>
      <c r="AI27" s="184"/>
      <c r="AJ27" s="184"/>
      <c r="AK27" s="184"/>
      <c r="AL27" s="184"/>
      <c r="AM27" s="184"/>
      <c r="AN27" s="184"/>
      <c r="AO27" s="184"/>
      <c r="AP27" s="184"/>
      <c r="AQ27" s="184"/>
      <c r="AR27" s="184"/>
      <c r="AS27" s="184"/>
      <c r="AT27" s="184"/>
      <c r="AU27" s="184"/>
      <c r="AV27" s="184"/>
      <c r="AW27" s="184"/>
    </row>
    <row r="28" spans="1:49">
      <c r="A28" s="28" t="s">
        <v>85</v>
      </c>
      <c r="N28" s="184"/>
      <c r="O28" s="184"/>
      <c r="P28" s="184"/>
      <c r="Q28" s="184"/>
      <c r="R28" s="196">
        <v>51.553279071266189</v>
      </c>
      <c r="S28" s="196">
        <v>52.943975482472631</v>
      </c>
      <c r="T28" s="196">
        <v>54.729467604152696</v>
      </c>
      <c r="U28" s="196">
        <v>56.760954492453948</v>
      </c>
      <c r="V28" s="196">
        <v>58.931106306656162</v>
      </c>
      <c r="W28" s="196">
        <v>61.244487613116171</v>
      </c>
      <c r="X28" s="196">
        <v>63.708943917856985</v>
      </c>
      <c r="Y28" s="196">
        <v>66.324428770668362</v>
      </c>
      <c r="Z28" s="196">
        <v>69.099898893190939</v>
      </c>
      <c r="AA28" s="196">
        <v>71.986752264578854</v>
      </c>
      <c r="AB28" s="196">
        <v>74.956141782617266</v>
      </c>
      <c r="AC28" s="196">
        <v>78.065281792473385</v>
      </c>
      <c r="AD28" s="196">
        <v>81.34302050336639</v>
      </c>
      <c r="AE28" s="196">
        <v>84.752411980490876</v>
      </c>
      <c r="AF28" s="184"/>
      <c r="AG28" s="184"/>
      <c r="AH28" s="184"/>
      <c r="AI28" s="184"/>
      <c r="AJ28" s="184"/>
      <c r="AK28" s="184"/>
      <c r="AL28" s="184"/>
      <c r="AM28" s="184"/>
      <c r="AN28" s="184"/>
      <c r="AO28" s="184"/>
      <c r="AP28" s="184"/>
      <c r="AQ28" s="184"/>
      <c r="AR28" s="184"/>
      <c r="AS28" s="184"/>
      <c r="AT28" s="184"/>
      <c r="AU28" s="184"/>
      <c r="AV28" s="184"/>
      <c r="AW28" s="184"/>
    </row>
    <row r="29" spans="1:49">
      <c r="A29" s="28" t="s">
        <v>86</v>
      </c>
      <c r="N29" s="184"/>
      <c r="O29" s="184"/>
      <c r="P29" s="184"/>
      <c r="Q29" s="184"/>
      <c r="R29" s="196">
        <v>57.335330575381093</v>
      </c>
      <c r="S29" s="196">
        <v>59.074963558581771</v>
      </c>
      <c r="T29" s="196">
        <v>60.879713333285764</v>
      </c>
      <c r="U29" s="196">
        <v>62.786690398188668</v>
      </c>
      <c r="V29" s="196">
        <v>64.800270093332998</v>
      </c>
      <c r="W29" s="196">
        <v>66.92946446310178</v>
      </c>
      <c r="X29" s="196">
        <v>69.176739205908149</v>
      </c>
      <c r="Y29" s="196">
        <v>71.549396564413215</v>
      </c>
      <c r="Z29" s="196">
        <v>74.072040696859517</v>
      </c>
      <c r="AA29" s="196">
        <v>76.745718863387268</v>
      </c>
      <c r="AB29" s="196">
        <v>79.574207881939373</v>
      </c>
      <c r="AC29" s="196">
        <v>82.556807985927193</v>
      </c>
      <c r="AD29" s="196">
        <v>85.696316204363242</v>
      </c>
      <c r="AE29" s="196">
        <v>89.003669686563882</v>
      </c>
      <c r="AF29" s="184"/>
      <c r="AG29" s="184"/>
      <c r="AH29" s="184"/>
      <c r="AI29" s="184"/>
      <c r="AJ29" s="184"/>
      <c r="AK29" s="184"/>
      <c r="AL29" s="184"/>
      <c r="AM29" s="184"/>
      <c r="AN29" s="184"/>
      <c r="AO29" s="184"/>
      <c r="AP29" s="184"/>
      <c r="AQ29" s="184"/>
      <c r="AR29" s="184"/>
      <c r="AS29" s="184"/>
      <c r="AT29" s="184"/>
      <c r="AU29" s="184"/>
      <c r="AV29" s="184"/>
      <c r="AW29" s="184"/>
    </row>
    <row r="30" spans="1:49">
      <c r="AF30" s="184"/>
      <c r="AG30" s="184"/>
      <c r="AH30" s="184"/>
      <c r="AI30" s="184"/>
      <c r="AJ30" s="184"/>
      <c r="AK30" s="184"/>
      <c r="AL30" s="184"/>
      <c r="AM30" s="184"/>
      <c r="AN30" s="184"/>
      <c r="AO30" s="184"/>
      <c r="AP30" s="184"/>
      <c r="AQ30" s="184"/>
      <c r="AR30" s="184"/>
      <c r="AS30" s="184"/>
      <c r="AT30" s="184"/>
      <c r="AU30" s="184"/>
      <c r="AV30" s="184"/>
      <c r="AW30" s="184"/>
    </row>
    <row r="31" spans="1:49">
      <c r="A31" s="71" t="s">
        <v>87</v>
      </c>
      <c r="B31" s="71" t="s">
        <v>72</v>
      </c>
      <c r="AF31" s="184"/>
      <c r="AG31" s="184"/>
      <c r="AH31" s="184"/>
      <c r="AI31" s="184"/>
      <c r="AJ31" s="184"/>
      <c r="AK31" s="184"/>
      <c r="AL31" s="184"/>
      <c r="AM31" s="184"/>
      <c r="AN31" s="184"/>
      <c r="AO31" s="184"/>
      <c r="AP31" s="184"/>
      <c r="AQ31" s="184"/>
      <c r="AR31" s="184"/>
      <c r="AS31" s="184"/>
      <c r="AT31" s="184"/>
      <c r="AU31" s="184"/>
      <c r="AV31" s="184"/>
      <c r="AW31" s="184"/>
    </row>
    <row r="32" spans="1:49">
      <c r="A32" s="28" t="s">
        <v>88</v>
      </c>
      <c r="L32" s="76">
        <v>0.40600000000000003</v>
      </c>
      <c r="M32" s="76">
        <v>0.433</v>
      </c>
      <c r="N32" s="76">
        <v>0.44800000000000001</v>
      </c>
      <c r="O32" s="76">
        <v>0.45</v>
      </c>
      <c r="P32" s="76">
        <v>0.44</v>
      </c>
      <c r="Q32" s="76">
        <v>0.42799999999999999</v>
      </c>
      <c r="R32" s="76">
        <v>0.41299999999999998</v>
      </c>
      <c r="S32" s="76">
        <v>0.40600000000000003</v>
      </c>
      <c r="T32" s="76">
        <v>0.40899999999999997</v>
      </c>
      <c r="U32" s="76">
        <v>0.41099999999999998</v>
      </c>
      <c r="V32" s="76">
        <v>0.41299999999999998</v>
      </c>
      <c r="W32" s="76">
        <v>0.41399999999999998</v>
      </c>
      <c r="X32" s="76">
        <v>0.40899999999999997</v>
      </c>
      <c r="Y32" s="76">
        <v>0.39300000000000002</v>
      </c>
      <c r="Z32" s="76">
        <v>0.378</v>
      </c>
      <c r="AA32" s="76">
        <v>0.36099999999999999</v>
      </c>
      <c r="AB32" s="76">
        <v>0.34399999999999997</v>
      </c>
      <c r="AC32" s="76">
        <v>0.32700000000000001</v>
      </c>
      <c r="AD32" s="76">
        <v>0.31</v>
      </c>
      <c r="AE32" s="196">
        <v>0.29199999999999998</v>
      </c>
      <c r="AF32" s="184"/>
      <c r="AG32" s="184"/>
      <c r="AH32" s="184"/>
      <c r="AI32" s="184"/>
      <c r="AJ32" s="184"/>
      <c r="AK32" s="184"/>
      <c r="AL32" s="184"/>
      <c r="AM32" s="184"/>
      <c r="AN32" s="184"/>
      <c r="AO32" s="184"/>
      <c r="AP32" s="184"/>
      <c r="AQ32" s="184"/>
      <c r="AR32" s="184"/>
      <c r="AS32" s="184"/>
      <c r="AT32" s="184"/>
      <c r="AU32" s="184"/>
      <c r="AV32" s="184"/>
      <c r="AW32" s="184"/>
    </row>
    <row r="33" spans="1:49">
      <c r="A33" s="28" t="s">
        <v>85</v>
      </c>
      <c r="L33" s="76">
        <v>3.2450000000000001</v>
      </c>
      <c r="M33" s="76">
        <v>3.2749999999999999</v>
      </c>
      <c r="N33" s="76">
        <v>3.2650000000000001</v>
      </c>
      <c r="O33" s="76">
        <v>3.246</v>
      </c>
      <c r="P33" s="76">
        <v>3.2149999999999999</v>
      </c>
      <c r="Q33" s="76">
        <v>3.1739999999999999</v>
      </c>
      <c r="R33" s="76">
        <v>3.1240000000000001</v>
      </c>
      <c r="S33" s="76">
        <v>3.0649999999999999</v>
      </c>
      <c r="T33" s="76">
        <v>2.9990000000000001</v>
      </c>
      <c r="U33" s="76">
        <v>2.9239999999999999</v>
      </c>
      <c r="V33" s="76">
        <v>2.843</v>
      </c>
      <c r="W33" s="76">
        <v>2.7570000000000001</v>
      </c>
      <c r="X33" s="76">
        <v>2.6659999999999999</v>
      </c>
      <c r="Y33" s="76">
        <v>2.5710000000000002</v>
      </c>
      <c r="Z33" s="76">
        <v>2.4729999999999999</v>
      </c>
      <c r="AA33" s="76">
        <v>2.371</v>
      </c>
      <c r="AB33" s="76">
        <v>2.2669999999999999</v>
      </c>
      <c r="AC33" s="76">
        <v>2.16</v>
      </c>
      <c r="AD33" s="76">
        <v>2.052</v>
      </c>
      <c r="AE33" s="196">
        <v>1.9419999999999999</v>
      </c>
      <c r="AF33" s="184"/>
      <c r="AG33" s="184"/>
      <c r="AH33" s="184"/>
      <c r="AI33" s="184"/>
      <c r="AJ33" s="184"/>
      <c r="AK33" s="184"/>
      <c r="AL33" s="184"/>
      <c r="AM33" s="184"/>
      <c r="AN33" s="184"/>
      <c r="AO33" s="184"/>
      <c r="AP33" s="184"/>
      <c r="AQ33" s="184"/>
      <c r="AR33" s="184"/>
      <c r="AS33" s="184"/>
      <c r="AT33" s="184"/>
      <c r="AU33" s="184"/>
      <c r="AV33" s="184"/>
      <c r="AW33" s="184"/>
    </row>
    <row r="34" spans="1:49">
      <c r="A34" s="28" t="s">
        <v>86</v>
      </c>
      <c r="L34" s="76">
        <v>13.744999999999999</v>
      </c>
      <c r="M34" s="76">
        <v>13.493</v>
      </c>
      <c r="N34" s="76">
        <v>13.244999999999999</v>
      </c>
      <c r="O34" s="76">
        <v>12.984999999999999</v>
      </c>
      <c r="P34" s="76">
        <v>12.689</v>
      </c>
      <c r="Q34" s="76">
        <v>12.366</v>
      </c>
      <c r="R34" s="76">
        <v>12.019</v>
      </c>
      <c r="S34" s="76">
        <v>11.656000000000001</v>
      </c>
      <c r="T34" s="76">
        <v>11.29</v>
      </c>
      <c r="U34" s="76">
        <v>10.92</v>
      </c>
      <c r="V34" s="76">
        <v>10.553000000000001</v>
      </c>
      <c r="W34" s="76">
        <v>10.186999999999999</v>
      </c>
      <c r="X34" s="76">
        <v>9.8190000000000008</v>
      </c>
      <c r="Y34" s="76">
        <v>9.44</v>
      </c>
      <c r="Z34" s="76">
        <v>9.0530000000000008</v>
      </c>
      <c r="AA34" s="76">
        <v>8.6560000000000006</v>
      </c>
      <c r="AB34" s="76">
        <v>8.2539999999999996</v>
      </c>
      <c r="AC34" s="76">
        <v>7.843</v>
      </c>
      <c r="AD34" s="76">
        <v>7.4290000000000003</v>
      </c>
      <c r="AE34" s="196">
        <v>7.0140000000000002</v>
      </c>
      <c r="AF34" s="184"/>
      <c r="AG34" s="184"/>
      <c r="AH34" s="184"/>
      <c r="AI34" s="184"/>
      <c r="AJ34" s="184"/>
      <c r="AK34" s="184"/>
      <c r="AL34" s="184"/>
      <c r="AM34" s="184"/>
      <c r="AN34" s="184"/>
      <c r="AO34" s="184"/>
      <c r="AP34" s="184"/>
      <c r="AQ34" s="184"/>
      <c r="AR34" s="184"/>
      <c r="AS34" s="184"/>
      <c r="AT34" s="184"/>
      <c r="AU34" s="184"/>
      <c r="AV34" s="184"/>
      <c r="AW34" s="184"/>
    </row>
    <row r="35" spans="1:49">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F35" s="184"/>
      <c r="AG35" s="184"/>
      <c r="AH35" s="184"/>
      <c r="AI35" s="184"/>
      <c r="AJ35" s="184"/>
      <c r="AK35" s="184"/>
      <c r="AL35" s="184"/>
      <c r="AM35" s="184"/>
      <c r="AN35" s="184"/>
      <c r="AO35" s="184"/>
      <c r="AP35" s="184"/>
      <c r="AQ35" s="184"/>
      <c r="AR35" s="184"/>
      <c r="AS35" s="184"/>
      <c r="AT35" s="184"/>
      <c r="AU35" s="184"/>
      <c r="AV35" s="184"/>
      <c r="AW35" s="184"/>
    </row>
    <row r="36" spans="1:49">
      <c r="A36" s="71" t="s">
        <v>89</v>
      </c>
      <c r="B36" s="71" t="s">
        <v>72</v>
      </c>
      <c r="D36" s="76">
        <v>1.1020000000000001</v>
      </c>
      <c r="E36" s="76">
        <v>1.2809999999999999</v>
      </c>
      <c r="F36" s="76">
        <v>1.024</v>
      </c>
      <c r="G36" s="76">
        <v>1.0409999999999999</v>
      </c>
      <c r="H36" s="76">
        <v>0.68899999999999995</v>
      </c>
      <c r="I36" s="76">
        <v>0.72299999999999998</v>
      </c>
      <c r="J36" s="76">
        <v>0.80400000000000005</v>
      </c>
      <c r="K36" s="76">
        <v>0.85499999999999998</v>
      </c>
      <c r="L36" s="76">
        <v>0.69799999999999995</v>
      </c>
      <c r="M36" s="76">
        <v>0.74299999999999999</v>
      </c>
      <c r="N36" s="76">
        <v>0.80700000000000005</v>
      </c>
      <c r="O36" s="76">
        <v>0.86699999999999999</v>
      </c>
      <c r="P36" s="76">
        <v>0.88500000000000001</v>
      </c>
      <c r="Q36" s="76">
        <v>0.92900000000000005</v>
      </c>
      <c r="R36" s="76">
        <v>0.97399999999999998</v>
      </c>
      <c r="S36" s="76">
        <v>1.0149999999999999</v>
      </c>
      <c r="T36" s="196">
        <v>1.0509999999999999</v>
      </c>
      <c r="U36" s="196">
        <v>1.083</v>
      </c>
      <c r="V36" s="76">
        <v>1.1100000000000001</v>
      </c>
      <c r="W36" s="196">
        <v>1.141</v>
      </c>
      <c r="X36" s="76">
        <v>1.169</v>
      </c>
      <c r="Y36" s="76">
        <v>1.1930000000000001</v>
      </c>
      <c r="Z36" s="76">
        <v>1.2150000000000001</v>
      </c>
      <c r="AA36" s="196">
        <v>1.2310000000000001</v>
      </c>
      <c r="AB36" s="196">
        <v>1.244</v>
      </c>
      <c r="AC36" s="76">
        <v>1.2549999999999999</v>
      </c>
      <c r="AD36" s="76">
        <v>1.2649999999999999</v>
      </c>
      <c r="AE36" s="196">
        <v>1.274</v>
      </c>
      <c r="AF36" s="184"/>
      <c r="AG36" s="184"/>
      <c r="AH36" s="184"/>
      <c r="AI36" s="184"/>
      <c r="AJ36" s="184"/>
      <c r="AK36" s="184"/>
      <c r="AL36" s="184"/>
      <c r="AM36" s="184"/>
      <c r="AN36" s="184"/>
      <c r="AO36" s="184"/>
      <c r="AP36" s="184"/>
      <c r="AQ36" s="184"/>
      <c r="AR36" s="184"/>
      <c r="AS36" s="184"/>
      <c r="AT36" s="184"/>
      <c r="AU36" s="184"/>
      <c r="AV36" s="184"/>
      <c r="AW36" s="184"/>
    </row>
    <row r="37" spans="1:49">
      <c r="A37" s="71"/>
      <c r="B37" s="71"/>
      <c r="D37" s="184"/>
      <c r="E37" s="184"/>
      <c r="F37" s="184"/>
      <c r="G37" s="184"/>
      <c r="H37" s="184"/>
      <c r="I37" s="184"/>
      <c r="J37" s="184"/>
      <c r="K37" s="184"/>
      <c r="L37" s="184"/>
      <c r="M37" s="184"/>
      <c r="N37" s="184"/>
      <c r="O37" s="184"/>
      <c r="P37" s="184"/>
      <c r="Q37" s="184"/>
      <c r="R37" s="184"/>
      <c r="S37" s="184"/>
      <c r="T37" s="184"/>
      <c r="U37" s="194"/>
      <c r="V37" s="194"/>
      <c r="W37" s="194"/>
      <c r="X37" s="194"/>
      <c r="Y37" s="194"/>
      <c r="Z37" s="194"/>
      <c r="AA37" s="194"/>
      <c r="AB37" s="194"/>
      <c r="AC37" s="194"/>
      <c r="AD37" s="129"/>
      <c r="AE37" s="194"/>
    </row>
    <row r="38" spans="1:49">
      <c r="A38" s="71" t="s">
        <v>448</v>
      </c>
      <c r="B38" s="71" t="s">
        <v>449</v>
      </c>
      <c r="C38" s="76">
        <v>2.4790000000000001</v>
      </c>
      <c r="D38" s="76">
        <v>0.70099999999999996</v>
      </c>
      <c r="E38" s="76">
        <v>1.6539999999999999</v>
      </c>
      <c r="F38" s="76">
        <v>0.59</v>
      </c>
      <c r="G38" s="76">
        <v>1.01</v>
      </c>
      <c r="H38" s="76">
        <v>1.0029999999999999</v>
      </c>
      <c r="I38" s="76">
        <v>0.92500000000000004</v>
      </c>
      <c r="J38" s="76">
        <v>1.069</v>
      </c>
      <c r="K38" s="76">
        <v>0.873</v>
      </c>
      <c r="L38" s="76">
        <v>0.68</v>
      </c>
      <c r="M38" s="76">
        <v>0.49299999999999999</v>
      </c>
      <c r="N38" s="76">
        <v>0.61599999999999999</v>
      </c>
      <c r="O38" s="76">
        <v>0.82899999999999996</v>
      </c>
      <c r="P38" s="76">
        <v>1.3560000000000001</v>
      </c>
      <c r="Q38" s="76">
        <v>1.0409999999999999</v>
      </c>
      <c r="R38" s="76">
        <v>0.84099999999999997</v>
      </c>
      <c r="S38" s="196">
        <v>0.84099999999999997</v>
      </c>
      <c r="T38" s="196">
        <v>0.84099999999999997</v>
      </c>
      <c r="U38" s="196">
        <v>0.84099999999999997</v>
      </c>
      <c r="W38" s="129"/>
      <c r="X38" s="129"/>
      <c r="Y38" s="129"/>
      <c r="Z38" s="129"/>
      <c r="AA38" s="129"/>
      <c r="AB38" s="129"/>
    </row>
    <row r="39" spans="1:49" s="184" customFormat="1">
      <c r="A39" s="191"/>
      <c r="B39" s="191"/>
      <c r="C39" s="196"/>
      <c r="D39" s="196"/>
      <c r="E39" s="196"/>
      <c r="F39" s="196"/>
      <c r="G39" s="196"/>
      <c r="H39" s="196"/>
      <c r="I39" s="196"/>
      <c r="J39" s="196"/>
      <c r="K39" s="196"/>
      <c r="L39" s="196"/>
      <c r="M39" s="196"/>
      <c r="N39" s="196"/>
      <c r="O39" s="196"/>
      <c r="P39" s="196"/>
      <c r="Q39" s="196"/>
      <c r="R39" s="196"/>
      <c r="S39" s="196"/>
      <c r="T39" s="196"/>
      <c r="U39" s="196"/>
      <c r="W39" s="194"/>
      <c r="X39" s="194"/>
      <c r="Y39" s="194"/>
      <c r="Z39" s="194"/>
      <c r="AA39" s="194"/>
      <c r="AB39" s="194"/>
    </row>
    <row r="40" spans="1:49" s="184" customFormat="1">
      <c r="A40" s="191" t="s">
        <v>397</v>
      </c>
      <c r="B40" s="192" t="s">
        <v>1010</v>
      </c>
      <c r="C40" s="192" t="s">
        <v>1009</v>
      </c>
      <c r="D40" s="196"/>
      <c r="E40" s="196"/>
      <c r="F40" s="196"/>
      <c r="G40" s="196"/>
      <c r="I40" s="192" t="s">
        <v>1010</v>
      </c>
      <c r="J40" s="192" t="s">
        <v>1009</v>
      </c>
      <c r="L40" s="196"/>
      <c r="M40" s="196"/>
      <c r="N40" s="196"/>
      <c r="P40" s="192" t="s">
        <v>1010</v>
      </c>
      <c r="Q40" s="192" t="s">
        <v>1009</v>
      </c>
      <c r="R40" s="196"/>
      <c r="S40" s="196"/>
      <c r="T40" s="196"/>
      <c r="U40" s="196"/>
      <c r="W40" s="194"/>
      <c r="X40" s="194"/>
      <c r="Y40" s="194"/>
      <c r="Z40" s="194"/>
      <c r="AA40" s="194"/>
      <c r="AB40" s="194"/>
    </row>
    <row r="41" spans="1:49" s="184" customFormat="1">
      <c r="A41" s="184" t="s">
        <v>1257</v>
      </c>
      <c r="B41" s="80">
        <v>2.9000000000000001E-2</v>
      </c>
      <c r="C41" s="80">
        <v>2.9000000000000001E-2</v>
      </c>
      <c r="D41" s="196"/>
      <c r="E41" s="184" t="s">
        <v>1267</v>
      </c>
      <c r="F41" s="196"/>
      <c r="G41" s="196"/>
      <c r="H41" s="196"/>
      <c r="I41" s="80">
        <v>1.0999999999999999E-2</v>
      </c>
      <c r="J41" s="80">
        <v>1.7000000000000001E-2</v>
      </c>
      <c r="L41" s="184" t="s">
        <v>1276</v>
      </c>
      <c r="M41" s="196"/>
      <c r="N41" s="196"/>
      <c r="O41" s="196"/>
      <c r="P41" s="80">
        <v>0</v>
      </c>
      <c r="Q41" s="80">
        <v>0</v>
      </c>
      <c r="R41" s="196"/>
      <c r="S41" s="196"/>
      <c r="T41" s="196"/>
      <c r="U41" s="196"/>
      <c r="W41" s="194"/>
      <c r="X41" s="194"/>
      <c r="Y41" s="194"/>
      <c r="Z41" s="194"/>
      <c r="AA41" s="194"/>
      <c r="AB41" s="194"/>
    </row>
    <row r="42" spans="1:49" s="184" customFormat="1">
      <c r="A42" s="184" t="s">
        <v>1258</v>
      </c>
      <c r="B42" s="80">
        <v>7.0999999999999994E-2</v>
      </c>
      <c r="C42" s="80">
        <v>8.5000000000000006E-2</v>
      </c>
      <c r="D42" s="196"/>
      <c r="E42" s="184" t="s">
        <v>1268</v>
      </c>
      <c r="F42" s="196"/>
      <c r="G42" s="196"/>
      <c r="H42" s="196"/>
      <c r="I42" s="80">
        <v>2.4E-2</v>
      </c>
      <c r="J42" s="80">
        <v>3.2000000000000001E-2</v>
      </c>
      <c r="L42" s="184" t="s">
        <v>1277</v>
      </c>
      <c r="M42" s="196"/>
      <c r="N42" s="196"/>
      <c r="O42" s="196"/>
      <c r="P42" s="80">
        <v>0.13600000000000001</v>
      </c>
      <c r="Q42" s="80">
        <v>3.0000000000000001E-3</v>
      </c>
      <c r="R42" s="196"/>
      <c r="S42" s="196"/>
      <c r="T42" s="196"/>
      <c r="U42" s="196"/>
      <c r="W42" s="194"/>
      <c r="X42" s="194"/>
      <c r="Y42" s="194"/>
      <c r="Z42" s="194"/>
      <c r="AA42" s="194"/>
      <c r="AB42" s="194"/>
    </row>
    <row r="43" spans="1:49" s="184" customFormat="1">
      <c r="A43" s="184" t="s">
        <v>1259</v>
      </c>
      <c r="B43" s="80">
        <v>4.7E-2</v>
      </c>
      <c r="C43" s="80">
        <v>0.08</v>
      </c>
      <c r="D43" s="196"/>
      <c r="E43" s="184" t="s">
        <v>1269</v>
      </c>
      <c r="F43" s="196"/>
      <c r="G43" s="196"/>
      <c r="H43" s="196"/>
      <c r="I43" s="80">
        <v>2.8000000000000001E-2</v>
      </c>
      <c r="J43" s="80">
        <v>3.4000000000000002E-2</v>
      </c>
      <c r="L43" s="184" t="s">
        <v>1278</v>
      </c>
      <c r="M43" s="196"/>
      <c r="N43" s="196"/>
      <c r="O43" s="196"/>
      <c r="P43" s="80">
        <v>0.217</v>
      </c>
      <c r="Q43" s="80">
        <v>1.2E-2</v>
      </c>
      <c r="R43" s="196"/>
      <c r="S43" s="196"/>
      <c r="T43" s="196"/>
      <c r="U43" s="196"/>
      <c r="W43" s="194"/>
      <c r="X43" s="194"/>
      <c r="Y43" s="194"/>
      <c r="Z43" s="194"/>
      <c r="AA43" s="194"/>
      <c r="AB43" s="194"/>
    </row>
    <row r="44" spans="1:49" s="184" customFormat="1">
      <c r="A44" s="184" t="s">
        <v>1260</v>
      </c>
      <c r="B44" s="80">
        <v>3.7999999999999999E-2</v>
      </c>
      <c r="C44" s="80">
        <v>6.6000000000000003E-2</v>
      </c>
      <c r="D44" s="196"/>
      <c r="E44" s="184" t="s">
        <v>1270</v>
      </c>
      <c r="F44" s="196"/>
      <c r="G44" s="196"/>
      <c r="H44" s="196"/>
      <c r="I44" s="80">
        <v>3.2000000000000001E-2</v>
      </c>
      <c r="J44" s="80">
        <v>3.5000000000000003E-2</v>
      </c>
      <c r="L44" s="184" t="s">
        <v>1279</v>
      </c>
      <c r="M44" s="196"/>
      <c r="N44" s="196"/>
      <c r="O44" s="196"/>
      <c r="P44" s="80">
        <v>0.21299999999999999</v>
      </c>
      <c r="Q44" s="80">
        <v>1.7999999999999999E-2</v>
      </c>
      <c r="R44" s="196"/>
      <c r="S44" s="196"/>
      <c r="T44" s="196"/>
      <c r="U44" s="196"/>
      <c r="W44" s="194"/>
      <c r="X44" s="194"/>
      <c r="Y44" s="194"/>
      <c r="Z44" s="194"/>
      <c r="AA44" s="194"/>
      <c r="AB44" s="194"/>
    </row>
    <row r="45" spans="1:49" s="184" customFormat="1">
      <c r="A45" s="184" t="s">
        <v>1261</v>
      </c>
      <c r="B45" s="80">
        <v>3.3000000000000002E-2</v>
      </c>
      <c r="C45" s="80">
        <v>5.1999999999999998E-2</v>
      </c>
      <c r="D45" s="196"/>
      <c r="E45" s="184" t="s">
        <v>1271</v>
      </c>
      <c r="F45" s="196"/>
      <c r="G45" s="196"/>
      <c r="H45" s="196"/>
      <c r="I45" s="80">
        <v>3.3000000000000002E-2</v>
      </c>
      <c r="J45" s="80">
        <v>3.3000000000000002E-2</v>
      </c>
      <c r="L45" s="184" t="s">
        <v>1280</v>
      </c>
      <c r="M45" s="196"/>
      <c r="N45" s="196"/>
      <c r="O45" s="196"/>
      <c r="P45" s="80">
        <v>0.14299999999999999</v>
      </c>
      <c r="Q45" s="80">
        <v>1.7000000000000001E-2</v>
      </c>
      <c r="R45" s="196"/>
      <c r="S45" s="196"/>
      <c r="T45" s="196"/>
      <c r="U45" s="196"/>
      <c r="W45" s="194"/>
      <c r="X45" s="194"/>
      <c r="Y45" s="194"/>
      <c r="Z45" s="194"/>
      <c r="AA45" s="194"/>
      <c r="AB45" s="194"/>
    </row>
    <row r="46" spans="1:49" s="184" customFormat="1">
      <c r="A46" s="184" t="s">
        <v>1262</v>
      </c>
      <c r="B46" s="80">
        <v>3.3000000000000002E-2</v>
      </c>
      <c r="C46" s="80">
        <v>4.7E-2</v>
      </c>
      <c r="D46" s="196"/>
      <c r="E46" s="184" t="s">
        <v>1272</v>
      </c>
      <c r="F46" s="196"/>
      <c r="G46" s="196"/>
      <c r="H46" s="196"/>
      <c r="I46" s="80">
        <v>3.7999999999999999E-2</v>
      </c>
      <c r="J46" s="80">
        <v>3.7999999999999999E-2</v>
      </c>
      <c r="L46" s="184" t="s">
        <v>1281</v>
      </c>
      <c r="M46" s="196"/>
      <c r="N46" s="196"/>
      <c r="O46" s="196"/>
      <c r="P46" s="80">
        <v>0.1</v>
      </c>
      <c r="Q46" s="80">
        <v>1.4E-2</v>
      </c>
      <c r="R46" s="196"/>
      <c r="S46" s="196"/>
      <c r="T46" s="196"/>
      <c r="U46" s="196"/>
      <c r="W46" s="194"/>
      <c r="X46" s="194"/>
      <c r="Y46" s="194"/>
      <c r="Z46" s="194"/>
      <c r="AA46" s="194"/>
      <c r="AB46" s="194"/>
    </row>
    <row r="47" spans="1:49" s="184" customFormat="1">
      <c r="A47" s="184" t="s">
        <v>1263</v>
      </c>
      <c r="B47" s="80">
        <v>3.9E-2</v>
      </c>
      <c r="C47" s="80">
        <v>4.8000000000000001E-2</v>
      </c>
      <c r="D47" s="196"/>
      <c r="E47" s="184" t="s">
        <v>1273</v>
      </c>
      <c r="F47" s="196"/>
      <c r="G47" s="196"/>
      <c r="H47" s="196"/>
      <c r="I47" s="80">
        <v>5.3999999999999999E-2</v>
      </c>
      <c r="J47" s="80">
        <v>5.2999999999999999E-2</v>
      </c>
      <c r="L47" s="184" t="s">
        <v>1282</v>
      </c>
      <c r="M47" s="196"/>
      <c r="N47" s="196"/>
      <c r="O47" s="196"/>
      <c r="P47" s="80">
        <v>6.3E-2</v>
      </c>
      <c r="Q47" s="80">
        <v>1.0999999999999999E-2</v>
      </c>
      <c r="R47" s="196"/>
      <c r="S47" s="196"/>
      <c r="T47" s="196"/>
      <c r="U47" s="196"/>
      <c r="W47" s="194"/>
      <c r="X47" s="194"/>
      <c r="Y47" s="194"/>
      <c r="Z47" s="194"/>
      <c r="AA47" s="194"/>
      <c r="AB47" s="194"/>
    </row>
    <row r="48" spans="1:49" s="184" customFormat="1">
      <c r="A48" s="184" t="s">
        <v>1264</v>
      </c>
      <c r="B48" s="80">
        <v>4.5999999999999999E-2</v>
      </c>
      <c r="C48" s="80">
        <v>4.9000000000000002E-2</v>
      </c>
      <c r="D48" s="196"/>
      <c r="E48" s="184" t="s">
        <v>1274</v>
      </c>
      <c r="F48" s="196"/>
      <c r="G48" s="196"/>
      <c r="H48" s="196"/>
      <c r="I48" s="80">
        <v>7.1999999999999995E-2</v>
      </c>
      <c r="J48" s="80">
        <v>6.9000000000000006E-2</v>
      </c>
      <c r="L48" s="184" t="s">
        <v>1283</v>
      </c>
      <c r="M48" s="196"/>
      <c r="N48" s="196"/>
      <c r="O48" s="196"/>
      <c r="P48" s="80">
        <v>2.9000000000000001E-2</v>
      </c>
      <c r="Q48" s="80">
        <v>8.0000000000000002E-3</v>
      </c>
      <c r="R48" s="196"/>
      <c r="S48" s="196"/>
      <c r="T48" s="196"/>
      <c r="U48" s="196"/>
      <c r="W48" s="194"/>
      <c r="X48" s="194"/>
      <c r="Y48" s="194"/>
      <c r="Z48" s="194"/>
      <c r="AA48" s="194"/>
      <c r="AB48" s="194"/>
    </row>
    <row r="49" spans="1:28" s="184" customFormat="1">
      <c r="A49" s="184" t="s">
        <v>1265</v>
      </c>
      <c r="B49" s="80">
        <v>4.8000000000000001E-2</v>
      </c>
      <c r="C49" s="80">
        <v>4.7E-2</v>
      </c>
      <c r="D49" s="196"/>
      <c r="E49" s="184" t="s">
        <v>1275</v>
      </c>
      <c r="F49" s="196"/>
      <c r="G49" s="196"/>
      <c r="H49" s="196"/>
      <c r="I49" s="80">
        <v>9.0999999999999998E-2</v>
      </c>
      <c r="J49" s="80">
        <v>8.4000000000000005E-2</v>
      </c>
      <c r="L49" s="184" t="s">
        <v>1284</v>
      </c>
      <c r="M49" s="196"/>
      <c r="N49" s="196"/>
      <c r="O49" s="196"/>
      <c r="P49" s="80">
        <v>7.0000000000000001E-3</v>
      </c>
      <c r="Q49" s="80">
        <v>4.0000000000000001E-3</v>
      </c>
      <c r="R49" s="196"/>
      <c r="S49" s="196"/>
      <c r="T49" s="196"/>
      <c r="U49" s="196"/>
      <c r="W49" s="194"/>
      <c r="X49" s="194"/>
      <c r="Y49" s="194"/>
      <c r="Z49" s="194"/>
      <c r="AA49" s="194"/>
      <c r="AB49" s="194"/>
    </row>
    <row r="50" spans="1:28" s="184" customFormat="1">
      <c r="A50" s="184" t="s">
        <v>1266</v>
      </c>
      <c r="B50" s="80">
        <v>4.8000000000000001E-2</v>
      </c>
      <c r="C50" s="80">
        <v>4.3999999999999997E-2</v>
      </c>
      <c r="D50" s="196"/>
      <c r="E50" s="184" t="s">
        <v>399</v>
      </c>
      <c r="F50" s="196"/>
      <c r="G50" s="196"/>
      <c r="H50" s="196"/>
      <c r="I50" s="80">
        <v>0.104</v>
      </c>
      <c r="J50" s="80">
        <v>9.7000000000000003E-2</v>
      </c>
      <c r="L50" s="184" t="s">
        <v>1285</v>
      </c>
      <c r="M50" s="196"/>
      <c r="N50" s="196"/>
      <c r="O50" s="196"/>
      <c r="P50" s="80">
        <v>3.0000000000000001E-3</v>
      </c>
      <c r="Q50" s="80">
        <v>2E-3</v>
      </c>
      <c r="R50" s="196"/>
      <c r="S50" s="196"/>
      <c r="T50" s="196"/>
      <c r="U50" s="196"/>
      <c r="W50" s="194"/>
      <c r="X50" s="194"/>
      <c r="Y50" s="194"/>
      <c r="Z50" s="194"/>
      <c r="AA50" s="194"/>
      <c r="AB50" s="194"/>
    </row>
    <row r="51" spans="1:28" s="184" customFormat="1">
      <c r="A51" s="184" t="s">
        <v>1286</v>
      </c>
      <c r="B51" s="80">
        <v>1.2E-2</v>
      </c>
      <c r="C51" s="80">
        <v>8.9999999999999993E-3</v>
      </c>
      <c r="D51" s="196"/>
      <c r="E51" s="184" t="s">
        <v>1287</v>
      </c>
      <c r="F51" s="196"/>
      <c r="G51" s="196"/>
      <c r="H51" s="196"/>
      <c r="I51" s="80">
        <v>0.01</v>
      </c>
      <c r="J51" s="80">
        <v>1.0999999999999999E-2</v>
      </c>
      <c r="L51" s="184" t="s">
        <v>1288</v>
      </c>
      <c r="M51" s="196"/>
      <c r="N51" s="196"/>
      <c r="O51" s="196"/>
      <c r="P51" s="80">
        <v>0</v>
      </c>
      <c r="Q51" s="80">
        <v>0</v>
      </c>
      <c r="R51" s="196"/>
      <c r="S51" s="196"/>
      <c r="T51" s="196"/>
      <c r="U51" s="196"/>
      <c r="W51" s="194"/>
      <c r="X51" s="194"/>
      <c r="Y51" s="194"/>
      <c r="Z51" s="194"/>
      <c r="AA51" s="194"/>
      <c r="AB51" s="194"/>
    </row>
    <row r="52" spans="1:28">
      <c r="C52" s="211">
        <f>SUM($B$41:$C$51)</f>
        <v>1.0000000000000004</v>
      </c>
      <c r="D52" s="124"/>
      <c r="E52" s="124"/>
      <c r="F52" s="124"/>
      <c r="G52" s="124"/>
      <c r="H52" s="124"/>
      <c r="I52" s="124"/>
      <c r="J52" s="211">
        <f>SUM($I$41:$J$51)</f>
        <v>0.99999999999999989</v>
      </c>
      <c r="K52" s="124"/>
      <c r="L52" s="166"/>
      <c r="M52" s="166"/>
      <c r="N52" s="166"/>
      <c r="O52" s="166"/>
      <c r="P52" s="166"/>
      <c r="Q52" s="211">
        <f>SUM($P$41:$Q$51)</f>
        <v>1</v>
      </c>
      <c r="R52" s="166"/>
      <c r="S52" s="166"/>
      <c r="T52" s="166"/>
      <c r="U52" s="166"/>
      <c r="V52" s="166"/>
      <c r="W52" s="124"/>
      <c r="X52" s="124"/>
      <c r="Y52" s="124"/>
      <c r="Z52" s="124"/>
      <c r="AA52" s="124"/>
      <c r="AB52" s="124"/>
    </row>
    <row r="53" spans="1:28">
      <c r="C53" s="28" t="s">
        <v>722</v>
      </c>
    </row>
    <row r="54" spans="1:28">
      <c r="A54" s="93" t="s">
        <v>717</v>
      </c>
      <c r="B54" s="28" t="s">
        <v>718</v>
      </c>
      <c r="C54" s="28" t="s">
        <v>723</v>
      </c>
      <c r="D54" s="28" t="s">
        <v>724</v>
      </c>
      <c r="E54" s="28" t="s">
        <v>725</v>
      </c>
      <c r="F54" s="28" t="s">
        <v>726</v>
      </c>
    </row>
    <row r="55" spans="1:28">
      <c r="A55" s="94" t="s">
        <v>923</v>
      </c>
      <c r="B55" s="78">
        <v>0.105</v>
      </c>
      <c r="C55" s="79">
        <v>14000</v>
      </c>
      <c r="D55" s="79">
        <f>$C$55*(1-$B$55)</f>
        <v>12530</v>
      </c>
      <c r="E55" s="79">
        <f>$C$55-$D$55</f>
        <v>1470</v>
      </c>
    </row>
    <row r="56" spans="1:28">
      <c r="A56" s="94" t="s">
        <v>924</v>
      </c>
      <c r="B56" s="78">
        <v>0.17499999999999999</v>
      </c>
      <c r="C56" s="79">
        <v>48000</v>
      </c>
      <c r="D56" s="79">
        <f>$C$56*(1-$B$56)+$C$55*($B$56-$B$55)</f>
        <v>40580</v>
      </c>
      <c r="E56" s="79">
        <f>$C$56-$D$56</f>
        <v>7420</v>
      </c>
      <c r="F56" s="79">
        <f>$C$55*($B$56-$B$55)</f>
        <v>979.99999999999989</v>
      </c>
    </row>
    <row r="57" spans="1:28">
      <c r="A57" s="94" t="s">
        <v>925</v>
      </c>
      <c r="B57" s="78">
        <v>0.3</v>
      </c>
      <c r="C57" s="79">
        <v>70000</v>
      </c>
      <c r="D57" s="79">
        <f>$C$57*(1-$B$57)+$C$56*($B$57-$B$56)+$C$55*($B$56-$B$55)</f>
        <v>55980</v>
      </c>
      <c r="E57" s="79">
        <f>$C$57-$D$57</f>
        <v>14020</v>
      </c>
      <c r="F57" s="79">
        <f>$C$56*($B$57-$B$56)+$C$55*($B$56-$B$55)</f>
        <v>6980</v>
      </c>
    </row>
    <row r="58" spans="1:28">
      <c r="A58" s="94" t="s">
        <v>1313</v>
      </c>
      <c r="B58" s="78">
        <v>0.33</v>
      </c>
      <c r="C58" s="79">
        <v>180000</v>
      </c>
      <c r="D58" s="79">
        <f>$C$58*(1-$B$58)+$C$57*($B$58-$B$57)+$C$56*($B$57-$B$56)+$C$55*($B$56-$B$55)</f>
        <v>129679.99999999999</v>
      </c>
      <c r="E58" s="79">
        <f>$C$58-$D$58</f>
        <v>50320.000000000015</v>
      </c>
      <c r="F58" s="79">
        <f>$C$57*($B$58-$B$57)+$C$56*($B$57-$B$56)+$C$55*($B$56-$B$55)</f>
        <v>9080.0000000000018</v>
      </c>
    </row>
    <row r="59" spans="1:28" s="184" customFormat="1">
      <c r="A59" s="94" t="s">
        <v>1312</v>
      </c>
      <c r="B59" s="78">
        <v>0.39</v>
      </c>
      <c r="C59" s="79"/>
      <c r="D59" s="79"/>
      <c r="F59" s="79">
        <f>$C$58*($B$59-$B$58)+$C$57*($B$58-$B$57)+$C$56*($B$57-$B$56)+$C$55*($B$56-$B$55)</f>
        <v>19880</v>
      </c>
    </row>
    <row r="60" spans="1:28">
      <c r="A60" s="94" t="s">
        <v>721</v>
      </c>
      <c r="B60" s="80">
        <v>1.3899999999999999E-2</v>
      </c>
    </row>
  </sheetData>
  <phoneticPr fontId="107" type="noConversion"/>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52"/>
  <sheetViews>
    <sheetView zoomScaleNormal="100" workbookViewId="0">
      <pane xSplit="1" ySplit="5" topLeftCell="G6" activePane="bottomRight" state="frozen"/>
      <selection pane="topRight" activeCell="B1" sqref="B1"/>
      <selection pane="bottomLeft" activeCell="A6" sqref="A6"/>
      <selection pane="bottomRight" activeCell="Z1" sqref="Z1"/>
    </sheetView>
  </sheetViews>
  <sheetFormatPr defaultRowHeight="14.25"/>
  <cols>
    <col min="1" max="1" width="60.7109375" style="1" customWidth="1"/>
    <col min="2" max="20" width="10.7109375" style="1" customWidth="1"/>
    <col min="21" max="21" width="10.7109375" style="167" customWidth="1"/>
    <col min="22" max="30" width="10.7109375" style="1" customWidth="1"/>
    <col min="31" max="31" width="10.7109375" style="167" customWidth="1"/>
    <col min="32" max="16384" width="9.140625" style="1"/>
  </cols>
  <sheetData>
    <row r="1" spans="1:31" ht="15">
      <c r="A1" s="2" t="s">
        <v>1137</v>
      </c>
    </row>
    <row r="2" spans="1:31" ht="15">
      <c r="A2" s="4" t="s">
        <v>1138</v>
      </c>
      <c r="E2" s="113" t="s">
        <v>1107</v>
      </c>
      <c r="F2" s="28"/>
      <c r="G2" s="28"/>
      <c r="H2" s="28"/>
    </row>
    <row r="4" spans="1:31" ht="15">
      <c r="A4" s="2" t="s">
        <v>4</v>
      </c>
      <c r="B4" s="5" t="s">
        <v>5</v>
      </c>
      <c r="C4" s="5" t="s">
        <v>6</v>
      </c>
      <c r="D4" s="5" t="s">
        <v>7</v>
      </c>
      <c r="E4" s="5" t="s">
        <v>8</v>
      </c>
      <c r="F4" s="5" t="s">
        <v>10</v>
      </c>
      <c r="G4" s="5" t="s">
        <v>9</v>
      </c>
      <c r="H4" s="5" t="s">
        <v>11</v>
      </c>
      <c r="I4" s="5" t="s">
        <v>12</v>
      </c>
      <c r="J4" s="5" t="s">
        <v>13</v>
      </c>
      <c r="K4" s="5" t="s">
        <v>14</v>
      </c>
      <c r="L4" s="5" t="s">
        <v>15</v>
      </c>
      <c r="M4" s="5" t="s">
        <v>16</v>
      </c>
      <c r="N4" s="5" t="s">
        <v>17</v>
      </c>
      <c r="O4" s="5" t="s">
        <v>18</v>
      </c>
      <c r="P4" s="5" t="s">
        <v>19</v>
      </c>
      <c r="Q4" s="5" t="s">
        <v>20</v>
      </c>
      <c r="R4" s="5" t="s">
        <v>21</v>
      </c>
      <c r="S4" s="5" t="s">
        <v>22</v>
      </c>
      <c r="T4" s="5" t="s">
        <v>23</v>
      </c>
      <c r="U4" s="170" t="s">
        <v>24</v>
      </c>
      <c r="V4" s="5" t="s">
        <v>25</v>
      </c>
      <c r="W4" s="5" t="s">
        <v>26</v>
      </c>
      <c r="X4" s="5" t="s">
        <v>27</v>
      </c>
      <c r="Y4" s="5" t="s">
        <v>28</v>
      </c>
      <c r="Z4" s="5" t="s">
        <v>29</v>
      </c>
      <c r="AA4" s="5" t="s">
        <v>30</v>
      </c>
      <c r="AB4" s="5" t="s">
        <v>31</v>
      </c>
      <c r="AC4" s="5" t="s">
        <v>32</v>
      </c>
      <c r="AD4" s="5" t="s">
        <v>33</v>
      </c>
      <c r="AE4" s="170" t="s">
        <v>34</v>
      </c>
    </row>
    <row r="5" spans="1:31" ht="15">
      <c r="B5" s="2">
        <v>2006</v>
      </c>
      <c r="C5" s="2">
        <v>2007</v>
      </c>
      <c r="D5" s="2">
        <v>2008</v>
      </c>
      <c r="E5" s="2">
        <v>2009</v>
      </c>
      <c r="F5" s="2">
        <v>2010</v>
      </c>
      <c r="G5" s="2">
        <v>2011</v>
      </c>
      <c r="H5" s="2">
        <v>2012</v>
      </c>
      <c r="I5" s="2">
        <v>2013</v>
      </c>
      <c r="J5" s="2">
        <v>2014</v>
      </c>
      <c r="K5" s="2">
        <v>2015</v>
      </c>
      <c r="L5" s="2">
        <v>2016</v>
      </c>
      <c r="M5" s="2">
        <v>2017</v>
      </c>
      <c r="N5" s="2">
        <v>2018</v>
      </c>
      <c r="O5" s="2">
        <v>2019</v>
      </c>
      <c r="P5" s="2">
        <v>2020</v>
      </c>
      <c r="Q5" s="2">
        <v>2021</v>
      </c>
      <c r="R5" s="2">
        <v>2022</v>
      </c>
      <c r="S5" s="2">
        <v>2023</v>
      </c>
      <c r="T5" s="2">
        <v>2024</v>
      </c>
      <c r="U5" s="168">
        <v>2025</v>
      </c>
      <c r="V5" s="2">
        <v>2026</v>
      </c>
      <c r="W5" s="2">
        <v>2027</v>
      </c>
      <c r="X5" s="2">
        <v>2028</v>
      </c>
      <c r="Y5" s="2">
        <v>2029</v>
      </c>
      <c r="Z5" s="2">
        <v>2030</v>
      </c>
      <c r="AA5" s="2">
        <v>2031</v>
      </c>
      <c r="AB5" s="2">
        <v>2032</v>
      </c>
      <c r="AC5" s="2">
        <v>2033</v>
      </c>
      <c r="AD5" s="2">
        <v>2034</v>
      </c>
      <c r="AE5" s="168">
        <v>2035</v>
      </c>
    </row>
    <row r="6" spans="1:31" ht="15">
      <c r="A6" s="2"/>
      <c r="B6" s="2"/>
      <c r="C6" s="2"/>
      <c r="D6" s="2"/>
      <c r="E6" s="2"/>
      <c r="F6" s="2"/>
      <c r="H6" s="2"/>
      <c r="I6" s="2"/>
      <c r="J6" s="2"/>
      <c r="K6" s="45" t="s">
        <v>424</v>
      </c>
      <c r="L6" s="2"/>
      <c r="M6" s="7"/>
      <c r="N6" s="7"/>
      <c r="O6" s="7"/>
      <c r="P6" s="134"/>
      <c r="Q6" s="65">
        <f ca="1">OFFSET('Fiscal Forecasts'!$B$164,0,Q$5-'Fiscal Forecasts'!$E$7+3)/AVERAGE(OFFSET('Fiscal Forecasts'!$B$183,0,Q$5-'Fiscal Forecasts'!$E$7+2),OFFSET('Fiscal Forecasts'!$B$183,0,Q$5-'Fiscal Forecasts'!$E$7+3))</f>
        <v>1.4776530332453153E-2</v>
      </c>
      <c r="R6" s="65">
        <f ca="1">OFFSET('Fiscal Forecasts'!$B$164,0,R$5-'Fiscal Forecasts'!$E$7+3)/AVERAGE(OFFSET('Fiscal Forecasts'!$B$183,0,R$5-'Fiscal Forecasts'!$E$7+2),OFFSET('Fiscal Forecasts'!$B$183,0,R$5-'Fiscal Forecasts'!$E$7+3))</f>
        <v>1.0633171337052005E-2</v>
      </c>
      <c r="S6" s="65">
        <f ca="1">OFFSET('Fiscal Forecasts'!$B$164,0,S$5-'Fiscal Forecasts'!$E$7+3)/AVERAGE(OFFSET('Fiscal Forecasts'!$B$183,0,S$5-'Fiscal Forecasts'!$E$7+2),OFFSET('Fiscal Forecasts'!$B$183,0,S$5-'Fiscal Forecasts'!$E$7+3))</f>
        <v>9.6502191074338342E-3</v>
      </c>
      <c r="T6" s="65">
        <f ca="1">OFFSET('Fiscal Forecasts'!$B$164,0,T$5-'Fiscal Forecasts'!$E$7+3)/AVERAGE(OFFSET('Fiscal Forecasts'!$B$183,0,T$5-'Fiscal Forecasts'!$E$7+2),OFFSET('Fiscal Forecasts'!$B$183,0,T$5-'Fiscal Forecasts'!$E$7+3))</f>
        <v>1.1439550260012058E-2</v>
      </c>
      <c r="U6" s="65">
        <f ca="1">OFFSET('Fiscal Forecasts'!$B$164,0,U$5-'Fiscal Forecasts'!$E$7+3)/AVERAGE(OFFSET('Fiscal Forecasts'!$B$183,0,U$5-'Fiscal Forecasts'!$E$7+2),OFFSET('Fiscal Forecasts'!$B$183,0,U$5-'Fiscal Forecasts'!$E$7+3))</f>
        <v>1.3844494653985235E-2</v>
      </c>
      <c r="V6" s="2"/>
      <c r="W6" s="2"/>
      <c r="X6" s="2"/>
      <c r="Y6" s="2"/>
      <c r="Z6" s="2"/>
      <c r="AA6" s="2"/>
      <c r="AB6" s="2"/>
      <c r="AC6" s="2"/>
      <c r="AD6" s="2"/>
      <c r="AE6" s="168"/>
    </row>
    <row r="7" spans="1:31" ht="15">
      <c r="K7" s="1" t="s">
        <v>749</v>
      </c>
      <c r="M7" s="7"/>
      <c r="N7" s="7"/>
      <c r="O7" s="7"/>
      <c r="P7" s="134"/>
      <c r="Q7" s="131">
        <f ca="1">ROUND(Q$6/2*(1+Q$6/2)*(Q$20-Exogenous!Q$9-Q$22+Exogenous!Q$8),3)</f>
        <v>0</v>
      </c>
      <c r="R7" s="171">
        <f ca="1">ROUND(R$6/2*(1+R$6/2)*(R$20-Exogenous!R$9-R$22+Exogenous!R$8),3)</f>
        <v>0</v>
      </c>
      <c r="S7" s="171">
        <f ca="1">ROUND(S$6/2*(1+S$6/2)*(S$20-Exogenous!S$9-S$22+Exogenous!S$8),3)</f>
        <v>0</v>
      </c>
      <c r="T7" s="171">
        <f ca="1">ROUND(T$6/2*(1+T$6/2)*(T$20-Exogenous!T$9-T$22+Exogenous!T$8),3)</f>
        <v>0</v>
      </c>
      <c r="U7" s="171">
        <f ca="1">ROUND(U$6/2*(1+U$6/2)*(U$20-Exogenous!U$9-U$22+Exogenous!U$8),3)</f>
        <v>0</v>
      </c>
      <c r="V7" s="2"/>
      <c r="W7" s="7"/>
      <c r="X7" s="7"/>
    </row>
    <row r="8" spans="1:31" ht="15">
      <c r="A8" s="4"/>
      <c r="B8" s="4"/>
      <c r="C8" s="4"/>
      <c r="D8" s="4"/>
      <c r="E8" s="4"/>
      <c r="F8" s="4"/>
      <c r="H8" s="4"/>
      <c r="I8" s="4"/>
      <c r="J8" s="4"/>
      <c r="K8" s="1" t="s">
        <v>750</v>
      </c>
      <c r="L8" s="4"/>
      <c r="M8" s="7"/>
      <c r="N8" s="7"/>
      <c r="O8" s="7"/>
      <c r="P8" s="134"/>
      <c r="Q8" s="6">
        <f ca="1">ROUND(Q$6*SUM($K$10:P$10),3)</f>
        <v>0</v>
      </c>
      <c r="R8" s="171">
        <f ca="1">ROUND(R$6*SUM($K$10:Q$10),3)</f>
        <v>0</v>
      </c>
      <c r="S8" s="171">
        <f ca="1">ROUND(S$6*SUM($K$10:R$10),3)</f>
        <v>0</v>
      </c>
      <c r="T8" s="171">
        <f ca="1">ROUND(T$6*SUM($K$10:S$10),3)</f>
        <v>0</v>
      </c>
      <c r="U8" s="171">
        <f ca="1">ROUND(U$6*SUM($K$10:T$10),3)</f>
        <v>0</v>
      </c>
      <c r="V8" s="168"/>
      <c r="W8" s="168"/>
      <c r="X8" s="168"/>
      <c r="Y8" s="168"/>
      <c r="Z8" s="168"/>
      <c r="AA8" s="168"/>
      <c r="AB8" s="168"/>
      <c r="AC8" s="168"/>
      <c r="AD8" s="4"/>
      <c r="AE8" s="4"/>
    </row>
    <row r="9" spans="1:31" ht="15">
      <c r="K9" s="2" t="s">
        <v>751</v>
      </c>
      <c r="M9" s="7"/>
      <c r="N9" s="7"/>
      <c r="O9" s="7"/>
      <c r="P9" s="134"/>
      <c r="Q9" s="7">
        <f t="shared" ref="Q9:U9" ca="1" si="0">SUM(Q$7:Q$8)</f>
        <v>0</v>
      </c>
      <c r="R9" s="134">
        <f t="shared" ca="1" si="0"/>
        <v>0</v>
      </c>
      <c r="S9" s="134">
        <f t="shared" ca="1" si="0"/>
        <v>0</v>
      </c>
      <c r="T9" s="134">
        <f t="shared" ca="1" si="0"/>
        <v>0</v>
      </c>
      <c r="U9" s="134">
        <f t="shared" ca="1" si="0"/>
        <v>0</v>
      </c>
      <c r="V9" s="168"/>
      <c r="W9" s="134"/>
      <c r="X9" s="134"/>
      <c r="Y9" s="167"/>
      <c r="Z9" s="167"/>
      <c r="AA9" s="167"/>
      <c r="AB9" s="167"/>
      <c r="AC9" s="167"/>
    </row>
    <row r="10" spans="1:31" ht="15">
      <c r="K10" s="1" t="s">
        <v>766</v>
      </c>
      <c r="M10" s="7"/>
      <c r="N10" s="7"/>
      <c r="O10" s="7"/>
      <c r="P10" s="134"/>
      <c r="Q10" s="131">
        <f ca="1">ROUND(SUM(Q$20-Exogenous!Q$9,Q$9,-Q$22+Exogenous!Q$8),3)</f>
        <v>0</v>
      </c>
      <c r="R10" s="171">
        <f ca="1">ROUND(SUM(R$20-Exogenous!R$9,R$9,-R$22+Exogenous!R$8),3)</f>
        <v>0</v>
      </c>
      <c r="S10" s="171">
        <f ca="1">ROUND(SUM(S$20-Exogenous!S$9,S$9,-S$22+Exogenous!S$8),3)</f>
        <v>0</v>
      </c>
      <c r="T10" s="171">
        <f ca="1">ROUND(SUM(T$20-Exogenous!T$9,T$9,-T$22+Exogenous!T$8),3)</f>
        <v>0</v>
      </c>
      <c r="U10" s="171">
        <f ca="1">ROUND(SUM(U$20-Exogenous!U$9,U$9,-U$22+Exogenous!U$8),3)</f>
        <v>0</v>
      </c>
      <c r="V10" s="168"/>
      <c r="W10" s="168"/>
      <c r="X10" s="168"/>
      <c r="Y10" s="168"/>
      <c r="Z10" s="168"/>
      <c r="AA10" s="168"/>
      <c r="AB10" s="168"/>
      <c r="AC10" s="168"/>
    </row>
    <row r="11" spans="1:31" ht="15">
      <c r="A11" s="2"/>
      <c r="B11" s="2"/>
      <c r="C11" s="2"/>
      <c r="D11" s="2"/>
      <c r="E11" s="2"/>
      <c r="F11" s="2"/>
      <c r="H11" s="2"/>
      <c r="I11" s="2"/>
      <c r="J11" s="2"/>
      <c r="K11" s="2" t="s">
        <v>752</v>
      </c>
      <c r="L11" s="2"/>
      <c r="M11" s="7"/>
      <c r="N11" s="7"/>
      <c r="O11" s="7"/>
      <c r="P11" s="134"/>
      <c r="Q11" s="7">
        <f ca="1">SUM($K$10:Q$10)</f>
        <v>0</v>
      </c>
      <c r="R11" s="134">
        <f ca="1">SUM($K$10:R$10)</f>
        <v>0</v>
      </c>
      <c r="S11" s="134">
        <f ca="1">SUM($K$10:S$10)</f>
        <v>0</v>
      </c>
      <c r="T11" s="134">
        <f ca="1">SUM($K$10:T$10)</f>
        <v>0</v>
      </c>
      <c r="U11" s="134">
        <f ca="1">SUM($K$10:U$10)</f>
        <v>0</v>
      </c>
      <c r="V11" s="168"/>
      <c r="W11" s="134"/>
      <c r="X11" s="134"/>
      <c r="Y11" s="167"/>
      <c r="Z11" s="167"/>
      <c r="AA11" s="167"/>
      <c r="AB11" s="167"/>
      <c r="AC11" s="167"/>
      <c r="AD11" s="2"/>
      <c r="AE11" s="168"/>
    </row>
    <row r="12" spans="1:31" ht="15">
      <c r="B12" s="2"/>
      <c r="C12" s="2"/>
      <c r="D12" s="7"/>
      <c r="E12" s="7"/>
      <c r="F12" s="7"/>
      <c r="H12" s="7"/>
      <c r="I12" s="7"/>
      <c r="J12" s="7"/>
      <c r="K12" s="7"/>
      <c r="L12" s="7"/>
      <c r="M12" s="7"/>
      <c r="N12" s="7"/>
      <c r="O12" s="7"/>
      <c r="P12" s="7"/>
      <c r="Q12" s="7"/>
      <c r="R12" s="7"/>
      <c r="S12" s="7"/>
      <c r="T12" s="2"/>
      <c r="U12" s="168"/>
      <c r="V12" s="168"/>
      <c r="W12" s="168"/>
      <c r="X12" s="168"/>
      <c r="Y12" s="168"/>
      <c r="Z12" s="168"/>
      <c r="AA12" s="168"/>
      <c r="AB12" s="168"/>
      <c r="AC12" s="168"/>
      <c r="AD12" s="7"/>
      <c r="AE12" s="134"/>
    </row>
    <row r="13" spans="1:31" ht="15">
      <c r="A13" s="4"/>
      <c r="B13" s="2"/>
      <c r="C13" s="2"/>
      <c r="D13" s="7"/>
      <c r="E13" s="7"/>
      <c r="F13" s="7"/>
      <c r="G13" s="7"/>
      <c r="H13" s="7"/>
      <c r="K13" s="7" t="s">
        <v>742</v>
      </c>
      <c r="L13" s="7"/>
      <c r="M13" s="7"/>
      <c r="N13" s="7"/>
      <c r="O13" s="7"/>
      <c r="P13" s="7"/>
      <c r="Q13" s="7"/>
      <c r="R13" s="7"/>
      <c r="S13" s="7"/>
      <c r="T13" s="2"/>
      <c r="U13" s="168"/>
      <c r="V13" s="168"/>
      <c r="W13" s="134"/>
      <c r="X13" s="134"/>
      <c r="Y13" s="134"/>
      <c r="Z13" s="134"/>
      <c r="AA13" s="134"/>
      <c r="AB13" s="134"/>
      <c r="AC13" s="167"/>
      <c r="AD13" s="7"/>
      <c r="AE13" s="134"/>
    </row>
    <row r="14" spans="1:31" ht="15">
      <c r="A14" s="4"/>
      <c r="B14" s="2"/>
      <c r="C14" s="2"/>
      <c r="D14" s="7"/>
      <c r="E14" s="7"/>
      <c r="F14" s="7"/>
      <c r="G14" s="7"/>
      <c r="H14" s="7"/>
      <c r="K14" s="7"/>
      <c r="L14" s="1" t="s">
        <v>338</v>
      </c>
      <c r="M14" s="38"/>
      <c r="N14" s="38"/>
      <c r="O14" s="15"/>
      <c r="P14" s="141"/>
      <c r="Q14" s="15">
        <v>0.69</v>
      </c>
      <c r="R14" s="15">
        <v>0.86399999999999999</v>
      </c>
      <c r="S14" s="176">
        <v>0.96699999999999997</v>
      </c>
      <c r="T14" s="15">
        <v>1.0529999999999999</v>
      </c>
      <c r="U14" s="176">
        <v>1.1519999999999999</v>
      </c>
      <c r="V14" s="168"/>
      <c r="W14" s="168"/>
      <c r="X14" s="168"/>
      <c r="Y14" s="168"/>
      <c r="Z14" s="168"/>
      <c r="AA14" s="168"/>
      <c r="AB14" s="168"/>
      <c r="AC14" s="168"/>
      <c r="AD14" s="7"/>
      <c r="AE14" s="134"/>
    </row>
    <row r="15" spans="1:31" ht="15">
      <c r="B15" s="2"/>
      <c r="C15" s="2"/>
      <c r="D15" s="7"/>
      <c r="E15" s="7"/>
      <c r="F15" s="7"/>
      <c r="G15" s="7"/>
      <c r="H15" s="7"/>
      <c r="K15" s="7"/>
      <c r="L15" s="1" t="s">
        <v>738</v>
      </c>
      <c r="M15" s="38"/>
      <c r="N15" s="38"/>
      <c r="O15" s="15"/>
      <c r="P15" s="141"/>
      <c r="Q15" s="15">
        <v>0.125</v>
      </c>
      <c r="R15" s="15">
        <v>0.217</v>
      </c>
      <c r="S15" s="15">
        <v>0.23799999999999999</v>
      </c>
      <c r="T15" s="15">
        <v>0.254</v>
      </c>
      <c r="U15" s="176">
        <v>0.27200000000000002</v>
      </c>
      <c r="V15" s="2"/>
      <c r="W15" s="7"/>
      <c r="X15" s="7"/>
      <c r="Y15" s="134"/>
      <c r="Z15" s="134"/>
      <c r="AA15" s="134"/>
      <c r="AB15" s="134"/>
      <c r="AC15" s="7"/>
      <c r="AD15" s="7"/>
      <c r="AE15" s="134"/>
    </row>
    <row r="16" spans="1:31" ht="15">
      <c r="A16" s="4"/>
      <c r="B16" s="2"/>
      <c r="C16" s="2"/>
      <c r="D16" s="7"/>
      <c r="E16" s="7"/>
      <c r="F16" s="7"/>
      <c r="G16" s="7"/>
      <c r="H16" s="7"/>
      <c r="K16" s="7"/>
      <c r="L16" s="1" t="s">
        <v>350</v>
      </c>
      <c r="M16" s="38"/>
      <c r="N16" s="38"/>
      <c r="O16" s="15"/>
      <c r="P16" s="141"/>
      <c r="Q16" s="15">
        <v>9.0579999999999998</v>
      </c>
      <c r="R16" s="15">
        <v>3.5139999999999998</v>
      </c>
      <c r="S16" s="176">
        <v>3.9049999999999998</v>
      </c>
      <c r="T16" s="176">
        <v>4.218</v>
      </c>
      <c r="U16" s="176">
        <v>4.5860000000000003</v>
      </c>
      <c r="V16" s="2"/>
      <c r="W16" s="7"/>
      <c r="X16" s="7"/>
      <c r="AB16" s="2"/>
      <c r="AC16" s="7"/>
      <c r="AD16" s="7"/>
      <c r="AE16" s="134"/>
    </row>
    <row r="17" spans="1:31" ht="15">
      <c r="B17" s="2"/>
      <c r="C17" s="2"/>
      <c r="D17" s="7"/>
      <c r="E17" s="7"/>
      <c r="F17" s="7"/>
      <c r="G17" s="7"/>
      <c r="H17" s="7"/>
      <c r="K17" s="7"/>
      <c r="L17" s="7" t="s">
        <v>746</v>
      </c>
      <c r="M17" s="38"/>
      <c r="N17" s="38"/>
      <c r="O17" s="15"/>
      <c r="P17" s="141"/>
      <c r="Q17" s="38">
        <f>Q$14-Q$15+Q$16</f>
        <v>9.6229999999999993</v>
      </c>
      <c r="R17" s="141">
        <f t="shared" ref="R17:U17" si="1">R$14-R$15+R$16</f>
        <v>4.1609999999999996</v>
      </c>
      <c r="S17" s="141">
        <f t="shared" si="1"/>
        <v>4.6339999999999995</v>
      </c>
      <c r="T17" s="141">
        <f t="shared" si="1"/>
        <v>5.0169999999999995</v>
      </c>
      <c r="U17" s="141">
        <f t="shared" si="1"/>
        <v>5.4660000000000002</v>
      </c>
      <c r="V17" s="2"/>
      <c r="W17" s="7"/>
      <c r="X17" s="7"/>
      <c r="AA17" s="7"/>
      <c r="AB17" s="7"/>
      <c r="AC17" s="7"/>
      <c r="AD17" s="7"/>
      <c r="AE17" s="134"/>
    </row>
    <row r="18" spans="1:31" ht="15">
      <c r="B18" s="2"/>
      <c r="C18" s="2"/>
      <c r="D18" s="7"/>
      <c r="E18" s="7"/>
      <c r="F18" s="7"/>
      <c r="G18" s="7"/>
      <c r="H18" s="7"/>
      <c r="I18" s="7"/>
      <c r="J18" s="7"/>
      <c r="K18" s="7"/>
      <c r="L18" s="7"/>
      <c r="M18" s="38"/>
      <c r="N18" s="38"/>
      <c r="O18" s="15"/>
      <c r="P18" s="38"/>
      <c r="Q18" s="38"/>
      <c r="R18" s="38"/>
      <c r="S18" s="7"/>
      <c r="T18" s="7"/>
      <c r="U18" s="134"/>
      <c r="V18" s="7"/>
      <c r="W18" s="7"/>
      <c r="X18" s="7"/>
      <c r="Y18" s="7"/>
      <c r="Z18" s="7"/>
      <c r="AA18" s="7"/>
      <c r="AB18" s="7"/>
      <c r="AC18" s="7"/>
      <c r="AD18" s="7"/>
      <c r="AE18" s="134"/>
    </row>
    <row r="19" spans="1:31" ht="15">
      <c r="A19" s="2" t="s">
        <v>71</v>
      </c>
      <c r="B19" s="2" t="s">
        <v>72</v>
      </c>
      <c r="C19" s="2"/>
      <c r="D19" s="7"/>
      <c r="E19" s="7"/>
      <c r="F19" s="7"/>
      <c r="G19" s="7"/>
      <c r="I19" s="7" t="s">
        <v>748</v>
      </c>
      <c r="J19" s="7"/>
      <c r="K19" s="7"/>
      <c r="L19" s="7"/>
      <c r="M19" s="7"/>
      <c r="N19" s="7"/>
      <c r="O19" s="15"/>
      <c r="P19" s="141"/>
      <c r="Q19" s="64">
        <v>1</v>
      </c>
      <c r="R19" s="7"/>
      <c r="S19" s="7"/>
      <c r="T19" s="7"/>
      <c r="U19" s="134"/>
      <c r="V19" s="7"/>
      <c r="W19" s="7"/>
      <c r="X19" s="7"/>
      <c r="Y19" s="7"/>
      <c r="Z19" s="7"/>
      <c r="AA19" s="7"/>
      <c r="AB19" s="7"/>
      <c r="AC19" s="7"/>
      <c r="AD19" s="7"/>
      <c r="AE19" s="134"/>
    </row>
    <row r="20" spans="1:31">
      <c r="A20" s="1" t="s">
        <v>74</v>
      </c>
      <c r="C20" s="14">
        <v>2.048</v>
      </c>
      <c r="D20" s="14">
        <v>2.1040000000000001</v>
      </c>
      <c r="E20" s="14">
        <v>2.2429999999999999</v>
      </c>
      <c r="F20" s="14">
        <v>0.25</v>
      </c>
      <c r="G20" s="14">
        <v>0</v>
      </c>
      <c r="H20" s="14">
        <v>0</v>
      </c>
      <c r="I20" s="14">
        <v>0</v>
      </c>
      <c r="J20" s="14">
        <v>0</v>
      </c>
      <c r="K20" s="14">
        <v>0</v>
      </c>
      <c r="L20" s="14">
        <v>0</v>
      </c>
      <c r="M20" s="14">
        <v>0</v>
      </c>
      <c r="N20" s="14">
        <v>0.5</v>
      </c>
      <c r="O20" s="14">
        <v>1</v>
      </c>
      <c r="P20" s="175">
        <v>1.46</v>
      </c>
      <c r="Q20" s="81">
        <f>IF($Q$19=1,Q$29,IF($Q$19=2,Q$35,Exogenous!Q$9))</f>
        <v>2.1199999999999992</v>
      </c>
      <c r="R20" s="81">
        <f>IF($Q$19=1,R$29,IF($Q$19=2,R$35,Exogenous!R$9))</f>
        <v>2.42</v>
      </c>
      <c r="S20" s="81">
        <f>IF($Q$19=1,S$29,IF($Q$19=2,S$35,Exogenous!S$9))</f>
        <v>1.3510000000000009</v>
      </c>
      <c r="T20" s="81">
        <f>IF($Q$19=1,T$29,IF($Q$19=2,T$35,Exogenous!T$9))</f>
        <v>1.629999999999999</v>
      </c>
      <c r="U20" s="81">
        <f>IF($Q$19=1,U$29,IF($Q$19=2,U$35,Exogenous!U$9))</f>
        <v>1.8979999999999997</v>
      </c>
      <c r="V20" s="85">
        <f>IF($Q$19=1,V$29,IF($Q$19=2,V$35,Exogenous!V$9))</f>
        <v>1.6879782431057286</v>
      </c>
      <c r="W20" s="85">
        <f>IF($Q$19=1,W$29,IF($Q$19=2,W$35,Exogenous!W$9))</f>
        <v>1.4327527342206707</v>
      </c>
      <c r="X20" s="85">
        <f>IF($Q$19=1,X$29,IF($Q$19=2,X$35,Exogenous!X$9))</f>
        <v>1.1647696793195053</v>
      </c>
      <c r="Y20" s="85">
        <f>IF($Q$19=1,Y$29,IF($Q$19=2,Y$35,Exogenous!Y$9))</f>
        <v>0.9340167943912725</v>
      </c>
      <c r="Z20" s="85">
        <f>IF($Q$19=1,Z$29,IF($Q$19=2,Z$35,Exogenous!Z$9))</f>
        <v>0.7315037003943381</v>
      </c>
      <c r="AA20" s="85">
        <f>IF($Q$19=1,AA$29,IF($Q$19=2,AA$35,Exogenous!AA$9))</f>
        <v>0.54727674926238734</v>
      </c>
      <c r="AB20" s="85">
        <f>IF($Q$19=1,AB$29,IF($Q$19=2,AB$35,Exogenous!AB$9))</f>
        <v>0.35386359603993611</v>
      </c>
      <c r="AC20" s="85">
        <f>IF($Q$19=1,AC$29,IF($Q$19=2,AC$35,Exogenous!AC$9))</f>
        <v>0.12684560172290915</v>
      </c>
      <c r="AD20" s="85">
        <f>IF($Q$19=1,AD$29,IF($Q$19=2,AD$35,Exogenous!AD$9))</f>
        <v>-0.13285652283220983</v>
      </c>
      <c r="AE20" s="85">
        <f>IF($Q$19=1,AE$29,IF($Q$19=2,AE$35,Exogenous!AE$9))</f>
        <v>-0.37678819574019329</v>
      </c>
    </row>
    <row r="21" spans="1:31" ht="15">
      <c r="A21" s="1" t="s">
        <v>338</v>
      </c>
      <c r="B21" s="2"/>
      <c r="C21" s="14">
        <v>0.436</v>
      </c>
      <c r="D21" s="14">
        <v>0.38500000000000001</v>
      </c>
      <c r="E21" s="14">
        <v>0.38300000000000001</v>
      </c>
      <c r="F21" s="14">
        <v>0.433</v>
      </c>
      <c r="G21" s="14">
        <v>0.51800000000000002</v>
      </c>
      <c r="H21" s="14">
        <v>0.53900000000000003</v>
      </c>
      <c r="I21" s="14">
        <v>0.59499999999999997</v>
      </c>
      <c r="J21" s="14">
        <v>0.76700000000000002</v>
      </c>
      <c r="K21" s="14">
        <v>0.76</v>
      </c>
      <c r="L21" s="14">
        <v>0.752</v>
      </c>
      <c r="M21" s="14">
        <v>0.83299999999999996</v>
      </c>
      <c r="N21" s="14">
        <v>0.93500000000000005</v>
      </c>
      <c r="O21" s="14">
        <v>0.98199999999999998</v>
      </c>
      <c r="P21" s="175">
        <v>0.80300000000000005</v>
      </c>
      <c r="Q21" s="81">
        <f>IF($Q$19=1,Q$30,IF($Q$19=2,Q$36,Exogenous!Q$7))*Q$14/Q$17</f>
        <v>0.69</v>
      </c>
      <c r="R21" s="81">
        <f>IF($Q$19=1,R$30,IF($Q$19=2,R$36,Exogenous!R$7))*R$14/R$17</f>
        <v>0.86400000000000021</v>
      </c>
      <c r="S21" s="81">
        <f>IF($Q$19=1,S$30,IF($Q$19=2,S$36,Exogenous!S$7))*S$14/S$17</f>
        <v>0.96700000000000019</v>
      </c>
      <c r="T21" s="81">
        <f>IF($Q$19=1,T$30,IF($Q$19=2,T$36,Exogenous!T$7))*T$14/T$17</f>
        <v>1.0529999999999999</v>
      </c>
      <c r="U21" s="81">
        <f>IF($Q$19=1,U$30,IF($Q$19=2,U$36,Exogenous!U$7))*U$14/U$17</f>
        <v>1.1519999999999999</v>
      </c>
      <c r="V21" s="85">
        <f>U$21*IF($Q$19=1,V$30/U$30,IF($Q$19=2,V$36/U$36,Exogenous!V$7/Exogenous!U$7))</f>
        <v>1.2530130297847262</v>
      </c>
      <c r="W21" s="85">
        <f>V$21*IF($Q$19=1,W$30/V$30,IF($Q$19=2,W$36/V$36,Exogenous!W$7/Exogenous!V$7))</f>
        <v>1.3531374263235034</v>
      </c>
      <c r="X21" s="85">
        <f>W$21*IF($Q$19=1,X$30/W$30,IF($Q$19=2,X$36/W$36,Exogenous!X$7/Exogenous!W$7))</f>
        <v>1.4549064017766902</v>
      </c>
      <c r="Y21" s="85">
        <f>X$21*IF($Q$19=1,Y$30/X$30,IF($Q$19=2,Y$36/X$36,Exogenous!Y$7/Exogenous!X$7))</f>
        <v>1.5585804447225926</v>
      </c>
      <c r="Z21" s="85">
        <f>Y$21*IF($Q$19=1,Z$30/Y$30,IF($Q$19=2,Z$36/Y$36,Exogenous!Z$7/Exogenous!Y$7))</f>
        <v>1.6648174828354096</v>
      </c>
      <c r="AA21" s="85">
        <f>Z$21*IF($Q$19=1,AA$30/Z$30,IF($Q$19=2,AA$36/Z$36,Exogenous!AA$7/Exogenous!Z$7))</f>
        <v>1.7741594698384462</v>
      </c>
      <c r="AB21" s="85">
        <f>AA$21*IF($Q$19=1,AB$30/AA$30,IF($Q$19=2,AB$36/AA$36,Exogenous!AB$7/Exogenous!AA$7))</f>
        <v>1.8868862341278858</v>
      </c>
      <c r="AC21" s="85">
        <f>AB$21*IF($Q$19=1,AC$30/AB$30,IF($Q$19=2,AC$36/AB$36,Exogenous!AC$7/Exogenous!AB$7))</f>
        <v>2.0028653414612596</v>
      </c>
      <c r="AD21" s="85">
        <f>AC$21*IF($Q$19=1,AD$30/AC$30,IF($Q$19=2,AD$36/AC$36,Exogenous!AD$7/Exogenous!AC$7))</f>
        <v>2.1217440231703311</v>
      </c>
      <c r="AE21" s="85">
        <f>AD$21*IF($Q$19=1,AE$30/AD$30,IF($Q$19=2,AE$36/AD$36,Exogenous!AE$7/Exogenous!AD$7))</f>
        <v>2.2435181578828276</v>
      </c>
    </row>
    <row r="22" spans="1:31">
      <c r="A22" s="1" t="s">
        <v>740</v>
      </c>
      <c r="C22" s="14">
        <v>0.70699999999999996</v>
      </c>
      <c r="D22" s="14">
        <v>0.23699999999999999</v>
      </c>
      <c r="E22" s="14">
        <v>4.0000000000000001E-3</v>
      </c>
      <c r="F22" s="14">
        <v>-2.7E-2</v>
      </c>
      <c r="G22" s="14">
        <v>0.872</v>
      </c>
      <c r="H22" s="14">
        <v>0.16</v>
      </c>
      <c r="I22" s="14">
        <v>0.98299999999999998</v>
      </c>
      <c r="J22" s="14">
        <v>1.0740000000000001</v>
      </c>
      <c r="K22" s="14">
        <v>4.5999999999999999E-2</v>
      </c>
      <c r="L22" s="14">
        <v>0.51200000000000001</v>
      </c>
      <c r="M22" s="14">
        <v>1.139</v>
      </c>
      <c r="N22" s="14">
        <v>0.24099999999999999</v>
      </c>
      <c r="O22" s="14">
        <v>0.504</v>
      </c>
      <c r="P22" s="175">
        <v>0.44800000000000001</v>
      </c>
      <c r="Q22" s="81">
        <f>IF($Q$19=1,Q$31,IF($Q$19=2,Q$37,Exogenous!Q$8))</f>
        <v>2.2599999999999998</v>
      </c>
      <c r="R22" s="81">
        <f>IF($Q$19=1,R$31,IF($Q$19=2,R$37,Exogenous!R$8))</f>
        <v>0.99299999999999999</v>
      </c>
      <c r="S22" s="81">
        <f>IF($Q$19=1,S$31,IF($Q$19=2,S$37,Exogenous!S$8))</f>
        <v>1.1060000000000001</v>
      </c>
      <c r="T22" s="81">
        <f>IF($Q$19=1,T$31,IF($Q$19=2,T$37,Exogenous!T$8))</f>
        <v>1.1970000000000001</v>
      </c>
      <c r="U22" s="81">
        <f>IF($Q$19=1,U$31,IF($Q$19=2,U$37,Exogenous!U$8))</f>
        <v>1.3049999999999999</v>
      </c>
      <c r="V22" s="85">
        <f>IF($Q$19=1,V$31,IF($Q$19=2,V$37,Exogenous!V$8))</f>
        <v>1.426868587667357</v>
      </c>
      <c r="W22" s="85">
        <f>IF($Q$19=1,W$31,IF($Q$19=2,W$37,Exogenous!W$8))</f>
        <v>1.5408852442258896</v>
      </c>
      <c r="X22" s="85">
        <f>IF($Q$19=1,X$31,IF($Q$19=2,X$37,Exogenous!X$8))</f>
        <v>1.656774665023206</v>
      </c>
      <c r="Y22" s="85">
        <f>IF($Q$19=1,Y$31,IF($Q$19=2,Y$37,Exogenous!Y$8))</f>
        <v>1.7748334814278526</v>
      </c>
      <c r="Z22" s="85">
        <f>IF($Q$19=1,Z$31,IF($Q$19=2,Z$37,Exogenous!Z$8))</f>
        <v>1.8958109085788231</v>
      </c>
      <c r="AA22" s="85">
        <f>IF($Q$19=1,AA$31,IF($Q$19=2,AA$37,Exogenous!AA$8))</f>
        <v>2.0203240962785309</v>
      </c>
      <c r="AB22" s="85">
        <f>IF($Q$19=1,AB$31,IF($Q$19=2,AB$37,Exogenous!AB$8))</f>
        <v>2.1486916991131304</v>
      </c>
      <c r="AC22" s="85">
        <f>IF($Q$19=1,AC$31,IF($Q$19=2,AC$37,Exogenous!AC$8))</f>
        <v>2.2807629075890099</v>
      </c>
      <c r="AD22" s="85">
        <f>IF($Q$19=1,AD$31,IF($Q$19=2,AD$37,Exogenous!AD$8))</f>
        <v>2.4161360063852149</v>
      </c>
      <c r="AE22" s="85">
        <f>IF($Q$19=1,AE$31,IF($Q$19=2,AE$37,Exogenous!AE$8))</f>
        <v>2.5548063022890699</v>
      </c>
    </row>
    <row r="23" spans="1:31">
      <c r="A23" s="1" t="s">
        <v>741</v>
      </c>
      <c r="C23" s="14">
        <v>-5.1999999999999998E-2</v>
      </c>
      <c r="D23" s="14">
        <v>3.4000000000000002E-2</v>
      </c>
      <c r="E23" s="14">
        <v>-0.32300000000000001</v>
      </c>
      <c r="F23" s="14">
        <v>0.502</v>
      </c>
      <c r="G23" s="14">
        <v>0.16900000000000001</v>
      </c>
      <c r="H23" s="14">
        <v>0.13200000000000001</v>
      </c>
      <c r="I23" s="14">
        <v>0.16500000000000001</v>
      </c>
      <c r="J23" s="14">
        <v>0.16400000000000001</v>
      </c>
      <c r="K23" s="14">
        <v>0.19800000000000001</v>
      </c>
      <c r="L23" s="14">
        <v>0.13800000000000001</v>
      </c>
      <c r="M23" s="14">
        <v>0.22700000000000001</v>
      </c>
      <c r="N23" s="14">
        <v>0.34100000000000003</v>
      </c>
      <c r="O23" s="14">
        <v>0.13</v>
      </c>
      <c r="P23" s="175">
        <v>0.15</v>
      </c>
      <c r="Q23" s="81">
        <f>IF($Q$19=1,Q$30,IF($Q$19=2,Q$36,Exogenous!Q$7))*Q$15/Q$17</f>
        <v>0.125</v>
      </c>
      <c r="R23" s="81">
        <f>IF($Q$19=1,R$30,IF($Q$19=2,R$36,Exogenous!R$7))*R$15/R$17</f>
        <v>0.21700000000000005</v>
      </c>
      <c r="S23" s="81">
        <f>IF($Q$19=1,S$30,IF($Q$19=2,S$36,Exogenous!S$7))*S$15/S$17</f>
        <v>0.23800000000000002</v>
      </c>
      <c r="T23" s="81">
        <f>IF($Q$19=1,T$30,IF($Q$19=2,T$36,Exogenous!T$7))*T$15/T$17</f>
        <v>0.254</v>
      </c>
      <c r="U23" s="81">
        <f>IF($Q$19=1,U$30,IF($Q$19=2,U$36,Exogenous!U$7))*U$15/U$17</f>
        <v>0.27200000000000002</v>
      </c>
      <c r="V23" s="85">
        <f>U$23*IF($Q$19=1,V$30/U$30,IF($Q$19=2,V$36/U$36,Exogenous!V$7/Exogenous!U$7))</f>
        <v>0.29585029869917145</v>
      </c>
      <c r="W23" s="85">
        <f>V$23*IF($Q$19=1,W$30/V$30,IF($Q$19=2,W$36/V$36,Exogenous!W$7/Exogenous!V$7))</f>
        <v>0.31949078121527164</v>
      </c>
      <c r="X23" s="85">
        <f>W$23*IF($Q$19=1,X$30/W$30,IF($Q$19=2,X$36/W$36,Exogenous!X$7/Exogenous!W$7))</f>
        <v>0.34351956708616294</v>
      </c>
      <c r="Y23" s="85">
        <f>X$23*IF($Q$19=1,Y$30/X$30,IF($Q$19=2,Y$36/X$36,Exogenous!Y$7/Exogenous!X$7))</f>
        <v>0.36799816055950102</v>
      </c>
      <c r="Z23" s="85">
        <f>Y$23*IF($Q$19=1,Z$30/Y$30,IF($Q$19=2,Z$36/Y$36,Exogenous!Z$7/Exogenous!Y$7))</f>
        <v>0.39308190566947171</v>
      </c>
      <c r="AA23" s="85">
        <f>Z$23*IF($Q$19=1,AA$30/Z$30,IF($Q$19=2,AA$36/Z$36,Exogenous!AA$7/Exogenous!Z$7))</f>
        <v>0.41889876371185536</v>
      </c>
      <c r="AB23" s="85">
        <f>AA$23*IF($Q$19=1,AB$30/AA$30,IF($Q$19=2,AB$36/AA$36,Exogenous!AB$7/Exogenous!AA$7))</f>
        <v>0.44551480528019527</v>
      </c>
      <c r="AC23" s="85">
        <f>AB$23*IF($Q$19=1,AC$30/AB$30,IF($Q$19=2,AC$36/AB$36,Exogenous!AC$7/Exogenous!AB$7))</f>
        <v>0.472898761178353</v>
      </c>
      <c r="AD23" s="85">
        <f>AC$23*IF($Q$19=1,AD$30/AC$30,IF($Q$19=2,AD$36/AC$36,Exogenous!AD$7/Exogenous!AC$7))</f>
        <v>0.50096733880410593</v>
      </c>
      <c r="AE23" s="85">
        <f>AD$23*IF($Q$19=1,AE$30/AD$30,IF($Q$19=2,AE$36/AD$36,Exogenous!AE$7/Exogenous!AD$7))</f>
        <v>0.52971956505566753</v>
      </c>
    </row>
    <row r="24" spans="1:31">
      <c r="A24" s="1" t="s">
        <v>350</v>
      </c>
      <c r="C24" s="14">
        <v>1.3129999999999999</v>
      </c>
      <c r="D24" s="14">
        <v>-0.995</v>
      </c>
      <c r="E24" s="14">
        <v>-3.4950000000000001</v>
      </c>
      <c r="F24" s="14">
        <v>1.75</v>
      </c>
      <c r="G24" s="14">
        <v>3.5179999999999998</v>
      </c>
      <c r="H24" s="14">
        <v>-0.20399999999999999</v>
      </c>
      <c r="I24" s="14">
        <v>4.3739999999999997</v>
      </c>
      <c r="J24" s="14">
        <v>3.7349999999999999</v>
      </c>
      <c r="K24" s="14">
        <v>3.1560000000000001</v>
      </c>
      <c r="L24" s="14">
        <v>-7.5999999999999998E-2</v>
      </c>
      <c r="M24" s="14">
        <v>5.5119999999999996</v>
      </c>
      <c r="N24" s="14">
        <v>3.5640000000000001</v>
      </c>
      <c r="O24" s="14">
        <v>1.9550000000000001</v>
      </c>
      <c r="P24" s="175">
        <v>1.7000000000000001E-2</v>
      </c>
      <c r="Q24" s="81">
        <f>IF($Q$19=1,Q$30,IF($Q$19=2,Q$36,Exogenous!Q$7))*Q$16/Q$17</f>
        <v>9.0579999999999998</v>
      </c>
      <c r="R24" s="81">
        <f>IF($Q$19=1,R$30,IF($Q$19=2,R$36,Exogenous!R$7))*R$16/R$17</f>
        <v>3.5140000000000007</v>
      </c>
      <c r="S24" s="81">
        <f>IF($Q$19=1,S$30,IF($Q$19=2,S$36,Exogenous!S$7))*S$16/S$17</f>
        <v>3.9050000000000007</v>
      </c>
      <c r="T24" s="81">
        <f>IF($Q$19=1,T$30,IF($Q$19=2,T$36,Exogenous!T$7))*T$16/T$17</f>
        <v>4.218</v>
      </c>
      <c r="U24" s="81">
        <f>IF($Q$19=1,U$30,IF($Q$19=2,U$36,Exogenous!U$7))*U$16/U$17</f>
        <v>4.5860000000000003</v>
      </c>
      <c r="V24" s="85">
        <f>U$24*IF($Q$19=1,V$30/U$30,IF($Q$19=2,V$36/U$36,Exogenous!V$7/Exogenous!U$7))</f>
        <v>4.9881230508617662</v>
      </c>
      <c r="W24" s="85">
        <f>V$24*IF($Q$19=1,W$30/V$30,IF($Q$19=2,W$36/V$36,Exogenous!W$7/Exogenous!V$7))</f>
        <v>5.3867085391663077</v>
      </c>
      <c r="X24" s="85">
        <f>W$24*IF($Q$19=1,X$30/W$30,IF($Q$19=2,X$36/W$36,Exogenous!X$7/Exogenous!W$7))</f>
        <v>5.7918409362394971</v>
      </c>
      <c r="Y24" s="85">
        <f>X$24*IF($Q$19=1,Y$30/X$30,IF($Q$19=2,Y$36/X$36,Exogenous!Y$7/Exogenous!X$7))</f>
        <v>6.2045572217862928</v>
      </c>
      <c r="Z24" s="85">
        <f>Y$24*IF($Q$19=1,Z$30/Y$30,IF($Q$19=2,Z$36/Y$36,Exogenous!Z$7/Exogenous!Y$7))</f>
        <v>6.6274765419124897</v>
      </c>
      <c r="AA24" s="85">
        <f>Z$24*IF($Q$19=1,AA$30/Z$30,IF($Q$19=2,AA$36/Z$36,Exogenous!AA$7/Exogenous!Z$7))</f>
        <v>7.0627563617006199</v>
      </c>
      <c r="AB24" s="85">
        <f>AA$24*IF($Q$19=1,AB$30/AA$30,IF($Q$19=2,AB$36/AA$36,Exogenous!AB$7/Exogenous!AA$7))</f>
        <v>7.5115106507903509</v>
      </c>
      <c r="AC24" s="85">
        <f>AB$24*IF($Q$19=1,AC$30/AB$30,IF($Q$19=2,AC$36/AB$36,Exogenous!AC$7/Exogenous!AB$7))</f>
        <v>7.973212201337966</v>
      </c>
      <c r="AD24" s="85">
        <f>AC$24*IF($Q$19=1,AD$30/AC$30,IF($Q$19=2,AD$36/AC$36,Exogenous!AD$7/Exogenous!AC$7))</f>
        <v>8.4464566755721684</v>
      </c>
      <c r="AE24" s="85">
        <f>AD$24*IF($Q$19=1,AE$30/AD$30,IF($Q$19=2,AE$36/AD$36,Exogenous!AE$7/Exogenous!AD$7))</f>
        <v>8.9312276667106296</v>
      </c>
    </row>
    <row r="25" spans="1:31">
      <c r="A25" s="1" t="s">
        <v>75</v>
      </c>
      <c r="C25" s="14">
        <v>-2.4E-2</v>
      </c>
      <c r="D25" s="14">
        <v>1.6E-2</v>
      </c>
      <c r="E25" s="14">
        <v>2.5999999999999999E-2</v>
      </c>
      <c r="F25" s="14">
        <v>0.01</v>
      </c>
      <c r="G25" s="14">
        <v>1E-3</v>
      </c>
      <c r="H25" s="14">
        <v>8.0000000000000002E-3</v>
      </c>
      <c r="I25" s="14">
        <v>2.5000000000000001E-2</v>
      </c>
      <c r="J25" s="14">
        <v>-4.0000000000000001E-3</v>
      </c>
      <c r="K25" s="14">
        <v>4.1000000000000002E-2</v>
      </c>
      <c r="L25" s="14">
        <v>-2.1000000000000001E-2</v>
      </c>
      <c r="M25" s="14">
        <v>0</v>
      </c>
      <c r="N25" s="14">
        <v>0.13</v>
      </c>
      <c r="O25" s="14">
        <v>-0.04</v>
      </c>
      <c r="P25" s="175">
        <v>-1E-3</v>
      </c>
      <c r="Q25" s="81">
        <f>IF($Q$19=1,Q$32,IF($Q$19=2,Q$38,Exogenous!Q$10))</f>
        <v>0</v>
      </c>
      <c r="R25" s="81">
        <f>IF($Q$19=1,R$32,IF($Q$19=2,R$38,Exogenous!R$10))</f>
        <v>0</v>
      </c>
      <c r="S25" s="81">
        <f>IF($Q$19=1,S$32,IF($Q$19=2,S$38,Exogenous!S$10))</f>
        <v>0</v>
      </c>
      <c r="T25" s="81">
        <f>IF($Q$19=1,T$32,IF($Q$19=2,T$38,Exogenous!T$10))</f>
        <v>0</v>
      </c>
      <c r="U25" s="81">
        <f>IF($Q$19=1,U$32,IF($Q$19=2,U$38,Exogenous!U$10))</f>
        <v>0</v>
      </c>
      <c r="V25" s="85">
        <f>IF($Q$19=1,V$32,IF($Q$19=2,V$38,Exogenous!V$10))</f>
        <v>0</v>
      </c>
      <c r="W25" s="85">
        <f>IF($Q$19=1,W$32,IF($Q$19=2,W$38,Exogenous!W$10))</f>
        <v>0</v>
      </c>
      <c r="X25" s="85">
        <f>IF($Q$19=1,X$32,IF($Q$19=2,X$38,Exogenous!X$10))</f>
        <v>0</v>
      </c>
      <c r="Y25" s="85">
        <f>IF($Q$19=1,Y$32,IF($Q$19=2,Y$38,Exogenous!Y$10))</f>
        <v>0</v>
      </c>
      <c r="Z25" s="85">
        <f>IF($Q$19=1,Z$32,IF($Q$19=2,Z$38,Exogenous!Z$10))</f>
        <v>0</v>
      </c>
      <c r="AA25" s="85">
        <f>IF($Q$19=1,AA$32,IF($Q$19=2,AA$38,Exogenous!AA$10))</f>
        <v>0</v>
      </c>
      <c r="AB25" s="85">
        <f>IF($Q$19=1,AB$32,IF($Q$19=2,AB$38,Exogenous!AB$10))</f>
        <v>0</v>
      </c>
      <c r="AC25" s="85">
        <f>IF($Q$19=1,AC$32,IF($Q$19=2,AC$38,Exogenous!AC$10))</f>
        <v>0</v>
      </c>
      <c r="AD25" s="85">
        <f>IF($Q$19=1,AD$32,IF($Q$19=2,AD$38,Exogenous!AD$10))</f>
        <v>0</v>
      </c>
      <c r="AE25" s="85">
        <f>IF($Q$19=1,AE$32,IF($Q$19=2,AE$38,Exogenous!AE$10))</f>
        <v>0</v>
      </c>
    </row>
    <row r="26" spans="1:31" ht="15">
      <c r="A26" s="2" t="s">
        <v>1139</v>
      </c>
      <c r="B26" s="39">
        <v>9.8550000000000004</v>
      </c>
      <c r="C26" s="39">
        <v>12.972999999999999</v>
      </c>
      <c r="D26" s="39">
        <v>14.211999999999998</v>
      </c>
      <c r="E26" s="39">
        <v>13.687999999999997</v>
      </c>
      <c r="F26" s="39">
        <v>15.655999999999997</v>
      </c>
      <c r="G26" s="39">
        <v>18.651999999999997</v>
      </c>
      <c r="H26" s="39">
        <v>18.702999999999996</v>
      </c>
      <c r="I26" s="39">
        <v>22.548999999999992</v>
      </c>
      <c r="J26" s="39">
        <v>25.80899999999999</v>
      </c>
      <c r="K26" s="39">
        <v>29.521999999999991</v>
      </c>
      <c r="L26" s="39">
        <v>29.52699999999999</v>
      </c>
      <c r="M26" s="39">
        <v>34.506</v>
      </c>
      <c r="N26" s="39">
        <v>39.052999999999997</v>
      </c>
      <c r="O26" s="39">
        <v>42.315999999999988</v>
      </c>
      <c r="P26" s="142">
        <v>43.997</v>
      </c>
      <c r="Q26" s="87">
        <f>IF($Q$19=1,Q$33,IF($Q$19=2,Q$39,Exogenous!Q$11))</f>
        <v>53.48</v>
      </c>
      <c r="R26" s="87">
        <f>IF($Q$19=1,R$33,IF($Q$19=2,R$39,Exogenous!R$11))</f>
        <v>59.067999999999991</v>
      </c>
      <c r="S26" s="87">
        <f>IF($Q$19=1,S$33,IF($Q$19=2,S$39,Exogenous!S$11))</f>
        <v>63.946999999999989</v>
      </c>
      <c r="T26" s="87">
        <f>IF($Q$19=1,T$33,IF($Q$19=2,T$39,Exogenous!T$11))</f>
        <v>69.396999999999977</v>
      </c>
      <c r="U26" s="87">
        <f>IF($Q$19=1,U$33,IF($Q$19=2,U$39,Exogenous!U$11))</f>
        <v>75.455999999999975</v>
      </c>
      <c r="V26" s="86">
        <f>IF($Q$19=1,V$33,IF($Q$19=2,V$39,Exogenous!V$11))</f>
        <v>81.662395437385669</v>
      </c>
      <c r="W26" s="86">
        <f>IF($Q$19=1,W$33,IF($Q$19=2,W$39,Exogenous!W$11))</f>
        <v>87.974618111654991</v>
      </c>
      <c r="X26" s="86">
        <f>IF($Q$19=1,X$33,IF($Q$19=2,X$39,Exogenous!X$11))</f>
        <v>94.385840896881319</v>
      </c>
      <c r="Y26" s="86">
        <f>IF($Q$19=1,Y$33,IF($Q$19=2,Y$39,Exogenous!Y$11))</f>
        <v>100.94016371579413</v>
      </c>
      <c r="Z26" s="86">
        <f>IF($Q$19=1,Z$33,IF($Q$19=2,Z$39,Exogenous!Z$11))</f>
        <v>107.67506862668807</v>
      </c>
      <c r="AA26" s="86">
        <f>IF($Q$19=1,AA$33,IF($Q$19=2,AA$39,Exogenous!AA$11))</f>
        <v>114.62003834749913</v>
      </c>
      <c r="AB26" s="86">
        <f>IF($Q$19=1,AB$33,IF($Q$19=2,AB$39,Exogenous!AB$11))</f>
        <v>121.77809232406398</v>
      </c>
      <c r="AC26" s="86">
        <f>IF($Q$19=1,AC$33,IF($Q$19=2,AC$39,Exogenous!AC$11))</f>
        <v>129.12735379981874</v>
      </c>
      <c r="AD26" s="86">
        <f>IF($Q$19=1,AD$33,IF($Q$19=2,AD$39,Exogenous!AD$11))</f>
        <v>136.6455946305397</v>
      </c>
      <c r="AE26" s="86">
        <f>IF($Q$19=1,AE$33,IF($Q$19=2,AE$39,Exogenous!AE$11))</f>
        <v>144.35902639204824</v>
      </c>
    </row>
    <row r="27" spans="1:31">
      <c r="A27" s="4" t="s">
        <v>739</v>
      </c>
      <c r="C27" s="63" t="str">
        <f>IF(ROUND(C$26-SUM(B$26,C$20,C$21,C$24,C$25)+SUM(C$22,C$23),3)=0,"OK","ERROR")</f>
        <v>OK</v>
      </c>
      <c r="D27" s="63" t="str">
        <f t="shared" ref="D27:P27" si="2">IF(ROUND(D$26-SUM(C$26,D$20,D$21,D$24,D$25)+SUM(D$22,D$23),3)=0,"OK","ERROR")</f>
        <v>OK</v>
      </c>
      <c r="E27" s="63" t="str">
        <f t="shared" si="2"/>
        <v>OK</v>
      </c>
      <c r="F27" s="63" t="str">
        <f t="shared" si="2"/>
        <v>OK</v>
      </c>
      <c r="G27" s="63" t="str">
        <f t="shared" si="2"/>
        <v>OK</v>
      </c>
      <c r="H27" s="63" t="str">
        <f t="shared" si="2"/>
        <v>OK</v>
      </c>
      <c r="I27" s="63" t="str">
        <f t="shared" si="2"/>
        <v>OK</v>
      </c>
      <c r="J27" s="63" t="str">
        <f t="shared" si="2"/>
        <v>OK</v>
      </c>
      <c r="K27" s="63" t="str">
        <f t="shared" si="2"/>
        <v>OK</v>
      </c>
      <c r="L27" s="63" t="str">
        <f t="shared" si="2"/>
        <v>OK</v>
      </c>
      <c r="M27" s="63" t="str">
        <f t="shared" si="2"/>
        <v>OK</v>
      </c>
      <c r="N27" s="63" t="str">
        <f t="shared" si="2"/>
        <v>OK</v>
      </c>
      <c r="O27" s="63" t="str">
        <f t="shared" si="2"/>
        <v>OK</v>
      </c>
      <c r="P27" s="63" t="str">
        <f t="shared" si="2"/>
        <v>OK</v>
      </c>
      <c r="Q27" s="95" t="str">
        <f t="shared" ref="Q27" si="3">IF(ROUND(Q$26-SUM(P$26,Q$20,Q$21,Q$24,Q$25)+SUM(Q$22,Q$23),3)=0,"OK","ERROR")</f>
        <v>OK</v>
      </c>
      <c r="R27" s="95" t="str">
        <f t="shared" ref="R27" si="4">IF(ROUND(R$26-SUM(Q$26,R$20,R$21,R$24,R$25)+SUM(R$22,R$23),3)=0,"OK","ERROR")</f>
        <v>OK</v>
      </c>
      <c r="S27" s="95" t="str">
        <f t="shared" ref="S27" si="5">IF(ROUND(S$26-SUM(R$26,S$20,S$21,S$24,S$25)+SUM(S$22,S$23),3)=0,"OK","ERROR")</f>
        <v>OK</v>
      </c>
      <c r="T27" s="95" t="str">
        <f t="shared" ref="T27" si="6">IF(ROUND(T$26-SUM(S$26,T$20,T$21,T$24,T$25)+SUM(T$22,T$23),3)=0,"OK","ERROR")</f>
        <v>OK</v>
      </c>
      <c r="U27" s="95" t="str">
        <f t="shared" ref="U27" si="7">IF(ROUND(U$26-SUM(T$26,U$20,U$21,U$24,U$25)+SUM(U$22,U$23),3)=0,"OK","ERROR")</f>
        <v>OK</v>
      </c>
      <c r="V27" s="96" t="str">
        <f t="shared" ref="V27:AE27" si="8">IF(ROUND(V$26-SUM(U$26,V$20,V$21,V$24,V$25)+SUM(V$22,V$23),3)=0,"OK","ERROR")</f>
        <v>OK</v>
      </c>
      <c r="W27" s="96" t="str">
        <f t="shared" si="8"/>
        <v>OK</v>
      </c>
      <c r="X27" s="96" t="str">
        <f t="shared" si="8"/>
        <v>OK</v>
      </c>
      <c r="Y27" s="96" t="str">
        <f t="shared" si="8"/>
        <v>OK</v>
      </c>
      <c r="Z27" s="96" t="str">
        <f t="shared" si="8"/>
        <v>OK</v>
      </c>
      <c r="AA27" s="96" t="str">
        <f t="shared" si="8"/>
        <v>OK</v>
      </c>
      <c r="AB27" s="96" t="str">
        <f t="shared" si="8"/>
        <v>OK</v>
      </c>
      <c r="AC27" s="96" t="str">
        <f t="shared" si="8"/>
        <v>OK</v>
      </c>
      <c r="AD27" s="96" t="str">
        <f t="shared" si="8"/>
        <v>OK</v>
      </c>
      <c r="AE27" s="96" t="str">
        <f t="shared" si="8"/>
        <v>OK</v>
      </c>
    </row>
    <row r="28" spans="1:31">
      <c r="O28" s="126"/>
    </row>
    <row r="29" spans="1:31" ht="15">
      <c r="G29" s="2"/>
      <c r="M29" s="1" t="s">
        <v>743</v>
      </c>
      <c r="N29" s="1" t="s">
        <v>745</v>
      </c>
      <c r="O29" s="81"/>
      <c r="P29" s="167"/>
      <c r="Q29" s="81">
        <v>2.1199999999999992</v>
      </c>
      <c r="R29" s="81">
        <v>2.42</v>
      </c>
      <c r="S29" s="81">
        <v>1.3510000000000009</v>
      </c>
      <c r="T29" s="81">
        <v>1.629999999999999</v>
      </c>
      <c r="U29" s="81">
        <v>1.8979999999999997</v>
      </c>
      <c r="V29" s="85">
        <v>1.6879782431057286</v>
      </c>
      <c r="W29" s="85">
        <v>1.4327527342206707</v>
      </c>
      <c r="X29" s="85">
        <v>1.1647696793195053</v>
      </c>
      <c r="Y29" s="85">
        <v>0.9340167943912725</v>
      </c>
      <c r="Z29" s="85">
        <v>0.7315037003943381</v>
      </c>
      <c r="AA29" s="85">
        <v>0.54727674926238734</v>
      </c>
      <c r="AB29" s="85">
        <v>0.35386359603993611</v>
      </c>
      <c r="AC29" s="85">
        <v>0.12684560172290915</v>
      </c>
      <c r="AD29" s="85">
        <v>-0.13285652283220983</v>
      </c>
      <c r="AE29" s="85">
        <v>-0.37678819574019329</v>
      </c>
    </row>
    <row r="30" spans="1:31">
      <c r="N30" s="1" t="s">
        <v>746</v>
      </c>
      <c r="O30" s="81"/>
      <c r="P30" s="167"/>
      <c r="Q30" s="81">
        <v>9.6229999999999993</v>
      </c>
      <c r="R30" s="81">
        <v>4.1610000000000005</v>
      </c>
      <c r="S30" s="81">
        <v>4.6340000000000003</v>
      </c>
      <c r="T30" s="81">
        <v>5.0169999999999995</v>
      </c>
      <c r="U30" s="81">
        <v>5.4660000000000002</v>
      </c>
      <c r="V30" s="85">
        <v>5.9452857819473213</v>
      </c>
      <c r="W30" s="85">
        <v>6.4203551842745403</v>
      </c>
      <c r="X30" s="85">
        <v>6.9032277709300258</v>
      </c>
      <c r="Y30" s="85">
        <v>7.3951395059493858</v>
      </c>
      <c r="Z30" s="85">
        <v>7.8992121190784301</v>
      </c>
      <c r="AA30" s="85">
        <v>8.418017067827213</v>
      </c>
      <c r="AB30" s="85">
        <v>8.9528820796380444</v>
      </c>
      <c r="AC30" s="85">
        <v>9.5031787816208748</v>
      </c>
      <c r="AD30" s="85">
        <v>10.067233359938395</v>
      </c>
      <c r="AE30" s="85">
        <v>10.645026259537792</v>
      </c>
    </row>
    <row r="31" spans="1:31">
      <c r="N31" s="1" t="s">
        <v>737</v>
      </c>
      <c r="O31" s="81"/>
      <c r="P31" s="167"/>
      <c r="Q31" s="81">
        <v>2.2599999999999998</v>
      </c>
      <c r="R31" s="81">
        <v>0.99299999999999999</v>
      </c>
      <c r="S31" s="81">
        <v>1.1060000000000001</v>
      </c>
      <c r="T31" s="81">
        <v>1.1970000000000001</v>
      </c>
      <c r="U31" s="81">
        <v>1.3049999999999999</v>
      </c>
      <c r="V31" s="85">
        <v>1.426868587667357</v>
      </c>
      <c r="W31" s="85">
        <v>1.5408852442258896</v>
      </c>
      <c r="X31" s="85">
        <v>1.656774665023206</v>
      </c>
      <c r="Y31" s="85">
        <v>1.7748334814278526</v>
      </c>
      <c r="Z31" s="85">
        <v>1.8958109085788231</v>
      </c>
      <c r="AA31" s="85">
        <v>2.0203240962785309</v>
      </c>
      <c r="AB31" s="85">
        <v>2.1486916991131304</v>
      </c>
      <c r="AC31" s="85">
        <v>2.2807629075890099</v>
      </c>
      <c r="AD31" s="85">
        <v>2.4161360063852149</v>
      </c>
      <c r="AE31" s="85">
        <v>2.5548063022890699</v>
      </c>
    </row>
    <row r="32" spans="1:31">
      <c r="N32" s="1" t="s">
        <v>747</v>
      </c>
      <c r="O32" s="81"/>
      <c r="P32" s="167"/>
      <c r="Q32" s="81">
        <v>0</v>
      </c>
      <c r="R32" s="81">
        <v>0</v>
      </c>
      <c r="S32" s="81">
        <v>0</v>
      </c>
      <c r="T32" s="81">
        <v>0</v>
      </c>
      <c r="U32" s="81">
        <v>0</v>
      </c>
      <c r="V32" s="85">
        <v>0</v>
      </c>
      <c r="W32" s="85">
        <v>0</v>
      </c>
      <c r="X32" s="85">
        <v>0</v>
      </c>
      <c r="Y32" s="85">
        <v>0</v>
      </c>
      <c r="Z32" s="85">
        <v>0</v>
      </c>
      <c r="AA32" s="85">
        <v>0</v>
      </c>
      <c r="AB32" s="85">
        <v>0</v>
      </c>
      <c r="AC32" s="85">
        <v>0</v>
      </c>
      <c r="AD32" s="85">
        <v>0</v>
      </c>
      <c r="AE32" s="85">
        <v>0</v>
      </c>
    </row>
    <row r="33" spans="6:31" ht="15">
      <c r="L33" s="39"/>
      <c r="M33" s="39"/>
      <c r="N33" s="81"/>
      <c r="O33" s="81"/>
      <c r="P33" s="142">
        <v>43.997</v>
      </c>
      <c r="Q33" s="87">
        <v>53.48</v>
      </c>
      <c r="R33" s="87">
        <v>59.067999999999991</v>
      </c>
      <c r="S33" s="87">
        <v>63.946999999999989</v>
      </c>
      <c r="T33" s="87">
        <v>69.396999999999977</v>
      </c>
      <c r="U33" s="87">
        <v>75.455999999999975</v>
      </c>
      <c r="V33" s="86">
        <v>81.662395437385669</v>
      </c>
      <c r="W33" s="86">
        <v>87.974618111654991</v>
      </c>
      <c r="X33" s="86">
        <v>94.385840896881319</v>
      </c>
      <c r="Y33" s="86">
        <v>100.94016371579413</v>
      </c>
      <c r="Z33" s="86">
        <v>107.67506862668807</v>
      </c>
      <c r="AA33" s="86">
        <v>114.62003834749913</v>
      </c>
      <c r="AB33" s="86">
        <v>121.77809232406398</v>
      </c>
      <c r="AC33" s="86">
        <v>129.12735379981874</v>
      </c>
      <c r="AD33" s="86">
        <v>136.6455946305397</v>
      </c>
      <c r="AE33" s="86">
        <v>144.35902639204824</v>
      </c>
    </row>
    <row r="34" spans="6:31">
      <c r="N34" s="84"/>
      <c r="O34" s="81"/>
      <c r="P34" s="84"/>
      <c r="Q34" s="84"/>
      <c r="R34" s="84"/>
      <c r="S34" s="84"/>
      <c r="T34" s="84"/>
      <c r="U34" s="84"/>
      <c r="V34" s="84"/>
      <c r="W34" s="84"/>
      <c r="X34" s="84"/>
      <c r="Y34" s="84"/>
      <c r="Z34" s="84"/>
      <c r="AA34" s="84"/>
      <c r="AB34" s="84"/>
      <c r="AC34" s="84"/>
      <c r="AD34" s="84"/>
      <c r="AE34" s="84"/>
    </row>
    <row r="35" spans="6:31" ht="15">
      <c r="F35" s="2"/>
      <c r="G35" s="2"/>
      <c r="M35" s="1" t="s">
        <v>744</v>
      </c>
      <c r="N35" s="1" t="s">
        <v>745</v>
      </c>
      <c r="O35" s="81"/>
      <c r="P35" s="84"/>
      <c r="Q35" s="81">
        <v>2.1199999999999992</v>
      </c>
      <c r="R35" s="81">
        <v>2.42</v>
      </c>
      <c r="S35" s="81">
        <v>1.3510000000000009</v>
      </c>
      <c r="T35" s="81">
        <v>1.629999999999999</v>
      </c>
      <c r="U35" s="81">
        <v>1.8979999999999997</v>
      </c>
      <c r="V35" s="85">
        <v>1.6879782431057286</v>
      </c>
      <c r="W35" s="85">
        <v>1.4327527342206707</v>
      </c>
      <c r="X35" s="85">
        <v>1.1647696793195053</v>
      </c>
      <c r="Y35" s="85">
        <v>0.9340167943912725</v>
      </c>
      <c r="Z35" s="85">
        <v>0.7315037003943381</v>
      </c>
      <c r="AA35" s="85">
        <v>0.54727674926238734</v>
      </c>
      <c r="AB35" s="85">
        <v>0.35386359603993611</v>
      </c>
      <c r="AC35" s="85">
        <v>0.12684560172290915</v>
      </c>
      <c r="AD35" s="85">
        <v>-0.13285652283220983</v>
      </c>
      <c r="AE35" s="85">
        <v>-0.37678819574019329</v>
      </c>
    </row>
    <row r="36" spans="6:31">
      <c r="N36" s="1" t="s">
        <v>746</v>
      </c>
      <c r="O36" s="81"/>
      <c r="P36" s="84"/>
      <c r="Q36" s="81">
        <v>9.6229999999999993</v>
      </c>
      <c r="R36" s="81">
        <v>4.1610000000000005</v>
      </c>
      <c r="S36" s="81">
        <v>4.6340000000000003</v>
      </c>
      <c r="T36" s="81">
        <v>5.0169999999999995</v>
      </c>
      <c r="U36" s="81">
        <v>5.4660000000000002</v>
      </c>
      <c r="V36" s="85">
        <v>5.9452857819473213</v>
      </c>
      <c r="W36" s="85">
        <v>6.4203551842745403</v>
      </c>
      <c r="X36" s="85">
        <v>6.9032277709300258</v>
      </c>
      <c r="Y36" s="85">
        <v>7.3951395059493858</v>
      </c>
      <c r="Z36" s="85">
        <v>7.8992121190784301</v>
      </c>
      <c r="AA36" s="85">
        <v>8.418017067827213</v>
      </c>
      <c r="AB36" s="85">
        <v>8.9528820796380444</v>
      </c>
      <c r="AC36" s="85">
        <v>9.5031787816208748</v>
      </c>
      <c r="AD36" s="85">
        <v>10.067233359938395</v>
      </c>
      <c r="AE36" s="85">
        <v>10.645026259537792</v>
      </c>
    </row>
    <row r="37" spans="6:31">
      <c r="N37" s="1" t="s">
        <v>737</v>
      </c>
      <c r="O37" s="81"/>
      <c r="P37" s="84"/>
      <c r="Q37" s="81">
        <v>2.2599999999999998</v>
      </c>
      <c r="R37" s="81">
        <v>0.99299999999999999</v>
      </c>
      <c r="S37" s="81">
        <v>1.1060000000000001</v>
      </c>
      <c r="T37" s="81">
        <v>1.1970000000000001</v>
      </c>
      <c r="U37" s="81">
        <v>1.3049999999999999</v>
      </c>
      <c r="V37" s="85">
        <v>1.426868587667357</v>
      </c>
      <c r="W37" s="85">
        <v>1.5408852442258896</v>
      </c>
      <c r="X37" s="85">
        <v>1.656774665023206</v>
      </c>
      <c r="Y37" s="85">
        <v>1.7748334814278526</v>
      </c>
      <c r="Z37" s="85">
        <v>1.8958109085788231</v>
      </c>
      <c r="AA37" s="85">
        <v>2.0203240962785309</v>
      </c>
      <c r="AB37" s="85">
        <v>2.1486916991131304</v>
      </c>
      <c r="AC37" s="85">
        <v>2.2807629075890099</v>
      </c>
      <c r="AD37" s="85">
        <v>2.4161360063852149</v>
      </c>
      <c r="AE37" s="85">
        <v>2.5548063022890699</v>
      </c>
    </row>
    <row r="38" spans="6:31">
      <c r="N38" s="1" t="s">
        <v>747</v>
      </c>
      <c r="O38" s="81"/>
      <c r="P38" s="84"/>
      <c r="Q38" s="81">
        <v>0</v>
      </c>
      <c r="R38" s="81">
        <v>0</v>
      </c>
      <c r="S38" s="81">
        <v>0</v>
      </c>
      <c r="T38" s="81">
        <v>0</v>
      </c>
      <c r="U38" s="81">
        <v>0</v>
      </c>
      <c r="V38" s="85">
        <v>0</v>
      </c>
      <c r="W38" s="85">
        <v>0</v>
      </c>
      <c r="X38" s="85">
        <v>0</v>
      </c>
      <c r="Y38" s="85">
        <v>0</v>
      </c>
      <c r="Z38" s="85">
        <v>0</v>
      </c>
      <c r="AA38" s="85">
        <v>0</v>
      </c>
      <c r="AB38" s="85">
        <v>0</v>
      </c>
      <c r="AC38" s="85">
        <v>0</v>
      </c>
      <c r="AD38" s="85">
        <v>0</v>
      </c>
      <c r="AE38" s="85">
        <v>0</v>
      </c>
    </row>
    <row r="39" spans="6:31" ht="15">
      <c r="L39" s="39"/>
      <c r="M39" s="39"/>
      <c r="N39" s="81"/>
      <c r="O39" s="81"/>
      <c r="P39" s="142">
        <v>43.997</v>
      </c>
      <c r="Q39" s="87">
        <v>53.48</v>
      </c>
      <c r="R39" s="87">
        <v>59.067999999999991</v>
      </c>
      <c r="S39" s="87">
        <v>63.946999999999989</v>
      </c>
      <c r="T39" s="87">
        <v>69.396999999999977</v>
      </c>
      <c r="U39" s="87">
        <v>75.455999999999975</v>
      </c>
      <c r="V39" s="86">
        <v>81.662395437385669</v>
      </c>
      <c r="W39" s="86">
        <v>87.974618111654991</v>
      </c>
      <c r="X39" s="86">
        <v>94.385840896881319</v>
      </c>
      <c r="Y39" s="86">
        <v>100.94016371579413</v>
      </c>
      <c r="Z39" s="86">
        <v>107.67506862668807</v>
      </c>
      <c r="AA39" s="86">
        <v>114.62003834749913</v>
      </c>
      <c r="AB39" s="86">
        <v>121.77809232406398</v>
      </c>
      <c r="AC39" s="86">
        <v>129.12735379981874</v>
      </c>
      <c r="AD39" s="86">
        <v>136.6455946305397</v>
      </c>
      <c r="AE39" s="86">
        <v>144.35902639204824</v>
      </c>
    </row>
    <row r="40" spans="6:31" ht="15">
      <c r="K40" s="39"/>
      <c r="L40" s="39"/>
      <c r="M40" s="38"/>
      <c r="N40" s="38"/>
      <c r="O40" s="38"/>
      <c r="P40" s="38"/>
      <c r="Q40" s="38"/>
      <c r="R40" s="38"/>
      <c r="S40" s="7"/>
      <c r="T40" s="7"/>
      <c r="U40" s="134"/>
      <c r="V40" s="7"/>
      <c r="W40" s="7"/>
      <c r="X40" s="7"/>
      <c r="Y40" s="7"/>
      <c r="Z40" s="7"/>
      <c r="AA40" s="7"/>
      <c r="AB40" s="7"/>
      <c r="AC40" s="7"/>
      <c r="AD40" s="7"/>
      <c r="AE40" s="134"/>
    </row>
    <row r="42" spans="6:31">
      <c r="M42" s="15"/>
      <c r="N42" s="15"/>
      <c r="O42" s="15"/>
      <c r="P42" s="15"/>
      <c r="Q42" s="15"/>
      <c r="R42" s="15"/>
      <c r="S42" s="6"/>
      <c r="T42" s="6"/>
      <c r="U42" s="171"/>
      <c r="V42" s="6"/>
      <c r="W42" s="6"/>
      <c r="X42" s="6"/>
      <c r="Y42" s="6"/>
      <c r="Z42" s="6"/>
      <c r="AA42" s="6"/>
      <c r="AB42" s="6"/>
      <c r="AC42" s="6"/>
      <c r="AD42" s="131"/>
      <c r="AE42" s="171"/>
    </row>
    <row r="43" spans="6:31">
      <c r="M43" s="15"/>
      <c r="N43" s="15"/>
      <c r="O43" s="15"/>
      <c r="P43" s="15"/>
      <c r="Q43" s="15"/>
      <c r="R43" s="15"/>
      <c r="S43" s="6"/>
      <c r="T43" s="6"/>
      <c r="U43" s="171"/>
      <c r="V43" s="6"/>
      <c r="W43" s="6"/>
      <c r="X43" s="6"/>
      <c r="Y43" s="6"/>
      <c r="Z43" s="6"/>
      <c r="AA43" s="6"/>
      <c r="AB43" s="6"/>
      <c r="AC43" s="6"/>
      <c r="AD43" s="131"/>
      <c r="AE43" s="171"/>
    </row>
    <row r="44" spans="6:31">
      <c r="M44" s="15"/>
      <c r="N44" s="15"/>
      <c r="O44" s="15"/>
      <c r="P44" s="15"/>
      <c r="Q44" s="15"/>
      <c r="R44" s="15"/>
      <c r="S44" s="6"/>
      <c r="T44" s="6"/>
      <c r="U44" s="171"/>
      <c r="V44" s="6"/>
      <c r="W44" s="6"/>
      <c r="X44" s="6"/>
      <c r="Y44" s="6"/>
      <c r="Z44" s="6"/>
      <c r="AA44" s="6"/>
      <c r="AB44" s="6"/>
      <c r="AC44" s="6"/>
      <c r="AD44" s="131"/>
      <c r="AE44" s="171"/>
    </row>
    <row r="45" spans="6:31">
      <c r="M45" s="15"/>
      <c r="N45" s="15"/>
      <c r="O45" s="15"/>
      <c r="P45" s="15"/>
      <c r="Q45" s="15"/>
      <c r="R45" s="15"/>
      <c r="S45" s="6"/>
      <c r="T45" s="6"/>
      <c r="U45" s="171"/>
      <c r="V45" s="6"/>
      <c r="W45" s="6"/>
      <c r="X45" s="6"/>
      <c r="Y45" s="6"/>
      <c r="Z45" s="6"/>
      <c r="AA45" s="6"/>
      <c r="AB45" s="6"/>
      <c r="AC45" s="6"/>
      <c r="AD45" s="131"/>
      <c r="AE45" s="171"/>
    </row>
    <row r="46" spans="6:31" ht="15">
      <c r="K46" s="39"/>
      <c r="L46" s="39"/>
      <c r="M46" s="38"/>
      <c r="N46" s="38"/>
      <c r="O46" s="38"/>
      <c r="P46" s="38"/>
      <c r="Q46" s="38"/>
      <c r="R46" s="38"/>
      <c r="S46" s="7"/>
      <c r="T46" s="7"/>
      <c r="U46" s="134"/>
      <c r="V46" s="7"/>
      <c r="W46" s="7"/>
      <c r="X46" s="7"/>
      <c r="Y46" s="7"/>
      <c r="Z46" s="7"/>
      <c r="AA46" s="7"/>
      <c r="AB46" s="7"/>
      <c r="AC46" s="7"/>
      <c r="AD46" s="7"/>
      <c r="AE46" s="134"/>
    </row>
    <row r="48" spans="6:31">
      <c r="M48" s="15"/>
      <c r="N48" s="15"/>
      <c r="O48" s="15"/>
      <c r="P48" s="15"/>
      <c r="Q48" s="15"/>
      <c r="R48" s="15"/>
      <c r="S48" s="6"/>
      <c r="T48" s="6"/>
      <c r="U48" s="171"/>
      <c r="V48" s="6"/>
      <c r="W48" s="6"/>
      <c r="X48" s="6"/>
      <c r="Y48" s="6"/>
      <c r="Z48" s="6"/>
      <c r="AA48" s="6"/>
      <c r="AB48" s="6"/>
      <c r="AC48" s="6"/>
      <c r="AD48" s="131"/>
      <c r="AE48" s="171"/>
    </row>
    <row r="49" spans="11:31">
      <c r="M49" s="15"/>
      <c r="N49" s="15"/>
      <c r="O49" s="15"/>
      <c r="P49" s="15"/>
      <c r="Q49" s="15"/>
      <c r="R49" s="15"/>
      <c r="S49" s="6"/>
      <c r="T49" s="6"/>
      <c r="U49" s="171"/>
      <c r="V49" s="6"/>
      <c r="W49" s="6"/>
      <c r="X49" s="6"/>
      <c r="Y49" s="6"/>
      <c r="Z49" s="6"/>
      <c r="AA49" s="6"/>
      <c r="AB49" s="6"/>
      <c r="AC49" s="6"/>
      <c r="AD49" s="131"/>
      <c r="AE49" s="171"/>
    </row>
    <row r="50" spans="11:31">
      <c r="M50" s="15"/>
      <c r="N50" s="15"/>
      <c r="O50" s="15"/>
      <c r="P50" s="15"/>
      <c r="Q50" s="15"/>
      <c r="R50" s="15"/>
      <c r="S50" s="6"/>
      <c r="T50" s="6"/>
      <c r="U50" s="171"/>
      <c r="V50" s="6"/>
      <c r="W50" s="6"/>
      <c r="X50" s="6"/>
      <c r="Y50" s="6"/>
      <c r="Z50" s="6"/>
      <c r="AA50" s="6"/>
      <c r="AB50" s="6"/>
      <c r="AC50" s="6"/>
      <c r="AD50" s="131"/>
      <c r="AE50" s="171"/>
    </row>
    <row r="51" spans="11:31">
      <c r="M51" s="15"/>
      <c r="N51" s="15"/>
      <c r="O51" s="15"/>
      <c r="P51" s="15"/>
      <c r="Q51" s="15"/>
      <c r="R51" s="15"/>
      <c r="S51" s="6"/>
      <c r="T51" s="6"/>
      <c r="U51" s="171"/>
      <c r="V51" s="6"/>
      <c r="W51" s="6"/>
      <c r="X51" s="6"/>
      <c r="Y51" s="6"/>
      <c r="Z51" s="6"/>
      <c r="AA51" s="6"/>
      <c r="AB51" s="6"/>
      <c r="AC51" s="6"/>
      <c r="AD51" s="131"/>
      <c r="AE51" s="171"/>
    </row>
    <row r="52" spans="11:31" ht="15">
      <c r="K52" s="39"/>
      <c r="L52" s="39"/>
      <c r="M52" s="38"/>
      <c r="N52" s="38"/>
      <c r="O52" s="38"/>
      <c r="P52" s="38"/>
      <c r="Q52" s="38"/>
      <c r="R52" s="38"/>
      <c r="S52" s="7"/>
      <c r="T52" s="7"/>
      <c r="U52" s="134"/>
      <c r="V52" s="7"/>
      <c r="W52" s="7"/>
      <c r="X52" s="7"/>
      <c r="Y52" s="7"/>
      <c r="Z52" s="7"/>
      <c r="AA52" s="7"/>
      <c r="AB52" s="7"/>
      <c r="AC52" s="7"/>
      <c r="AD52" s="7"/>
      <c r="AE52" s="134"/>
    </row>
  </sheetData>
  <phoneticPr fontId="107" type="noConversion"/>
  <hyperlinks>
    <hyperlink ref="E2" r:id="rId1" xr:uid="{00000000-0004-0000-07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38"/>
  <sheetViews>
    <sheetView zoomScaleNormal="100" workbookViewId="0">
      <selection activeCell="G28" sqref="C28:G28"/>
    </sheetView>
  </sheetViews>
  <sheetFormatPr defaultRowHeight="14.25"/>
  <cols>
    <col min="1" max="1" width="57.7109375" style="1" customWidth="1"/>
    <col min="2" max="2" width="9.140625" style="1"/>
    <col min="3" max="7" width="10.7109375" style="1" customWidth="1"/>
    <col min="8" max="9" width="9.140625" style="1"/>
    <col min="10" max="13" width="9.28515625" style="1" bestFit="1" customWidth="1"/>
    <col min="14" max="14" width="9.5703125" style="1" bestFit="1" customWidth="1"/>
    <col min="15" max="16384" width="9.140625" style="1"/>
  </cols>
  <sheetData>
    <row r="1" spans="1:22" ht="15">
      <c r="A1" s="2" t="s">
        <v>753</v>
      </c>
    </row>
    <row r="2" spans="1:22">
      <c r="A2" s="4" t="s">
        <v>754</v>
      </c>
    </row>
    <row r="3" spans="1:22" ht="15">
      <c r="D3" s="2" t="s">
        <v>755</v>
      </c>
    </row>
    <row r="4" spans="1:22" ht="15">
      <c r="A4" s="2" t="s">
        <v>4</v>
      </c>
      <c r="C4" s="170" t="s">
        <v>20</v>
      </c>
      <c r="D4" s="170" t="s">
        <v>21</v>
      </c>
      <c r="E4" s="170" t="s">
        <v>22</v>
      </c>
      <c r="F4" s="170" t="s">
        <v>23</v>
      </c>
      <c r="G4" s="5" t="s">
        <v>24</v>
      </c>
    </row>
    <row r="5" spans="1:22" ht="15">
      <c r="C5" s="168">
        <v>2021</v>
      </c>
      <c r="D5" s="168">
        <v>2022</v>
      </c>
      <c r="E5" s="168">
        <v>2023</v>
      </c>
      <c r="F5" s="168">
        <v>2024</v>
      </c>
      <c r="G5" s="2">
        <v>2025</v>
      </c>
    </row>
    <row r="6" spans="1:22" ht="15">
      <c r="A6" s="45" t="s">
        <v>424</v>
      </c>
      <c r="C6" s="65">
        <f ca="1">OFFSET('Fiscal Forecasts'!$B$164,0,C$5-'Fiscal Forecasts'!$E$7+3)/AVERAGE(OFFSET('Fiscal Forecasts'!$B$183,0,C$5-'Fiscal Forecasts'!$E$7+2),OFFSET('Fiscal Forecasts'!$B$183,0,C$5-'Fiscal Forecasts'!$E$7+3))</f>
        <v>1.4776530332453153E-2</v>
      </c>
      <c r="D6" s="65">
        <f ca="1">OFFSET('Fiscal Forecasts'!$B$164,0,D$5-'Fiscal Forecasts'!$E$7+3)/AVERAGE(OFFSET('Fiscal Forecasts'!$B$183,0,D$5-'Fiscal Forecasts'!$E$7+2),OFFSET('Fiscal Forecasts'!$B$183,0,D$5-'Fiscal Forecasts'!$E$7+3))</f>
        <v>1.0633171337052005E-2</v>
      </c>
      <c r="E6" s="65">
        <f ca="1">OFFSET('Fiscal Forecasts'!$B$164,0,E$5-'Fiscal Forecasts'!$E$7+3)/AVERAGE(OFFSET('Fiscal Forecasts'!$B$183,0,E$5-'Fiscal Forecasts'!$E$7+2),OFFSET('Fiscal Forecasts'!$B$183,0,E$5-'Fiscal Forecasts'!$E$7+3))</f>
        <v>9.6502191074338342E-3</v>
      </c>
      <c r="F6" s="65">
        <f ca="1">OFFSET('Fiscal Forecasts'!$B$164,0,F$5-'Fiscal Forecasts'!$E$7+3)/AVERAGE(OFFSET('Fiscal Forecasts'!$B$183,0,F$5-'Fiscal Forecasts'!$E$7+2),OFFSET('Fiscal Forecasts'!$B$183,0,F$5-'Fiscal Forecasts'!$E$7+3))</f>
        <v>1.1439550260012058E-2</v>
      </c>
      <c r="G6" s="65">
        <f ca="1">OFFSET('Fiscal Forecasts'!$B$164,0,G$5-'Fiscal Forecasts'!$E$7+3)/AVERAGE(OFFSET('Fiscal Forecasts'!$B$183,0,G$5-'Fiscal Forecasts'!$E$7+2),OFFSET('Fiscal Forecasts'!$B$183,0,G$5-'Fiscal Forecasts'!$E$7+3))</f>
        <v>1.3844494653985235E-2</v>
      </c>
    </row>
    <row r="7" spans="1:22" ht="15">
      <c r="A7" s="2" t="s">
        <v>771</v>
      </c>
    </row>
    <row r="8" spans="1:22">
      <c r="A8" s="1" t="s">
        <v>234</v>
      </c>
      <c r="C8" s="169">
        <v>0</v>
      </c>
      <c r="D8" s="169">
        <v>0</v>
      </c>
      <c r="E8" s="169">
        <v>0</v>
      </c>
      <c r="F8" s="169">
        <v>0</v>
      </c>
      <c r="G8" s="169">
        <v>0</v>
      </c>
      <c r="L8" s="11"/>
      <c r="M8" s="11"/>
      <c r="N8" s="11"/>
      <c r="O8" s="11"/>
      <c r="P8" s="11"/>
      <c r="R8" s="11"/>
      <c r="S8" s="11"/>
      <c r="T8" s="11"/>
      <c r="U8" s="11"/>
      <c r="V8" s="11"/>
    </row>
    <row r="9" spans="1:22">
      <c r="A9" s="1" t="s">
        <v>235</v>
      </c>
      <c r="C9" s="169">
        <v>0</v>
      </c>
      <c r="D9" s="169">
        <v>0</v>
      </c>
      <c r="E9" s="169">
        <v>0</v>
      </c>
      <c r="F9" s="169">
        <v>0</v>
      </c>
      <c r="G9" s="169">
        <v>0</v>
      </c>
      <c r="L9" s="11"/>
      <c r="M9" s="11"/>
      <c r="N9" s="11"/>
      <c r="O9" s="11"/>
      <c r="P9" s="11"/>
      <c r="R9" s="11"/>
      <c r="S9" s="11"/>
      <c r="T9" s="11"/>
      <c r="U9" s="11"/>
      <c r="V9" s="11"/>
    </row>
    <row r="10" spans="1:22">
      <c r="A10" s="1" t="s">
        <v>756</v>
      </c>
      <c r="C10" s="169">
        <v>0</v>
      </c>
      <c r="D10" s="169">
        <v>0</v>
      </c>
      <c r="E10" s="169">
        <v>0</v>
      </c>
      <c r="F10" s="169">
        <v>0</v>
      </c>
      <c r="G10" s="169">
        <v>0</v>
      </c>
      <c r="L10" s="11"/>
      <c r="M10" s="11"/>
      <c r="N10" s="11"/>
      <c r="O10" s="11"/>
      <c r="P10" s="11"/>
      <c r="R10" s="11"/>
      <c r="S10" s="11"/>
      <c r="T10" s="11"/>
      <c r="U10" s="11"/>
      <c r="V10" s="11"/>
    </row>
    <row r="11" spans="1:22">
      <c r="A11" s="1" t="s">
        <v>237</v>
      </c>
      <c r="C11" s="169">
        <v>0</v>
      </c>
      <c r="D11" s="169">
        <v>0</v>
      </c>
      <c r="E11" s="169">
        <v>0</v>
      </c>
      <c r="F11" s="169">
        <v>0</v>
      </c>
      <c r="G11" s="169">
        <v>0</v>
      </c>
      <c r="L11" s="11"/>
      <c r="M11" s="11"/>
      <c r="N11" s="11"/>
      <c r="O11" s="11"/>
      <c r="P11" s="11"/>
      <c r="R11" s="11"/>
      <c r="S11" s="11"/>
      <c r="T11" s="11"/>
      <c r="U11" s="11"/>
      <c r="V11" s="11"/>
    </row>
    <row r="12" spans="1:22">
      <c r="A12" s="1" t="s">
        <v>757</v>
      </c>
      <c r="C12" s="169">
        <v>0</v>
      </c>
      <c r="D12" s="169">
        <v>0</v>
      </c>
      <c r="E12" s="169">
        <v>0</v>
      </c>
      <c r="F12" s="169">
        <v>0</v>
      </c>
      <c r="G12" s="169">
        <v>0</v>
      </c>
      <c r="L12" s="11"/>
      <c r="M12" s="11"/>
      <c r="N12" s="11"/>
      <c r="O12" s="11"/>
      <c r="P12" s="11"/>
      <c r="R12" s="11"/>
      <c r="S12" s="11"/>
      <c r="T12" s="11"/>
      <c r="U12" s="11"/>
      <c r="V12" s="11"/>
    </row>
    <row r="13" spans="1:22" ht="15">
      <c r="A13" s="2" t="s">
        <v>758</v>
      </c>
      <c r="C13" s="66">
        <f>SUM(C$8:C$12)</f>
        <v>0</v>
      </c>
      <c r="D13" s="66">
        <f>SUM(D$8:D$12)</f>
        <v>0</v>
      </c>
      <c r="E13" s="66">
        <f>SUM(E$8:E$12)</f>
        <v>0</v>
      </c>
      <c r="F13" s="66">
        <f>SUM(F$8:F$12)</f>
        <v>0</v>
      </c>
      <c r="G13" s="66">
        <f>SUM(G$8:G$12)</f>
        <v>0</v>
      </c>
    </row>
    <row r="14" spans="1:22" ht="15">
      <c r="A14" s="2" t="s">
        <v>772</v>
      </c>
      <c r="C14" s="11"/>
      <c r="D14" s="38"/>
      <c r="E14" s="38"/>
      <c r="F14" s="38"/>
      <c r="G14" s="38"/>
    </row>
    <row r="15" spans="1:22">
      <c r="A15" s="1" t="s">
        <v>759</v>
      </c>
      <c r="C15" s="169">
        <v>0</v>
      </c>
      <c r="D15" s="169">
        <v>0</v>
      </c>
      <c r="E15" s="169">
        <v>0</v>
      </c>
      <c r="F15" s="169">
        <v>0</v>
      </c>
      <c r="G15" s="169">
        <v>0</v>
      </c>
      <c r="L15" s="11"/>
      <c r="M15" s="11"/>
      <c r="N15" s="11"/>
      <c r="O15" s="11"/>
      <c r="P15" s="11"/>
    </row>
    <row r="16" spans="1:22">
      <c r="A16" s="1" t="s">
        <v>271</v>
      </c>
      <c r="C16" s="169">
        <v>0</v>
      </c>
      <c r="D16" s="169">
        <v>0</v>
      </c>
      <c r="E16" s="169">
        <v>0</v>
      </c>
      <c r="F16" s="169">
        <v>0</v>
      </c>
      <c r="G16" s="169">
        <v>0</v>
      </c>
      <c r="L16" s="11"/>
      <c r="M16" s="11"/>
      <c r="N16" s="11"/>
      <c r="O16" s="11"/>
      <c r="P16" s="11"/>
    </row>
    <row r="17" spans="1:16">
      <c r="A17" s="1" t="s">
        <v>272</v>
      </c>
      <c r="C17" s="169">
        <v>0</v>
      </c>
      <c r="D17" s="169">
        <v>0</v>
      </c>
      <c r="E17" s="169">
        <v>0</v>
      </c>
      <c r="F17" s="169">
        <v>0</v>
      </c>
      <c r="G17" s="169">
        <v>0</v>
      </c>
      <c r="L17" s="11"/>
      <c r="M17" s="11"/>
      <c r="N17" s="11"/>
      <c r="O17" s="11"/>
      <c r="P17" s="11"/>
    </row>
    <row r="18" spans="1:16">
      <c r="A18" s="1" t="s">
        <v>273</v>
      </c>
      <c r="C18" s="169">
        <v>0</v>
      </c>
      <c r="D18" s="169">
        <v>0</v>
      </c>
      <c r="E18" s="169">
        <v>0</v>
      </c>
      <c r="F18" s="169">
        <v>0</v>
      </c>
      <c r="G18" s="169">
        <v>0</v>
      </c>
      <c r="L18" s="11"/>
      <c r="M18" s="11"/>
      <c r="N18" s="11"/>
      <c r="O18" s="11"/>
      <c r="P18" s="11"/>
    </row>
    <row r="19" spans="1:16">
      <c r="A19" s="1" t="s">
        <v>405</v>
      </c>
      <c r="C19" s="169">
        <v>0</v>
      </c>
      <c r="D19" s="169">
        <v>0</v>
      </c>
      <c r="E19" s="169">
        <v>0</v>
      </c>
      <c r="F19" s="169">
        <v>0</v>
      </c>
      <c r="G19" s="169">
        <v>0</v>
      </c>
      <c r="L19" s="11"/>
      <c r="M19" s="11"/>
      <c r="N19" s="11"/>
      <c r="O19" s="11"/>
      <c r="P19" s="11"/>
    </row>
    <row r="20" spans="1:16">
      <c r="A20" s="1" t="s">
        <v>406</v>
      </c>
      <c r="C20" s="169">
        <v>0</v>
      </c>
      <c r="D20" s="169">
        <v>0</v>
      </c>
      <c r="E20" s="169">
        <v>0</v>
      </c>
      <c r="F20" s="169">
        <v>0</v>
      </c>
      <c r="G20" s="169">
        <v>0</v>
      </c>
      <c r="L20" s="11"/>
      <c r="M20" s="11"/>
      <c r="N20" s="11"/>
      <c r="O20" s="11"/>
      <c r="P20" s="11"/>
    </row>
    <row r="21" spans="1:16">
      <c r="A21" s="1" t="s">
        <v>274</v>
      </c>
      <c r="C21" s="169">
        <v>0</v>
      </c>
      <c r="D21" s="169">
        <v>0</v>
      </c>
      <c r="E21" s="169">
        <v>0</v>
      </c>
      <c r="F21" s="169">
        <v>0</v>
      </c>
      <c r="G21" s="169">
        <v>0</v>
      </c>
      <c r="L21" s="11"/>
      <c r="M21" s="11"/>
      <c r="N21" s="11"/>
      <c r="O21" s="11"/>
    </row>
    <row r="22" spans="1:16">
      <c r="A22" s="1" t="s">
        <v>409</v>
      </c>
      <c r="C22" s="169">
        <v>0</v>
      </c>
      <c r="D22" s="169">
        <v>0</v>
      </c>
      <c r="E22" s="169">
        <v>0</v>
      </c>
      <c r="F22" s="169">
        <v>0</v>
      </c>
      <c r="G22" s="169">
        <v>0</v>
      </c>
      <c r="L22" s="11"/>
      <c r="M22" s="11"/>
      <c r="N22" s="11"/>
      <c r="O22" s="11"/>
    </row>
    <row r="23" spans="1:16" ht="15">
      <c r="A23" s="2" t="s">
        <v>760</v>
      </c>
      <c r="C23" s="66">
        <f>SUM(C$15:C$22)</f>
        <v>0</v>
      </c>
      <c r="D23" s="66">
        <f>SUM(D$15:D$22)</f>
        <v>0</v>
      </c>
      <c r="E23" s="66">
        <f>SUM(E$15:E$22)</f>
        <v>0</v>
      </c>
      <c r="F23" s="66">
        <f>SUM(F$15:F$22)</f>
        <v>0</v>
      </c>
      <c r="G23" s="66">
        <f>SUM(G$15:G$22)</f>
        <v>0</v>
      </c>
    </row>
    <row r="24" spans="1:16" ht="15">
      <c r="A24" s="2" t="s">
        <v>1000</v>
      </c>
      <c r="C24" s="66">
        <f>C$11</f>
        <v>0</v>
      </c>
      <c r="D24" s="66">
        <f t="shared" ref="D24:G24" si="0">D$11</f>
        <v>0</v>
      </c>
      <c r="E24" s="66">
        <f t="shared" si="0"/>
        <v>0</v>
      </c>
      <c r="F24" s="66">
        <f t="shared" si="0"/>
        <v>0</v>
      </c>
      <c r="G24" s="66">
        <f t="shared" si="0"/>
        <v>0</v>
      </c>
    </row>
    <row r="25" spans="1:16" ht="15">
      <c r="A25" s="2" t="s">
        <v>773</v>
      </c>
    </row>
    <row r="26" spans="1:16">
      <c r="A26" s="1" t="s">
        <v>761</v>
      </c>
      <c r="C26" s="3">
        <v>0</v>
      </c>
      <c r="D26" s="169">
        <v>0</v>
      </c>
      <c r="E26" s="169">
        <v>0</v>
      </c>
      <c r="F26" s="169">
        <v>0</v>
      </c>
      <c r="G26" s="169">
        <v>0</v>
      </c>
    </row>
    <row r="27" spans="1:16" ht="15">
      <c r="A27" s="1" t="s">
        <v>763</v>
      </c>
      <c r="C27" s="66">
        <f>SUM($B$26:C$26)</f>
        <v>0</v>
      </c>
      <c r="D27" s="66">
        <f>SUM($B$26:D$26)</f>
        <v>0</v>
      </c>
      <c r="E27" s="66">
        <f>SUM($B$26:E$26)</f>
        <v>0</v>
      </c>
      <c r="F27" s="66">
        <f>SUM($B$26:F$26)</f>
        <v>0</v>
      </c>
      <c r="G27" s="66">
        <f>SUM($B$26:G$26)</f>
        <v>0</v>
      </c>
    </row>
    <row r="28" spans="1:16">
      <c r="A28" s="1" t="s">
        <v>762</v>
      </c>
      <c r="C28" s="169">
        <v>0</v>
      </c>
      <c r="D28" s="169">
        <v>0</v>
      </c>
      <c r="E28" s="169">
        <v>0</v>
      </c>
      <c r="F28" s="169">
        <v>0</v>
      </c>
      <c r="G28" s="169">
        <v>0</v>
      </c>
    </row>
    <row r="29" spans="1:16" ht="15">
      <c r="A29" s="1" t="s">
        <v>764</v>
      </c>
      <c r="C29" s="66">
        <f>SUM($B$28:C$28)</f>
        <v>0</v>
      </c>
      <c r="D29" s="66">
        <f>SUM($B$28:D$28)</f>
        <v>0</v>
      </c>
      <c r="E29" s="66">
        <f>SUM($B$28:E$28)</f>
        <v>0</v>
      </c>
      <c r="F29" s="66">
        <f>SUM($B$28:F$28)</f>
        <v>0</v>
      </c>
      <c r="G29" s="66">
        <f>SUM($B$28:G$28)</f>
        <v>0</v>
      </c>
    </row>
    <row r="31" spans="1:16">
      <c r="A31" s="18" t="s">
        <v>765</v>
      </c>
    </row>
    <row r="32" spans="1:16" ht="15">
      <c r="A32" s="1" t="s">
        <v>769</v>
      </c>
      <c r="C32" s="11">
        <f ca="1">ROUND(C$6*C$36/2,0)</f>
        <v>0</v>
      </c>
      <c r="D32" s="11">
        <f t="shared" ref="D32:G32" ca="1" si="1">ROUND(D$6*D$36/2,0)</f>
        <v>0</v>
      </c>
      <c r="E32" s="11">
        <f t="shared" ca="1" si="1"/>
        <v>0</v>
      </c>
      <c r="F32" s="11">
        <f t="shared" ca="1" si="1"/>
        <v>0</v>
      </c>
      <c r="G32" s="11">
        <f t="shared" ca="1" si="1"/>
        <v>0</v>
      </c>
    </row>
    <row r="33" spans="1:10" ht="15">
      <c r="A33" s="1" t="s">
        <v>768</v>
      </c>
      <c r="C33" s="11">
        <f ca="1">ROUND(C$6*C$32/2,0)</f>
        <v>0</v>
      </c>
      <c r="D33" s="11">
        <f ca="1">ROUND(D$6*D$32/2,0)</f>
        <v>0</v>
      </c>
      <c r="E33" s="11">
        <f ca="1">ROUND(E$6*E$32/2,0)</f>
        <v>0</v>
      </c>
      <c r="F33" s="11">
        <f ca="1">ROUND(F$6*F$32/2,0)</f>
        <v>0</v>
      </c>
      <c r="G33" s="11">
        <f ca="1">ROUND(G$6*G$32/2,0)</f>
        <v>0</v>
      </c>
    </row>
    <row r="34" spans="1:10" ht="15">
      <c r="A34" s="1" t="s">
        <v>750</v>
      </c>
      <c r="C34" s="11">
        <f ca="1">ROUND(C$6*SUM($B$37:B$37),0)</f>
        <v>0</v>
      </c>
      <c r="D34" s="11">
        <f ca="1">ROUND(D$6*SUM($B$37:C$37),0)</f>
        <v>0</v>
      </c>
      <c r="E34" s="11">
        <f ca="1">ROUND(E$6*SUM($B$37:D$37),0)</f>
        <v>0</v>
      </c>
      <c r="F34" s="11">
        <f ca="1">ROUND(F$6*SUM($B$37:E$37),0)</f>
        <v>0</v>
      </c>
      <c r="G34" s="11">
        <f ca="1">ROUND(G$6*SUM($B$37:F$37),0)</f>
        <v>0</v>
      </c>
      <c r="J34" s="167"/>
    </row>
    <row r="35" spans="1:10" ht="15">
      <c r="A35" s="2" t="s">
        <v>774</v>
      </c>
      <c r="C35" s="66">
        <f ca="1">SUM(C$32:C$34)</f>
        <v>0</v>
      </c>
      <c r="D35" s="66">
        <f ca="1">SUM(D$32:D$34)</f>
        <v>0</v>
      </c>
      <c r="E35" s="66">
        <f ca="1">SUM(E$32:E$34)</f>
        <v>0</v>
      </c>
      <c r="F35" s="66">
        <f ca="1">SUM(F$32:F$34)</f>
        <v>0</v>
      </c>
      <c r="G35" s="66">
        <f ca="1">SUM(G$32:G$34)</f>
        <v>0</v>
      </c>
      <c r="J35" s="167"/>
    </row>
    <row r="36" spans="1:10" ht="15">
      <c r="A36" s="1" t="s">
        <v>767</v>
      </c>
      <c r="C36" s="11">
        <f>SUM(-C$13,C$23,C$24,C$27,C$29-B$29)</f>
        <v>0</v>
      </c>
      <c r="D36" s="11">
        <f t="shared" ref="D36:G36" si="2">SUM(-D$13,D$23,D$24,D$27,D$29-C$29)</f>
        <v>0</v>
      </c>
      <c r="E36" s="11">
        <f t="shared" si="2"/>
        <v>0</v>
      </c>
      <c r="F36" s="11">
        <f t="shared" si="2"/>
        <v>0</v>
      </c>
      <c r="G36" s="11">
        <f t="shared" si="2"/>
        <v>0</v>
      </c>
      <c r="J36" s="167"/>
    </row>
    <row r="37" spans="1:10" ht="15">
      <c r="A37" s="1" t="s">
        <v>766</v>
      </c>
      <c r="C37" s="11">
        <f ca="1">SUM(C$35,C$36)</f>
        <v>0</v>
      </c>
      <c r="D37" s="11">
        <f ca="1">SUM(D$35,D$36)</f>
        <v>0</v>
      </c>
      <c r="E37" s="11">
        <f ca="1">SUM(E$35,E$36)</f>
        <v>0</v>
      </c>
      <c r="F37" s="11">
        <f ca="1">SUM(F$35,F$36)</f>
        <v>0</v>
      </c>
      <c r="G37" s="11">
        <f ca="1">SUM(G$35,G$36)</f>
        <v>0</v>
      </c>
      <c r="J37" s="167"/>
    </row>
    <row r="38" spans="1:10" ht="15">
      <c r="A38" s="2" t="s">
        <v>775</v>
      </c>
      <c r="C38" s="66">
        <f ca="1">SUM($B$37:C$37)</f>
        <v>0</v>
      </c>
      <c r="D38" s="66">
        <f ca="1">SUM($B$37:D$37)</f>
        <v>0</v>
      </c>
      <c r="E38" s="66">
        <f ca="1">SUM($B$37:E$37)</f>
        <v>0</v>
      </c>
      <c r="F38" s="66">
        <f ca="1">SUM($B$37:F$37)</f>
        <v>0</v>
      </c>
      <c r="G38" s="66">
        <f ca="1">SUM($B$37:G$37)</f>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Display</vt:lpstr>
      <vt:lpstr>Guide</vt:lpstr>
      <vt:lpstr>Sources</vt:lpstr>
      <vt:lpstr>Statistics NZ</vt:lpstr>
      <vt:lpstr>Population Treasury</vt:lpstr>
      <vt:lpstr>Labour Force Treasury</vt:lpstr>
      <vt:lpstr>Exogenous</vt:lpstr>
      <vt:lpstr>NZSF Adjuster</vt:lpstr>
      <vt:lpstr>Fiscal Forecast Adjuster</vt:lpstr>
      <vt:lpstr>Fiscal Outturns</vt:lpstr>
      <vt:lpstr>Economic Forecasts</vt:lpstr>
      <vt:lpstr>Fiscal Forecasts</vt:lpstr>
      <vt:lpstr>Assumptions</vt:lpstr>
      <vt:lpstr>2021 BEFU FSM</vt:lpstr>
      <vt:lpstr>Scenario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Fiscal Strategy Model - BPS 2021 - 9 February 2021</dc:title>
  <dc:creator/>
  <cp:lastModifiedBy/>
  <dcterms:created xsi:type="dcterms:W3CDTF">2017-05-22T02:56:25Z</dcterms:created>
  <dcterms:modified xsi:type="dcterms:W3CDTF">2021-05-19T07:58:34Z</dcterms:modified>
</cp:coreProperties>
</file>